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C98860E-AD77-E346-8E6A-25AA6D45A8B9}" xr6:coauthVersionLast="47" xr6:coauthVersionMax="47" xr10:uidLastSave="{00000000-0000-0000-0000-000000000000}"/>
  <bookViews>
    <workbookView xWindow="-18640" yWindow="-20100" windowWidth="35160" windowHeight="18960" firstSheet="2" activeTab="1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riteria"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rc" hidden="1" xlm="1">#NAME?</definedName>
    <definedName name="_xlpm.st" hidden="1" xlm="1">#NAME?</definedName>
    <definedName name="_xlpm.stateFilter"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121</definedName>
    <definedName name="SelRowNum">33</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CH3" i="72"/>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62" i="27"/>
  <c r="E62" i="27"/>
  <c r="F62"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N532" i="15" l="1" a="1"/>
  <c r="N532" i="15" s="1"/>
  <c r="K532" i="15" a="1"/>
  <c r="K532" i="15" s="1"/>
  <c r="L532" i="15" a="1"/>
  <c r="L532" i="15" s="1"/>
  <c r="M532" i="15" a="1"/>
  <c r="M532" i="15" s="1"/>
  <c r="Z1597" i="13"/>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P44" i="70" l="1"/>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N630" i="15" l="1" a="1"/>
  <c r="N630" i="15" s="1"/>
  <c r="M630" i="15" a="1"/>
  <c r="M630" i="15" s="1"/>
  <c r="L630" i="15" a="1"/>
  <c r="L630" i="15" s="1"/>
  <c r="K630" i="15" a="1"/>
  <c r="K630" i="15" s="1"/>
  <c r="B3" i="8" l="1" a="1"/>
  <c r="B3" i="8" s="1"/>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N700" i="15" l="1" a="1"/>
  <c r="N700" i="15" s="1"/>
  <c r="M700" i="15" a="1"/>
  <c r="M700" i="15" s="1"/>
  <c r="L700" i="15" a="1"/>
  <c r="L700" i="15" s="1"/>
  <c r="K700" i="15" a="1"/>
  <c r="K700" i="15" s="1"/>
  <c r="H700" i="15" a="1"/>
  <c r="H700" i="15" s="1"/>
  <c r="F700" i="15" a="1"/>
  <c r="F700" i="15" s="1"/>
  <c r="G700" i="15" s="1"/>
  <c r="I700" i="15" a="1"/>
  <c r="I700" i="15" s="1"/>
  <c r="Z1192" i="13" l="1"/>
  <c r="Z596" i="13" l="1"/>
  <c r="Z1602" i="13" l="1"/>
  <c r="Z591" i="13" l="1"/>
  <c r="Z567" i="13"/>
  <c r="D7" i="27" l="1"/>
  <c r="Z1603" i="13" l="1"/>
  <c r="AC14" i="27"/>
  <c r="G7" i="27"/>
  <c r="Q1" i="9" l="1"/>
  <c r="I3" i="9"/>
  <c r="AG14" i="27"/>
  <c r="Z1660" i="13" l="1"/>
  <c r="Z1645" i="13"/>
  <c r="Z1646" i="13"/>
  <c r="Z1681" i="13"/>
  <c r="Z1673" i="13"/>
  <c r="Z1606" i="13"/>
  <c r="Z1605" i="13"/>
  <c r="Z1663" i="13"/>
  <c r="Z1619" i="13"/>
  <c r="Z1604" i="13"/>
  <c r="Z1637" i="13"/>
  <c r="Z1632" i="13"/>
  <c r="Z1647" i="13"/>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59" i="13"/>
  <c r="Z165" i="13"/>
  <c r="Z172" i="13"/>
  <c r="Z179" i="13"/>
  <c r="Z181" i="13"/>
  <c r="Z193" i="13"/>
  <c r="Z128" i="13" l="1"/>
  <c r="Z164" i="13"/>
  <c r="Z116" i="13"/>
  <c r="Z187" i="13"/>
  <c r="Z151" i="13"/>
  <c r="Z115" i="13"/>
  <c r="Z141" i="13"/>
  <c r="Z150" i="13"/>
  <c r="Z138" i="13"/>
  <c r="Z126" i="13"/>
  <c r="Z114" i="13"/>
  <c r="Z189" i="13"/>
  <c r="Z188" i="13"/>
  <c r="Z149" i="13"/>
  <c r="Z137" i="13"/>
  <c r="Z113" i="13"/>
  <c r="Z129" i="13"/>
  <c r="Z127" i="13"/>
  <c r="Z184" i="13"/>
  <c r="Z160" i="13"/>
  <c r="Z124" i="13"/>
  <c r="Z112" i="13"/>
  <c r="Z153" i="13"/>
  <c r="Z197" i="13"/>
  <c r="Z173" i="13"/>
  <c r="Z125" i="13"/>
  <c r="Z196" i="13"/>
  <c r="Z148" i="13"/>
  <c r="Z136" i="13"/>
  <c r="Z195" i="13"/>
  <c r="Z183" i="13"/>
  <c r="Z171" i="13"/>
  <c r="Z147" i="13"/>
  <c r="Z123" i="13"/>
  <c r="Z111" i="13"/>
  <c r="Z117" i="13"/>
  <c r="Z198" i="13"/>
  <c r="Z161" i="13"/>
  <c r="Z135" i="13"/>
  <c r="Z194" i="13"/>
  <c r="Z182" i="13"/>
  <c r="Z170" i="13"/>
  <c r="Z158" i="13"/>
  <c r="Z146" i="13"/>
  <c r="Z134" i="13"/>
  <c r="Z122" i="13"/>
  <c r="Z110" i="13"/>
  <c r="Z177" i="13"/>
  <c r="Z152" i="13"/>
  <c r="Z174" i="13"/>
  <c r="Z162" i="13"/>
  <c r="Z185" i="13"/>
  <c r="Z169" i="13"/>
  <c r="Z157" i="13"/>
  <c r="Z145" i="13"/>
  <c r="Z133" i="13"/>
  <c r="Z121" i="13"/>
  <c r="Z109" i="13"/>
  <c r="Z140" i="13"/>
  <c r="Z156" i="13"/>
  <c r="Z144" i="13"/>
  <c r="Z132" i="13"/>
  <c r="Z120" i="13"/>
  <c r="Z108" i="13"/>
  <c r="Z176" i="13"/>
  <c r="Z175" i="13"/>
  <c r="Z139" i="13"/>
  <c r="Z186" i="13"/>
  <c r="Z192" i="13"/>
  <c r="Z168" i="13"/>
  <c r="Z167" i="13"/>
  <c r="Z155" i="13"/>
  <c r="Z143" i="13"/>
  <c r="Z131" i="13"/>
  <c r="Z119" i="13"/>
  <c r="Z106" i="13"/>
  <c r="Z163" i="13"/>
  <c r="Z180" i="13"/>
  <c r="Z191" i="13"/>
  <c r="Z190" i="13"/>
  <c r="Z178" i="13"/>
  <c r="Z166" i="13"/>
  <c r="Z154" i="13"/>
  <c r="Z142" i="13"/>
  <c r="Z130" i="13"/>
  <c r="Z118" i="13"/>
  <c r="Z105" i="13"/>
  <c r="Z1095" i="13" l="1"/>
  <c r="Z211" i="13"/>
  <c r="Z611" i="13"/>
  <c r="Z710" i="13"/>
  <c r="Z909" i="13"/>
  <c r="Z1008" i="13"/>
  <c r="Z1107" i="13"/>
  <c r="H94" i="4" l="1"/>
  <c r="A96" i="13"/>
  <c r="Z1206" i="13"/>
  <c r="Z1404" i="13"/>
  <c r="Z512" i="13"/>
  <c r="Z511" i="13"/>
  <c r="H9" i="4"/>
  <c r="A11" i="13"/>
  <c r="BQ94" i="4" a="1"/>
  <c r="CE94" i="4" a="1"/>
  <c r="CC94" i="4" a="1"/>
  <c r="CG94" i="4" a="1"/>
  <c r="CF94" i="4" a="1"/>
  <c r="AC94" i="4" a="1"/>
  <c r="AL94" i="4" a="1"/>
  <c r="AF94" i="4" a="1"/>
  <c r="CH94" i="4" a="1"/>
  <c r="CL94" i="4" a="1"/>
  <c r="CK94" i="4" a="1"/>
  <c r="CP94" i="4" a="1"/>
  <c r="CM94" i="4" a="1"/>
  <c r="CV94" i="4"/>
  <c r="CN94" i="4" a="1"/>
  <c r="CJ94" i="4"/>
  <c r="CD94" i="4" a="1"/>
  <c r="BO94" i="4" a="1"/>
  <c r="AN94" i="4" a="1"/>
  <c r="CO94" i="4" a="1"/>
  <c r="CS94" i="4"/>
  <c r="AN9" i="4" a="1"/>
  <c r="CF9" i="4" a="1"/>
  <c r="CH9" i="4" a="1"/>
  <c r="AC9" i="4" a="1"/>
  <c r="CK9" i="4" a="1"/>
  <c r="CP9" i="4" a="1"/>
  <c r="CC9" i="4" a="1"/>
  <c r="CL9" i="4" a="1"/>
  <c r="CO9" i="4" a="1"/>
  <c r="CV9" i="4"/>
  <c r="CN9" i="4" a="1"/>
  <c r="AF9" i="4" a="1"/>
  <c r="BQ9" i="4" a="1"/>
  <c r="CD9" i="4" a="1"/>
  <c r="CS9" i="4"/>
  <c r="CE9" i="4" a="1"/>
  <c r="AL9" i="4" a="1"/>
  <c r="CJ9" i="4"/>
  <c r="BO9" i="4" a="1"/>
  <c r="CM9" i="4" a="1"/>
  <c r="CG9" i="4" a="1"/>
  <c r="CU94" i="4" a="1"/>
  <c r="CT94" i="4" a="1"/>
  <c r="CQ94" i="4" a="1"/>
  <c r="CR94" i="4" a="1"/>
  <c r="CU9" i="4" a="1"/>
  <c r="CT9" i="4" a="1"/>
  <c r="CQ9" i="4" a="1"/>
  <c r="CR9" i="4" a="1"/>
  <c r="CR9" i="4" l="1"/>
  <c r="CQ9" i="4"/>
  <c r="CT9" i="4"/>
  <c r="CU9" i="4"/>
  <c r="CR94" i="4"/>
  <c r="CQ94" i="4"/>
  <c r="CT94" i="4"/>
  <c r="CU94" i="4"/>
  <c r="CG9" i="4"/>
  <c r="CM9" i="4"/>
  <c r="BO9" i="4"/>
  <c r="AL9" i="4"/>
  <c r="CE9" i="4"/>
  <c r="CD9" i="4"/>
  <c r="BQ9" i="4"/>
  <c r="AF9" i="4"/>
  <c r="CN9" i="4"/>
  <c r="CO9" i="4"/>
  <c r="CL9" i="4"/>
  <c r="CC9" i="4"/>
  <c r="CP9" i="4"/>
  <c r="CK9" i="4"/>
  <c r="AC9" i="4"/>
  <c r="CH9" i="4"/>
  <c r="CF9" i="4"/>
  <c r="AN9" i="4"/>
  <c r="CO94" i="4"/>
  <c r="AN94" i="4"/>
  <c r="BO94" i="4"/>
  <c r="CD94" i="4"/>
  <c r="CN94" i="4"/>
  <c r="CM94" i="4"/>
  <c r="CP94" i="4"/>
  <c r="CK94" i="4"/>
  <c r="CL94" i="4"/>
  <c r="CH94" i="4"/>
  <c r="AF94" i="4"/>
  <c r="AL94" i="4"/>
  <c r="AC94" i="4"/>
  <c r="CF94" i="4"/>
  <c r="CG94" i="4"/>
  <c r="CC94" i="4"/>
  <c r="CE94" i="4"/>
  <c r="BQ94" i="4"/>
  <c r="A909" i="13"/>
  <c r="AX909" i="13" s="1"/>
  <c r="A810" i="13"/>
  <c r="AX810" i="13" s="1"/>
  <c r="AX11" i="13"/>
  <c r="A710" i="13"/>
  <c r="A511" i="13"/>
  <c r="AX511" i="13"/>
  <c r="A1008" i="13"/>
  <c r="A611" i="13"/>
  <c r="AX1008" i="13"/>
  <c r="AX411" i="13"/>
  <c r="A111" i="13"/>
  <c r="A411" i="13"/>
  <c r="A1107" i="13"/>
  <c r="A1807" i="13"/>
  <c r="AX611" i="13"/>
  <c r="D9" i="4"/>
  <c r="BV9" i="4" a="1"/>
  <c r="BV9" i="4" s="1"/>
  <c r="A9" i="20"/>
  <c r="A11" i="9"/>
  <c r="D9" i="1"/>
  <c r="BD9" i="4" a="1"/>
  <c r="BD9" i="4" s="1"/>
  <c r="C9" i="4"/>
  <c r="BW9" i="4" a="1"/>
  <c r="BW9" i="4" s="1"/>
  <c r="A994" i="13"/>
  <c r="AX994" i="13" s="1"/>
  <c r="A895" i="13"/>
  <c r="AX895" i="13" s="1"/>
  <c r="AX696" i="13"/>
  <c r="A1093" i="13"/>
  <c r="AX96" i="13"/>
  <c r="A496" i="13"/>
  <c r="A795" i="13"/>
  <c r="A1192" i="13"/>
  <c r="AX496" i="13"/>
  <c r="AX1093" i="13"/>
  <c r="AX596" i="13"/>
  <c r="A596" i="13"/>
  <c r="A1892" i="13"/>
  <c r="A196" i="13"/>
  <c r="A696" i="13"/>
  <c r="D94" i="4"/>
  <c r="A94" i="20"/>
  <c r="A96" i="9"/>
  <c r="C94" i="4"/>
  <c r="D94" i="1"/>
  <c r="BW94" i="4" a="1"/>
  <c r="BW94" i="4" s="1"/>
  <c r="BD94" i="4" a="1"/>
  <c r="BD94" i="4" s="1"/>
  <c r="BV94" i="4" a="1"/>
  <c r="BV94" i="4" s="1"/>
  <c r="Z212" i="13"/>
  <c r="Z513" i="13"/>
  <c r="Z612" i="13"/>
  <c r="Z711" i="13"/>
  <c r="Z810" i="13"/>
  <c r="Z910" i="13"/>
  <c r="Z1009" i="13"/>
  <c r="Z1108" i="13"/>
  <c r="AH94" i="4" a="1"/>
  <c r="AG94" i="4" a="1"/>
  <c r="AO9" i="4" a="1"/>
  <c r="AP9" i="4" a="1"/>
  <c r="AK94" i="4" a="1"/>
  <c r="AJ94" i="4" a="1"/>
  <c r="AB94" i="4" a="1"/>
  <c r="AA94" i="4" a="1"/>
  <c r="AG9" i="4" a="1"/>
  <c r="AH9" i="4" a="1"/>
  <c r="AP94" i="4" a="1"/>
  <c r="AO94" i="4" a="1"/>
  <c r="B9" i="1" a="1"/>
  <c r="B94" i="1" a="1"/>
  <c r="AA9" i="4" a="1"/>
  <c r="AB9" i="4" a="1"/>
  <c r="AK9" i="4" a="1"/>
  <c r="AJ9" i="4" a="1"/>
  <c r="BX94" i="4" l="1"/>
  <c r="AJ9" i="4"/>
  <c r="AK9" i="4"/>
  <c r="AB9" i="4"/>
  <c r="AA9" i="4"/>
  <c r="B94" i="1"/>
  <c r="B9" i="1"/>
  <c r="AO94" i="4"/>
  <c r="AP94" i="4"/>
  <c r="AH9" i="4"/>
  <c r="AG9" i="4"/>
  <c r="AA94" i="4"/>
  <c r="AB94" i="4"/>
  <c r="AJ94" i="4"/>
  <c r="AK94" i="4"/>
  <c r="AP9" i="4"/>
  <c r="AO9" i="4"/>
  <c r="AG94" i="4"/>
  <c r="AH94" i="4"/>
  <c r="AX710" i="13"/>
  <c r="G9" i="4"/>
  <c r="BP9" i="4"/>
  <c r="Z1207" i="13"/>
  <c r="Z1405" i="13"/>
  <c r="A5" i="13"/>
  <c r="H3" i="4"/>
  <c r="A1291" i="13"/>
  <c r="AX1192" i="13"/>
  <c r="AX795" i="13"/>
  <c r="AX1107" i="13"/>
  <c r="A1206" i="13"/>
  <c r="A211" i="13"/>
  <c r="AX111" i="13"/>
  <c r="DE11" i="4"/>
  <c r="DE9" i="4"/>
  <c r="AV211" i="13"/>
  <c r="T9" i="4"/>
  <c r="T11" i="4"/>
  <c r="G94" i="4"/>
  <c r="BP94" i="4"/>
  <c r="AX196" i="13"/>
  <c r="A296" i="13"/>
  <c r="I11" i="9"/>
  <c r="H10" i="4"/>
  <c r="A12" i="13"/>
  <c r="I96" i="9"/>
  <c r="CA94" i="4" a="1"/>
  <c r="CA94" i="4" s="1"/>
  <c r="BY94" i="4" s="1" a="1"/>
  <c r="BY94" i="4" s="1"/>
  <c r="BZ94" i="4" a="1"/>
  <c r="BZ94" i="4" s="1"/>
  <c r="BZ9" i="4" a="1"/>
  <c r="BZ9" i="4" s="1"/>
  <c r="CA9" i="4" a="1"/>
  <c r="CA9" i="4" s="1"/>
  <c r="BY9" i="4" s="1" a="1"/>
  <c r="BY9" i="4" s="1"/>
  <c r="BX9" i="4"/>
  <c r="CI94" i="4" a="1"/>
  <c r="BO3" i="4" a="1"/>
  <c r="CH3" i="4" a="1"/>
  <c r="CC3" i="4" a="1"/>
  <c r="CK3" i="4" a="1"/>
  <c r="CE3" i="4" a="1"/>
  <c r="AC3" i="4" a="1"/>
  <c r="AF3" i="4" a="1"/>
  <c r="CS3" i="4"/>
  <c r="CP3" i="4" a="1"/>
  <c r="AL3" i="4" a="1"/>
  <c r="CN3" i="4" a="1"/>
  <c r="CD3" i="4" a="1"/>
  <c r="BQ3" i="4" a="1"/>
  <c r="AN3" i="4" a="1"/>
  <c r="CF3" i="4" a="1"/>
  <c r="CM3" i="4" a="1"/>
  <c r="CV3" i="4"/>
  <c r="CG3" i="4" a="1"/>
  <c r="CJ3" i="4"/>
  <c r="CI3" i="4" s="1" a="1"/>
  <c r="CO3" i="4" a="1"/>
  <c r="CL3" i="4" a="1"/>
  <c r="CL10" i="4" a="1"/>
  <c r="AL10" i="4" a="1"/>
  <c r="AF10" i="4" a="1"/>
  <c r="CF10" i="4" a="1"/>
  <c r="CK10" i="4" a="1"/>
  <c r="CJ10" i="4"/>
  <c r="CV10" i="4"/>
  <c r="CC10" i="4" a="1"/>
  <c r="CM10" i="4" a="1"/>
  <c r="AN10" i="4" a="1"/>
  <c r="BO10" i="4" a="1"/>
  <c r="CG10" i="4" a="1"/>
  <c r="CH10" i="4" a="1"/>
  <c r="BQ10" i="4" a="1"/>
  <c r="CO10" i="4" a="1"/>
  <c r="CE10" i="4" a="1"/>
  <c r="AC10" i="4" a="1"/>
  <c r="CS10" i="4"/>
  <c r="CD10" i="4" a="1"/>
  <c r="CN10" i="4" a="1"/>
  <c r="CP10" i="4" a="1"/>
  <c r="CI9" i="4" a="1"/>
  <c r="CQ3" i="4" a="1"/>
  <c r="CR3" i="4" a="1"/>
  <c r="CT3" i="4" a="1"/>
  <c r="CU3" i="4" a="1"/>
  <c r="CT10" i="4" a="1"/>
  <c r="CU10" i="4" a="1"/>
  <c r="CR10" i="4" a="1"/>
  <c r="CQ10" i="4" a="1"/>
  <c r="CQ10" i="4" l="1"/>
  <c r="CR10" i="4"/>
  <c r="CU10" i="4"/>
  <c r="CT10" i="4"/>
  <c r="CU3" i="4"/>
  <c r="CT3" i="4"/>
  <c r="CR3" i="4"/>
  <c r="CQ3" i="4"/>
  <c r="CI9" i="4"/>
  <c r="CP10" i="4"/>
  <c r="CN10" i="4"/>
  <c r="CD10" i="4"/>
  <c r="AC10" i="4"/>
  <c r="CE10" i="4"/>
  <c r="CO10" i="4"/>
  <c r="BQ10" i="4"/>
  <c r="CH10" i="4"/>
  <c r="CG10" i="4"/>
  <c r="BO10" i="4"/>
  <c r="AN10" i="4"/>
  <c r="CM10" i="4"/>
  <c r="CC10" i="4"/>
  <c r="CK10" i="4"/>
  <c r="CF10" i="4"/>
  <c r="AF10" i="4"/>
  <c r="AL10" i="4"/>
  <c r="CL10" i="4"/>
  <c r="CL3" i="4"/>
  <c r="CO3" i="4"/>
  <c r="CI3" i="4"/>
  <c r="CG3" i="4"/>
  <c r="CM3" i="4"/>
  <c r="CF3" i="4"/>
  <c r="BX3" i="4" s="1"/>
  <c r="AN3" i="4"/>
  <c r="BQ3" i="4"/>
  <c r="CD3" i="4"/>
  <c r="CN3" i="4"/>
  <c r="AL3" i="4"/>
  <c r="CP3" i="4"/>
  <c r="AF3" i="4"/>
  <c r="AC3" i="4"/>
  <c r="CE3" i="4"/>
  <c r="CK3" i="4"/>
  <c r="CC3" i="4"/>
  <c r="CH3" i="4"/>
  <c r="BO3" i="4"/>
  <c r="CI94" i="4"/>
  <c r="Z1305" i="13"/>
  <c r="AZ9" i="4"/>
  <c r="AX9" i="4"/>
  <c r="AV11" i="13"/>
  <c r="V9" i="72"/>
  <c r="X9" i="69"/>
  <c r="A1108" i="13"/>
  <c r="AX12" i="13"/>
  <c r="AX612" i="13"/>
  <c r="A711" i="13"/>
  <c r="A1009" i="13"/>
  <c r="AX512" i="13"/>
  <c r="AX412" i="13"/>
  <c r="A612" i="13"/>
  <c r="AX1009" i="13"/>
  <c r="A412" i="13"/>
  <c r="A1808" i="13"/>
  <c r="A512" i="13"/>
  <c r="A910" i="13"/>
  <c r="AX910" i="13" s="1"/>
  <c r="A811" i="13"/>
  <c r="AX811" i="13" s="1"/>
  <c r="A112" i="13"/>
  <c r="D10" i="1"/>
  <c r="BD10" i="4" a="1"/>
  <c r="BD10" i="4" s="1"/>
  <c r="BW10" i="4" a="1"/>
  <c r="BW10" i="4" s="1"/>
  <c r="A12" i="9"/>
  <c r="A10" i="20"/>
  <c r="C10" i="4"/>
  <c r="BV10" i="4" a="1"/>
  <c r="BV10" i="4" s="1"/>
  <c r="D10" i="4"/>
  <c r="V94" i="72"/>
  <c r="X94" i="69"/>
  <c r="AX296" i="13"/>
  <c r="A396" i="13"/>
  <c r="AX396" i="13" s="1"/>
  <c r="A311" i="13"/>
  <c r="AX311" i="13" s="1"/>
  <c r="AX211" i="13"/>
  <c r="D3" i="1"/>
  <c r="G3" i="9"/>
  <c r="BD3" i="4" a="1"/>
  <c r="BD3" i="4" s="1"/>
  <c r="D3" i="4"/>
  <c r="BV3" i="4" a="1"/>
  <c r="BV3" i="4" s="1"/>
  <c r="C3" i="4"/>
  <c r="A3" i="20"/>
  <c r="K3" i="4"/>
  <c r="A5" i="9"/>
  <c r="BW3" i="4" a="1"/>
  <c r="BW3" i="4" s="1"/>
  <c r="AX1206" i="13"/>
  <c r="A1305" i="13"/>
  <c r="A1390" i="13"/>
  <c r="AX1291" i="13"/>
  <c r="AX605" i="13"/>
  <c r="A505" i="13"/>
  <c r="A903" i="13"/>
  <c r="AX903" i="13" s="1"/>
  <c r="A605" i="13"/>
  <c r="AX5" i="13"/>
  <c r="A1801" i="13"/>
  <c r="A1101" i="13"/>
  <c r="A804" i="13"/>
  <c r="AX804" i="13" s="1"/>
  <c r="A105" i="13"/>
  <c r="AX505" i="13"/>
  <c r="A1002" i="13"/>
  <c r="AX1002" i="13"/>
  <c r="AX405" i="13"/>
  <c r="A405" i="13"/>
  <c r="A704" i="13"/>
  <c r="AZ94" i="4"/>
  <c r="Z1390" i="13"/>
  <c r="AV96" i="13"/>
  <c r="AX94" i="4"/>
  <c r="AA10" i="4" a="1"/>
  <c r="AB10" i="4" a="1"/>
  <c r="AH10" i="4" a="1"/>
  <c r="AG10" i="4" a="1"/>
  <c r="AK10" i="4" a="1"/>
  <c r="AJ10" i="4" a="1"/>
  <c r="AK3" i="4" a="1"/>
  <c r="AJ3" i="4" a="1"/>
  <c r="AG3" i="4" a="1"/>
  <c r="AH3" i="4" a="1"/>
  <c r="AB3" i="4" a="1"/>
  <c r="AA3" i="4" a="1"/>
  <c r="B3" i="1" a="1"/>
  <c r="AP10" i="4" a="1"/>
  <c r="AO10" i="4" a="1"/>
  <c r="B10" i="1" a="1"/>
  <c r="AP3" i="4" a="1"/>
  <c r="AO3" i="4" a="1"/>
  <c r="Z1801" i="13" l="1"/>
  <c r="B1801" i="13" s="1" a="1"/>
  <c r="B1801" i="13" s="1"/>
  <c r="AO3" i="4"/>
  <c r="AP3" i="4"/>
  <c r="B10" i="1"/>
  <c r="AO10" i="4"/>
  <c r="AP10" i="4"/>
  <c r="B3" i="1"/>
  <c r="AA3" i="4"/>
  <c r="AB3" i="4"/>
  <c r="AH3" i="4"/>
  <c r="AG3" i="4"/>
  <c r="AJ3" i="4"/>
  <c r="AK3" i="4"/>
  <c r="AJ10" i="4"/>
  <c r="AK10" i="4"/>
  <c r="AG10" i="4"/>
  <c r="AH10" i="4"/>
  <c r="AB10" i="4"/>
  <c r="AA10" i="4"/>
  <c r="AX1101" i="13"/>
  <c r="A1200" i="13"/>
  <c r="AX704" i="13"/>
  <c r="AY704" i="13"/>
  <c r="AV704" i="13"/>
  <c r="S3" i="4" s="1"/>
  <c r="AX1305" i="13"/>
  <c r="A1404" i="13"/>
  <c r="A205" i="13"/>
  <c r="AX105" i="13"/>
  <c r="AX1390" i="13"/>
  <c r="A1489" i="13"/>
  <c r="X94" i="72"/>
  <c r="AN94" i="72"/>
  <c r="I12" i="9"/>
  <c r="BX10" i="4"/>
  <c r="G3" i="4"/>
  <c r="BP3" i="4"/>
  <c r="BZ3" i="4" a="1"/>
  <c r="BZ3" i="4" s="1"/>
  <c r="CA3" i="4" a="1"/>
  <c r="CA3" i="4" s="1"/>
  <c r="BY3" i="4" s="1" a="1"/>
  <c r="BY3" i="4" s="1"/>
  <c r="AX711" i="13"/>
  <c r="AX112" i="13"/>
  <c r="A212" i="13"/>
  <c r="BP10" i="4"/>
  <c r="G10" i="4"/>
  <c r="A1207" i="13"/>
  <c r="AX1108" i="13"/>
  <c r="BU9" i="69"/>
  <c r="AA9" i="69"/>
  <c r="AN9" i="72"/>
  <c r="X9" i="72"/>
  <c r="BZ10" i="4" a="1"/>
  <c r="BZ10" i="4" s="1"/>
  <c r="CA10" i="4" a="1"/>
  <c r="CA10" i="4" s="1"/>
  <c r="BY10" i="4" s="1" a="1"/>
  <c r="BY10" i="4" s="1"/>
  <c r="I5" i="9"/>
  <c r="BU94" i="69"/>
  <c r="AA94" i="69"/>
  <c r="Z1193" i="13"/>
  <c r="Z1094" i="13"/>
  <c r="Z995" i="13"/>
  <c r="Z895" i="13"/>
  <c r="Z796" i="13"/>
  <c r="AV297" i="13" s="1"/>
  <c r="Z697" i="13"/>
  <c r="Z597" i="13"/>
  <c r="Z297" i="13"/>
  <c r="Z97" i="13"/>
  <c r="E97" i="13"/>
  <c r="Z1093" i="13"/>
  <c r="Z994" i="13"/>
  <c r="Z894" i="13"/>
  <c r="Z795" i="13"/>
  <c r="Z696" i="13"/>
  <c r="Z296" i="13"/>
  <c r="Z96" i="13"/>
  <c r="E96" i="13"/>
  <c r="B196" i="13"/>
  <c r="E98" i="13"/>
  <c r="Z98" i="13"/>
  <c r="Z298" i="13"/>
  <c r="Z598" i="13"/>
  <c r="Z698" i="13"/>
  <c r="Z797" i="13"/>
  <c r="AV298" i="13" s="1"/>
  <c r="Z896" i="13"/>
  <c r="Z996" i="13"/>
  <c r="Z1194" i="13"/>
  <c r="CI10" i="4" a="1"/>
  <c r="CI10" i="4" l="1"/>
  <c r="AV94" i="72" a="1"/>
  <c r="AV94" i="72" s="1"/>
  <c r="CD94" i="72"/>
  <c r="DE96" i="4"/>
  <c r="AV296" i="13"/>
  <c r="AX1489" i="13"/>
  <c r="A1588" i="13"/>
  <c r="AX1200" i="13"/>
  <c r="A1299" i="13"/>
  <c r="AX10" i="4"/>
  <c r="Z1306" i="13"/>
  <c r="AV12" i="13"/>
  <c r="AZ10" i="4"/>
  <c r="AV9" i="72" a="1"/>
  <c r="AV9" i="72" s="1"/>
  <c r="CD9" i="72"/>
  <c r="AX205" i="13"/>
  <c r="A305" i="13"/>
  <c r="AX305" i="13" s="1"/>
  <c r="X3" i="69"/>
  <c r="V3" i="72"/>
  <c r="Z1291" i="13"/>
  <c r="Z1489" i="13"/>
  <c r="AX212" i="13"/>
  <c r="A312" i="13"/>
  <c r="AX312" i="13" s="1"/>
  <c r="V17" i="22"/>
  <c r="AX3" i="4"/>
  <c r="Z1299" i="13"/>
  <c r="AV5" i="13"/>
  <c r="AZ3" i="4"/>
  <c r="W17" i="22"/>
  <c r="Y17" i="22" s="1"/>
  <c r="AX1404" i="13"/>
  <c r="A1503" i="13"/>
  <c r="A98" i="13"/>
  <c r="H96" i="4"/>
  <c r="Z1292" i="13"/>
  <c r="Z1490" i="13"/>
  <c r="Z1491" i="13"/>
  <c r="Z1293" i="13"/>
  <c r="A97" i="13"/>
  <c r="H95" i="4"/>
  <c r="AX1207" i="13"/>
  <c r="A1306" i="13"/>
  <c r="X10" i="69"/>
  <c r="V10" i="72"/>
  <c r="AC95" i="4" a="1"/>
  <c r="BQ95" i="4" a="1"/>
  <c r="CM95" i="4" a="1"/>
  <c r="CP95" i="4" a="1"/>
  <c r="CN95" i="4" a="1"/>
  <c r="CJ95" i="4"/>
  <c r="CI95" i="4" s="1" a="1"/>
  <c r="BO95" i="4" a="1"/>
  <c r="CF95" i="4" a="1"/>
  <c r="CV95" i="4"/>
  <c r="CD95" i="4" a="1"/>
  <c r="CO95" i="4" a="1"/>
  <c r="AN95" i="4" a="1"/>
  <c r="CL95" i="4" a="1"/>
  <c r="CH95" i="4" a="1"/>
  <c r="CE95" i="4" a="1"/>
  <c r="CG95" i="4" a="1"/>
  <c r="AL95" i="4" a="1"/>
  <c r="CC95" i="4" a="1"/>
  <c r="AF95" i="4" a="1"/>
  <c r="CK95" i="4" a="1"/>
  <c r="CS95" i="4"/>
  <c r="CE96" i="4" a="1"/>
  <c r="CS96" i="4"/>
  <c r="CV96" i="4"/>
  <c r="CJ96" i="4"/>
  <c r="CI96" i="4" s="1" a="1"/>
  <c r="BQ96" i="4" a="1"/>
  <c r="CM96" i="4" a="1"/>
  <c r="CP96" i="4" a="1"/>
  <c r="CL96" i="4" a="1"/>
  <c r="CK96" i="4" a="1"/>
  <c r="CF96" i="4" a="1"/>
  <c r="AF96" i="4" a="1"/>
  <c r="AC96" i="4" a="1"/>
  <c r="CC96" i="4" a="1"/>
  <c r="AL96" i="4" a="1"/>
  <c r="CG96" i="4" a="1"/>
  <c r="CD96" i="4" a="1"/>
  <c r="AN96" i="4" a="1"/>
  <c r="CH96" i="4" a="1"/>
  <c r="CO96" i="4" a="1"/>
  <c r="CN96" i="4" a="1"/>
  <c r="BO96" i="4" a="1"/>
  <c r="CT95" i="4" a="1"/>
  <c r="CU95" i="4" a="1"/>
  <c r="CQ95" i="4" a="1"/>
  <c r="CR95" i="4" a="1"/>
  <c r="CQ96" i="4" a="1"/>
  <c r="CR96" i="4" a="1"/>
  <c r="CU96" i="4" a="1"/>
  <c r="CT96" i="4" a="1"/>
  <c r="CT96" i="4" l="1"/>
  <c r="CU96" i="4"/>
  <c r="CR96" i="4"/>
  <c r="CQ96" i="4"/>
  <c r="CR95" i="4"/>
  <c r="CQ95" i="4"/>
  <c r="CU95" i="4"/>
  <c r="CT95" i="4"/>
  <c r="BO96" i="4"/>
  <c r="CN96" i="4"/>
  <c r="CO96" i="4"/>
  <c r="CH96" i="4"/>
  <c r="AN96" i="4"/>
  <c r="CD96" i="4"/>
  <c r="CG96" i="4"/>
  <c r="AL96" i="4"/>
  <c r="CC96" i="4"/>
  <c r="AC96" i="4"/>
  <c r="AF96" i="4"/>
  <c r="CF96" i="4"/>
  <c r="CK96" i="4"/>
  <c r="CL96" i="4"/>
  <c r="CP96" i="4"/>
  <c r="CM96" i="4"/>
  <c r="BQ96" i="4"/>
  <c r="CI96" i="4"/>
  <c r="CE96" i="4"/>
  <c r="CK95" i="4"/>
  <c r="AF95" i="4"/>
  <c r="CC95" i="4"/>
  <c r="AL95" i="4"/>
  <c r="CG95" i="4"/>
  <c r="CE95" i="4"/>
  <c r="CH95" i="4"/>
  <c r="CL95" i="4"/>
  <c r="AN95" i="4"/>
  <c r="CO95" i="4"/>
  <c r="CD95" i="4"/>
  <c r="CF95" i="4"/>
  <c r="BO95" i="4"/>
  <c r="CI95" i="4"/>
  <c r="CN95" i="4"/>
  <c r="CP95" i="4"/>
  <c r="CM95" i="4"/>
  <c r="BQ95" i="4"/>
  <c r="AC95" i="4"/>
  <c r="A497" i="13"/>
  <c r="A697" i="13"/>
  <c r="A597" i="13"/>
  <c r="A896" i="13"/>
  <c r="AX896" i="13" s="1"/>
  <c r="A796" i="13"/>
  <c r="A1193" i="13"/>
  <c r="AX597" i="13"/>
  <c r="AX697" i="13"/>
  <c r="AX497" i="13"/>
  <c r="AX1094" i="13"/>
  <c r="A197" i="13"/>
  <c r="A1893" i="13"/>
  <c r="A1094" i="13"/>
  <c r="AX97" i="13"/>
  <c r="A995" i="13"/>
  <c r="AX995" i="13" s="1"/>
  <c r="AX1503" i="13"/>
  <c r="A1602" i="13"/>
  <c r="AX1602" i="13" s="1"/>
  <c r="BW96" i="4" a="1"/>
  <c r="BW96" i="4" s="1"/>
  <c r="D96" i="1"/>
  <c r="C96" i="4"/>
  <c r="BV96" i="4" a="1"/>
  <c r="BV96" i="4" s="1"/>
  <c r="A98" i="9"/>
  <c r="BD96" i="4" a="1"/>
  <c r="BD96" i="4" s="1"/>
  <c r="D96" i="4"/>
  <c r="A1398" i="13"/>
  <c r="AX1299" i="13"/>
  <c r="AN10" i="72"/>
  <c r="X10" i="72"/>
  <c r="A1405" i="13"/>
  <c r="AX1306" i="13"/>
  <c r="A198" i="13"/>
  <c r="A598" i="13"/>
  <c r="A698" i="13"/>
  <c r="A1095" i="13"/>
  <c r="AX698" i="13"/>
  <c r="AX98" i="13"/>
  <c r="A797" i="13"/>
  <c r="A996" i="13"/>
  <c r="AX996" i="13" s="1"/>
  <c r="A498" i="13"/>
  <c r="AX498" i="13" s="1"/>
  <c r="A1194" i="13"/>
  <c r="A1894" i="13"/>
  <c r="A897" i="13"/>
  <c r="AX897" i="13" s="1"/>
  <c r="AX598" i="13"/>
  <c r="AX1095" i="13"/>
  <c r="AA10" i="69"/>
  <c r="BU10" i="69"/>
  <c r="P3" i="72"/>
  <c r="AA3" i="72" a="1"/>
  <c r="AA3" i="72" s="1"/>
  <c r="AN3" i="72"/>
  <c r="AG3" i="72"/>
  <c r="AC3" i="72"/>
  <c r="AQ3" i="72"/>
  <c r="W3" i="72"/>
  <c r="BB3" i="72"/>
  <c r="BL3" i="72"/>
  <c r="Q3" i="72"/>
  <c r="N3" i="72" a="1"/>
  <c r="N3" i="72" s="1"/>
  <c r="X3" i="72"/>
  <c r="AB3" i="72"/>
  <c r="BK3" i="72"/>
  <c r="K3" i="72" a="1"/>
  <c r="K3" i="72" s="1"/>
  <c r="A1687" i="13"/>
  <c r="AX1687" i="13" s="1"/>
  <c r="AX1588" i="13"/>
  <c r="A97" i="9"/>
  <c r="C95" i="4"/>
  <c r="D95" i="4"/>
  <c r="BV95" i="4" a="1"/>
  <c r="BV95" i="4" s="1"/>
  <c r="BW95" i="4" a="1"/>
  <c r="BW95" i="4" s="1"/>
  <c r="A95" i="20"/>
  <c r="BD95" i="4" a="1"/>
  <c r="BD95" i="4" s="1"/>
  <c r="D95" i="1"/>
  <c r="AB3" i="69" a="1"/>
  <c r="AB3" i="69" s="1"/>
  <c r="AS3" i="69"/>
  <c r="P3" i="69"/>
  <c r="K3" i="69" a="1"/>
  <c r="K3" i="69" s="1"/>
  <c r="AA3" i="69"/>
  <c r="BB3" i="69"/>
  <c r="AC3" i="69"/>
  <c r="Y3" i="69"/>
  <c r="N3" i="69" a="1"/>
  <c r="N3" i="69" s="1"/>
  <c r="BC3" i="69"/>
  <c r="Q3" i="69"/>
  <c r="BU3" i="69"/>
  <c r="AP96" i="4" a="1"/>
  <c r="AO96" i="4" a="1"/>
  <c r="AJ96" i="4" a="1"/>
  <c r="AK96" i="4" a="1"/>
  <c r="AH95" i="4" a="1"/>
  <c r="AG95" i="4" a="1"/>
  <c r="AB96" i="4" a="1"/>
  <c r="AA96" i="4" a="1"/>
  <c r="B96" i="1" a="1"/>
  <c r="AG96" i="4" a="1"/>
  <c r="AH96" i="4" a="1"/>
  <c r="AK95" i="4" a="1"/>
  <c r="AJ95" i="4" a="1"/>
  <c r="B95" i="1" a="1"/>
  <c r="AB95" i="4" a="1"/>
  <c r="AA95" i="4" a="1"/>
  <c r="AO95" i="4" a="1"/>
  <c r="AP95" i="4" a="1"/>
  <c r="BX96" i="4" l="1"/>
  <c r="AP95" i="4"/>
  <c r="AO95" i="4"/>
  <c r="AA95" i="4"/>
  <c r="AB95" i="4"/>
  <c r="B95" i="1"/>
  <c r="AJ95" i="4"/>
  <c r="AK95" i="4"/>
  <c r="AH96" i="4"/>
  <c r="AG96" i="4"/>
  <c r="B96" i="1"/>
  <c r="AA96" i="4"/>
  <c r="AB96" i="4"/>
  <c r="AG95" i="4"/>
  <c r="AH95" i="4"/>
  <c r="AK96" i="4"/>
  <c r="AJ96" i="4"/>
  <c r="AO96" i="4"/>
  <c r="AP96" i="4"/>
  <c r="CC3" i="72"/>
  <c r="CD3" i="72"/>
  <c r="AV3" i="72" a="1"/>
  <c r="AV3" i="72" s="1"/>
  <c r="AM3" i="72"/>
  <c r="AP3" i="72"/>
  <c r="A298" i="13"/>
  <c r="AX198" i="13"/>
  <c r="AX1405" i="13"/>
  <c r="A1504" i="13"/>
  <c r="A1293" i="13"/>
  <c r="AX1194" i="13"/>
  <c r="AV10" i="72" a="1"/>
  <c r="AV10" i="72" s="1"/>
  <c r="CD10" i="72"/>
  <c r="I98" i="9"/>
  <c r="AX197" i="13"/>
  <c r="A297" i="13"/>
  <c r="BP96" i="4"/>
  <c r="CA96" i="4" a="1"/>
  <c r="CA96" i="4" s="1"/>
  <c r="BY96" i="4" s="1" a="1"/>
  <c r="BY96" i="4" s="1"/>
  <c r="BZ96" i="4" a="1"/>
  <c r="BZ96" i="4" s="1"/>
  <c r="Z1502" i="13"/>
  <c r="A1497" i="13"/>
  <c r="AX1398" i="13"/>
  <c r="AX797" i="13"/>
  <c r="BZ95" i="4" a="1"/>
  <c r="BZ95" i="4" s="1"/>
  <c r="CA95" i="4" a="1"/>
  <c r="CA95" i="4" s="1"/>
  <c r="BY95" i="4" s="1" a="1"/>
  <c r="BY95" i="4" s="1"/>
  <c r="AX1193" i="13"/>
  <c r="A1292" i="13"/>
  <c r="G95" i="4"/>
  <c r="BP95" i="4"/>
  <c r="AX796" i="13"/>
  <c r="BX95" i="4"/>
  <c r="I97" i="9"/>
  <c r="G96" i="4"/>
  <c r="AV98" i="13" l="1"/>
  <c r="Z1392" i="13"/>
  <c r="AZ96" i="4"/>
  <c r="AX96" i="4"/>
  <c r="X96" i="69"/>
  <c r="V96" i="72"/>
  <c r="AZ95" i="4"/>
  <c r="AV97" i="13"/>
  <c r="AX95" i="4"/>
  <c r="Z1391" i="13"/>
  <c r="A397" i="13"/>
  <c r="AX397" i="13" s="1"/>
  <c r="AX297" i="13"/>
  <c r="A1603" i="13"/>
  <c r="AX1603" i="13" s="1"/>
  <c r="AX1504" i="13"/>
  <c r="A1391" i="13"/>
  <c r="AX1292" i="13"/>
  <c r="AX1293" i="13"/>
  <c r="A1392" i="13"/>
  <c r="AX298" i="13"/>
  <c r="A398" i="13"/>
  <c r="AX398" i="13" s="1"/>
  <c r="V95" i="72"/>
  <c r="X95" i="69"/>
  <c r="AX1497" i="13"/>
  <c r="A1596" i="13"/>
  <c r="AX1596" i="13" s="1"/>
  <c r="AV1497" i="13"/>
  <c r="AV1596" i="13" s="1"/>
  <c r="AA95" i="69" l="1"/>
  <c r="BU95" i="69"/>
  <c r="X96" i="72"/>
  <c r="AN96" i="72"/>
  <c r="AA96" i="69"/>
  <c r="BU96" i="69"/>
  <c r="X95" i="72"/>
  <c r="AN95" i="72"/>
  <c r="A1491" i="13"/>
  <c r="AX1392" i="13"/>
  <c r="A1490" i="13"/>
  <c r="AX1391" i="13"/>
  <c r="CD96" i="72" l="1"/>
  <c r="AV96" i="72" a="1"/>
  <c r="AV96" i="72" s="1"/>
  <c r="AV95" i="72" a="1"/>
  <c r="AV95" i="72" s="1"/>
  <c r="CD95" i="72"/>
  <c r="AX1491" i="13"/>
  <c r="A1590" i="13"/>
  <c r="AX1490" i="13"/>
  <c r="A1589" i="13"/>
  <c r="A1688" i="13" l="1"/>
  <c r="AX1688" i="13" s="1"/>
  <c r="AX1589" i="13"/>
  <c r="A1689" i="13"/>
  <c r="AX1689" i="13" s="1"/>
  <c r="AX1590" i="13"/>
  <c r="Z3" i="69" l="1"/>
  <c r="Z3" i="72"/>
  <c r="A6" i="13" l="1"/>
  <c r="H4" i="4"/>
  <c r="Z747" i="13"/>
  <c r="Z505" i="13"/>
  <c r="CN4" i="4" a="1"/>
  <c r="CL4" i="4" a="1"/>
  <c r="CH4" i="4" a="1"/>
  <c r="CP4" i="4" a="1"/>
  <c r="CD4" i="4" a="1"/>
  <c r="CJ4" i="4"/>
  <c r="CI4" i="4" s="1" a="1"/>
  <c r="CV4" i="4"/>
  <c r="CM4" i="4" a="1"/>
  <c r="BQ4" i="4" a="1"/>
  <c r="CC4" i="4" a="1"/>
  <c r="CG4" i="4" a="1"/>
  <c r="AL4" i="4" a="1"/>
  <c r="CK4" i="4" a="1"/>
  <c r="CO4" i="4" a="1"/>
  <c r="AC4" i="4" a="1"/>
  <c r="CE4" i="4" a="1"/>
  <c r="CF4" i="4" a="1"/>
  <c r="CS4" i="4"/>
  <c r="AF4" i="4" a="1"/>
  <c r="AN4" i="4" a="1"/>
  <c r="BO4" i="4" a="1"/>
  <c r="CU4" i="4" a="1"/>
  <c r="CT4" i="4" a="1"/>
  <c r="CR4" i="4" a="1"/>
  <c r="CQ4" i="4" a="1"/>
  <c r="CQ4" i="4" l="1"/>
  <c r="CR4" i="4"/>
  <c r="CT4" i="4"/>
  <c r="CU4" i="4"/>
  <c r="BO4" i="4"/>
  <c r="AN4" i="4"/>
  <c r="AF4" i="4"/>
  <c r="CF4" i="4"/>
  <c r="CE4" i="4"/>
  <c r="AC4" i="4"/>
  <c r="CO4" i="4"/>
  <c r="CK4" i="4"/>
  <c r="AL4" i="4"/>
  <c r="CG4" i="4"/>
  <c r="CC4" i="4"/>
  <c r="BQ4" i="4"/>
  <c r="CM4" i="4"/>
  <c r="CI4" i="4"/>
  <c r="CD4" i="4"/>
  <c r="CP4" i="4"/>
  <c r="CH4" i="4"/>
  <c r="CL4" i="4"/>
  <c r="CN4" i="4"/>
  <c r="A60" i="13"/>
  <c r="H58" i="4"/>
  <c r="AV247" i="13"/>
  <c r="DE47" i="4"/>
  <c r="C4" i="4"/>
  <c r="A6" i="9"/>
  <c r="I6" i="9" s="1"/>
  <c r="BV4" i="4" a="1"/>
  <c r="BV4" i="4" s="1"/>
  <c r="BW4" i="4" a="1"/>
  <c r="BW4" i="4" s="1"/>
  <c r="BD4" i="4" a="1"/>
  <c r="BD4" i="4" s="1"/>
  <c r="K4" i="4"/>
  <c r="D4" i="1"/>
  <c r="D4" i="4"/>
  <c r="A4" i="20"/>
  <c r="A506" i="13"/>
  <c r="A1102" i="13"/>
  <c r="A1003" i="13"/>
  <c r="A1802" i="13"/>
  <c r="Z1802" i="13" s="1"/>
  <c r="B1802" i="13" s="1" a="1"/>
  <c r="B1802" i="13" s="1"/>
  <c r="A406" i="13"/>
  <c r="A705" i="13"/>
  <c r="AX1003" i="13"/>
  <c r="AX606" i="13"/>
  <c r="A606" i="13"/>
  <c r="A904" i="13"/>
  <c r="AX904" i="13" s="1"/>
  <c r="A106" i="13"/>
  <c r="AX6" i="13"/>
  <c r="AX406" i="13"/>
  <c r="AX506" i="13"/>
  <c r="A805" i="13"/>
  <c r="AX805"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J4" i="4" a="1"/>
  <c r="AK4" i="4" a="1"/>
  <c r="CP58" i="4" a="1"/>
  <c r="CS58" i="4"/>
  <c r="BO58" i="4" a="1"/>
  <c r="CG58" i="4" a="1"/>
  <c r="AN58" i="4" a="1"/>
  <c r="CK58" i="4" a="1"/>
  <c r="AC58" i="4" a="1"/>
  <c r="CV58" i="4"/>
  <c r="CF58" i="4" a="1"/>
  <c r="AL58" i="4" a="1"/>
  <c r="BQ58" i="4" a="1"/>
  <c r="CO58" i="4" a="1"/>
  <c r="CJ58" i="4"/>
  <c r="CE58" i="4" a="1"/>
  <c r="CN58" i="4" a="1"/>
  <c r="CM58" i="4" a="1"/>
  <c r="CC58" i="4" a="1"/>
  <c r="AF58" i="4" a="1"/>
  <c r="CD58" i="4" a="1"/>
  <c r="CH58" i="4" a="1"/>
  <c r="CL58" i="4" a="1"/>
  <c r="AO4" i="4" a="1"/>
  <c r="AP4" i="4" a="1"/>
  <c r="AH4" i="4" a="1"/>
  <c r="AG4" i="4" a="1"/>
  <c r="AB4" i="4" a="1"/>
  <c r="AA4" i="4" a="1"/>
  <c r="B4" i="1" a="1"/>
  <c r="CQ58" i="4" a="1"/>
  <c r="CR58" i="4" a="1"/>
  <c r="CU58" i="4" a="1"/>
  <c r="CT58" i="4" a="1"/>
  <c r="CT58" i="4" l="1"/>
  <c r="CU58" i="4"/>
  <c r="CR58" i="4"/>
  <c r="CQ58" i="4"/>
  <c r="B4" i="1"/>
  <c r="AA4" i="4"/>
  <c r="AB4" i="4"/>
  <c r="AG4" i="4"/>
  <c r="AH4" i="4"/>
  <c r="AP4" i="4"/>
  <c r="AO4" i="4"/>
  <c r="CL58" i="4"/>
  <c r="CH58" i="4"/>
  <c r="CD58" i="4"/>
  <c r="AF58" i="4"/>
  <c r="CC58" i="4"/>
  <c r="CM58" i="4"/>
  <c r="CN58" i="4"/>
  <c r="CE58" i="4"/>
  <c r="CO58" i="4"/>
  <c r="BQ58" i="4"/>
  <c r="AL58" i="4"/>
  <c r="CF58" i="4"/>
  <c r="AC58" i="4"/>
  <c r="CK58" i="4"/>
  <c r="AN58" i="4"/>
  <c r="CG58" i="4"/>
  <c r="BO58" i="4"/>
  <c r="CP58" i="4"/>
  <c r="AK4" i="4"/>
  <c r="AJ4" i="4"/>
  <c r="AV214" i="13"/>
  <c r="DE14" i="4"/>
  <c r="T14" i="4"/>
  <c r="AV236" i="13"/>
  <c r="DE36" i="4"/>
  <c r="Z1236" i="13"/>
  <c r="Z1434" i="13"/>
  <c r="H52" i="4"/>
  <c r="A54" i="13"/>
  <c r="E6" i="13"/>
  <c r="BT4" i="4"/>
  <c r="Z1204" i="13"/>
  <c r="Z1402" i="13"/>
  <c r="AV216" i="13"/>
  <c r="DE16" i="4"/>
  <c r="H21" i="4"/>
  <c r="A23" i="13"/>
  <c r="Z1416" i="13"/>
  <c r="Z1218" i="13"/>
  <c r="DE31" i="4"/>
  <c r="AV231" i="13"/>
  <c r="E5" i="13"/>
  <c r="D102" i="13" s="1"/>
  <c r="BT3" i="4"/>
  <c r="Z206" i="13"/>
  <c r="I4" i="4"/>
  <c r="H7" i="4"/>
  <c r="A9" i="13"/>
  <c r="Z1208" i="13"/>
  <c r="Z1406" i="13"/>
  <c r="AV217" i="13"/>
  <c r="DE17" i="4"/>
  <c r="H28" i="4"/>
  <c r="A30" i="13"/>
  <c r="Z1225" i="13"/>
  <c r="Z1423" i="13"/>
  <c r="H34" i="4"/>
  <c r="A36" i="13"/>
  <c r="Z1429" i="13"/>
  <c r="Z1231" i="13"/>
  <c r="AV210" i="13"/>
  <c r="DE8" i="4"/>
  <c r="T8" i="4"/>
  <c r="A64" i="13"/>
  <c r="H62" i="4"/>
  <c r="Z1457" i="13"/>
  <c r="Z1259" i="13"/>
  <c r="H53" i="4"/>
  <c r="A55" i="13"/>
  <c r="Z1448" i="13"/>
  <c r="Z1250" i="13"/>
  <c r="AV267" i="13"/>
  <c r="DE67" i="4"/>
  <c r="DE73" i="4"/>
  <c r="AV273" i="13"/>
  <c r="AV270" i="13"/>
  <c r="DE70" i="4"/>
  <c r="DE79" i="4"/>
  <c r="AV279" i="13"/>
  <c r="DE90" i="4"/>
  <c r="AV290" i="13"/>
  <c r="Z1400" i="13"/>
  <c r="Z1202" i="13"/>
  <c r="A47" i="13"/>
  <c r="H45" i="4"/>
  <c r="Z205" i="13"/>
  <c r="I3" i="4"/>
  <c r="H11" i="4"/>
  <c r="A13" i="13"/>
  <c r="Z1209" i="13"/>
  <c r="Z1407" i="13"/>
  <c r="DE18" i="4"/>
  <c r="AV218" i="13"/>
  <c r="A24" i="13"/>
  <c r="H22" i="4"/>
  <c r="Z1219" i="13"/>
  <c r="Z1417" i="13"/>
  <c r="AV226" i="13"/>
  <c r="DE26" i="4"/>
  <c r="AV232" i="13"/>
  <c r="DE32" i="4"/>
  <c r="H41" i="4"/>
  <c r="A43" i="13"/>
  <c r="Z1238" i="13"/>
  <c r="Z1436" i="13"/>
  <c r="DE44" i="4"/>
  <c r="AV244" i="13"/>
  <c r="DE52" i="4"/>
  <c r="AV252" i="13"/>
  <c r="DE58" i="4"/>
  <c r="AV258" i="13"/>
  <c r="A65" i="13"/>
  <c r="H63" i="4"/>
  <c r="Z1260" i="13"/>
  <c r="Z1458" i="13"/>
  <c r="A69" i="13"/>
  <c r="H67" i="4"/>
  <c r="Z1462" i="13"/>
  <c r="Z1264" i="13"/>
  <c r="H89" i="4"/>
  <c r="A91" i="13"/>
  <c r="Z1484" i="13"/>
  <c r="Z1286" i="13"/>
  <c r="H74" i="4"/>
  <c r="A76" i="13"/>
  <c r="Z1469" i="13"/>
  <c r="Z1271" i="13"/>
  <c r="A86" i="13"/>
  <c r="H84" i="4"/>
  <c r="Z1281" i="13"/>
  <c r="Z1479" i="13"/>
  <c r="H93" i="4"/>
  <c r="A95" i="13"/>
  <c r="Z1488" i="13"/>
  <c r="Z1290" i="13"/>
  <c r="DE24" i="4"/>
  <c r="AV224" i="13"/>
  <c r="AV257" i="13"/>
  <c r="DE57" i="4"/>
  <c r="A21" i="13"/>
  <c r="H19" i="4"/>
  <c r="AV230" i="13"/>
  <c r="DE30" i="4"/>
  <c r="A41" i="13"/>
  <c r="H39" i="4"/>
  <c r="H5" i="4"/>
  <c r="A7" i="13"/>
  <c r="D7" i="5"/>
  <c r="D8" i="5" s="1"/>
  <c r="I9" i="4"/>
  <c r="Z9" i="72"/>
  <c r="Z10" i="69"/>
  <c r="Z10" i="72"/>
  <c r="K10" i="4"/>
  <c r="A9" i="4"/>
  <c r="BA10" i="4"/>
  <c r="C10" i="1"/>
  <c r="M9" i="4"/>
  <c r="A10" i="4"/>
  <c r="BT10" i="4"/>
  <c r="C9" i="1"/>
  <c r="I10" i="4"/>
  <c r="V9" i="69"/>
  <c r="M10" i="4"/>
  <c r="AE10" i="72"/>
  <c r="K9" i="4"/>
  <c r="AT9" i="4" s="1"/>
  <c r="AV611" i="13" s="1"/>
  <c r="AE9" i="72"/>
  <c r="BA9" i="4"/>
  <c r="BT9" i="4"/>
  <c r="V10" i="69"/>
  <c r="Z9" i="69"/>
  <c r="Z1401" i="13"/>
  <c r="Z1203" i="13"/>
  <c r="A22" i="13"/>
  <c r="H20" i="4"/>
  <c r="Z1224" i="13"/>
  <c r="Z1422" i="13"/>
  <c r="A35" i="13"/>
  <c r="H33" i="4"/>
  <c r="Z1428" i="13"/>
  <c r="Z1230" i="13"/>
  <c r="H12" i="4"/>
  <c r="A14" i="13"/>
  <c r="Z1408" i="13"/>
  <c r="Z1210" i="13"/>
  <c r="AV219" i="13"/>
  <c r="DE19" i="4"/>
  <c r="A31" i="13"/>
  <c r="H29" i="4"/>
  <c r="Z1424" i="13"/>
  <c r="Z1226" i="13"/>
  <c r="A37" i="13"/>
  <c r="H35" i="4"/>
  <c r="Z1430" i="13"/>
  <c r="Z1232" i="13"/>
  <c r="AV239" i="13"/>
  <c r="DE39" i="4"/>
  <c r="Z1441" i="13"/>
  <c r="Z1243" i="13"/>
  <c r="A50" i="13"/>
  <c r="H48" i="4"/>
  <c r="Z1443" i="13"/>
  <c r="Z1245" i="13"/>
  <c r="H54" i="4"/>
  <c r="A56" i="13"/>
  <c r="Z1251" i="13"/>
  <c r="Z1449" i="13"/>
  <c r="DE66" i="4"/>
  <c r="AV266" i="13"/>
  <c r="AV275" i="13"/>
  <c r="DE75" i="4"/>
  <c r="DE77" i="4"/>
  <c r="AV277" i="13"/>
  <c r="AV281" i="13"/>
  <c r="DE81" i="4"/>
  <c r="T81" i="4"/>
  <c r="AV292" i="13"/>
  <c r="DE92" i="4"/>
  <c r="AV249" i="13"/>
  <c r="DE49" i="4"/>
  <c r="AV215" i="13"/>
  <c r="DE15" i="4"/>
  <c r="A29" i="13"/>
  <c r="H27" i="4"/>
  <c r="Z704" i="13"/>
  <c r="M3" i="4"/>
  <c r="D3" i="9" s="1"/>
  <c r="Z705" i="13"/>
  <c r="M4" i="4"/>
  <c r="A15" i="13"/>
  <c r="H13" i="4"/>
  <c r="Z1409" i="13"/>
  <c r="Z1211" i="13"/>
  <c r="AV220" i="13"/>
  <c r="DE20" i="4"/>
  <c r="DE27" i="4"/>
  <c r="AV227" i="13"/>
  <c r="T27" i="4"/>
  <c r="DE33" i="4"/>
  <c r="AV233" i="13"/>
  <c r="A48" i="13"/>
  <c r="H46" i="4"/>
  <c r="AV245" i="13"/>
  <c r="DE45" i="4"/>
  <c r="T45" i="4"/>
  <c r="AV253" i="13"/>
  <c r="DE53" i="4"/>
  <c r="T53" i="4"/>
  <c r="AV259" i="13"/>
  <c r="DE59" i="4"/>
  <c r="H61" i="4"/>
  <c r="A63" i="13"/>
  <c r="Z1258" i="13"/>
  <c r="Z1456" i="13"/>
  <c r="A68" i="13"/>
  <c r="H66" i="4"/>
  <c r="Z1461" i="13"/>
  <c r="Z1263" i="13"/>
  <c r="A87" i="13"/>
  <c r="H85" i="4"/>
  <c r="Z1480" i="13"/>
  <c r="Z1282" i="13"/>
  <c r="A93" i="13"/>
  <c r="H91" i="4"/>
  <c r="Z1486" i="13"/>
  <c r="Z1288" i="13"/>
  <c r="H87" i="4"/>
  <c r="A89" i="13"/>
  <c r="Z1482" i="13"/>
  <c r="Z1284" i="13"/>
  <c r="AX1102" i="13"/>
  <c r="A1201" i="13"/>
  <c r="H37" i="4"/>
  <c r="A39" i="13"/>
  <c r="H42" i="4"/>
  <c r="A44" i="13"/>
  <c r="Z1239" i="13"/>
  <c r="Z1437" i="13"/>
  <c r="H49" i="4"/>
  <c r="A51" i="13"/>
  <c r="Z1444" i="13"/>
  <c r="Z1246" i="13"/>
  <c r="H36" i="4"/>
  <c r="A38" i="13"/>
  <c r="Z1431" i="13"/>
  <c r="Z1233" i="13"/>
  <c r="DE60" i="4"/>
  <c r="AV260" i="13"/>
  <c r="AV274" i="13"/>
  <c r="DE74" i="4"/>
  <c r="DE72" i="4"/>
  <c r="AV272" i="13"/>
  <c r="DE80" i="4"/>
  <c r="AV280" i="13"/>
  <c r="AV283" i="13"/>
  <c r="DE83" i="4"/>
  <c r="DE84" i="4"/>
  <c r="AV284" i="13"/>
  <c r="Z1481" i="13"/>
  <c r="Z1283" i="13"/>
  <c r="H86" i="4"/>
  <c r="A88" i="13"/>
  <c r="DE21" i="4"/>
  <c r="AV221" i="13"/>
  <c r="A26" i="13"/>
  <c r="H24" i="4"/>
  <c r="Z1425" i="13"/>
  <c r="Z1227" i="13"/>
  <c r="AV234" i="13"/>
  <c r="DE34" i="4"/>
  <c r="Z1205" i="13"/>
  <c r="Z1403" i="13"/>
  <c r="DE46" i="4"/>
  <c r="AV246" i="13"/>
  <c r="DE54" i="4"/>
  <c r="AV254" i="13"/>
  <c r="T54" i="4"/>
  <c r="A67" i="13"/>
  <c r="H65" i="4"/>
  <c r="Z1460" i="13"/>
  <c r="Z1262" i="13"/>
  <c r="A73" i="13"/>
  <c r="H71" i="4"/>
  <c r="Z1466" i="13"/>
  <c r="Z1268" i="13"/>
  <c r="A70" i="13"/>
  <c r="H68" i="4"/>
  <c r="Z1463" i="13"/>
  <c r="Z1265" i="13"/>
  <c r="H77" i="4"/>
  <c r="A79" i="13"/>
  <c r="Z1274" i="13"/>
  <c r="Z1472" i="13"/>
  <c r="A90" i="13"/>
  <c r="H88" i="4"/>
  <c r="Z1483" i="13"/>
  <c r="Z1285" i="13"/>
  <c r="Z1415" i="13"/>
  <c r="Z1217" i="13"/>
  <c r="AV207" i="13"/>
  <c r="DE5" i="4"/>
  <c r="T5" i="4"/>
  <c r="A16" i="13"/>
  <c r="H14" i="4"/>
  <c r="Z1432" i="13"/>
  <c r="Z1234" i="13"/>
  <c r="DE40" i="4"/>
  <c r="AV240" i="13"/>
  <c r="T40" i="4"/>
  <c r="H16" i="4"/>
  <c r="A18" i="13"/>
  <c r="Z1412" i="13"/>
  <c r="Z1214" i="13"/>
  <c r="A33" i="13"/>
  <c r="H31" i="4"/>
  <c r="A10" i="13"/>
  <c r="H8" i="4"/>
  <c r="A45" i="13"/>
  <c r="H43" i="4"/>
  <c r="Z1253" i="13"/>
  <c r="Z1451" i="13"/>
  <c r="AV261" i="13"/>
  <c r="DE61" i="4"/>
  <c r="DE71" i="4"/>
  <c r="AV271" i="13"/>
  <c r="T71" i="4"/>
  <c r="AV278" i="13"/>
  <c r="DE78" i="4"/>
  <c r="Z1244" i="13"/>
  <c r="Z1442" i="13"/>
  <c r="Z1419" i="13"/>
  <c r="Z1221" i="13"/>
  <c r="H15" i="4"/>
  <c r="A17" i="13"/>
  <c r="Z1411" i="13"/>
  <c r="Z1213" i="13"/>
  <c r="AV209" i="13"/>
  <c r="T7" i="4"/>
  <c r="DE7" i="4"/>
  <c r="DE41" i="4"/>
  <c r="AV241" i="13"/>
  <c r="H50" i="4"/>
  <c r="A52" i="13"/>
  <c r="AV282" i="13"/>
  <c r="DE82" i="4"/>
  <c r="AV285" i="13"/>
  <c r="DE85" i="4"/>
  <c r="AV294" i="13"/>
  <c r="DE94" i="4"/>
  <c r="A49" i="13"/>
  <c r="H47" i="4"/>
  <c r="A206" i="13"/>
  <c r="AX106" i="13"/>
  <c r="DE10" i="4"/>
  <c r="DE12" i="4"/>
  <c r="AV212" i="13"/>
  <c r="T10" i="4"/>
  <c r="T12" i="4"/>
  <c r="A19" i="13"/>
  <c r="H17" i="4"/>
  <c r="Z1413" i="13"/>
  <c r="Z1215" i="13"/>
  <c r="AV229" i="13"/>
  <c r="DE29" i="4"/>
  <c r="DE35" i="4"/>
  <c r="AV235" i="13"/>
  <c r="A40" i="13"/>
  <c r="H38" i="4"/>
  <c r="Z1235" i="13"/>
  <c r="Z1433" i="13"/>
  <c r="DE64" i="4"/>
  <c r="AV264" i="13"/>
  <c r="DE55" i="4"/>
  <c r="AV255" i="13"/>
  <c r="T55" i="4"/>
  <c r="A66" i="13"/>
  <c r="H64" i="4"/>
  <c r="Z1261" i="13"/>
  <c r="Z1459" i="13"/>
  <c r="H73" i="4"/>
  <c r="A75" i="13"/>
  <c r="Z1270" i="13"/>
  <c r="Z1468" i="13"/>
  <c r="A77" i="13"/>
  <c r="H75" i="4"/>
  <c r="Z1272" i="13"/>
  <c r="Z1470" i="13"/>
  <c r="H79" i="4"/>
  <c r="A81" i="13"/>
  <c r="Z1276" i="13"/>
  <c r="Z1474" i="13"/>
  <c r="H90" i="4"/>
  <c r="A92" i="13"/>
  <c r="Z1287" i="13"/>
  <c r="Z1485" i="13"/>
  <c r="B106" i="13"/>
  <c r="A4" i="4"/>
  <c r="Z1212" i="13"/>
  <c r="Z1410" i="13"/>
  <c r="A32" i="13"/>
  <c r="H30" i="4"/>
  <c r="DE6" i="4"/>
  <c r="AV208" i="13"/>
  <c r="T6" i="4"/>
  <c r="AV228" i="13"/>
  <c r="DE28" i="4"/>
  <c r="DE22" i="4"/>
  <c r="AV222" i="13"/>
  <c r="H25" i="4"/>
  <c r="A27" i="13"/>
  <c r="Z1222" i="13"/>
  <c r="Z1420" i="13"/>
  <c r="Z1228" i="13"/>
  <c r="Z1426" i="13"/>
  <c r="Z1240" i="13"/>
  <c r="Z1438" i="13"/>
  <c r="E51" i="13"/>
  <c r="E49" i="13"/>
  <c r="Z1445" i="13"/>
  <c r="Z1247" i="13"/>
  <c r="H56" i="4"/>
  <c r="A58" i="13"/>
  <c r="Z1200" i="13"/>
  <c r="Z1398" i="13"/>
  <c r="Z1201" i="13"/>
  <c r="Z1399" i="13"/>
  <c r="AV213" i="13"/>
  <c r="DE13" i="4"/>
  <c r="T13" i="4"/>
  <c r="H18" i="4"/>
  <c r="A20" i="13"/>
  <c r="Z1216" i="13"/>
  <c r="Z1414" i="13"/>
  <c r="AV223" i="13"/>
  <c r="DE23" i="4"/>
  <c r="H26" i="4"/>
  <c r="A28" i="13"/>
  <c r="Z1421" i="13"/>
  <c r="Z1223" i="13"/>
  <c r="H32" i="4"/>
  <c r="A34" i="13"/>
  <c r="Z1229" i="13"/>
  <c r="Z1427" i="13"/>
  <c r="DE42" i="4"/>
  <c r="AV242" i="13"/>
  <c r="A46" i="13"/>
  <c r="H44" i="4"/>
  <c r="Z1241" i="13"/>
  <c r="Z1439" i="13"/>
  <c r="E50" i="13"/>
  <c r="E52" i="13"/>
  <c r="A53" i="13"/>
  <c r="H51" i="4"/>
  <c r="Z1446" i="13"/>
  <c r="Z1248" i="13"/>
  <c r="H57" i="4"/>
  <c r="A59" i="13"/>
  <c r="Z1254" i="13"/>
  <c r="Z1452" i="13"/>
  <c r="AV265" i="13"/>
  <c r="DE65" i="4"/>
  <c r="AV269" i="13"/>
  <c r="DE69" i="4"/>
  <c r="AV291" i="13"/>
  <c r="DE91" i="4"/>
  <c r="AV276" i="13"/>
  <c r="DE76" i="4"/>
  <c r="AV286" i="13"/>
  <c r="DE86" i="4"/>
  <c r="DE95" i="4"/>
  <c r="AV295" i="13"/>
  <c r="Z1418" i="13"/>
  <c r="Z1220" i="13"/>
  <c r="Z1450" i="13"/>
  <c r="Z1252" i="13"/>
  <c r="AV256" i="13"/>
  <c r="DE56" i="4"/>
  <c r="Z1453" i="13"/>
  <c r="Z1255" i="13"/>
  <c r="H72" i="4"/>
  <c r="A74" i="13"/>
  <c r="Z1467" i="13"/>
  <c r="Z1269" i="13"/>
  <c r="A72" i="13"/>
  <c r="H70" i="4"/>
  <c r="Z1267" i="13"/>
  <c r="Z1465" i="13"/>
  <c r="A80" i="13"/>
  <c r="H78" i="4"/>
  <c r="Z1275" i="13"/>
  <c r="Z1473" i="13"/>
  <c r="H81" i="4"/>
  <c r="A83" i="13"/>
  <c r="Z1278" i="13"/>
  <c r="Z1476" i="13"/>
  <c r="H82" i="4"/>
  <c r="A84" i="13"/>
  <c r="Z1279" i="13"/>
  <c r="Z1477" i="13"/>
  <c r="DE88" i="4"/>
  <c r="AV288" i="13"/>
  <c r="Z1242" i="13"/>
  <c r="Z1440" i="13"/>
  <c r="DE63" i="4"/>
  <c r="AV263" i="13"/>
  <c r="AV268" i="13"/>
  <c r="DE68" i="4"/>
  <c r="T68" i="4"/>
  <c r="AV287" i="13"/>
  <c r="DE87" i="4"/>
  <c r="DE93" i="4"/>
  <c r="AV293" i="13"/>
  <c r="AV289" i="13"/>
  <c r="DE89" i="4"/>
  <c r="T89" i="4"/>
  <c r="Z1249" i="13"/>
  <c r="Z1447" i="13"/>
  <c r="B105" i="13"/>
  <c r="A3" i="4"/>
  <c r="C3" i="1"/>
  <c r="V3" i="69"/>
  <c r="AE3" i="72"/>
  <c r="A8" i="13"/>
  <c r="H6" i="4"/>
  <c r="DE25" i="4"/>
  <c r="AV225" i="13"/>
  <c r="AV238" i="13"/>
  <c r="DE38" i="4"/>
  <c r="H40" i="4"/>
  <c r="A42" i="13"/>
  <c r="Z1435" i="13"/>
  <c r="Z1237" i="13"/>
  <c r="AV243" i="13"/>
  <c r="DE43" i="4"/>
  <c r="AV251" i="13"/>
  <c r="DE51" i="4"/>
  <c r="DE37" i="4"/>
  <c r="AV237" i="13"/>
  <c r="A61" i="13"/>
  <c r="H59" i="4"/>
  <c r="Z1256" i="13"/>
  <c r="Z1454" i="13"/>
  <c r="H69" i="4"/>
  <c r="A71" i="13"/>
  <c r="Z1266" i="13"/>
  <c r="Z1464" i="13"/>
  <c r="H80" i="4"/>
  <c r="A82" i="13"/>
  <c r="Z1475" i="13"/>
  <c r="Z1277" i="13"/>
  <c r="H76" i="4"/>
  <c r="A78" i="13"/>
  <c r="Z1471" i="13"/>
  <c r="Z1273" i="13"/>
  <c r="H83" i="4"/>
  <c r="A85" i="13"/>
  <c r="Z1280" i="13"/>
  <c r="Z1478" i="13"/>
  <c r="H92" i="4"/>
  <c r="A94" i="13"/>
  <c r="Z1487" i="13"/>
  <c r="Z1289" i="13"/>
  <c r="AV248" i="13"/>
  <c r="DE48" i="4"/>
  <c r="AY705" i="13"/>
  <c r="AV705" i="13"/>
  <c r="S4" i="4" s="1"/>
  <c r="AX705" i="13"/>
  <c r="C4" i="1"/>
  <c r="AT4" i="4"/>
  <c r="AV606" i="13" s="1"/>
  <c r="BX4" i="4"/>
  <c r="CA4" i="4" a="1"/>
  <c r="CA4" i="4" s="1"/>
  <c r="BY4" i="4" s="1" a="1"/>
  <c r="BY4" i="4" s="1"/>
  <c r="BZ4" i="4" a="1"/>
  <c r="BZ4" i="4" s="1"/>
  <c r="BP4" i="4"/>
  <c r="G4" i="4"/>
  <c r="D58" i="4"/>
  <c r="BV58" i="4" a="1"/>
  <c r="BV58" i="4" s="1"/>
  <c r="C58" i="4"/>
  <c r="D58" i="1"/>
  <c r="A60" i="9"/>
  <c r="BW58" i="4" a="1"/>
  <c r="BW58" i="4" s="1"/>
  <c r="S90" i="22"/>
  <c r="BD58" i="4" a="1"/>
  <c r="BD58" i="4" s="1"/>
  <c r="A58" i="20"/>
  <c r="A1856" i="13"/>
  <c r="AX1057" i="13"/>
  <c r="A660" i="13"/>
  <c r="AX660" i="13"/>
  <c r="A1057" i="13"/>
  <c r="AX460" i="13"/>
  <c r="AX560" i="13"/>
  <c r="A958" i="13"/>
  <c r="AX958" i="13" s="1"/>
  <c r="A460" i="13"/>
  <c r="A160" i="13"/>
  <c r="AX60" i="13"/>
  <c r="A560" i="13"/>
  <c r="A859" i="13"/>
  <c r="AX859" i="13" s="1"/>
  <c r="A759" i="13"/>
  <c r="A1156" i="13"/>
  <c r="BA4" i="4"/>
  <c r="BA3" i="4"/>
  <c r="Z761" i="13"/>
  <c r="B162" i="13"/>
  <c r="Z662" i="13"/>
  <c r="E62" i="13"/>
  <c r="Z860" i="13"/>
  <c r="Z62" i="13"/>
  <c r="Z960" i="13"/>
  <c r="Z1059" i="13"/>
  <c r="Z262" i="13"/>
  <c r="Z1158" i="13"/>
  <c r="Z562" i="13"/>
  <c r="CO33" i="4" a="1"/>
  <c r="AF33" i="4" a="1"/>
  <c r="CG33" i="4" a="1"/>
  <c r="CK33" i="4" a="1"/>
  <c r="CS33" i="4"/>
  <c r="CE33" i="4" a="1"/>
  <c r="CV33" i="4"/>
  <c r="CD33" i="4" a="1"/>
  <c r="AC33" i="4" a="1"/>
  <c r="CL33" i="4" a="1"/>
  <c r="CC33" i="4" a="1"/>
  <c r="BO33" i="4" a="1"/>
  <c r="CM33" i="4" a="1"/>
  <c r="AN33" i="4" a="1"/>
  <c r="BQ33" i="4" a="1"/>
  <c r="CF33" i="4" a="1"/>
  <c r="CJ33" i="4"/>
  <c r="CI33" i="4" s="1" a="1"/>
  <c r="CH33" i="4" a="1"/>
  <c r="AL33" i="4" a="1"/>
  <c r="CP33" i="4" a="1"/>
  <c r="CN33" i="4" a="1"/>
  <c r="CN91" i="4" a="1"/>
  <c r="BO91" i="4" a="1"/>
  <c r="AN91" i="4" a="1"/>
  <c r="CD91" i="4" a="1"/>
  <c r="CG91" i="4" a="1"/>
  <c r="CE91" i="4" a="1"/>
  <c r="CO91" i="4" a="1"/>
  <c r="CL91" i="4" a="1"/>
  <c r="CP91" i="4" a="1"/>
  <c r="CF91" i="4" a="1"/>
  <c r="CK91" i="4" a="1"/>
  <c r="CS91" i="4"/>
  <c r="BQ91" i="4" a="1"/>
  <c r="CM91" i="4" a="1"/>
  <c r="CH91" i="4" a="1"/>
  <c r="AC91" i="4" a="1"/>
  <c r="AL91" i="4" a="1"/>
  <c r="CJ91" i="4"/>
  <c r="CC91" i="4" a="1"/>
  <c r="AF91" i="4" a="1"/>
  <c r="CV91" i="4"/>
  <c r="CD75" i="4" a="1"/>
  <c r="CN75" i="4" a="1"/>
  <c r="CL75" i="4" a="1"/>
  <c r="AC75" i="4" a="1"/>
  <c r="CF75" i="4" a="1"/>
  <c r="CM75" i="4" a="1"/>
  <c r="AL75" i="4" a="1"/>
  <c r="CJ75" i="4"/>
  <c r="AF75" i="4" a="1"/>
  <c r="CH75" i="4" a="1"/>
  <c r="CK75" i="4" a="1"/>
  <c r="CV75" i="4"/>
  <c r="CE75" i="4" a="1"/>
  <c r="BQ75" i="4" a="1"/>
  <c r="CG75" i="4" a="1"/>
  <c r="AN75" i="4" a="1"/>
  <c r="CO75" i="4" a="1"/>
  <c r="CC75" i="4" a="1"/>
  <c r="BO75" i="4" a="1"/>
  <c r="CP75" i="4" a="1"/>
  <c r="CS75" i="4"/>
  <c r="AN25" i="4" a="1"/>
  <c r="BQ25" i="4" a="1"/>
  <c r="CC25" i="4" a="1"/>
  <c r="CJ25" i="4"/>
  <c r="CI25" i="4" s="1" a="1"/>
  <c r="CL25" i="4" a="1"/>
  <c r="AC25" i="4" a="1"/>
  <c r="AL25" i="4" a="1"/>
  <c r="CK25" i="4" a="1"/>
  <c r="CM25" i="4" a="1"/>
  <c r="CD25" i="4" a="1"/>
  <c r="CE25" i="4" a="1"/>
  <c r="CS25" i="4"/>
  <c r="CH25" i="4" a="1"/>
  <c r="CO25" i="4" a="1"/>
  <c r="CP25" i="4" a="1"/>
  <c r="CN25" i="4" a="1"/>
  <c r="CF25" i="4" a="1"/>
  <c r="CV25" i="4"/>
  <c r="BO25" i="4" a="1"/>
  <c r="AF25" i="4" a="1"/>
  <c r="CG25" i="4" a="1"/>
  <c r="CM56" i="4" a="1"/>
  <c r="CG56" i="4" a="1"/>
  <c r="AN56" i="4" a="1"/>
  <c r="CN56" i="4" a="1"/>
  <c r="CJ56" i="4"/>
  <c r="CK56" i="4" a="1"/>
  <c r="CE56" i="4" a="1"/>
  <c r="CC56" i="4" a="1"/>
  <c r="CP56" i="4" a="1"/>
  <c r="CH56" i="4" a="1"/>
  <c r="AF56" i="4" a="1"/>
  <c r="CD56" i="4" a="1"/>
  <c r="CL56" i="4" a="1"/>
  <c r="CO56" i="4" a="1"/>
  <c r="CS56" i="4"/>
  <c r="BO56" i="4" a="1"/>
  <c r="BQ56" i="4" a="1"/>
  <c r="CF56" i="4" a="1"/>
  <c r="AL56" i="4" a="1"/>
  <c r="AC56" i="4" a="1"/>
  <c r="CV56" i="4"/>
  <c r="AC40" i="4" a="1"/>
  <c r="CP40" i="4" a="1"/>
  <c r="CL40" i="4" a="1"/>
  <c r="CD40" i="4" a="1"/>
  <c r="CV40" i="4"/>
  <c r="AL40" i="4" a="1"/>
  <c r="CE40" i="4" a="1"/>
  <c r="CN40" i="4" a="1"/>
  <c r="AN40" i="4" a="1"/>
  <c r="CK40" i="4" a="1"/>
  <c r="CO40" i="4" a="1"/>
  <c r="AF40" i="4" a="1"/>
  <c r="CJ40" i="4"/>
  <c r="CF40" i="4" a="1"/>
  <c r="CC40" i="4" a="1"/>
  <c r="CM40" i="4" a="1"/>
  <c r="CH40" i="4" a="1"/>
  <c r="BQ40" i="4" a="1"/>
  <c r="CS40" i="4"/>
  <c r="CG40" i="4" a="1"/>
  <c r="BO40" i="4" a="1"/>
  <c r="B58" i="1" a="1"/>
  <c r="AP58" i="4" a="1"/>
  <c r="AO58" i="4" a="1"/>
  <c r="AN11" i="4" a="1"/>
  <c r="CG11" i="4" a="1"/>
  <c r="CV11" i="4"/>
  <c r="CK11" i="4" a="1"/>
  <c r="AL11" i="4" a="1"/>
  <c r="CE11" i="4" a="1"/>
  <c r="CS11" i="4"/>
  <c r="CO11" i="4" a="1"/>
  <c r="CM11" i="4" a="1"/>
  <c r="CF11" i="4" a="1"/>
  <c r="AC11" i="4" a="1"/>
  <c r="CJ11" i="4"/>
  <c r="CI11" i="4" s="1" a="1"/>
  <c r="CH11" i="4" a="1"/>
  <c r="BQ11" i="4" a="1"/>
  <c r="AF11" i="4" a="1"/>
  <c r="BO11" i="4" a="1"/>
  <c r="CL11" i="4" a="1"/>
  <c r="CP11" i="4" a="1"/>
  <c r="CD11" i="4" a="1"/>
  <c r="CC11" i="4" a="1"/>
  <c r="CN11" i="4" a="1"/>
  <c r="CH74" i="4" a="1"/>
  <c r="CD74" i="4" a="1"/>
  <c r="CC74" i="4" a="1"/>
  <c r="CP74" i="4" a="1"/>
  <c r="CV74" i="4"/>
  <c r="CN74" i="4" a="1"/>
  <c r="CS74" i="4"/>
  <c r="CE74" i="4" a="1"/>
  <c r="CM74" i="4" a="1"/>
  <c r="CO74" i="4" a="1"/>
  <c r="AL74" i="4" a="1"/>
  <c r="BQ74" i="4" a="1"/>
  <c r="AN74" i="4" a="1"/>
  <c r="CF74" i="4" a="1"/>
  <c r="AF74" i="4" a="1"/>
  <c r="CL74" i="4" a="1"/>
  <c r="CK74" i="4" a="1"/>
  <c r="CG74" i="4" a="1"/>
  <c r="AC74" i="4" a="1"/>
  <c r="BO74" i="4" a="1"/>
  <c r="CJ74" i="4"/>
  <c r="CI74" i="4" s="1" a="1"/>
  <c r="CM54" i="4" a="1"/>
  <c r="CV54" i="4"/>
  <c r="CS54" i="4"/>
  <c r="AC54" i="4" a="1"/>
  <c r="CN54" i="4" a="1"/>
  <c r="AL54" i="4" a="1"/>
  <c r="CC54" i="4" a="1"/>
  <c r="BQ54" i="4" a="1"/>
  <c r="CD54" i="4" a="1"/>
  <c r="AF54" i="4" a="1"/>
  <c r="CP54" i="4" a="1"/>
  <c r="CL54" i="4" a="1"/>
  <c r="BO54" i="4" a="1"/>
  <c r="CF54" i="4" a="1"/>
  <c r="CE54" i="4" a="1"/>
  <c r="CO54" i="4" a="1"/>
  <c r="CG54" i="4" a="1"/>
  <c r="CH54" i="4" a="1"/>
  <c r="CK54" i="4" a="1"/>
  <c r="AN54" i="4" a="1"/>
  <c r="CJ54" i="4"/>
  <c r="CI54" i="4" s="1" a="1"/>
  <c r="CE86" i="4" a="1"/>
  <c r="CN86" i="4" a="1"/>
  <c r="AC86" i="4" a="1"/>
  <c r="CV86" i="4"/>
  <c r="BQ86" i="4" a="1"/>
  <c r="BO86" i="4" a="1"/>
  <c r="CD86" i="4" a="1"/>
  <c r="CO86" i="4" a="1"/>
  <c r="CH86" i="4" a="1"/>
  <c r="CS86" i="4"/>
  <c r="CF86" i="4" a="1"/>
  <c r="CK86" i="4" a="1"/>
  <c r="AF86" i="4" a="1"/>
  <c r="CG86" i="4" a="1"/>
  <c r="CJ86" i="4"/>
  <c r="CC86" i="4" a="1"/>
  <c r="CP86" i="4" a="1"/>
  <c r="CM86" i="4" a="1"/>
  <c r="AN86" i="4" a="1"/>
  <c r="AL86" i="4" a="1"/>
  <c r="CL86" i="4" a="1"/>
  <c r="CO24" i="4" a="1"/>
  <c r="BQ24" i="4" a="1"/>
  <c r="CE24" i="4" a="1"/>
  <c r="CL24" i="4" a="1"/>
  <c r="AL24" i="4" a="1"/>
  <c r="CC24" i="4" a="1"/>
  <c r="AF24" i="4" a="1"/>
  <c r="CM24" i="4" a="1"/>
  <c r="AC24" i="4" a="1"/>
  <c r="CP24" i="4" a="1"/>
  <c r="CK24" i="4" a="1"/>
  <c r="CJ24" i="4"/>
  <c r="CI24" i="4" s="1" a="1"/>
  <c r="CS24" i="4"/>
  <c r="CH24" i="4" a="1"/>
  <c r="CV24" i="4"/>
  <c r="BO24" i="4" a="1"/>
  <c r="CG24" i="4" a="1"/>
  <c r="CF24" i="4" a="1"/>
  <c r="CN24" i="4" a="1"/>
  <c r="CD24" i="4" a="1"/>
  <c r="AN24" i="4" a="1"/>
  <c r="CF77" i="4" a="1"/>
  <c r="CE77" i="4" a="1"/>
  <c r="CJ77" i="4"/>
  <c r="CI77" i="4" s="1" a="1"/>
  <c r="CL77" i="4" a="1"/>
  <c r="CS77" i="4"/>
  <c r="CK77" i="4" a="1"/>
  <c r="BQ77" i="4" a="1"/>
  <c r="BO77" i="4" a="1"/>
  <c r="AC77" i="4" a="1"/>
  <c r="CD77" i="4" a="1"/>
  <c r="CC77" i="4" a="1"/>
  <c r="CN77" i="4" a="1"/>
  <c r="CM77" i="4" a="1"/>
  <c r="CO77" i="4" a="1"/>
  <c r="CG77" i="4" a="1"/>
  <c r="AN77" i="4" a="1"/>
  <c r="CH77" i="4" a="1"/>
  <c r="AF77" i="4" a="1"/>
  <c r="CP77" i="4" a="1"/>
  <c r="AL77" i="4" a="1"/>
  <c r="CV77" i="4"/>
  <c r="AH58" i="4" a="1"/>
  <c r="AG58" i="4" a="1"/>
  <c r="AC52" i="4" a="1"/>
  <c r="AL52" i="4" a="1"/>
  <c r="CG52" i="4" a="1"/>
  <c r="CO52" i="4" a="1"/>
  <c r="CC52" i="4" a="1"/>
  <c r="CL52" i="4" a="1"/>
  <c r="CS52" i="4"/>
  <c r="CN52" i="4" a="1"/>
  <c r="CJ52" i="4"/>
  <c r="CV52" i="4"/>
  <c r="AN52" i="4" a="1"/>
  <c r="AF52" i="4" a="1"/>
  <c r="BQ52" i="4" a="1"/>
  <c r="CF52" i="4" a="1"/>
  <c r="CM52" i="4" a="1"/>
  <c r="CE52" i="4" a="1"/>
  <c r="CP52" i="4" a="1"/>
  <c r="CK52" i="4" a="1"/>
  <c r="CH52" i="4" a="1"/>
  <c r="BO52" i="4" a="1"/>
  <c r="CD52" i="4" a="1"/>
  <c r="AN28" i="4" a="1"/>
  <c r="CF28" i="4" a="1"/>
  <c r="CN28" i="4" a="1"/>
  <c r="AC28" i="4" a="1"/>
  <c r="CP28" i="4" a="1"/>
  <c r="CL28" i="4" a="1"/>
  <c r="AF28" i="4" a="1"/>
  <c r="CD28" i="4" a="1"/>
  <c r="CV28" i="4"/>
  <c r="CS28" i="4"/>
  <c r="CC28" i="4" a="1"/>
  <c r="CJ28" i="4"/>
  <c r="CI28" i="4" s="1" a="1"/>
  <c r="CK28" i="4" a="1"/>
  <c r="CO28" i="4" a="1"/>
  <c r="AL28" i="4" a="1"/>
  <c r="BQ28" i="4" a="1"/>
  <c r="CE28" i="4" a="1"/>
  <c r="CM28" i="4" a="1"/>
  <c r="CG28" i="4" a="1"/>
  <c r="CH28" i="4" a="1"/>
  <c r="BO28" i="4" a="1"/>
  <c r="AF62" i="4" a="1"/>
  <c r="CV62" i="4"/>
  <c r="CJ62" i="4"/>
  <c r="CI62" i="4" s="1" a="1"/>
  <c r="CO62" i="4" a="1"/>
  <c r="AC62" i="4" a="1"/>
  <c r="BO62" i="4" a="1"/>
  <c r="CE62" i="4" a="1"/>
  <c r="CL62" i="4" a="1"/>
  <c r="CF62" i="4" a="1"/>
  <c r="CH62" i="4" a="1"/>
  <c r="CC62" i="4" a="1"/>
  <c r="AN62" i="4" a="1"/>
  <c r="CM62" i="4" a="1"/>
  <c r="BQ62" i="4" a="1"/>
  <c r="CD62" i="4" a="1"/>
  <c r="CN62" i="4" a="1"/>
  <c r="CP62" i="4" a="1"/>
  <c r="CS62" i="4"/>
  <c r="CG62" i="4" a="1"/>
  <c r="CK62" i="4" a="1"/>
  <c r="AL62" i="4" a="1"/>
  <c r="AF63" i="4" a="1"/>
  <c r="CK63" i="4" a="1"/>
  <c r="BO63" i="4" a="1"/>
  <c r="CL63" i="4" a="1"/>
  <c r="CH63" i="4" a="1"/>
  <c r="CE63" i="4" a="1"/>
  <c r="AC63" i="4" a="1"/>
  <c r="CF63" i="4" a="1"/>
  <c r="CS63" i="4"/>
  <c r="CO63" i="4" a="1"/>
  <c r="CN63" i="4" a="1"/>
  <c r="AL63" i="4" a="1"/>
  <c r="BQ63" i="4" a="1"/>
  <c r="CJ63" i="4"/>
  <c r="CC63" i="4" a="1"/>
  <c r="CG63" i="4" a="1"/>
  <c r="CV63" i="4"/>
  <c r="AN63" i="4" a="1"/>
  <c r="CD63" i="4" a="1"/>
  <c r="CM63" i="4" a="1"/>
  <c r="CP63" i="4" a="1"/>
  <c r="CF35" i="4" a="1"/>
  <c r="CC35" i="4" a="1"/>
  <c r="CP35" i="4" a="1"/>
  <c r="CH35" i="4" a="1"/>
  <c r="CK35" i="4" a="1"/>
  <c r="AN35" i="4" a="1"/>
  <c r="CM35" i="4" a="1"/>
  <c r="CJ35" i="4"/>
  <c r="CI35" i="4" s="1" a="1"/>
  <c r="CO35" i="4" a="1"/>
  <c r="BQ35" i="4" a="1"/>
  <c r="BO35" i="4" a="1"/>
  <c r="CV35" i="4"/>
  <c r="AC35" i="4" a="1"/>
  <c r="CS35" i="4"/>
  <c r="CG35" i="4" a="1"/>
  <c r="CN35" i="4" a="1"/>
  <c r="CL35" i="4" a="1"/>
  <c r="AF35" i="4" a="1"/>
  <c r="AL35" i="4" a="1"/>
  <c r="CE35" i="4" a="1"/>
  <c r="CD35" i="4" a="1"/>
  <c r="CV46" i="4"/>
  <c r="AL46" i="4" a="1"/>
  <c r="AC46" i="4" a="1"/>
  <c r="CN46" i="4" a="1"/>
  <c r="CK46" i="4" a="1"/>
  <c r="CO46" i="4" a="1"/>
  <c r="CL46" i="4" a="1"/>
  <c r="CM46" i="4" a="1"/>
  <c r="AF46" i="4" a="1"/>
  <c r="CG46" i="4" a="1"/>
  <c r="CE46" i="4" a="1"/>
  <c r="BO46" i="4" a="1"/>
  <c r="BQ46" i="4" a="1"/>
  <c r="CJ46" i="4"/>
  <c r="CI46" i="4" s="1" a="1"/>
  <c r="CC46" i="4" a="1"/>
  <c r="CS46" i="4"/>
  <c r="CF46" i="4" a="1"/>
  <c r="CH46" i="4" a="1"/>
  <c r="CP46" i="4" a="1"/>
  <c r="CD46" i="4" a="1"/>
  <c r="AN46" i="4" a="1"/>
  <c r="CJ65" i="4"/>
  <c r="CI65" i="4" s="1" a="1"/>
  <c r="BO65" i="4" a="1"/>
  <c r="AL65" i="4" a="1"/>
  <c r="CH65" i="4" a="1"/>
  <c r="CD65" i="4" a="1"/>
  <c r="CO65" i="4" a="1"/>
  <c r="CV65" i="4"/>
  <c r="AC65" i="4" a="1"/>
  <c r="BQ65" i="4" a="1"/>
  <c r="CE65" i="4" a="1"/>
  <c r="CP65" i="4" a="1"/>
  <c r="CN65" i="4" a="1"/>
  <c r="CG65" i="4" a="1"/>
  <c r="CM65" i="4" a="1"/>
  <c r="AF65" i="4" a="1"/>
  <c r="CK65" i="4" a="1"/>
  <c r="CS65" i="4"/>
  <c r="CC65" i="4" a="1"/>
  <c r="AN65" i="4" a="1"/>
  <c r="CF65" i="4" a="1"/>
  <c r="CL65" i="4" a="1"/>
  <c r="CM31" i="4" a="1"/>
  <c r="AL31" i="4" a="1"/>
  <c r="AC31" i="4" a="1"/>
  <c r="BQ31" i="4" a="1"/>
  <c r="CE31" i="4" a="1"/>
  <c r="CK31" i="4" a="1"/>
  <c r="CL31" i="4" a="1"/>
  <c r="CH31" i="4" a="1"/>
  <c r="AN31" i="4" a="1"/>
  <c r="CD31" i="4" a="1"/>
  <c r="CN31" i="4" a="1"/>
  <c r="CJ31" i="4"/>
  <c r="CI31" i="4" s="1" a="1"/>
  <c r="CO31" i="4" a="1"/>
  <c r="CS31" i="4"/>
  <c r="CC31" i="4" a="1"/>
  <c r="BO31" i="4" a="1"/>
  <c r="CV31" i="4"/>
  <c r="CG31" i="4" a="1"/>
  <c r="AF31" i="4" a="1"/>
  <c r="CP31" i="4" a="1"/>
  <c r="CF31" i="4" a="1"/>
  <c r="CH47" i="4" a="1"/>
  <c r="CC47" i="4" a="1"/>
  <c r="BO47" i="4" a="1"/>
  <c r="CV47" i="4"/>
  <c r="AF47" i="4" a="1"/>
  <c r="AC47" i="4" a="1"/>
  <c r="CO47" i="4" a="1"/>
  <c r="CN47" i="4" a="1"/>
  <c r="CF47" i="4" a="1"/>
  <c r="AN47" i="4" a="1"/>
  <c r="BQ47" i="4" a="1"/>
  <c r="CE47" i="4" a="1"/>
  <c r="CL47" i="4" a="1"/>
  <c r="CG47" i="4" a="1"/>
  <c r="CS47" i="4"/>
  <c r="AL47" i="4" a="1"/>
  <c r="CD47" i="4" a="1"/>
  <c r="CK47" i="4" a="1"/>
  <c r="CM47" i="4" a="1"/>
  <c r="CP47" i="4" a="1"/>
  <c r="CJ47" i="4"/>
  <c r="CI47" i="4" s="1" a="1"/>
  <c r="CL44" i="4" a="1"/>
  <c r="AC44" i="4" a="1"/>
  <c r="BQ44" i="4" a="1"/>
  <c r="CM44" i="4" a="1"/>
  <c r="CP44" i="4" a="1"/>
  <c r="CG44" i="4" a="1"/>
  <c r="CH44" i="4" a="1"/>
  <c r="CV44" i="4"/>
  <c r="CK44" i="4" a="1"/>
  <c r="AN44" i="4" a="1"/>
  <c r="CE44" i="4" a="1"/>
  <c r="BO44" i="4" a="1"/>
  <c r="AF44" i="4" a="1"/>
  <c r="CN44" i="4" a="1"/>
  <c r="CJ44" i="4"/>
  <c r="CI44" i="4" s="1" a="1"/>
  <c r="CS44" i="4"/>
  <c r="AL44" i="4" a="1"/>
  <c r="CC44" i="4" a="1"/>
  <c r="CO44" i="4" a="1"/>
  <c r="CD44" i="4" a="1"/>
  <c r="CF44" i="4" a="1"/>
  <c r="CL69" i="4" a="1"/>
  <c r="CN69" i="4" a="1"/>
  <c r="AL69" i="4" a="1"/>
  <c r="CS69" i="4"/>
  <c r="AN69" i="4" a="1"/>
  <c r="CK69" i="4" a="1"/>
  <c r="CJ69" i="4"/>
  <c r="CI69" i="4" s="1" a="1"/>
  <c r="CE69" i="4" a="1"/>
  <c r="CP69" i="4" a="1"/>
  <c r="CO69" i="4" a="1"/>
  <c r="CM69" i="4" a="1"/>
  <c r="CC69" i="4" a="1"/>
  <c r="BO69" i="4" a="1"/>
  <c r="AC69" i="4" a="1"/>
  <c r="CG69" i="4" a="1"/>
  <c r="CD69" i="4" a="1"/>
  <c r="CF69" i="4" a="1"/>
  <c r="BQ69" i="4" a="1"/>
  <c r="CH69" i="4" a="1"/>
  <c r="CV69" i="4"/>
  <c r="AF69" i="4" a="1"/>
  <c r="AL83" i="4" a="1"/>
  <c r="CN83" i="4" a="1"/>
  <c r="CE83" i="4" a="1"/>
  <c r="CJ83" i="4"/>
  <c r="CI83" i="4" s="1" a="1"/>
  <c r="AC83" i="4" a="1"/>
  <c r="CG83" i="4" a="1"/>
  <c r="CK83" i="4" a="1"/>
  <c r="CD83" i="4" a="1"/>
  <c r="CC83" i="4" a="1"/>
  <c r="BQ83" i="4" a="1"/>
  <c r="CS83" i="4"/>
  <c r="CL83" i="4" a="1"/>
  <c r="BO83" i="4" a="1"/>
  <c r="CP83" i="4" a="1"/>
  <c r="CF83" i="4" a="1"/>
  <c r="AN83" i="4" a="1"/>
  <c r="CV83" i="4"/>
  <c r="AF83" i="4" a="1"/>
  <c r="CH83" i="4" a="1"/>
  <c r="CM83" i="4" a="1"/>
  <c r="CO83" i="4" a="1"/>
  <c r="AF41" i="4" a="1"/>
  <c r="CC41" i="4" a="1"/>
  <c r="BQ41" i="4" a="1"/>
  <c r="BO41" i="4" a="1"/>
  <c r="AL41" i="4" a="1"/>
  <c r="CG41" i="4" a="1"/>
  <c r="CF41" i="4" a="1"/>
  <c r="CP41" i="4" a="1"/>
  <c r="CE41" i="4" a="1"/>
  <c r="CN41" i="4" a="1"/>
  <c r="CD41" i="4" a="1"/>
  <c r="AC41" i="4" a="1"/>
  <c r="CS41" i="4"/>
  <c r="AN41" i="4" a="1"/>
  <c r="CM41" i="4" a="1"/>
  <c r="CV41" i="4"/>
  <c r="CH41" i="4" a="1"/>
  <c r="CL41" i="4" a="1"/>
  <c r="CO41" i="4" a="1"/>
  <c r="CJ41" i="4"/>
  <c r="CK41" i="4" a="1"/>
  <c r="AL12" i="4" a="1"/>
  <c r="AC12" i="4" a="1"/>
  <c r="CC12" i="4" a="1"/>
  <c r="CK12" i="4" a="1"/>
  <c r="CP12" i="4" a="1"/>
  <c r="BQ12" i="4" a="1"/>
  <c r="BO12" i="4" a="1"/>
  <c r="CF12" i="4" a="1"/>
  <c r="CS12" i="4"/>
  <c r="CV12" i="4"/>
  <c r="CO12" i="4" a="1"/>
  <c r="CH12" i="4" a="1"/>
  <c r="CL12" i="4" a="1"/>
  <c r="CJ12" i="4"/>
  <c r="AF12" i="4" a="1"/>
  <c r="CG12" i="4" a="1"/>
  <c r="AN12" i="4" a="1"/>
  <c r="CM12" i="4" a="1"/>
  <c r="CD12" i="4" a="1"/>
  <c r="CE12" i="4" a="1"/>
  <c r="CN12" i="4" a="1"/>
  <c r="CF13" i="4" a="1"/>
  <c r="CN13" i="4" a="1"/>
  <c r="AL13" i="4" a="1"/>
  <c r="BQ13" i="4" a="1"/>
  <c r="BO13" i="4" a="1"/>
  <c r="CK13" i="4" a="1"/>
  <c r="CP13" i="4" a="1"/>
  <c r="CD13" i="4" a="1"/>
  <c r="CM13" i="4" a="1"/>
  <c r="CH13" i="4" a="1"/>
  <c r="CC13" i="4" a="1"/>
  <c r="CS13" i="4"/>
  <c r="AF13" i="4" a="1"/>
  <c r="CE13" i="4" a="1"/>
  <c r="CL13" i="4" a="1"/>
  <c r="AC13" i="4" a="1"/>
  <c r="CJ13" i="4"/>
  <c r="CI13" i="4" s="1" a="1"/>
  <c r="CO13" i="4" a="1"/>
  <c r="CG13" i="4" a="1"/>
  <c r="CV13" i="4"/>
  <c r="AN13" i="4" a="1"/>
  <c r="CO87" i="4" a="1"/>
  <c r="CJ87" i="4"/>
  <c r="CI87" i="4" s="1" a="1"/>
  <c r="CE87" i="4" a="1"/>
  <c r="AN87" i="4" a="1"/>
  <c r="CH87" i="4" a="1"/>
  <c r="BO87" i="4" a="1"/>
  <c r="CN87" i="4" a="1"/>
  <c r="CS87" i="4"/>
  <c r="AC87" i="4" a="1"/>
  <c r="BQ87" i="4" a="1"/>
  <c r="CF87" i="4" a="1"/>
  <c r="CP87" i="4" a="1"/>
  <c r="CM87" i="4" a="1"/>
  <c r="AL87" i="4" a="1"/>
  <c r="CC87" i="4" a="1"/>
  <c r="AF87" i="4" a="1"/>
  <c r="CG87" i="4" a="1"/>
  <c r="CK87" i="4" a="1"/>
  <c r="CV87" i="4"/>
  <c r="CL87" i="4" a="1"/>
  <c r="CD87" i="4" a="1"/>
  <c r="AC49" i="4" a="1"/>
  <c r="CL49" i="4" a="1"/>
  <c r="CC49" i="4" a="1"/>
  <c r="CM49" i="4" a="1"/>
  <c r="AL49" i="4" a="1"/>
  <c r="CJ49" i="4"/>
  <c r="CI49" i="4" s="1" a="1"/>
  <c r="AN49" i="4" a="1"/>
  <c r="CF49" i="4" a="1"/>
  <c r="CV49" i="4"/>
  <c r="AF49" i="4" a="1"/>
  <c r="CE49" i="4" a="1"/>
  <c r="CS49" i="4"/>
  <c r="BO49" i="4" a="1"/>
  <c r="BQ49" i="4" a="1"/>
  <c r="CG49" i="4" a="1"/>
  <c r="CP49" i="4" a="1"/>
  <c r="CK49" i="4" a="1"/>
  <c r="CN49" i="4" a="1"/>
  <c r="CO49" i="4" a="1"/>
  <c r="CD49" i="4" a="1"/>
  <c r="CH49" i="4" a="1"/>
  <c r="CP14" i="4" a="1"/>
  <c r="AF14" i="4" a="1"/>
  <c r="CE14" i="4" a="1"/>
  <c r="CM14" i="4" a="1"/>
  <c r="CG14" i="4" a="1"/>
  <c r="CV14" i="4"/>
  <c r="CD14" i="4" a="1"/>
  <c r="AN14" i="4" a="1"/>
  <c r="AC14" i="4" a="1"/>
  <c r="CS14" i="4"/>
  <c r="CC14" i="4" a="1"/>
  <c r="CH14" i="4" a="1"/>
  <c r="AL14" i="4" a="1"/>
  <c r="BO14" i="4" a="1"/>
  <c r="CF14" i="4" a="1"/>
  <c r="CN14" i="4" a="1"/>
  <c r="CL14" i="4" a="1"/>
  <c r="CO14" i="4" a="1"/>
  <c r="CK14" i="4" a="1"/>
  <c r="BQ14" i="4" a="1"/>
  <c r="CJ14" i="4"/>
  <c r="CK79" i="4" a="1"/>
  <c r="CV79" i="4"/>
  <c r="CJ79" i="4"/>
  <c r="CI79" i="4" s="1" a="1"/>
  <c r="CL79" i="4" a="1"/>
  <c r="AC79" i="4" a="1"/>
  <c r="BQ79" i="4" a="1"/>
  <c r="CS79" i="4"/>
  <c r="AN79" i="4" a="1"/>
  <c r="CO79" i="4" a="1"/>
  <c r="BO79" i="4" a="1"/>
  <c r="CH79" i="4" a="1"/>
  <c r="AF79" i="4" a="1"/>
  <c r="CG79" i="4" a="1"/>
  <c r="CN79" i="4" a="1"/>
  <c r="CF79" i="4" a="1"/>
  <c r="CD79" i="4" a="1"/>
  <c r="AL79" i="4" a="1"/>
  <c r="CC79" i="4" a="1"/>
  <c r="CM79" i="4" a="1"/>
  <c r="CE79" i="4" a="1"/>
  <c r="CP79" i="4" a="1"/>
  <c r="BO26" i="4" a="1"/>
  <c r="AL26" i="4" a="1"/>
  <c r="CH26" i="4" a="1"/>
  <c r="CS26" i="4"/>
  <c r="CM26" i="4" a="1"/>
  <c r="CE26" i="4" a="1"/>
  <c r="CD26" i="4" a="1"/>
  <c r="AC26" i="4" a="1"/>
  <c r="BQ26" i="4" a="1"/>
  <c r="CJ26" i="4"/>
  <c r="CI26" i="4" s="1" a="1"/>
  <c r="AF26" i="4" a="1"/>
  <c r="AN26" i="4" a="1"/>
  <c r="CL26" i="4" a="1"/>
  <c r="CO26" i="4" a="1"/>
  <c r="CC26" i="4" a="1"/>
  <c r="CF26" i="4" a="1"/>
  <c r="CK26" i="4" a="1"/>
  <c r="CP26" i="4" a="1"/>
  <c r="CV26" i="4"/>
  <c r="CN26" i="4" a="1"/>
  <c r="CG26" i="4" a="1"/>
  <c r="CS82" i="4"/>
  <c r="CO82" i="4" a="1"/>
  <c r="AF82" i="4" a="1"/>
  <c r="CK82" i="4" a="1"/>
  <c r="CN82" i="4" a="1"/>
  <c r="CD82" i="4" a="1"/>
  <c r="CF82" i="4" a="1"/>
  <c r="CH82" i="4" a="1"/>
  <c r="CP82" i="4" a="1"/>
  <c r="BQ82" i="4" a="1"/>
  <c r="CL82" i="4" a="1"/>
  <c r="BO82" i="4" a="1"/>
  <c r="CE82" i="4" a="1"/>
  <c r="CJ82" i="4"/>
  <c r="CI82" i="4" s="1" a="1"/>
  <c r="CC82" i="4" a="1"/>
  <c r="AN82" i="4" a="1"/>
  <c r="AC82" i="4" a="1"/>
  <c r="CM82" i="4" a="1"/>
  <c r="CG82" i="4" a="1"/>
  <c r="CV82" i="4"/>
  <c r="AL82" i="4" a="1"/>
  <c r="BO66" i="4" a="1"/>
  <c r="CE66" i="4" a="1"/>
  <c r="CD66" i="4" a="1"/>
  <c r="CF66" i="4" a="1"/>
  <c r="AN66" i="4" a="1"/>
  <c r="AL66" i="4" a="1"/>
  <c r="CS66" i="4"/>
  <c r="CK66" i="4" a="1"/>
  <c r="CC66" i="4" a="1"/>
  <c r="CL66" i="4" a="1"/>
  <c r="CH66" i="4" a="1"/>
  <c r="CV66" i="4"/>
  <c r="CJ66" i="4"/>
  <c r="CI66" i="4" s="1" a="1"/>
  <c r="AC66" i="4" a="1"/>
  <c r="AF66" i="4" a="1"/>
  <c r="CP66" i="4" a="1"/>
  <c r="CN66" i="4" a="1"/>
  <c r="CO66" i="4" a="1"/>
  <c r="CM66" i="4" a="1"/>
  <c r="BQ66" i="4" a="1"/>
  <c r="CG66" i="4" a="1"/>
  <c r="CO8" i="4" a="1"/>
  <c r="CK8" i="4" a="1"/>
  <c r="CC8" i="4" a="1"/>
  <c r="CG8" i="4" a="1"/>
  <c r="CM8" i="4" a="1"/>
  <c r="CV8" i="4"/>
  <c r="CP8" i="4" a="1"/>
  <c r="CN8" i="4" a="1"/>
  <c r="AF8" i="4" a="1"/>
  <c r="CE8" i="4" a="1"/>
  <c r="BQ8" i="4" a="1"/>
  <c r="CF8" i="4" a="1"/>
  <c r="CJ8" i="4"/>
  <c r="CI8" i="4" s="1" a="1"/>
  <c r="CL8" i="4" a="1"/>
  <c r="BO8" i="4" a="1"/>
  <c r="CH8" i="4" a="1"/>
  <c r="AN8" i="4" a="1"/>
  <c r="AC8" i="4" a="1"/>
  <c r="CD8" i="4" a="1"/>
  <c r="CS8" i="4"/>
  <c r="AL8" i="4" a="1"/>
  <c r="AC64" i="4" a="1"/>
  <c r="CN64" i="4" a="1"/>
  <c r="CL64" i="4" a="1"/>
  <c r="CD64" i="4" a="1"/>
  <c r="AN64" i="4" a="1"/>
  <c r="CV64" i="4"/>
  <c r="CJ64" i="4"/>
  <c r="CI64" i="4" s="1" a="1"/>
  <c r="CG64" i="4" a="1"/>
  <c r="CE64" i="4" a="1"/>
  <c r="BO64" i="4" a="1"/>
  <c r="CF64" i="4" a="1"/>
  <c r="AL64" i="4" a="1"/>
  <c r="CP64" i="4" a="1"/>
  <c r="CM64" i="4" a="1"/>
  <c r="CO64" i="4" a="1"/>
  <c r="CS64" i="4"/>
  <c r="CK64" i="4" a="1"/>
  <c r="AF64" i="4" a="1"/>
  <c r="CC64" i="4" a="1"/>
  <c r="BQ64" i="4" a="1"/>
  <c r="CH64" i="4" a="1"/>
  <c r="AC30" i="4" a="1"/>
  <c r="CD30" i="4" a="1"/>
  <c r="CM30" i="4" a="1"/>
  <c r="CO30" i="4" a="1"/>
  <c r="CF30" i="4" a="1"/>
  <c r="AN30" i="4" a="1"/>
  <c r="CK30" i="4" a="1"/>
  <c r="CN30" i="4" a="1"/>
  <c r="CC30" i="4" a="1"/>
  <c r="BQ30" i="4" a="1"/>
  <c r="CP30" i="4" a="1"/>
  <c r="BO30" i="4" a="1"/>
  <c r="CJ30" i="4"/>
  <c r="CI30" i="4" s="1" a="1"/>
  <c r="CH30" i="4" a="1"/>
  <c r="CL30" i="4" a="1"/>
  <c r="AF30" i="4" a="1"/>
  <c r="CE30" i="4" a="1"/>
  <c r="CG30" i="4" a="1"/>
  <c r="AL30" i="4" a="1"/>
  <c r="CV30" i="4"/>
  <c r="CS30" i="4"/>
  <c r="CE70" i="4" a="1"/>
  <c r="CD70" i="4" a="1"/>
  <c r="AN70" i="4" a="1"/>
  <c r="BQ70" i="4" a="1"/>
  <c r="CV70" i="4"/>
  <c r="BO70" i="4" a="1"/>
  <c r="AC70" i="4" a="1"/>
  <c r="CO70" i="4" a="1"/>
  <c r="CP70" i="4" a="1"/>
  <c r="CL70" i="4" a="1"/>
  <c r="CS70" i="4"/>
  <c r="CH70" i="4" a="1"/>
  <c r="CC70" i="4" a="1"/>
  <c r="CF70" i="4" a="1"/>
  <c r="CN70" i="4" a="1"/>
  <c r="CG70" i="4" a="1"/>
  <c r="AF70" i="4" a="1"/>
  <c r="AL70" i="4" a="1"/>
  <c r="CM70" i="4" a="1"/>
  <c r="CK70" i="4" a="1"/>
  <c r="CJ70" i="4"/>
  <c r="CI70" i="4" s="1" a="1"/>
  <c r="CV53" i="4"/>
  <c r="BQ53" i="4" a="1"/>
  <c r="CC53" i="4" a="1"/>
  <c r="CG53" i="4" a="1"/>
  <c r="AF53" i="4" a="1"/>
  <c r="CE53" i="4" a="1"/>
  <c r="CP53" i="4" a="1"/>
  <c r="CM53" i="4" a="1"/>
  <c r="AN53" i="4" a="1"/>
  <c r="CD53" i="4" a="1"/>
  <c r="CJ53" i="4"/>
  <c r="CI53" i="4" s="1" a="1"/>
  <c r="BO53" i="4" a="1"/>
  <c r="CO53" i="4" a="1"/>
  <c r="CK53" i="4" a="1"/>
  <c r="CS53" i="4"/>
  <c r="AL53" i="4" a="1"/>
  <c r="CN53" i="4" a="1"/>
  <c r="CL53" i="4" a="1"/>
  <c r="AC53" i="4" a="1"/>
  <c r="CH53" i="4" a="1"/>
  <c r="CF53" i="4" a="1"/>
  <c r="AN50" i="4" a="1"/>
  <c r="AC50" i="4" a="1"/>
  <c r="CS50" i="4"/>
  <c r="CE50" i="4" a="1"/>
  <c r="CH50" i="4" a="1"/>
  <c r="AF50" i="4" a="1"/>
  <c r="CJ50" i="4"/>
  <c r="CI50" i="4" s="1" a="1"/>
  <c r="CD50" i="4" a="1"/>
  <c r="BQ50" i="4" a="1"/>
  <c r="CF50" i="4" a="1"/>
  <c r="CL50" i="4" a="1"/>
  <c r="CN50" i="4" a="1"/>
  <c r="BO50" i="4" a="1"/>
  <c r="CM50" i="4" a="1"/>
  <c r="CK50" i="4" a="1"/>
  <c r="CG50" i="4" a="1"/>
  <c r="CP50" i="4" a="1"/>
  <c r="CC50" i="4" a="1"/>
  <c r="CV50" i="4"/>
  <c r="CO50" i="4" a="1"/>
  <c r="AL50" i="4" a="1"/>
  <c r="BQ34" i="4" a="1"/>
  <c r="AL34" i="4" a="1"/>
  <c r="CM34" i="4" a="1"/>
  <c r="CO34" i="4" a="1"/>
  <c r="CD34" i="4" a="1"/>
  <c r="BO34" i="4" a="1"/>
  <c r="CK34" i="4" a="1"/>
  <c r="AC34" i="4" a="1"/>
  <c r="CE34" i="4" a="1"/>
  <c r="CS34" i="4"/>
  <c r="CC34" i="4" a="1"/>
  <c r="CN34" i="4" a="1"/>
  <c r="CG34" i="4" a="1"/>
  <c r="CH34" i="4" a="1"/>
  <c r="CV34" i="4"/>
  <c r="AN34" i="4" a="1"/>
  <c r="CP34" i="4" a="1"/>
  <c r="AF34" i="4" a="1"/>
  <c r="CJ34" i="4"/>
  <c r="CI34" i="4" s="1" a="1"/>
  <c r="CL34" i="4" a="1"/>
  <c r="CF34" i="4" a="1"/>
  <c r="AF67" i="4" a="1"/>
  <c r="BO67" i="4" a="1"/>
  <c r="CO67" i="4" a="1"/>
  <c r="CH67" i="4" a="1"/>
  <c r="CP67" i="4" a="1"/>
  <c r="BQ67" i="4" a="1"/>
  <c r="CN67" i="4" a="1"/>
  <c r="CM67" i="4" a="1"/>
  <c r="CJ67" i="4"/>
  <c r="CI67" i="4" s="1" a="1"/>
  <c r="CE67" i="4" a="1"/>
  <c r="CV67" i="4"/>
  <c r="CS67" i="4"/>
  <c r="AN67" i="4" a="1"/>
  <c r="CD67" i="4" a="1"/>
  <c r="CF67" i="4" a="1"/>
  <c r="CC67" i="4" a="1"/>
  <c r="AC67" i="4" a="1"/>
  <c r="CG67" i="4" a="1"/>
  <c r="AL67" i="4" a="1"/>
  <c r="CK67" i="4" a="1"/>
  <c r="CL67" i="4" a="1"/>
  <c r="CK84" i="4" a="1"/>
  <c r="CL84" i="4" a="1"/>
  <c r="CD84" i="4" a="1"/>
  <c r="AC84" i="4" a="1"/>
  <c r="CM84" i="4" a="1"/>
  <c r="AF84" i="4" a="1"/>
  <c r="BO84" i="4" a="1"/>
  <c r="CO84" i="4" a="1"/>
  <c r="CG84" i="4" a="1"/>
  <c r="CS84" i="4"/>
  <c r="CP84" i="4" a="1"/>
  <c r="CF84" i="4" a="1"/>
  <c r="BQ84" i="4" a="1"/>
  <c r="AL84" i="4" a="1"/>
  <c r="AN84" i="4" a="1"/>
  <c r="CH84" i="4" a="1"/>
  <c r="CN84" i="4" a="1"/>
  <c r="CJ84" i="4"/>
  <c r="CV84" i="4"/>
  <c r="CE84" i="4" a="1"/>
  <c r="CC84" i="4" a="1"/>
  <c r="CF19" i="4" a="1"/>
  <c r="CE19" i="4" a="1"/>
  <c r="CH19" i="4" a="1"/>
  <c r="CN19" i="4" a="1"/>
  <c r="CP19" i="4" a="1"/>
  <c r="AL19" i="4" a="1"/>
  <c r="AN19" i="4" a="1"/>
  <c r="BQ19" i="4" a="1"/>
  <c r="CO19" i="4" a="1"/>
  <c r="CM19" i="4" a="1"/>
  <c r="CJ19" i="4"/>
  <c r="CL19" i="4" a="1"/>
  <c r="CC19" i="4" a="1"/>
  <c r="AF19" i="4" a="1"/>
  <c r="CV19" i="4"/>
  <c r="AC19" i="4" a="1"/>
  <c r="BO19" i="4" a="1"/>
  <c r="CG19" i="4" a="1"/>
  <c r="CD19" i="4" a="1"/>
  <c r="CK19" i="4" a="1"/>
  <c r="CS19" i="4"/>
  <c r="CO71" i="4" a="1"/>
  <c r="BQ71" i="4" a="1"/>
  <c r="CC71" i="4" a="1"/>
  <c r="CH71" i="4" a="1"/>
  <c r="CP71" i="4" a="1"/>
  <c r="BO71" i="4" a="1"/>
  <c r="CS71" i="4"/>
  <c r="CL71" i="4" a="1"/>
  <c r="CG71" i="4" a="1"/>
  <c r="AF71" i="4" a="1"/>
  <c r="CV71" i="4"/>
  <c r="CJ71" i="4"/>
  <c r="CI71" i="4" s="1" a="1"/>
  <c r="AL71" i="4" a="1"/>
  <c r="AC71" i="4" a="1"/>
  <c r="CN71" i="4" a="1"/>
  <c r="CF71" i="4" a="1"/>
  <c r="CD71" i="4" a="1"/>
  <c r="AN71" i="4" a="1"/>
  <c r="CE71" i="4" a="1"/>
  <c r="CK71" i="4" a="1"/>
  <c r="CM71" i="4" a="1"/>
  <c r="CD88" i="4" a="1"/>
  <c r="CE88" i="4" a="1"/>
  <c r="CV88" i="4"/>
  <c r="CC88" i="4" a="1"/>
  <c r="CL88" i="4" a="1"/>
  <c r="CS88" i="4"/>
  <c r="BO88" i="4" a="1"/>
  <c r="CF88" i="4" a="1"/>
  <c r="AN88" i="4" a="1"/>
  <c r="CH88" i="4" a="1"/>
  <c r="AC88" i="4" a="1"/>
  <c r="CN88" i="4" a="1"/>
  <c r="CG88" i="4" a="1"/>
  <c r="BQ88" i="4" a="1"/>
  <c r="CK88" i="4" a="1"/>
  <c r="CJ88" i="4"/>
  <c r="CP88" i="4" a="1"/>
  <c r="AL88" i="4" a="1"/>
  <c r="AF88" i="4" a="1"/>
  <c r="CM88" i="4" a="1"/>
  <c r="CO88" i="4" a="1"/>
  <c r="AC43" i="4" a="1"/>
  <c r="CD43" i="4" a="1"/>
  <c r="CS43" i="4"/>
  <c r="CJ43" i="4"/>
  <c r="CI43" i="4" s="1" a="1"/>
  <c r="CV43" i="4"/>
  <c r="AF43" i="4" a="1"/>
  <c r="BQ43" i="4" a="1"/>
  <c r="CL43" i="4" a="1"/>
  <c r="CG43" i="4" a="1"/>
  <c r="CK43" i="4" a="1"/>
  <c r="CE43" i="4" a="1"/>
  <c r="AN43" i="4" a="1"/>
  <c r="CH43" i="4" a="1"/>
  <c r="BO43" i="4" a="1"/>
  <c r="CF43" i="4" a="1"/>
  <c r="AL43" i="4" a="1"/>
  <c r="CP43" i="4" a="1"/>
  <c r="CC43" i="4" a="1"/>
  <c r="CM43" i="4" a="1"/>
  <c r="CN43" i="4" a="1"/>
  <c r="CO43" i="4" a="1"/>
  <c r="CE80" i="4" a="1"/>
  <c r="CH80" i="4" a="1"/>
  <c r="CM80" i="4" a="1"/>
  <c r="BO80" i="4" a="1"/>
  <c r="CJ80" i="4"/>
  <c r="CI80" i="4" s="1" a="1"/>
  <c r="CO80" i="4" a="1"/>
  <c r="CN80" i="4" a="1"/>
  <c r="CG80" i="4" a="1"/>
  <c r="AF80" i="4" a="1"/>
  <c r="CD80" i="4" a="1"/>
  <c r="CS80" i="4"/>
  <c r="CP80" i="4" a="1"/>
  <c r="AC80" i="4" a="1"/>
  <c r="CL80" i="4" a="1"/>
  <c r="BQ80" i="4" a="1"/>
  <c r="AN80" i="4" a="1"/>
  <c r="CV80" i="4"/>
  <c r="CF80" i="4" a="1"/>
  <c r="CC80" i="4" a="1"/>
  <c r="AL80" i="4" a="1"/>
  <c r="CK80" i="4" a="1"/>
  <c r="CD92" i="4" a="1"/>
  <c r="AF92" i="4" a="1"/>
  <c r="AN92" i="4" a="1"/>
  <c r="CJ92" i="4"/>
  <c r="CI92" i="4" s="1" a="1"/>
  <c r="BQ92" i="4" a="1"/>
  <c r="CS92" i="4"/>
  <c r="CN92" i="4" a="1"/>
  <c r="CE92" i="4" a="1"/>
  <c r="CO92" i="4" a="1"/>
  <c r="CH92" i="4" a="1"/>
  <c r="CP92" i="4" a="1"/>
  <c r="AL92" i="4" a="1"/>
  <c r="CC92" i="4" a="1"/>
  <c r="CM92" i="4" a="1"/>
  <c r="BO92" i="4" a="1"/>
  <c r="CF92" i="4" a="1"/>
  <c r="AC92" i="4" a="1"/>
  <c r="CL92" i="4" a="1"/>
  <c r="CG92" i="4" a="1"/>
  <c r="CK92" i="4" a="1"/>
  <c r="CV92" i="4"/>
  <c r="CM36" i="4" a="1"/>
  <c r="AF36" i="4" a="1"/>
  <c r="BO36" i="4" a="1"/>
  <c r="CK36" i="4" a="1"/>
  <c r="CJ36" i="4"/>
  <c r="CN36" i="4" a="1"/>
  <c r="CD36" i="4" a="1"/>
  <c r="AL36" i="4" a="1"/>
  <c r="CS36" i="4"/>
  <c r="CO36" i="4" a="1"/>
  <c r="CL36" i="4" a="1"/>
  <c r="CP36" i="4" a="1"/>
  <c r="CF36" i="4" a="1"/>
  <c r="CE36" i="4" a="1"/>
  <c r="AC36" i="4" a="1"/>
  <c r="CH36" i="4" a="1"/>
  <c r="CV36" i="4"/>
  <c r="AN36" i="4" a="1"/>
  <c r="BQ36" i="4" a="1"/>
  <c r="CC36" i="4" a="1"/>
  <c r="CG36" i="4" a="1"/>
  <c r="AL38" i="4" a="1"/>
  <c r="CV38" i="4"/>
  <c r="CN38" i="4" a="1"/>
  <c r="AC38" i="4" a="1"/>
  <c r="CG38" i="4" a="1"/>
  <c r="CK38" i="4" a="1"/>
  <c r="BQ38" i="4" a="1"/>
  <c r="CF38" i="4" a="1"/>
  <c r="CO38" i="4" a="1"/>
  <c r="CP38" i="4" a="1"/>
  <c r="CC38" i="4" a="1"/>
  <c r="CS38" i="4"/>
  <c r="CL38" i="4" a="1"/>
  <c r="AF38" i="4" a="1"/>
  <c r="CJ38" i="4"/>
  <c r="CI38" i="4" s="1" a="1"/>
  <c r="CH38" i="4" a="1"/>
  <c r="AN38" i="4" a="1"/>
  <c r="CD38" i="4" a="1"/>
  <c r="CM38" i="4" a="1"/>
  <c r="BO38" i="4" a="1"/>
  <c r="CE38" i="4" a="1"/>
  <c r="AN73" i="4" a="1"/>
  <c r="CG73" i="4" a="1"/>
  <c r="CJ73" i="4"/>
  <c r="CI73" i="4" s="1" a="1"/>
  <c r="AL73" i="4" a="1"/>
  <c r="CM73" i="4" a="1"/>
  <c r="CL73" i="4" a="1"/>
  <c r="CC73" i="4" a="1"/>
  <c r="BQ73" i="4" a="1"/>
  <c r="CK73" i="4" a="1"/>
  <c r="CE73" i="4" a="1"/>
  <c r="AF73" i="4" a="1"/>
  <c r="CP73" i="4" a="1"/>
  <c r="CF73" i="4" a="1"/>
  <c r="AC73" i="4" a="1"/>
  <c r="CH73" i="4" a="1"/>
  <c r="CD73" i="4" a="1"/>
  <c r="BO73" i="4" a="1"/>
  <c r="CV73" i="4"/>
  <c r="CS73" i="4"/>
  <c r="CO73" i="4" a="1"/>
  <c r="CN73" i="4" a="1"/>
  <c r="CD90" i="4" a="1"/>
  <c r="CP90" i="4" a="1"/>
  <c r="BO90" i="4" a="1"/>
  <c r="AF90" i="4" a="1"/>
  <c r="AC90" i="4" a="1"/>
  <c r="CV90" i="4"/>
  <c r="CF90" i="4" a="1"/>
  <c r="CO90" i="4" a="1"/>
  <c r="CK90" i="4" a="1"/>
  <c r="CC90" i="4" a="1"/>
  <c r="CJ90" i="4"/>
  <c r="CI90" i="4" s="1" a="1"/>
  <c r="CM90" i="4" a="1"/>
  <c r="CN90" i="4" a="1"/>
  <c r="BQ90" i="4" a="1"/>
  <c r="CH90" i="4" a="1"/>
  <c r="AL90" i="4" a="1"/>
  <c r="CG90" i="4" a="1"/>
  <c r="CS90" i="4"/>
  <c r="CL90" i="4" a="1"/>
  <c r="AN90" i="4" a="1"/>
  <c r="CE90" i="4" a="1"/>
  <c r="CV32" i="4"/>
  <c r="CC32" i="4" a="1"/>
  <c r="CO32" i="4" a="1"/>
  <c r="CS32" i="4"/>
  <c r="BO32" i="4" a="1"/>
  <c r="CL32" i="4" a="1"/>
  <c r="CJ32" i="4"/>
  <c r="CD32" i="4" a="1"/>
  <c r="AN32" i="4" a="1"/>
  <c r="CM32" i="4" a="1"/>
  <c r="AL32" i="4" a="1"/>
  <c r="CN32" i="4" a="1"/>
  <c r="CG32" i="4" a="1"/>
  <c r="AC32" i="4" a="1"/>
  <c r="CF32" i="4" a="1"/>
  <c r="CK32" i="4" a="1"/>
  <c r="CH32" i="4" a="1"/>
  <c r="CP32" i="4" a="1"/>
  <c r="CE32" i="4" a="1"/>
  <c r="BQ32" i="4" a="1"/>
  <c r="AF32" i="4" a="1"/>
  <c r="CV6" i="4"/>
  <c r="BO6" i="4" a="1"/>
  <c r="CK6" i="4" a="1"/>
  <c r="CN6" i="4" a="1"/>
  <c r="AL6" i="4" a="1"/>
  <c r="CL6" i="4" a="1"/>
  <c r="AC6" i="4" a="1"/>
  <c r="CG6" i="4" a="1"/>
  <c r="AF6" i="4" a="1"/>
  <c r="BQ6" i="4" a="1"/>
  <c r="CF6" i="4" a="1"/>
  <c r="CO6" i="4" a="1"/>
  <c r="CH6" i="4" a="1"/>
  <c r="CJ6" i="4"/>
  <c r="CI6" i="4" s="1" a="1"/>
  <c r="CC6" i="4" a="1"/>
  <c r="CD6" i="4" a="1"/>
  <c r="AN6" i="4" a="1"/>
  <c r="CS6" i="4"/>
  <c r="CM6" i="4" a="1"/>
  <c r="CE6" i="4" a="1"/>
  <c r="CP6" i="4" a="1"/>
  <c r="CJ7" i="4"/>
  <c r="CI7" i="4" s="1" a="1"/>
  <c r="AN7" i="4" a="1"/>
  <c r="CL7" i="4" a="1"/>
  <c r="CS7" i="4"/>
  <c r="CV7" i="4"/>
  <c r="AL7" i="4" a="1"/>
  <c r="CH7" i="4" a="1"/>
  <c r="CM7" i="4" a="1"/>
  <c r="CC7" i="4" a="1"/>
  <c r="AF7" i="4" a="1"/>
  <c r="CF7" i="4" a="1"/>
  <c r="CG7" i="4" a="1"/>
  <c r="BO7" i="4" a="1"/>
  <c r="CE7" i="4" a="1"/>
  <c r="CK7" i="4" a="1"/>
  <c r="CO7" i="4" a="1"/>
  <c r="AC7" i="4" a="1"/>
  <c r="CD7" i="4" a="1"/>
  <c r="CP7" i="4" a="1"/>
  <c r="CN7" i="4" a="1"/>
  <c r="BQ7" i="4" a="1"/>
  <c r="CD22" i="4" a="1"/>
  <c r="CC22" i="4" a="1"/>
  <c r="CF22" i="4" a="1"/>
  <c r="CL22" i="4" a="1"/>
  <c r="CK22" i="4" a="1"/>
  <c r="CG22" i="4" a="1"/>
  <c r="AN22" i="4" a="1"/>
  <c r="CO22" i="4" a="1"/>
  <c r="CM22" i="4" a="1"/>
  <c r="CS22" i="4"/>
  <c r="AL22" i="4" a="1"/>
  <c r="BO22" i="4" a="1"/>
  <c r="CP22" i="4" a="1"/>
  <c r="CH22" i="4" a="1"/>
  <c r="CN22" i="4" a="1"/>
  <c r="CJ22" i="4"/>
  <c r="CI22" i="4" s="1" a="1"/>
  <c r="BQ22" i="4" a="1"/>
  <c r="AF22" i="4" a="1"/>
  <c r="CV22" i="4"/>
  <c r="AC22" i="4" a="1"/>
  <c r="CE22" i="4" a="1"/>
  <c r="BQ20" i="4" a="1"/>
  <c r="BO20" i="4" a="1"/>
  <c r="CG20" i="4" a="1"/>
  <c r="CN20" i="4" a="1"/>
  <c r="CL20" i="4" a="1"/>
  <c r="CH20" i="4" a="1"/>
  <c r="CK20" i="4" a="1"/>
  <c r="CM20" i="4" a="1"/>
  <c r="AL20" i="4" a="1"/>
  <c r="AF20" i="4" a="1"/>
  <c r="CS20" i="4"/>
  <c r="AN20" i="4" a="1"/>
  <c r="CP20" i="4" a="1"/>
  <c r="AC20" i="4" a="1"/>
  <c r="CF20" i="4" a="1"/>
  <c r="CE20" i="4" a="1"/>
  <c r="CV20" i="4"/>
  <c r="CC20" i="4" a="1"/>
  <c r="CO20" i="4" a="1"/>
  <c r="CJ20" i="4"/>
  <c r="CI20" i="4" s="1" a="1"/>
  <c r="CD20" i="4" a="1"/>
  <c r="AL85" i="4" a="1"/>
  <c r="AF85" i="4" a="1"/>
  <c r="CD85" i="4" a="1"/>
  <c r="CL85" i="4" a="1"/>
  <c r="CO85" i="4" a="1"/>
  <c r="CV85" i="4"/>
  <c r="CC85" i="4" a="1"/>
  <c r="BO85" i="4" a="1"/>
  <c r="CH85" i="4" a="1"/>
  <c r="CM85" i="4" a="1"/>
  <c r="CG85" i="4" a="1"/>
  <c r="AN85" i="4" a="1"/>
  <c r="AC85" i="4" a="1"/>
  <c r="BQ85" i="4" a="1"/>
  <c r="CF85" i="4" a="1"/>
  <c r="CK85" i="4" a="1"/>
  <c r="CS85" i="4"/>
  <c r="CN85" i="4" a="1"/>
  <c r="CJ85" i="4"/>
  <c r="CI85" i="4" s="1" a="1"/>
  <c r="CP85" i="4" a="1"/>
  <c r="CE85" i="4" a="1"/>
  <c r="AN15" i="4" a="1"/>
  <c r="CK15" i="4" a="1"/>
  <c r="CM15" i="4" a="1"/>
  <c r="AL15" i="4" a="1"/>
  <c r="CG15" i="4" a="1"/>
  <c r="BQ15" i="4" a="1"/>
  <c r="CD15" i="4" a="1"/>
  <c r="AC15" i="4" a="1"/>
  <c r="AF15" i="4" a="1"/>
  <c r="CP15" i="4" a="1"/>
  <c r="CN15" i="4" a="1"/>
  <c r="CS15" i="4"/>
  <c r="CC15" i="4" a="1"/>
  <c r="CV15" i="4"/>
  <c r="CE15" i="4" a="1"/>
  <c r="CJ15" i="4"/>
  <c r="CL15" i="4" a="1"/>
  <c r="BO15" i="4" a="1"/>
  <c r="CH15" i="4" a="1"/>
  <c r="CF15" i="4" a="1"/>
  <c r="CO15" i="4" a="1"/>
  <c r="CE51" i="4" a="1"/>
  <c r="CC51" i="4" a="1"/>
  <c r="CD51" i="4" a="1"/>
  <c r="AN51" i="4" a="1"/>
  <c r="CM51" i="4" a="1"/>
  <c r="BO51" i="4" a="1"/>
  <c r="CP51" i="4" a="1"/>
  <c r="BQ51" i="4" a="1"/>
  <c r="CV51" i="4"/>
  <c r="CL51" i="4" a="1"/>
  <c r="CN51" i="4" a="1"/>
  <c r="CJ51" i="4"/>
  <c r="CF51" i="4" a="1"/>
  <c r="CO51" i="4" a="1"/>
  <c r="AF51" i="4" a="1"/>
  <c r="CS51" i="4"/>
  <c r="CH51" i="4" a="1"/>
  <c r="AC51" i="4" a="1"/>
  <c r="CG51" i="4" a="1"/>
  <c r="AL51" i="4" a="1"/>
  <c r="CK51" i="4" a="1"/>
  <c r="CF78" i="4" a="1"/>
  <c r="CL78" i="4" a="1"/>
  <c r="BQ78" i="4" a="1"/>
  <c r="CM78" i="4" a="1"/>
  <c r="CK78" i="4" a="1"/>
  <c r="BO78" i="4" a="1"/>
  <c r="CS78" i="4"/>
  <c r="CJ78" i="4"/>
  <c r="CI78" i="4" s="1" a="1"/>
  <c r="AF78" i="4" a="1"/>
  <c r="CG78" i="4" a="1"/>
  <c r="CC78" i="4" a="1"/>
  <c r="CE78" i="4" a="1"/>
  <c r="CD78" i="4" a="1"/>
  <c r="CN78" i="4" a="1"/>
  <c r="CV78" i="4"/>
  <c r="AL78" i="4" a="1"/>
  <c r="AN78" i="4" a="1"/>
  <c r="CO78" i="4" a="1"/>
  <c r="CH78" i="4" a="1"/>
  <c r="CP78" i="4" a="1"/>
  <c r="AC78" i="4" a="1"/>
  <c r="AK58" i="4" a="1"/>
  <c r="AJ58" i="4" a="1"/>
  <c r="BO89" i="4" a="1"/>
  <c r="CC89" i="4" a="1"/>
  <c r="CK89" i="4" a="1"/>
  <c r="CO89" i="4" a="1"/>
  <c r="BQ89" i="4" a="1"/>
  <c r="CV89" i="4"/>
  <c r="CP89" i="4" a="1"/>
  <c r="CS89" i="4"/>
  <c r="CJ89" i="4"/>
  <c r="CI89" i="4" s="1" a="1"/>
  <c r="CE89" i="4" a="1"/>
  <c r="CD89" i="4" a="1"/>
  <c r="CG89" i="4" a="1"/>
  <c r="AL89" i="4" a="1"/>
  <c r="AF89" i="4" a="1"/>
  <c r="CF89" i="4" a="1"/>
  <c r="AC89" i="4" a="1"/>
  <c r="CL89" i="4" a="1"/>
  <c r="CM89" i="4" a="1"/>
  <c r="CH89" i="4" a="1"/>
  <c r="CN89" i="4" a="1"/>
  <c r="AN89" i="4" a="1"/>
  <c r="AC93" i="4" a="1"/>
  <c r="CD93" i="4" a="1"/>
  <c r="CL93" i="4" a="1"/>
  <c r="CE93" i="4" a="1"/>
  <c r="CF93" i="4" a="1"/>
  <c r="CN93" i="4" a="1"/>
  <c r="CS93" i="4"/>
  <c r="CP93" i="4" a="1"/>
  <c r="AF93" i="4" a="1"/>
  <c r="BO93" i="4" a="1"/>
  <c r="CH93" i="4" a="1"/>
  <c r="CV93" i="4"/>
  <c r="CC93" i="4" a="1"/>
  <c r="CK93" i="4" a="1"/>
  <c r="CJ93" i="4"/>
  <c r="CG93" i="4" a="1"/>
  <c r="AL93" i="4" a="1"/>
  <c r="CO93" i="4" a="1"/>
  <c r="AN93" i="4" a="1"/>
  <c r="BQ93" i="4" a="1"/>
  <c r="CM93" i="4" a="1"/>
  <c r="AN27" i="4" a="1"/>
  <c r="CG27" i="4" a="1"/>
  <c r="CN27" i="4" a="1"/>
  <c r="CV27" i="4"/>
  <c r="CJ27" i="4"/>
  <c r="CI27" i="4" s="1" a="1"/>
  <c r="BQ27" i="4" a="1"/>
  <c r="BO27" i="4" a="1"/>
  <c r="AF27" i="4" a="1"/>
  <c r="AC27" i="4" a="1"/>
  <c r="CO27" i="4" a="1"/>
  <c r="CM27" i="4" a="1"/>
  <c r="CC27" i="4" a="1"/>
  <c r="CP27" i="4" a="1"/>
  <c r="CE27" i="4" a="1"/>
  <c r="CF27" i="4" a="1"/>
  <c r="CS27" i="4"/>
  <c r="CL27" i="4" a="1"/>
  <c r="CD27" i="4" a="1"/>
  <c r="CH27" i="4" a="1"/>
  <c r="CK27" i="4" a="1"/>
  <c r="AL27" i="4" a="1"/>
  <c r="BO37" i="4" a="1"/>
  <c r="CP37" i="4" a="1"/>
  <c r="CC37" i="4" a="1"/>
  <c r="CH37" i="4" a="1"/>
  <c r="CD37" i="4" a="1"/>
  <c r="AF37" i="4" a="1"/>
  <c r="BQ37" i="4" a="1"/>
  <c r="CL37" i="4" a="1"/>
  <c r="CS37" i="4"/>
  <c r="AL37" i="4" a="1"/>
  <c r="CK37" i="4" a="1"/>
  <c r="AC37" i="4" a="1"/>
  <c r="AN37" i="4" a="1"/>
  <c r="CG37" i="4" a="1"/>
  <c r="CN37" i="4" a="1"/>
  <c r="CF37" i="4" a="1"/>
  <c r="CE37" i="4" a="1"/>
  <c r="CJ37" i="4"/>
  <c r="CV37" i="4"/>
  <c r="CO37" i="4" a="1"/>
  <c r="CM37" i="4" a="1"/>
  <c r="CE16" i="4" a="1"/>
  <c r="BO16" i="4" a="1"/>
  <c r="CF16" i="4" a="1"/>
  <c r="CN16" i="4" a="1"/>
  <c r="AF16" i="4" a="1"/>
  <c r="CS16" i="4"/>
  <c r="CD16" i="4" a="1"/>
  <c r="CK16" i="4" a="1"/>
  <c r="CV16" i="4"/>
  <c r="CP16" i="4" a="1"/>
  <c r="CG16" i="4" a="1"/>
  <c r="CH16" i="4" a="1"/>
  <c r="CL16" i="4" a="1"/>
  <c r="CC16" i="4" a="1"/>
  <c r="CJ16" i="4"/>
  <c r="CI16" i="4" s="1" a="1"/>
  <c r="CM16" i="4" a="1"/>
  <c r="BQ16" i="4" a="1"/>
  <c r="CO16" i="4" a="1"/>
  <c r="AC16" i="4" a="1"/>
  <c r="AN16" i="4" a="1"/>
  <c r="AL16" i="4" a="1"/>
  <c r="CO18" i="4" a="1"/>
  <c r="CG18" i="4" a="1"/>
  <c r="CC18" i="4" a="1"/>
  <c r="BQ18" i="4" a="1"/>
  <c r="CM18" i="4" a="1"/>
  <c r="CH18" i="4" a="1"/>
  <c r="AN18" i="4" a="1"/>
  <c r="CD18" i="4" a="1"/>
  <c r="CE18" i="4" a="1"/>
  <c r="CS18" i="4"/>
  <c r="BO18" i="4" a="1"/>
  <c r="CF18" i="4" a="1"/>
  <c r="CV18" i="4"/>
  <c r="AF18" i="4" a="1"/>
  <c r="CJ18" i="4"/>
  <c r="CI18" i="4" s="1" a="1"/>
  <c r="CN18" i="4" a="1"/>
  <c r="CP18" i="4" a="1"/>
  <c r="CL18" i="4" a="1"/>
  <c r="AL18" i="4" a="1"/>
  <c r="AC18" i="4" a="1"/>
  <c r="CK18" i="4" a="1"/>
  <c r="CD21" i="4" a="1"/>
  <c r="AL21" i="4" a="1"/>
  <c r="CM21" i="4" a="1"/>
  <c r="CL21" i="4" a="1"/>
  <c r="CG21" i="4" a="1"/>
  <c r="AF21" i="4" a="1"/>
  <c r="CO21" i="4" a="1"/>
  <c r="AC21" i="4" a="1"/>
  <c r="AN21" i="4" a="1"/>
  <c r="CJ21" i="4"/>
  <c r="CI21" i="4" s="1" a="1"/>
  <c r="CH21" i="4" a="1"/>
  <c r="CC21" i="4" a="1"/>
  <c r="CS21" i="4"/>
  <c r="CE21" i="4" a="1"/>
  <c r="CN21" i="4" a="1"/>
  <c r="BO21" i="4" a="1"/>
  <c r="CF21" i="4" a="1"/>
  <c r="BQ21" i="4" a="1"/>
  <c r="CV21" i="4"/>
  <c r="CK21" i="4" a="1"/>
  <c r="CP21" i="4" a="1"/>
  <c r="CP45" i="4" a="1"/>
  <c r="CF45" i="4" a="1"/>
  <c r="CM45" i="4" a="1"/>
  <c r="CC45" i="4" a="1"/>
  <c r="CS45" i="4"/>
  <c r="CJ45" i="4"/>
  <c r="CV45" i="4"/>
  <c r="BO45" i="4" a="1"/>
  <c r="AL45" i="4" a="1"/>
  <c r="CO45" i="4" a="1"/>
  <c r="AC45" i="4" a="1"/>
  <c r="CL45" i="4" a="1"/>
  <c r="CD45" i="4" a="1"/>
  <c r="CH45" i="4" a="1"/>
  <c r="CN45" i="4" a="1"/>
  <c r="AN45" i="4" a="1"/>
  <c r="AF45" i="4" a="1"/>
  <c r="CE45" i="4" a="1"/>
  <c r="CG45" i="4" a="1"/>
  <c r="CK45" i="4" a="1"/>
  <c r="BQ45" i="4" a="1"/>
  <c r="CH39" i="4" a="1"/>
  <c r="CK39" i="4" a="1"/>
  <c r="CE39" i="4" a="1"/>
  <c r="AN39" i="4" a="1"/>
  <c r="CN39" i="4" a="1"/>
  <c r="AL39" i="4" a="1"/>
  <c r="BO39" i="4" a="1"/>
  <c r="CV39" i="4"/>
  <c r="CJ39" i="4"/>
  <c r="CI39" i="4" s="1" a="1"/>
  <c r="CM39" i="4" a="1"/>
  <c r="CP39" i="4" a="1"/>
  <c r="CL39" i="4" a="1"/>
  <c r="CF39" i="4" a="1"/>
  <c r="CS39" i="4"/>
  <c r="CD39" i="4" a="1"/>
  <c r="AF39" i="4" a="1"/>
  <c r="BQ39" i="4" a="1"/>
  <c r="CG39" i="4" a="1"/>
  <c r="AC39" i="4" a="1"/>
  <c r="CC39" i="4" a="1"/>
  <c r="CO39" i="4" a="1"/>
  <c r="BQ29" i="4" a="1"/>
  <c r="CM29" i="4" a="1"/>
  <c r="CS29" i="4"/>
  <c r="CJ29" i="4"/>
  <c r="CN29" i="4" a="1"/>
  <c r="CO29" i="4" a="1"/>
  <c r="CC29" i="4" a="1"/>
  <c r="CH29" i="4" a="1"/>
  <c r="AF29" i="4" a="1"/>
  <c r="CG29" i="4" a="1"/>
  <c r="AL29" i="4" a="1"/>
  <c r="CE29" i="4" a="1"/>
  <c r="AC29" i="4" a="1"/>
  <c r="CF29" i="4" a="1"/>
  <c r="AN29" i="4" a="1"/>
  <c r="CK29" i="4" a="1"/>
  <c r="CD29" i="4" a="1"/>
  <c r="CL29" i="4" a="1"/>
  <c r="CP29" i="4" a="1"/>
  <c r="BO29" i="4" a="1"/>
  <c r="CV29" i="4"/>
  <c r="CP48" i="4" a="1"/>
  <c r="BO48" i="4" a="1"/>
  <c r="CC48" i="4" a="1"/>
  <c r="CJ48" i="4"/>
  <c r="CD48" i="4" a="1"/>
  <c r="CO48" i="4" a="1"/>
  <c r="CK48" i="4" a="1"/>
  <c r="BQ48" i="4" a="1"/>
  <c r="CV48" i="4"/>
  <c r="CS48" i="4"/>
  <c r="CG48" i="4" a="1"/>
  <c r="CN48" i="4" a="1"/>
  <c r="CE48" i="4" a="1"/>
  <c r="AL48" i="4" a="1"/>
  <c r="CL48" i="4" a="1"/>
  <c r="AF48" i="4" a="1"/>
  <c r="CF48" i="4" a="1"/>
  <c r="CH48" i="4" a="1"/>
  <c r="AN48" i="4" a="1"/>
  <c r="CM48" i="4" a="1"/>
  <c r="AC48" i="4" a="1"/>
  <c r="CF68" i="4" a="1"/>
  <c r="BO68" i="4" a="1"/>
  <c r="CM68" i="4" a="1"/>
  <c r="CH68" i="4" a="1"/>
  <c r="CS68" i="4"/>
  <c r="AL68" i="4" a="1"/>
  <c r="CG68" i="4" a="1"/>
  <c r="AC68" i="4" a="1"/>
  <c r="CC68" i="4" a="1"/>
  <c r="CJ68" i="4"/>
  <c r="CI68" i="4" s="1" a="1"/>
  <c r="CP68" i="4" a="1"/>
  <c r="CE68" i="4" a="1"/>
  <c r="CO68" i="4" a="1"/>
  <c r="CD68" i="4" a="1"/>
  <c r="AN68" i="4" a="1"/>
  <c r="CN68" i="4" a="1"/>
  <c r="CL68" i="4" a="1"/>
  <c r="CK68" i="4" a="1"/>
  <c r="BQ68" i="4" a="1"/>
  <c r="CV68" i="4"/>
  <c r="AF68" i="4" a="1"/>
  <c r="BQ76" i="4" a="1"/>
  <c r="AF76" i="4" a="1"/>
  <c r="AC76" i="4" a="1"/>
  <c r="CD76" i="4" a="1"/>
  <c r="CH76" i="4" a="1"/>
  <c r="CM76" i="4" a="1"/>
  <c r="CE76" i="4" a="1"/>
  <c r="CF76" i="4" a="1"/>
  <c r="CV76" i="4"/>
  <c r="AL76" i="4" a="1"/>
  <c r="CS76" i="4"/>
  <c r="CJ76" i="4"/>
  <c r="CI76" i="4" s="1" a="1"/>
  <c r="CC76" i="4" a="1"/>
  <c r="CL76" i="4" a="1"/>
  <c r="CN76" i="4" a="1"/>
  <c r="CO76" i="4" a="1"/>
  <c r="CK76" i="4" a="1"/>
  <c r="AN76" i="4" a="1"/>
  <c r="BO76" i="4" a="1"/>
  <c r="CG76" i="4" a="1"/>
  <c r="CP76" i="4" a="1"/>
  <c r="AA58" i="4" a="1"/>
  <c r="AB58" i="4" a="1"/>
  <c r="CC5" i="4" a="1"/>
  <c r="CD5" i="4" a="1"/>
  <c r="CL5" i="4" a="1"/>
  <c r="CK5" i="4" a="1"/>
  <c r="CJ5" i="4"/>
  <c r="CI5" i="4" s="1" a="1"/>
  <c r="CE5" i="4" a="1"/>
  <c r="BO5" i="4" a="1"/>
  <c r="CP5" i="4" a="1"/>
  <c r="AC5" i="4" a="1"/>
  <c r="BQ5" i="4" a="1"/>
  <c r="CH5" i="4" a="1"/>
  <c r="AN5" i="4" a="1"/>
  <c r="AL5" i="4" a="1"/>
  <c r="CG5" i="4" a="1"/>
  <c r="CS5" i="4"/>
  <c r="CF5" i="4" a="1"/>
  <c r="CO5" i="4" a="1"/>
  <c r="CV5" i="4"/>
  <c r="CN5" i="4" a="1"/>
  <c r="CM5" i="4" a="1"/>
  <c r="AF5" i="4" a="1"/>
  <c r="AC61" i="4" a="1"/>
  <c r="CF61" i="4" a="1"/>
  <c r="CE61" i="4" a="1"/>
  <c r="AL61" i="4" a="1"/>
  <c r="CP61" i="4" a="1"/>
  <c r="BQ61" i="4" a="1"/>
  <c r="CS61" i="4"/>
  <c r="CH61" i="4" a="1"/>
  <c r="CV61" i="4"/>
  <c r="CJ61" i="4"/>
  <c r="CI61" i="4" s="1" a="1"/>
  <c r="AN61" i="4" a="1"/>
  <c r="CM61" i="4" a="1"/>
  <c r="AF61" i="4" a="1"/>
  <c r="CD61" i="4" a="1"/>
  <c r="CC61" i="4" a="1"/>
  <c r="CG61" i="4" a="1"/>
  <c r="CK61" i="4" a="1"/>
  <c r="CO61" i="4" a="1"/>
  <c r="CN61" i="4" a="1"/>
  <c r="BO61" i="4" a="1"/>
  <c r="CL61" i="4" a="1"/>
  <c r="CO42" i="4" a="1"/>
  <c r="CE42" i="4" a="1"/>
  <c r="BO42" i="4" a="1"/>
  <c r="CH42" i="4" a="1"/>
  <c r="AF42" i="4" a="1"/>
  <c r="CP42" i="4" a="1"/>
  <c r="AN42" i="4" a="1"/>
  <c r="CF42" i="4" a="1"/>
  <c r="CC42" i="4" a="1"/>
  <c r="CS42" i="4"/>
  <c r="CG42" i="4" a="1"/>
  <c r="CJ42" i="4"/>
  <c r="CI42" i="4" s="1" a="1"/>
  <c r="CN42" i="4" a="1"/>
  <c r="AC42" i="4" a="1"/>
  <c r="CL42" i="4" a="1"/>
  <c r="BQ42" i="4" a="1"/>
  <c r="CM42" i="4" a="1"/>
  <c r="AL42" i="4" a="1"/>
  <c r="CD42" i="4" a="1"/>
  <c r="CV42" i="4"/>
  <c r="CK42" i="4" a="1"/>
  <c r="AC17" i="4" a="1"/>
  <c r="CV17" i="4"/>
  <c r="AN17" i="4" a="1"/>
  <c r="CJ17" i="4"/>
  <c r="CI17" i="4" s="1" a="1"/>
  <c r="CG17" i="4" a="1"/>
  <c r="AF17" i="4" a="1"/>
  <c r="CO17" i="4" a="1"/>
  <c r="CH17" i="4" a="1"/>
  <c r="AL17" i="4" a="1"/>
  <c r="CC17" i="4" a="1"/>
  <c r="CP17" i="4" a="1"/>
  <c r="CK17" i="4" a="1"/>
  <c r="CN17" i="4" a="1"/>
  <c r="CM17" i="4" a="1"/>
  <c r="BO17" i="4" a="1"/>
  <c r="CD17" i="4" a="1"/>
  <c r="CF17" i="4" a="1"/>
  <c r="CL17" i="4" a="1"/>
  <c r="BQ17" i="4" a="1"/>
  <c r="CE17" i="4" a="1"/>
  <c r="CS17" i="4"/>
  <c r="AN57" i="4" a="1"/>
  <c r="CF57" i="4" a="1"/>
  <c r="AL57" i="4" a="1"/>
  <c r="CJ57" i="4"/>
  <c r="CI57" i="4" s="1" a="1"/>
  <c r="CS57" i="4"/>
  <c r="CO57" i="4" a="1"/>
  <c r="BO57" i="4" a="1"/>
  <c r="CG57" i="4" a="1"/>
  <c r="CD57" i="4" a="1"/>
  <c r="CP57" i="4" a="1"/>
  <c r="CM57" i="4" a="1"/>
  <c r="CK57" i="4" a="1"/>
  <c r="CV57" i="4"/>
  <c r="CL57" i="4" a="1"/>
  <c r="CC57" i="4" a="1"/>
  <c r="BQ57" i="4" a="1"/>
  <c r="AC57" i="4" a="1"/>
  <c r="CN57" i="4" a="1"/>
  <c r="CH57" i="4" a="1"/>
  <c r="CE57" i="4" a="1"/>
  <c r="AF57" i="4" a="1"/>
  <c r="AC72" i="4" a="1"/>
  <c r="CE72" i="4" a="1"/>
  <c r="CN72" i="4" a="1"/>
  <c r="CL72" i="4" a="1"/>
  <c r="CH72" i="4" a="1"/>
  <c r="CJ72" i="4"/>
  <c r="CI72" i="4" s="1" a="1"/>
  <c r="CO72" i="4" a="1"/>
  <c r="CP72" i="4" a="1"/>
  <c r="CM72" i="4" a="1"/>
  <c r="AF72" i="4" a="1"/>
  <c r="CC72" i="4" a="1"/>
  <c r="BQ72" i="4" a="1"/>
  <c r="CF72" i="4" a="1"/>
  <c r="CD72" i="4" a="1"/>
  <c r="AN72" i="4" a="1"/>
  <c r="CS72" i="4"/>
  <c r="CG72" i="4" a="1"/>
  <c r="AL72" i="4" a="1"/>
  <c r="BO72" i="4" a="1"/>
  <c r="CV72" i="4"/>
  <c r="CK72" i="4" a="1"/>
  <c r="CS81" i="4"/>
  <c r="AL81" i="4" a="1"/>
  <c r="CG81" i="4" a="1"/>
  <c r="CD81" i="4" a="1"/>
  <c r="CJ81" i="4"/>
  <c r="CI81" i="4" s="1" a="1"/>
  <c r="AC81" i="4" a="1"/>
  <c r="CN81" i="4" a="1"/>
  <c r="BQ81" i="4" a="1"/>
  <c r="CC81" i="4" a="1"/>
  <c r="CE81" i="4" a="1"/>
  <c r="CO81" i="4" a="1"/>
  <c r="BO81" i="4" a="1"/>
  <c r="CV81" i="4"/>
  <c r="CM81" i="4" a="1"/>
  <c r="AF81" i="4" a="1"/>
  <c r="AN81" i="4" a="1"/>
  <c r="CP81" i="4" a="1"/>
  <c r="CL81" i="4" a="1"/>
  <c r="CF81" i="4" a="1"/>
  <c r="CK81" i="4" a="1"/>
  <c r="CH81" i="4" a="1"/>
  <c r="CJ59" i="4"/>
  <c r="CI59" i="4" s="1" a="1"/>
  <c r="CG59" i="4" a="1"/>
  <c r="CM59" i="4" a="1"/>
  <c r="CN59" i="4" a="1"/>
  <c r="CO59" i="4" a="1"/>
  <c r="CP59" i="4" a="1"/>
  <c r="AC59" i="4" a="1"/>
  <c r="CE59" i="4" a="1"/>
  <c r="CH59" i="4" a="1"/>
  <c r="CK59" i="4" a="1"/>
  <c r="BQ59" i="4" a="1"/>
  <c r="BO59" i="4" a="1"/>
  <c r="CL59" i="4" a="1"/>
  <c r="CV59" i="4"/>
  <c r="AN59" i="4" a="1"/>
  <c r="CS59" i="4"/>
  <c r="AF59" i="4" a="1"/>
  <c r="AL59" i="4" a="1"/>
  <c r="CC59" i="4" a="1"/>
  <c r="CD59" i="4" a="1"/>
  <c r="CF59" i="4" a="1"/>
  <c r="CQ33" i="4" a="1"/>
  <c r="CR33" i="4" a="1"/>
  <c r="CT33" i="4" a="1"/>
  <c r="CU33" i="4" a="1"/>
  <c r="CR91" i="4" a="1"/>
  <c r="CQ91" i="4" a="1"/>
  <c r="CU91" i="4" a="1"/>
  <c r="CT91" i="4" a="1"/>
  <c r="CT75" i="4" a="1"/>
  <c r="CU75" i="4" a="1"/>
  <c r="CR75" i="4" a="1"/>
  <c r="CQ75" i="4" a="1"/>
  <c r="CR25" i="4" a="1"/>
  <c r="CQ25" i="4" a="1"/>
  <c r="CU25" i="4" a="1"/>
  <c r="CT25" i="4" a="1"/>
  <c r="CR56" i="4" a="1"/>
  <c r="CQ56" i="4" a="1"/>
  <c r="CT56" i="4" a="1"/>
  <c r="CU56" i="4" a="1"/>
  <c r="CU40" i="4" a="1"/>
  <c r="CT40" i="4" a="1"/>
  <c r="CQ40" i="4" a="1"/>
  <c r="CR40" i="4" a="1"/>
  <c r="CT11" i="4" a="1"/>
  <c r="CU11" i="4" a="1"/>
  <c r="CR11" i="4" a="1"/>
  <c r="CQ11" i="4" a="1"/>
  <c r="CT74" i="4" a="1"/>
  <c r="CU74" i="4" a="1"/>
  <c r="CQ74" i="4" a="1"/>
  <c r="CR74" i="4" a="1"/>
  <c r="CT54" i="4" a="1"/>
  <c r="CU54" i="4" a="1"/>
  <c r="CR54" i="4" a="1"/>
  <c r="CQ54" i="4" a="1"/>
  <c r="CT86" i="4" a="1"/>
  <c r="CU86" i="4" a="1"/>
  <c r="CQ86" i="4" a="1"/>
  <c r="CR86" i="4" a="1"/>
  <c r="CR24" i="4" a="1"/>
  <c r="CQ24" i="4" a="1"/>
  <c r="CU24" i="4" a="1"/>
  <c r="CT24" i="4" a="1"/>
  <c r="CQ77" i="4" a="1"/>
  <c r="CR77" i="4" a="1"/>
  <c r="CT77" i="4" a="1"/>
  <c r="CU77" i="4" a="1"/>
  <c r="CR52" i="4" a="1"/>
  <c r="CQ52" i="4" a="1"/>
  <c r="CT52" i="4" a="1"/>
  <c r="CU52" i="4" a="1"/>
  <c r="CT28" i="4" a="1"/>
  <c r="CU28" i="4" a="1"/>
  <c r="CR28" i="4" a="1"/>
  <c r="CQ28" i="4" a="1"/>
  <c r="CT62" i="4" a="1"/>
  <c r="CU62" i="4" a="1"/>
  <c r="CR62" i="4" a="1"/>
  <c r="CQ62" i="4" a="1"/>
  <c r="CR63" i="4" a="1"/>
  <c r="CQ63" i="4" a="1"/>
  <c r="CT63" i="4" a="1"/>
  <c r="CU63" i="4" a="1"/>
  <c r="CU35" i="4" a="1"/>
  <c r="CT35" i="4" a="1"/>
  <c r="CQ35" i="4" a="1"/>
  <c r="CR35" i="4" a="1"/>
  <c r="CU46" i="4" a="1"/>
  <c r="CT46" i="4" a="1"/>
  <c r="CR46" i="4" a="1"/>
  <c r="CQ46" i="4" a="1"/>
  <c r="CU65" i="4" a="1"/>
  <c r="CT65" i="4" a="1"/>
  <c r="CQ65" i="4" a="1"/>
  <c r="CR65" i="4" a="1"/>
  <c r="CQ31" i="4" a="1"/>
  <c r="CR31" i="4" a="1"/>
  <c r="CT31" i="4" a="1"/>
  <c r="CU31" i="4" a="1"/>
  <c r="CT47" i="4" a="1"/>
  <c r="CU47" i="4" a="1"/>
  <c r="CR47" i="4" a="1"/>
  <c r="CQ47" i="4" a="1"/>
  <c r="CT44" i="4" a="1"/>
  <c r="CU44" i="4" a="1"/>
  <c r="CR44" i="4" a="1"/>
  <c r="CQ44" i="4" a="1"/>
  <c r="CR69" i="4" a="1"/>
  <c r="CQ69" i="4" a="1"/>
  <c r="CT69" i="4" a="1"/>
  <c r="CU69" i="4" a="1"/>
  <c r="CR83" i="4" a="1"/>
  <c r="CQ83" i="4" a="1"/>
  <c r="CU83" i="4" a="1"/>
  <c r="CT83" i="4" a="1"/>
  <c r="CQ41" i="4" a="1"/>
  <c r="CR41" i="4" a="1"/>
  <c r="CT41" i="4" a="1"/>
  <c r="CU41" i="4" a="1"/>
  <c r="CQ12" i="4" a="1"/>
  <c r="CR12" i="4" a="1"/>
  <c r="CU12" i="4" a="1"/>
  <c r="CT12" i="4" a="1"/>
  <c r="CQ13" i="4" a="1"/>
  <c r="CR13" i="4" a="1"/>
  <c r="CU13" i="4" a="1"/>
  <c r="CT13" i="4" a="1"/>
  <c r="CQ87" i="4" a="1"/>
  <c r="CR87" i="4" a="1"/>
  <c r="CT87" i="4" a="1"/>
  <c r="CU87" i="4" a="1"/>
  <c r="CT49" i="4" a="1"/>
  <c r="CU49" i="4" a="1"/>
  <c r="CQ49" i="4" a="1"/>
  <c r="CR49" i="4" a="1"/>
  <c r="CT14" i="4" a="1"/>
  <c r="CU14" i="4" a="1"/>
  <c r="CR14" i="4" a="1"/>
  <c r="CQ14" i="4" a="1"/>
  <c r="CU79" i="4" a="1"/>
  <c r="CT79" i="4" a="1"/>
  <c r="CQ79" i="4" a="1"/>
  <c r="CR79" i="4" a="1"/>
  <c r="CQ26" i="4" a="1"/>
  <c r="CR26" i="4" a="1"/>
  <c r="CT26" i="4" a="1"/>
  <c r="CU26" i="4" a="1"/>
  <c r="CQ82" i="4" a="1"/>
  <c r="CR82" i="4" a="1"/>
  <c r="CU82" i="4" a="1"/>
  <c r="CT82" i="4" a="1"/>
  <c r="CR66" i="4" a="1"/>
  <c r="CQ66" i="4" a="1"/>
  <c r="CU66" i="4" a="1"/>
  <c r="CT66" i="4" a="1"/>
  <c r="CU8" i="4" a="1"/>
  <c r="CT8" i="4" a="1"/>
  <c r="CQ8" i="4" a="1"/>
  <c r="CR8" i="4" a="1"/>
  <c r="CT64" i="4" a="1"/>
  <c r="CU64" i="4" a="1"/>
  <c r="CR64" i="4" a="1"/>
  <c r="CQ64" i="4" a="1"/>
  <c r="CT30" i="4" a="1"/>
  <c r="CU30" i="4" a="1"/>
  <c r="CQ30" i="4" a="1"/>
  <c r="CR30" i="4" a="1"/>
  <c r="CU70" i="4" a="1"/>
  <c r="CT70" i="4" a="1"/>
  <c r="CQ70" i="4" a="1"/>
  <c r="CR70" i="4" a="1"/>
  <c r="CU53" i="4" a="1"/>
  <c r="CT53" i="4" a="1"/>
  <c r="CR53" i="4" a="1"/>
  <c r="CQ53" i="4" a="1"/>
  <c r="CQ50" i="4" a="1"/>
  <c r="CR50" i="4" a="1"/>
  <c r="CU50" i="4" a="1"/>
  <c r="CT50" i="4" a="1"/>
  <c r="CR34" i="4" a="1"/>
  <c r="CQ34" i="4" a="1"/>
  <c r="CT34" i="4" a="1"/>
  <c r="CU34" i="4" a="1"/>
  <c r="CU67" i="4" a="1"/>
  <c r="CT67" i="4" a="1"/>
  <c r="CQ67" i="4" a="1"/>
  <c r="CR67" i="4" a="1"/>
  <c r="CQ84" i="4" a="1"/>
  <c r="CR84" i="4" a="1"/>
  <c r="CT84" i="4" a="1"/>
  <c r="CU84" i="4" a="1"/>
  <c r="CT19" i="4" a="1"/>
  <c r="CU19" i="4" a="1"/>
  <c r="CR19" i="4" a="1"/>
  <c r="CQ19" i="4" a="1"/>
  <c r="CQ71" i="4" a="1"/>
  <c r="CR71" i="4" a="1"/>
  <c r="CT71" i="4" a="1"/>
  <c r="CU71" i="4" a="1"/>
  <c r="CT88" i="4" a="1"/>
  <c r="CU88" i="4" a="1"/>
  <c r="CQ88" i="4" a="1"/>
  <c r="CR88" i="4" a="1"/>
  <c r="CQ43" i="4" a="1"/>
  <c r="CR43" i="4" a="1"/>
  <c r="CT43" i="4" a="1"/>
  <c r="CU43" i="4" a="1"/>
  <c r="CR80" i="4" a="1"/>
  <c r="CQ80" i="4" a="1"/>
  <c r="CU80" i="4" a="1"/>
  <c r="CT80" i="4" a="1"/>
  <c r="CQ92" i="4" a="1"/>
  <c r="CR92" i="4" a="1"/>
  <c r="CT92" i="4" a="1"/>
  <c r="CU92" i="4" a="1"/>
  <c r="CQ36" i="4" a="1"/>
  <c r="CR36" i="4" a="1"/>
  <c r="CU36" i="4" a="1"/>
  <c r="CT36" i="4" a="1"/>
  <c r="CT38" i="4" a="1"/>
  <c r="CU38" i="4" a="1"/>
  <c r="CR38" i="4" a="1"/>
  <c r="CQ38" i="4" a="1"/>
  <c r="CU73" i="4" a="1"/>
  <c r="CT73" i="4" a="1"/>
  <c r="CQ73" i="4" a="1"/>
  <c r="CR73" i="4" a="1"/>
  <c r="CT90" i="4" a="1"/>
  <c r="CU90" i="4" a="1"/>
  <c r="CR90" i="4" a="1"/>
  <c r="CQ90" i="4" a="1"/>
  <c r="CT32" i="4" a="1"/>
  <c r="CU32" i="4" a="1"/>
  <c r="CQ32" i="4" a="1"/>
  <c r="CR32" i="4" a="1"/>
  <c r="CT6" i="4" a="1"/>
  <c r="CU6" i="4" a="1"/>
  <c r="CQ6" i="4" a="1"/>
  <c r="CR6" i="4" a="1"/>
  <c r="CR7" i="4" a="1"/>
  <c r="CQ7" i="4" a="1"/>
  <c r="CU7" i="4" a="1"/>
  <c r="CT7" i="4" a="1"/>
  <c r="CR22" i="4" a="1"/>
  <c r="CQ22" i="4" a="1"/>
  <c r="CT22" i="4" a="1"/>
  <c r="CU22" i="4" a="1"/>
  <c r="CR20" i="4" a="1"/>
  <c r="CQ20" i="4" a="1"/>
  <c r="CT20" i="4" a="1"/>
  <c r="CU20" i="4" a="1"/>
  <c r="CU85" i="4" a="1"/>
  <c r="CT85" i="4" a="1"/>
  <c r="CQ85" i="4" a="1"/>
  <c r="CR85" i="4" a="1"/>
  <c r="CQ15" i="4" a="1"/>
  <c r="CR15" i="4" a="1"/>
  <c r="CT15" i="4" a="1"/>
  <c r="CU15" i="4" a="1"/>
  <c r="CU51" i="4" a="1"/>
  <c r="CT51" i="4" a="1"/>
  <c r="CR51" i="4" a="1"/>
  <c r="CQ51" i="4" a="1"/>
  <c r="CQ78" i="4" a="1"/>
  <c r="CR78" i="4" a="1"/>
  <c r="CU78" i="4" a="1"/>
  <c r="CT78" i="4" a="1"/>
  <c r="CU89" i="4" a="1"/>
  <c r="CT89" i="4" a="1"/>
  <c r="CR89" i="4" a="1"/>
  <c r="CQ89" i="4" a="1"/>
  <c r="CQ93" i="4" a="1"/>
  <c r="CR93" i="4" a="1"/>
  <c r="CU93" i="4" a="1"/>
  <c r="CT93" i="4" a="1"/>
  <c r="CT27" i="4" a="1"/>
  <c r="CU27" i="4" a="1"/>
  <c r="CR27" i="4" a="1"/>
  <c r="CQ27" i="4" a="1"/>
  <c r="CQ37" i="4" a="1"/>
  <c r="CR37" i="4" a="1"/>
  <c r="CT37" i="4" a="1"/>
  <c r="CU37" i="4" a="1"/>
  <c r="CR16" i="4" a="1"/>
  <c r="CQ16" i="4" a="1"/>
  <c r="CU16" i="4" a="1"/>
  <c r="CT16" i="4" a="1"/>
  <c r="CR18" i="4" a="1"/>
  <c r="CQ18" i="4" a="1"/>
  <c r="CT18" i="4" a="1"/>
  <c r="CU18" i="4" a="1"/>
  <c r="CQ21" i="4" a="1"/>
  <c r="CR21" i="4" a="1"/>
  <c r="CU21" i="4" a="1"/>
  <c r="CT21" i="4" a="1"/>
  <c r="CQ45" i="4" a="1"/>
  <c r="CR45" i="4" a="1"/>
  <c r="CT45" i="4" a="1"/>
  <c r="CU45" i="4" a="1"/>
  <c r="CU39" i="4" a="1"/>
  <c r="CT39" i="4" a="1"/>
  <c r="CQ39" i="4" a="1"/>
  <c r="CR39" i="4" a="1"/>
  <c r="CQ29" i="4" a="1"/>
  <c r="CR29" i="4" a="1"/>
  <c r="CT29" i="4" a="1"/>
  <c r="CU29" i="4" a="1"/>
  <c r="CU48" i="4" a="1"/>
  <c r="CT48" i="4" a="1"/>
  <c r="CR48" i="4" a="1"/>
  <c r="CQ48" i="4" a="1"/>
  <c r="CQ68" i="4" a="1"/>
  <c r="CR68" i="4" a="1"/>
  <c r="CU68" i="4" a="1"/>
  <c r="CT68" i="4" a="1"/>
  <c r="CT76" i="4" a="1"/>
  <c r="CU76" i="4" a="1"/>
  <c r="CQ76" i="4" a="1"/>
  <c r="CR76" i="4" a="1"/>
  <c r="CQ5" i="4" a="1"/>
  <c r="CR5" i="4" a="1"/>
  <c r="CU5" i="4" a="1"/>
  <c r="CT5" i="4" a="1"/>
  <c r="CQ61" i="4" a="1"/>
  <c r="CR61" i="4" a="1"/>
  <c r="CU61" i="4" a="1"/>
  <c r="CT61" i="4" a="1"/>
  <c r="CR42" i="4" a="1"/>
  <c r="CQ42" i="4" a="1"/>
  <c r="CU42" i="4" a="1"/>
  <c r="CT42" i="4" a="1"/>
  <c r="CT17" i="4" a="1"/>
  <c r="CU17" i="4" a="1"/>
  <c r="CR17" i="4" a="1"/>
  <c r="CQ17" i="4" a="1"/>
  <c r="CQ57" i="4" a="1"/>
  <c r="CR57" i="4" a="1"/>
  <c r="CU57" i="4" a="1"/>
  <c r="CT57" i="4" a="1"/>
  <c r="CR72" i="4" a="1"/>
  <c r="CQ72" i="4" a="1"/>
  <c r="CU72" i="4" a="1"/>
  <c r="CT72" i="4" a="1"/>
  <c r="CR81" i="4" a="1"/>
  <c r="CQ81" i="4" a="1"/>
  <c r="CT81" i="4" a="1"/>
  <c r="CU81" i="4" a="1"/>
  <c r="CU59" i="4" a="1"/>
  <c r="CT59" i="4" a="1"/>
  <c r="CQ59" i="4" a="1"/>
  <c r="CR59" i="4" a="1"/>
  <c r="BX58" i="4" l="1"/>
  <c r="AT10" i="4"/>
  <c r="AV612" i="13" s="1"/>
  <c r="CR59" i="4"/>
  <c r="CQ59" i="4"/>
  <c r="CT59" i="4"/>
  <c r="CU59" i="4"/>
  <c r="CU81" i="4"/>
  <c r="CT81" i="4"/>
  <c r="CQ81" i="4"/>
  <c r="CR81" i="4"/>
  <c r="CT72" i="4"/>
  <c r="CU72" i="4"/>
  <c r="CQ72" i="4"/>
  <c r="CR72" i="4"/>
  <c r="CT57" i="4"/>
  <c r="CU57" i="4"/>
  <c r="CR57" i="4"/>
  <c r="CQ57" i="4"/>
  <c r="CQ17" i="4"/>
  <c r="CR17" i="4"/>
  <c r="CU17" i="4"/>
  <c r="CT17" i="4"/>
  <c r="CT42" i="4"/>
  <c r="CU42" i="4"/>
  <c r="CQ42" i="4"/>
  <c r="CR42" i="4"/>
  <c r="CT61" i="4"/>
  <c r="CU61" i="4"/>
  <c r="CR61" i="4"/>
  <c r="CQ61" i="4"/>
  <c r="CT5" i="4"/>
  <c r="CU5" i="4"/>
  <c r="CR5" i="4"/>
  <c r="CQ5" i="4"/>
  <c r="CR76" i="4"/>
  <c r="CQ76" i="4"/>
  <c r="CU76" i="4"/>
  <c r="CT76" i="4"/>
  <c r="CT68" i="4"/>
  <c r="CU68" i="4"/>
  <c r="CR68" i="4"/>
  <c r="CQ68" i="4"/>
  <c r="CQ48" i="4"/>
  <c r="CR48" i="4"/>
  <c r="CT48" i="4"/>
  <c r="CU48" i="4"/>
  <c r="CU29" i="4"/>
  <c r="CT29" i="4"/>
  <c r="CR29" i="4"/>
  <c r="CQ29" i="4"/>
  <c r="CR39" i="4"/>
  <c r="CQ39" i="4"/>
  <c r="CT39" i="4"/>
  <c r="CU39" i="4"/>
  <c r="CU45" i="4"/>
  <c r="CT45" i="4"/>
  <c r="CR45" i="4"/>
  <c r="CQ45" i="4"/>
  <c r="CT21" i="4"/>
  <c r="CU21" i="4"/>
  <c r="CR21" i="4"/>
  <c r="CQ21" i="4"/>
  <c r="CU18" i="4"/>
  <c r="CT18" i="4"/>
  <c r="CQ18" i="4"/>
  <c r="CR18" i="4"/>
  <c r="CT16" i="4"/>
  <c r="CU16" i="4"/>
  <c r="CQ16" i="4"/>
  <c r="CR16" i="4"/>
  <c r="CU37" i="4"/>
  <c r="CT37" i="4"/>
  <c r="CR37" i="4"/>
  <c r="CQ37" i="4"/>
  <c r="CQ27" i="4"/>
  <c r="CR27" i="4"/>
  <c r="CU27" i="4"/>
  <c r="CT27" i="4"/>
  <c r="CT93" i="4"/>
  <c r="CU93" i="4"/>
  <c r="CR93" i="4"/>
  <c r="CQ93" i="4"/>
  <c r="CQ89" i="4"/>
  <c r="CR89" i="4"/>
  <c r="CT89" i="4"/>
  <c r="CU89" i="4"/>
  <c r="CT78" i="4"/>
  <c r="CU78" i="4"/>
  <c r="CR78" i="4"/>
  <c r="CQ78" i="4"/>
  <c r="CQ51" i="4"/>
  <c r="CR51" i="4"/>
  <c r="CT51" i="4"/>
  <c r="CU51" i="4"/>
  <c r="CU15" i="4"/>
  <c r="CT15" i="4"/>
  <c r="CR15" i="4"/>
  <c r="CQ15" i="4"/>
  <c r="CR85" i="4"/>
  <c r="CQ85" i="4"/>
  <c r="CT85" i="4"/>
  <c r="CU85" i="4"/>
  <c r="CU20" i="4"/>
  <c r="CT20" i="4"/>
  <c r="CQ20" i="4"/>
  <c r="CR20" i="4"/>
  <c r="CU22" i="4"/>
  <c r="CT22" i="4"/>
  <c r="CQ22" i="4"/>
  <c r="CR22" i="4"/>
  <c r="CT7" i="4"/>
  <c r="CU7" i="4"/>
  <c r="CQ7" i="4"/>
  <c r="CR7" i="4"/>
  <c r="CR6" i="4"/>
  <c r="CQ6" i="4"/>
  <c r="CU6" i="4"/>
  <c r="CT6" i="4"/>
  <c r="CR32" i="4"/>
  <c r="CQ32" i="4"/>
  <c r="CU32" i="4"/>
  <c r="CT32" i="4"/>
  <c r="CQ90" i="4"/>
  <c r="CR90" i="4"/>
  <c r="CU90" i="4"/>
  <c r="CT90" i="4"/>
  <c r="CR73" i="4"/>
  <c r="CQ73" i="4"/>
  <c r="CT73" i="4"/>
  <c r="CU73" i="4"/>
  <c r="CQ38" i="4"/>
  <c r="CR38" i="4"/>
  <c r="CU38" i="4"/>
  <c r="CT38" i="4"/>
  <c r="CT36" i="4"/>
  <c r="CU36" i="4"/>
  <c r="CR36" i="4"/>
  <c r="CQ36" i="4"/>
  <c r="CU92" i="4"/>
  <c r="CT92" i="4"/>
  <c r="CR92" i="4"/>
  <c r="CQ92" i="4"/>
  <c r="CT80" i="4"/>
  <c r="CU80" i="4"/>
  <c r="CQ80" i="4"/>
  <c r="CR80" i="4"/>
  <c r="CU43" i="4"/>
  <c r="CT43" i="4"/>
  <c r="CR43" i="4"/>
  <c r="CQ43" i="4"/>
  <c r="CR88" i="4"/>
  <c r="CQ88" i="4"/>
  <c r="CU88" i="4"/>
  <c r="CT88" i="4"/>
  <c r="CU71" i="4"/>
  <c r="CT71" i="4"/>
  <c r="CR71" i="4"/>
  <c r="CQ71" i="4"/>
  <c r="CQ19" i="4"/>
  <c r="CR19" i="4"/>
  <c r="CU19" i="4"/>
  <c r="CT19" i="4"/>
  <c r="CU84" i="4"/>
  <c r="CT84" i="4"/>
  <c r="CR84" i="4"/>
  <c r="CQ84" i="4"/>
  <c r="CR67" i="4"/>
  <c r="CQ67" i="4"/>
  <c r="CT67" i="4"/>
  <c r="CU67" i="4"/>
  <c r="CU34" i="4"/>
  <c r="CT34" i="4"/>
  <c r="CQ34" i="4"/>
  <c r="CR34" i="4"/>
  <c r="CT50" i="4"/>
  <c r="CU50" i="4"/>
  <c r="CR50" i="4"/>
  <c r="CQ50" i="4"/>
  <c r="CQ53" i="4"/>
  <c r="CR53" i="4"/>
  <c r="CT53" i="4"/>
  <c r="CU53" i="4"/>
  <c r="CR70" i="4"/>
  <c r="CQ70" i="4"/>
  <c r="CT70" i="4"/>
  <c r="CU70" i="4"/>
  <c r="CR30" i="4"/>
  <c r="CQ30" i="4"/>
  <c r="CU30" i="4"/>
  <c r="CT30" i="4"/>
  <c r="CQ64" i="4"/>
  <c r="CR64" i="4"/>
  <c r="CU64" i="4"/>
  <c r="CT64" i="4"/>
  <c r="CR8" i="4"/>
  <c r="CQ8" i="4"/>
  <c r="CT8" i="4"/>
  <c r="CU8" i="4"/>
  <c r="CT66" i="4"/>
  <c r="CU66" i="4"/>
  <c r="CQ66" i="4"/>
  <c r="CR66" i="4"/>
  <c r="CT82" i="4"/>
  <c r="CU82" i="4"/>
  <c r="CR82" i="4"/>
  <c r="CQ82" i="4"/>
  <c r="CU26" i="4"/>
  <c r="CT26" i="4"/>
  <c r="CR26" i="4"/>
  <c r="CQ26" i="4"/>
  <c r="CR79" i="4"/>
  <c r="CQ79" i="4"/>
  <c r="CT79" i="4"/>
  <c r="CU79" i="4"/>
  <c r="CQ14" i="4"/>
  <c r="CR14" i="4"/>
  <c r="CU14" i="4"/>
  <c r="CT14" i="4"/>
  <c r="CR49" i="4"/>
  <c r="CQ49" i="4"/>
  <c r="CU49" i="4"/>
  <c r="CT49" i="4"/>
  <c r="CU87" i="4"/>
  <c r="CT87" i="4"/>
  <c r="CR87" i="4"/>
  <c r="CQ87" i="4"/>
  <c r="CT13" i="4"/>
  <c r="CU13" i="4"/>
  <c r="CR13" i="4"/>
  <c r="CQ13" i="4"/>
  <c r="CT12" i="4"/>
  <c r="CU12" i="4"/>
  <c r="CR12" i="4"/>
  <c r="CQ12" i="4"/>
  <c r="CU41" i="4"/>
  <c r="CT41" i="4"/>
  <c r="CR41" i="4"/>
  <c r="CQ41" i="4"/>
  <c r="CT83" i="4"/>
  <c r="CU83" i="4"/>
  <c r="CQ83" i="4"/>
  <c r="CR83" i="4"/>
  <c r="CU69" i="4"/>
  <c r="CT69" i="4"/>
  <c r="CQ69" i="4"/>
  <c r="CR69" i="4"/>
  <c r="CQ44" i="4"/>
  <c r="CR44" i="4"/>
  <c r="CU44" i="4"/>
  <c r="CT44" i="4"/>
  <c r="CQ47" i="4"/>
  <c r="CR47" i="4"/>
  <c r="CU47" i="4"/>
  <c r="CT47" i="4"/>
  <c r="CU31" i="4"/>
  <c r="CT31" i="4"/>
  <c r="CR31" i="4"/>
  <c r="CQ31" i="4"/>
  <c r="CR65" i="4"/>
  <c r="CQ65" i="4"/>
  <c r="CT65" i="4"/>
  <c r="CU65" i="4"/>
  <c r="CQ46" i="4"/>
  <c r="CR46" i="4"/>
  <c r="CT46" i="4"/>
  <c r="CU46" i="4"/>
  <c r="CR35" i="4"/>
  <c r="CQ35" i="4"/>
  <c r="CT35" i="4"/>
  <c r="CU35" i="4"/>
  <c r="CU63" i="4"/>
  <c r="CT63" i="4"/>
  <c r="CQ63" i="4"/>
  <c r="CR63" i="4"/>
  <c r="CQ62" i="4"/>
  <c r="CR62" i="4"/>
  <c r="CU62" i="4"/>
  <c r="CT62" i="4"/>
  <c r="CQ28" i="4"/>
  <c r="CR28" i="4"/>
  <c r="CU28" i="4"/>
  <c r="CT28" i="4"/>
  <c r="CU52" i="4"/>
  <c r="CT52" i="4"/>
  <c r="CQ52" i="4"/>
  <c r="CR52" i="4"/>
  <c r="CU77" i="4"/>
  <c r="CT77" i="4"/>
  <c r="CR77" i="4"/>
  <c r="CQ77" i="4"/>
  <c r="CT24" i="4"/>
  <c r="CU24" i="4"/>
  <c r="CQ24" i="4"/>
  <c r="CR24" i="4"/>
  <c r="CR86" i="4"/>
  <c r="CQ86" i="4"/>
  <c r="CU86" i="4"/>
  <c r="CT86" i="4"/>
  <c r="CQ54" i="4"/>
  <c r="CR54" i="4"/>
  <c r="CU54" i="4"/>
  <c r="CT54" i="4"/>
  <c r="CR74" i="4"/>
  <c r="CQ74" i="4"/>
  <c r="CU74" i="4"/>
  <c r="CT74" i="4"/>
  <c r="CQ11" i="4"/>
  <c r="CR11" i="4"/>
  <c r="CU11" i="4"/>
  <c r="CT11" i="4"/>
  <c r="CR40" i="4"/>
  <c r="CQ40" i="4"/>
  <c r="CT40" i="4"/>
  <c r="CU40" i="4"/>
  <c r="CU56" i="4"/>
  <c r="CT56" i="4"/>
  <c r="CQ56" i="4"/>
  <c r="CR56" i="4"/>
  <c r="CT25" i="4"/>
  <c r="CU25" i="4"/>
  <c r="CQ25" i="4"/>
  <c r="CR25" i="4"/>
  <c r="CQ75" i="4"/>
  <c r="CR75" i="4"/>
  <c r="CU75" i="4"/>
  <c r="CT75" i="4"/>
  <c r="CT91" i="4"/>
  <c r="CU91" i="4"/>
  <c r="CQ91" i="4"/>
  <c r="CR91" i="4"/>
  <c r="CU33" i="4"/>
  <c r="CT33" i="4"/>
  <c r="CR33" i="4"/>
  <c r="CQ33" i="4"/>
  <c r="CF59" i="4"/>
  <c r="CD59" i="4"/>
  <c r="CC59" i="4"/>
  <c r="AL59" i="4"/>
  <c r="AF59" i="4"/>
  <c r="AN59" i="4"/>
  <c r="CL59" i="4"/>
  <c r="BO59" i="4"/>
  <c r="BQ59" i="4"/>
  <c r="CK59" i="4"/>
  <c r="CH59" i="4"/>
  <c r="CE59" i="4"/>
  <c r="AC59" i="4"/>
  <c r="CP59" i="4"/>
  <c r="CO59" i="4"/>
  <c r="CN59" i="4"/>
  <c r="CM59" i="4"/>
  <c r="CG59" i="4"/>
  <c r="CI59" i="4"/>
  <c r="CH81" i="4"/>
  <c r="CK81" i="4"/>
  <c r="CF81" i="4"/>
  <c r="CL81" i="4"/>
  <c r="CP81" i="4"/>
  <c r="AN81" i="4"/>
  <c r="AF81" i="4"/>
  <c r="CM81" i="4"/>
  <c r="BO81" i="4"/>
  <c r="CO81" i="4"/>
  <c r="CE81" i="4"/>
  <c r="CC81" i="4"/>
  <c r="BQ81" i="4"/>
  <c r="CN81" i="4"/>
  <c r="AC81" i="4"/>
  <c r="CI81" i="4"/>
  <c r="CD81" i="4"/>
  <c r="CG81" i="4"/>
  <c r="AL81" i="4"/>
  <c r="CK72" i="4"/>
  <c r="BO72" i="4"/>
  <c r="AL72" i="4"/>
  <c r="CG72" i="4"/>
  <c r="AN72" i="4"/>
  <c r="CD72" i="4"/>
  <c r="CF72" i="4"/>
  <c r="BQ72" i="4"/>
  <c r="CC72" i="4"/>
  <c r="AF72" i="4"/>
  <c r="CM72" i="4"/>
  <c r="CP72" i="4"/>
  <c r="CO72" i="4"/>
  <c r="CI72" i="4"/>
  <c r="CH72" i="4"/>
  <c r="CL72" i="4"/>
  <c r="CN72" i="4"/>
  <c r="CE72" i="4"/>
  <c r="AC72" i="4"/>
  <c r="AF57" i="4"/>
  <c r="CE57" i="4"/>
  <c r="CH57" i="4"/>
  <c r="CN57" i="4"/>
  <c r="AC57" i="4"/>
  <c r="BQ57" i="4"/>
  <c r="CC57" i="4"/>
  <c r="CL57" i="4"/>
  <c r="CK57" i="4"/>
  <c r="CM57" i="4"/>
  <c r="CP57" i="4"/>
  <c r="CD57" i="4"/>
  <c r="CG57" i="4"/>
  <c r="BO57" i="4"/>
  <c r="CO57" i="4"/>
  <c r="CI57" i="4"/>
  <c r="AL57" i="4"/>
  <c r="CF57" i="4"/>
  <c r="AN57" i="4"/>
  <c r="CE17" i="4"/>
  <c r="BQ17" i="4"/>
  <c r="CL17" i="4"/>
  <c r="CF17" i="4"/>
  <c r="CD17" i="4"/>
  <c r="BO17" i="4"/>
  <c r="CM17" i="4"/>
  <c r="CN17" i="4"/>
  <c r="CK17" i="4"/>
  <c r="CP17" i="4"/>
  <c r="CC17" i="4"/>
  <c r="AL17" i="4"/>
  <c r="CH17" i="4"/>
  <c r="CO17" i="4"/>
  <c r="AF17" i="4"/>
  <c r="CG17" i="4"/>
  <c r="CI17" i="4"/>
  <c r="AN17" i="4"/>
  <c r="AC17" i="4"/>
  <c r="CK42" i="4"/>
  <c r="CD42" i="4"/>
  <c r="AL42" i="4"/>
  <c r="CM42" i="4"/>
  <c r="BQ42" i="4"/>
  <c r="CL42" i="4"/>
  <c r="AC42" i="4"/>
  <c r="CN42" i="4"/>
  <c r="CI42" i="4"/>
  <c r="CG42" i="4"/>
  <c r="CC42" i="4"/>
  <c r="CF42" i="4"/>
  <c r="AN42" i="4"/>
  <c r="CP42" i="4"/>
  <c r="AF42" i="4"/>
  <c r="CH42" i="4"/>
  <c r="BO42" i="4"/>
  <c r="CE42" i="4"/>
  <c r="CO42" i="4"/>
  <c r="CL61" i="4"/>
  <c r="BO61" i="4"/>
  <c r="CN61" i="4"/>
  <c r="CO61" i="4"/>
  <c r="CK61" i="4"/>
  <c r="CG61" i="4"/>
  <c r="CC61" i="4"/>
  <c r="CD61" i="4"/>
  <c r="AF61" i="4"/>
  <c r="CM61" i="4"/>
  <c r="AN61" i="4"/>
  <c r="CI61" i="4"/>
  <c r="CH61" i="4"/>
  <c r="BQ61" i="4"/>
  <c r="CP61" i="4"/>
  <c r="AL61" i="4"/>
  <c r="CE61" i="4"/>
  <c r="CF61" i="4"/>
  <c r="AC61" i="4"/>
  <c r="AF5" i="4"/>
  <c r="CM5" i="4"/>
  <c r="CN5" i="4"/>
  <c r="CO5" i="4"/>
  <c r="CF5" i="4"/>
  <c r="CG5" i="4"/>
  <c r="AL5" i="4"/>
  <c r="AN5" i="4"/>
  <c r="CH5" i="4"/>
  <c r="BQ5" i="4"/>
  <c r="AC5" i="4"/>
  <c r="CP5" i="4"/>
  <c r="BO5" i="4"/>
  <c r="CE5" i="4"/>
  <c r="CI5" i="4"/>
  <c r="CK5" i="4"/>
  <c r="CL5" i="4"/>
  <c r="CD5" i="4"/>
  <c r="CC5" i="4"/>
  <c r="AB58" i="4"/>
  <c r="AA58" i="4"/>
  <c r="CP76" i="4"/>
  <c r="CG76" i="4"/>
  <c r="BO76" i="4"/>
  <c r="AN76" i="4"/>
  <c r="CK76" i="4"/>
  <c r="CO76" i="4"/>
  <c r="CN76" i="4"/>
  <c r="CL76" i="4"/>
  <c r="CC76" i="4"/>
  <c r="CI76" i="4"/>
  <c r="AL76" i="4"/>
  <c r="CF76" i="4"/>
  <c r="CE76" i="4"/>
  <c r="CM76" i="4"/>
  <c r="CH76" i="4"/>
  <c r="CD76" i="4"/>
  <c r="AC76" i="4"/>
  <c r="AF76" i="4"/>
  <c r="BQ76" i="4"/>
  <c r="AF68" i="4"/>
  <c r="BQ68" i="4"/>
  <c r="CK68" i="4"/>
  <c r="CL68" i="4"/>
  <c r="CN68" i="4"/>
  <c r="AN68" i="4"/>
  <c r="CD68" i="4"/>
  <c r="CO68" i="4"/>
  <c r="CE68" i="4"/>
  <c r="CP68" i="4"/>
  <c r="CI68" i="4"/>
  <c r="CC68" i="4"/>
  <c r="AC68" i="4"/>
  <c r="CG68" i="4"/>
  <c r="AL68" i="4"/>
  <c r="CH68" i="4"/>
  <c r="CM68" i="4"/>
  <c r="BO68" i="4"/>
  <c r="CF68" i="4"/>
  <c r="AC48" i="4"/>
  <c r="CM48" i="4"/>
  <c r="AN48" i="4"/>
  <c r="CH48" i="4"/>
  <c r="CF48" i="4"/>
  <c r="AF48" i="4"/>
  <c r="CL48" i="4"/>
  <c r="AL48" i="4"/>
  <c r="CE48" i="4"/>
  <c r="CN48" i="4"/>
  <c r="CG48" i="4"/>
  <c r="BQ48" i="4"/>
  <c r="CK48" i="4"/>
  <c r="CO48" i="4"/>
  <c r="CD48" i="4"/>
  <c r="CC48" i="4"/>
  <c r="BO48" i="4"/>
  <c r="CP48" i="4"/>
  <c r="BO29" i="4"/>
  <c r="CP29" i="4"/>
  <c r="CL29" i="4"/>
  <c r="CD29" i="4"/>
  <c r="CK29" i="4"/>
  <c r="AN29" i="4"/>
  <c r="CF29" i="4"/>
  <c r="AC29" i="4"/>
  <c r="CE29" i="4"/>
  <c r="AL29" i="4"/>
  <c r="CG29" i="4"/>
  <c r="AF29" i="4"/>
  <c r="CH29" i="4"/>
  <c r="CC29" i="4"/>
  <c r="CO29" i="4"/>
  <c r="CN29" i="4"/>
  <c r="CM29" i="4"/>
  <c r="BQ29" i="4"/>
  <c r="CO39" i="4"/>
  <c r="CC39" i="4"/>
  <c r="AC39" i="4"/>
  <c r="CG39" i="4"/>
  <c r="BQ39" i="4"/>
  <c r="AF39" i="4"/>
  <c r="CD39" i="4"/>
  <c r="CF39" i="4"/>
  <c r="CL39" i="4"/>
  <c r="CP39" i="4"/>
  <c r="CM39" i="4"/>
  <c r="CI39" i="4"/>
  <c r="BO39" i="4"/>
  <c r="AL39" i="4"/>
  <c r="CN39" i="4"/>
  <c r="AN39" i="4"/>
  <c r="CE39" i="4"/>
  <c r="CK39" i="4"/>
  <c r="CH39" i="4"/>
  <c r="BQ45" i="4"/>
  <c r="CK45" i="4"/>
  <c r="CG45" i="4"/>
  <c r="CE45" i="4"/>
  <c r="AF45" i="4"/>
  <c r="AN45" i="4"/>
  <c r="CN45" i="4"/>
  <c r="CH45" i="4"/>
  <c r="CD45" i="4"/>
  <c r="CL45" i="4"/>
  <c r="AC45" i="4"/>
  <c r="CO45" i="4"/>
  <c r="AL45" i="4"/>
  <c r="BO45" i="4"/>
  <c r="CC45" i="4"/>
  <c r="CM45" i="4"/>
  <c r="CF45" i="4"/>
  <c r="CP45" i="4"/>
  <c r="CP21" i="4"/>
  <c r="CK21" i="4"/>
  <c r="BQ21" i="4"/>
  <c r="CF21" i="4"/>
  <c r="BO21" i="4"/>
  <c r="CN21" i="4"/>
  <c r="CE21" i="4"/>
  <c r="CC21" i="4"/>
  <c r="CH21" i="4"/>
  <c r="CI21" i="4"/>
  <c r="AN21" i="4"/>
  <c r="AC21" i="4"/>
  <c r="CO21" i="4"/>
  <c r="AF21" i="4"/>
  <c r="CG21" i="4"/>
  <c r="CL21" i="4"/>
  <c r="CM21" i="4"/>
  <c r="AL21" i="4"/>
  <c r="CD21" i="4"/>
  <c r="CK18" i="4"/>
  <c r="AC18" i="4"/>
  <c r="AL18" i="4"/>
  <c r="CL18" i="4"/>
  <c r="CP18" i="4"/>
  <c r="CN18" i="4"/>
  <c r="CI18" i="4"/>
  <c r="AF18" i="4"/>
  <c r="CF18" i="4"/>
  <c r="BO18" i="4"/>
  <c r="CE18" i="4"/>
  <c r="CD18" i="4"/>
  <c r="AN18" i="4"/>
  <c r="CH18" i="4"/>
  <c r="CM18" i="4"/>
  <c r="BQ18" i="4"/>
  <c r="CC18" i="4"/>
  <c r="CG18" i="4"/>
  <c r="CO18" i="4"/>
  <c r="AL16" i="4"/>
  <c r="AN16" i="4"/>
  <c r="AC16" i="4"/>
  <c r="CO16" i="4"/>
  <c r="BQ16" i="4"/>
  <c r="CM16" i="4"/>
  <c r="CI16" i="4"/>
  <c r="CC16" i="4"/>
  <c r="CL16" i="4"/>
  <c r="CH16" i="4"/>
  <c r="CG16" i="4"/>
  <c r="CP16" i="4"/>
  <c r="CK16" i="4"/>
  <c r="CD16" i="4"/>
  <c r="AF16" i="4"/>
  <c r="CN16" i="4"/>
  <c r="CF16" i="4"/>
  <c r="BO16" i="4"/>
  <c r="CE16" i="4"/>
  <c r="CM37" i="4"/>
  <c r="CO37" i="4"/>
  <c r="CE37" i="4"/>
  <c r="CF37" i="4"/>
  <c r="CN37" i="4"/>
  <c r="CG37" i="4"/>
  <c r="AN37" i="4"/>
  <c r="AC37" i="4"/>
  <c r="CK37" i="4"/>
  <c r="AL37" i="4"/>
  <c r="CL37" i="4"/>
  <c r="BQ37" i="4"/>
  <c r="AF37" i="4"/>
  <c r="CD37" i="4"/>
  <c r="CH37" i="4"/>
  <c r="CC37" i="4"/>
  <c r="CP37" i="4"/>
  <c r="BO37" i="4"/>
  <c r="AL27" i="4"/>
  <c r="CK27" i="4"/>
  <c r="CH27" i="4"/>
  <c r="CD27" i="4"/>
  <c r="CL27" i="4"/>
  <c r="CF27" i="4"/>
  <c r="CE27" i="4"/>
  <c r="CP27" i="4"/>
  <c r="CC27" i="4"/>
  <c r="CM27" i="4"/>
  <c r="CO27" i="4"/>
  <c r="AC27" i="4"/>
  <c r="AF27" i="4"/>
  <c r="BO27" i="4"/>
  <c r="BQ27" i="4"/>
  <c r="CI27" i="4"/>
  <c r="CN27" i="4"/>
  <c r="CG27" i="4"/>
  <c r="AN27" i="4"/>
  <c r="CM93" i="4"/>
  <c r="BQ93" i="4"/>
  <c r="AN93" i="4"/>
  <c r="CO93" i="4"/>
  <c r="AL93" i="4"/>
  <c r="CG93" i="4"/>
  <c r="CK93" i="4"/>
  <c r="CC93" i="4"/>
  <c r="CH93" i="4"/>
  <c r="BO93" i="4"/>
  <c r="AF93" i="4"/>
  <c r="CP93" i="4"/>
  <c r="CN93" i="4"/>
  <c r="CF93" i="4"/>
  <c r="CE93" i="4"/>
  <c r="CL93" i="4"/>
  <c r="CD93" i="4"/>
  <c r="AC93" i="4"/>
  <c r="AN89" i="4"/>
  <c r="CN89" i="4"/>
  <c r="CH89" i="4"/>
  <c r="CM89" i="4"/>
  <c r="CL89" i="4"/>
  <c r="AC89" i="4"/>
  <c r="CF89" i="4"/>
  <c r="AF89" i="4"/>
  <c r="AL89" i="4"/>
  <c r="CG89" i="4"/>
  <c r="CD89" i="4"/>
  <c r="CE89" i="4"/>
  <c r="CI89" i="4"/>
  <c r="CP89" i="4"/>
  <c r="BQ89" i="4"/>
  <c r="CO89" i="4"/>
  <c r="CK89" i="4"/>
  <c r="CC89" i="4"/>
  <c r="BO89" i="4"/>
  <c r="AJ58" i="4"/>
  <c r="AK58" i="4"/>
  <c r="AC78" i="4"/>
  <c r="CP78" i="4"/>
  <c r="CH78" i="4"/>
  <c r="CO78" i="4"/>
  <c r="AN78" i="4"/>
  <c r="AL78" i="4"/>
  <c r="CN78" i="4"/>
  <c r="CD78" i="4"/>
  <c r="CE78" i="4"/>
  <c r="CC78" i="4"/>
  <c r="CG78" i="4"/>
  <c r="AF78" i="4"/>
  <c r="CI78" i="4"/>
  <c r="BO78" i="4"/>
  <c r="CK78" i="4"/>
  <c r="CM78" i="4"/>
  <c r="BQ78" i="4"/>
  <c r="CL78" i="4"/>
  <c r="CF78" i="4"/>
  <c r="BX78" i="4" s="1"/>
  <c r="CK51" i="4"/>
  <c r="AL51" i="4"/>
  <c r="CG51" i="4"/>
  <c r="AC51" i="4"/>
  <c r="CH51" i="4"/>
  <c r="AF51" i="4"/>
  <c r="CO51" i="4"/>
  <c r="CF51" i="4"/>
  <c r="CN51" i="4"/>
  <c r="CL51" i="4"/>
  <c r="BQ51" i="4"/>
  <c r="CP51" i="4"/>
  <c r="BO51" i="4"/>
  <c r="CM51" i="4"/>
  <c r="AN51" i="4"/>
  <c r="CD51" i="4"/>
  <c r="CC51" i="4"/>
  <c r="CE51" i="4"/>
  <c r="CO15" i="4"/>
  <c r="CF15" i="4"/>
  <c r="CH15" i="4"/>
  <c r="BO15" i="4"/>
  <c r="CL15" i="4"/>
  <c r="CE15" i="4"/>
  <c r="CC15" i="4"/>
  <c r="CN15" i="4"/>
  <c r="CP15" i="4"/>
  <c r="AF15" i="4"/>
  <c r="AC15" i="4"/>
  <c r="CD15" i="4"/>
  <c r="BQ15" i="4"/>
  <c r="CG15" i="4"/>
  <c r="AL15" i="4"/>
  <c r="CM15" i="4"/>
  <c r="CK15" i="4"/>
  <c r="AN15" i="4"/>
  <c r="CE85" i="4"/>
  <c r="CP85" i="4"/>
  <c r="CI85" i="4"/>
  <c r="CN85" i="4"/>
  <c r="CK85" i="4"/>
  <c r="CF85" i="4"/>
  <c r="BQ85" i="4"/>
  <c r="AC85" i="4"/>
  <c r="AN85" i="4"/>
  <c r="CG85" i="4"/>
  <c r="CM85" i="4"/>
  <c r="CH85" i="4"/>
  <c r="BO85" i="4"/>
  <c r="CC85" i="4"/>
  <c r="CO85" i="4"/>
  <c r="CL85" i="4"/>
  <c r="CD85" i="4"/>
  <c r="AF85" i="4"/>
  <c r="AL85" i="4"/>
  <c r="CD20" i="4"/>
  <c r="CI20" i="4"/>
  <c r="CO20" i="4"/>
  <c r="CC20" i="4"/>
  <c r="CE20" i="4"/>
  <c r="CF20" i="4"/>
  <c r="AC20" i="4"/>
  <c r="CP20" i="4"/>
  <c r="AN20" i="4"/>
  <c r="AF20" i="4"/>
  <c r="AL20" i="4"/>
  <c r="CM20" i="4"/>
  <c r="CK20" i="4"/>
  <c r="CH20" i="4"/>
  <c r="CL20" i="4"/>
  <c r="CN20" i="4"/>
  <c r="CG20" i="4"/>
  <c r="BO20" i="4"/>
  <c r="BQ20" i="4"/>
  <c r="CE22" i="4"/>
  <c r="AC22" i="4"/>
  <c r="AF22" i="4"/>
  <c r="BQ22" i="4"/>
  <c r="CI22" i="4"/>
  <c r="CN22" i="4"/>
  <c r="CH22" i="4"/>
  <c r="CP22" i="4"/>
  <c r="BO22" i="4"/>
  <c r="AL22" i="4"/>
  <c r="CM22" i="4"/>
  <c r="CO22" i="4"/>
  <c r="AN22" i="4"/>
  <c r="CG22" i="4"/>
  <c r="CK22" i="4"/>
  <c r="CL22" i="4"/>
  <c r="CF22" i="4"/>
  <c r="CC22" i="4"/>
  <c r="CD22" i="4"/>
  <c r="BQ7" i="4"/>
  <c r="CN7" i="4"/>
  <c r="CP7" i="4"/>
  <c r="CD7" i="4"/>
  <c r="AC7" i="4"/>
  <c r="CO7" i="4"/>
  <c r="CK7" i="4"/>
  <c r="CE7" i="4"/>
  <c r="BO7" i="4"/>
  <c r="CG7" i="4"/>
  <c r="CF7" i="4"/>
  <c r="AF7" i="4"/>
  <c r="CC7" i="4"/>
  <c r="CM7" i="4"/>
  <c r="CH7" i="4"/>
  <c r="AL7" i="4"/>
  <c r="CL7" i="4"/>
  <c r="AN7" i="4"/>
  <c r="CI7" i="4"/>
  <c r="CP6" i="4"/>
  <c r="CE6" i="4"/>
  <c r="CM6" i="4"/>
  <c r="AN6" i="4"/>
  <c r="CD6" i="4"/>
  <c r="CC6" i="4"/>
  <c r="CI6" i="4"/>
  <c r="CH6" i="4"/>
  <c r="CO6" i="4"/>
  <c r="CF6" i="4"/>
  <c r="BQ6" i="4"/>
  <c r="AF6" i="4"/>
  <c r="CG6" i="4"/>
  <c r="AC6" i="4"/>
  <c r="CL6" i="4"/>
  <c r="AL6" i="4"/>
  <c r="CN6" i="4"/>
  <c r="CK6" i="4"/>
  <c r="BO6" i="4"/>
  <c r="AF32" i="4"/>
  <c r="BQ32" i="4"/>
  <c r="CE32" i="4"/>
  <c r="CP32" i="4"/>
  <c r="CH32" i="4"/>
  <c r="CK32" i="4"/>
  <c r="CF32" i="4"/>
  <c r="AC32" i="4"/>
  <c r="CG32" i="4"/>
  <c r="CN32" i="4"/>
  <c r="AL32" i="4"/>
  <c r="CM32" i="4"/>
  <c r="AN32" i="4"/>
  <c r="CD32" i="4"/>
  <c r="CL32" i="4"/>
  <c r="BO32" i="4"/>
  <c r="CO32" i="4"/>
  <c r="CC32" i="4"/>
  <c r="CE90" i="4"/>
  <c r="AN90" i="4"/>
  <c r="CL90" i="4"/>
  <c r="CG90" i="4"/>
  <c r="AL90" i="4"/>
  <c r="CH90" i="4"/>
  <c r="BQ90" i="4"/>
  <c r="CN90" i="4"/>
  <c r="CM90" i="4"/>
  <c r="CI90" i="4"/>
  <c r="CC90" i="4"/>
  <c r="CK90" i="4"/>
  <c r="CO90" i="4"/>
  <c r="CF90" i="4"/>
  <c r="AC90" i="4"/>
  <c r="AF90" i="4"/>
  <c r="BO90" i="4"/>
  <c r="CP90" i="4"/>
  <c r="CD90" i="4"/>
  <c r="CN73" i="4"/>
  <c r="CO73" i="4"/>
  <c r="BO73" i="4"/>
  <c r="CD73" i="4"/>
  <c r="CH73" i="4"/>
  <c r="AC73" i="4"/>
  <c r="CF73" i="4"/>
  <c r="CP73" i="4"/>
  <c r="AF73" i="4"/>
  <c r="CE73" i="4"/>
  <c r="CK73" i="4"/>
  <c r="BQ73" i="4"/>
  <c r="CC73" i="4"/>
  <c r="CL73" i="4"/>
  <c r="CM73" i="4"/>
  <c r="AL73" i="4"/>
  <c r="CI73" i="4"/>
  <c r="CG73" i="4"/>
  <c r="AN73" i="4"/>
  <c r="CE38" i="4"/>
  <c r="BO38" i="4"/>
  <c r="CM38" i="4"/>
  <c r="CD38" i="4"/>
  <c r="AN38" i="4"/>
  <c r="CH38" i="4"/>
  <c r="CI38" i="4"/>
  <c r="AF38" i="4"/>
  <c r="CL38" i="4"/>
  <c r="CC38" i="4"/>
  <c r="CP38" i="4"/>
  <c r="CO38" i="4"/>
  <c r="CF38" i="4"/>
  <c r="BQ38" i="4"/>
  <c r="CK38" i="4"/>
  <c r="CG38" i="4"/>
  <c r="AC38" i="4"/>
  <c r="CN38" i="4"/>
  <c r="AL38" i="4"/>
  <c r="CG36" i="4"/>
  <c r="CC36" i="4"/>
  <c r="BQ36" i="4"/>
  <c r="AN36" i="4"/>
  <c r="CH36" i="4"/>
  <c r="AC36" i="4"/>
  <c r="CE36" i="4"/>
  <c r="CF36" i="4"/>
  <c r="CP36" i="4"/>
  <c r="CL36" i="4"/>
  <c r="CO36" i="4"/>
  <c r="AL36" i="4"/>
  <c r="CD36" i="4"/>
  <c r="CN36" i="4"/>
  <c r="CK36" i="4"/>
  <c r="BO36" i="4"/>
  <c r="AF36" i="4"/>
  <c r="CM36" i="4"/>
  <c r="CK92" i="4"/>
  <c r="CG92" i="4"/>
  <c r="CL92" i="4"/>
  <c r="AC92" i="4"/>
  <c r="CF92" i="4"/>
  <c r="BO92" i="4"/>
  <c r="CM92" i="4"/>
  <c r="CC92" i="4"/>
  <c r="AL92" i="4"/>
  <c r="CP92" i="4"/>
  <c r="CH92" i="4"/>
  <c r="CO92" i="4"/>
  <c r="CE92" i="4"/>
  <c r="CN92" i="4"/>
  <c r="BQ92" i="4"/>
  <c r="CI92" i="4"/>
  <c r="AN92" i="4"/>
  <c r="AF92" i="4"/>
  <c r="CD92" i="4"/>
  <c r="CK80" i="4"/>
  <c r="AL80" i="4"/>
  <c r="CC80" i="4"/>
  <c r="CF80" i="4"/>
  <c r="AN80" i="4"/>
  <c r="BQ80" i="4"/>
  <c r="CL80" i="4"/>
  <c r="AC80" i="4"/>
  <c r="CP80" i="4"/>
  <c r="CD80" i="4"/>
  <c r="AF80" i="4"/>
  <c r="CG80" i="4"/>
  <c r="CN80" i="4"/>
  <c r="CO80" i="4"/>
  <c r="CI80" i="4"/>
  <c r="BO80" i="4"/>
  <c r="CM80" i="4"/>
  <c r="CH80" i="4"/>
  <c r="CE80" i="4"/>
  <c r="CO43" i="4"/>
  <c r="CN43" i="4"/>
  <c r="CM43" i="4"/>
  <c r="CC43" i="4"/>
  <c r="CP43" i="4"/>
  <c r="AL43" i="4"/>
  <c r="CF43" i="4"/>
  <c r="BO43" i="4"/>
  <c r="CH43" i="4"/>
  <c r="AN43" i="4"/>
  <c r="CE43" i="4"/>
  <c r="CK43" i="4"/>
  <c r="CG43" i="4"/>
  <c r="CL43" i="4"/>
  <c r="BQ43" i="4"/>
  <c r="AF43" i="4"/>
  <c r="CI43" i="4"/>
  <c r="CD43" i="4"/>
  <c r="AC43" i="4"/>
  <c r="CO88" i="4"/>
  <c r="CM88" i="4"/>
  <c r="AF88" i="4"/>
  <c r="AL88" i="4"/>
  <c r="CP88" i="4"/>
  <c r="CK88" i="4"/>
  <c r="BQ88" i="4"/>
  <c r="CG88" i="4"/>
  <c r="CN88" i="4"/>
  <c r="AC88" i="4"/>
  <c r="CH88" i="4"/>
  <c r="AN88" i="4"/>
  <c r="CF88" i="4"/>
  <c r="BO88" i="4"/>
  <c r="CL88" i="4"/>
  <c r="CC88" i="4"/>
  <c r="CE88" i="4"/>
  <c r="CD88" i="4"/>
  <c r="CM71" i="4"/>
  <c r="CK71" i="4"/>
  <c r="CE71" i="4"/>
  <c r="AN71" i="4"/>
  <c r="CD71" i="4"/>
  <c r="CF71" i="4"/>
  <c r="CN71" i="4"/>
  <c r="AC71" i="4"/>
  <c r="AL71" i="4"/>
  <c r="CI71" i="4"/>
  <c r="AF71" i="4"/>
  <c r="CG71" i="4"/>
  <c r="CL71" i="4"/>
  <c r="BO71" i="4"/>
  <c r="CP71" i="4"/>
  <c r="CH71" i="4"/>
  <c r="CC71" i="4"/>
  <c r="BQ71" i="4"/>
  <c r="CO71" i="4"/>
  <c r="CK19" i="4"/>
  <c r="CD19" i="4"/>
  <c r="CG19" i="4"/>
  <c r="BO19" i="4"/>
  <c r="AC19" i="4"/>
  <c r="AF19" i="4"/>
  <c r="CC19" i="4"/>
  <c r="CL19" i="4"/>
  <c r="CM19" i="4"/>
  <c r="CO19" i="4"/>
  <c r="BQ19" i="4"/>
  <c r="AN19" i="4"/>
  <c r="AL19" i="4"/>
  <c r="CP19" i="4"/>
  <c r="CN19" i="4"/>
  <c r="CH19" i="4"/>
  <c r="CE19" i="4"/>
  <c r="CF19" i="4"/>
  <c r="CC84" i="4"/>
  <c r="CE84" i="4"/>
  <c r="CN84" i="4"/>
  <c r="CH84" i="4"/>
  <c r="AN84" i="4"/>
  <c r="AL84" i="4"/>
  <c r="BQ84" i="4"/>
  <c r="CF84" i="4"/>
  <c r="CP84" i="4"/>
  <c r="CG84" i="4"/>
  <c r="CO84" i="4"/>
  <c r="BO84" i="4"/>
  <c r="AF84" i="4"/>
  <c r="CM84" i="4"/>
  <c r="AC84" i="4"/>
  <c r="CD84" i="4"/>
  <c r="CL84" i="4"/>
  <c r="CK84" i="4"/>
  <c r="CL67" i="4"/>
  <c r="CK67" i="4"/>
  <c r="AL67" i="4"/>
  <c r="CG67" i="4"/>
  <c r="AC67" i="4"/>
  <c r="CC67" i="4"/>
  <c r="CF67" i="4"/>
  <c r="CD67" i="4"/>
  <c r="AN67" i="4"/>
  <c r="CE67" i="4"/>
  <c r="CI67" i="4"/>
  <c r="CM67" i="4"/>
  <c r="CN67" i="4"/>
  <c r="BQ67" i="4"/>
  <c r="CP67" i="4"/>
  <c r="CH67" i="4"/>
  <c r="CO67" i="4"/>
  <c r="BO67" i="4"/>
  <c r="AF67" i="4"/>
  <c r="CF34" i="4"/>
  <c r="CL34" i="4"/>
  <c r="CI34" i="4"/>
  <c r="AF34" i="4"/>
  <c r="CP34" i="4"/>
  <c r="AN34" i="4"/>
  <c r="CH34" i="4"/>
  <c r="CG34" i="4"/>
  <c r="CN34" i="4"/>
  <c r="CC34" i="4"/>
  <c r="CE34" i="4"/>
  <c r="AC34" i="4"/>
  <c r="CK34" i="4"/>
  <c r="BO34" i="4"/>
  <c r="CD34" i="4"/>
  <c r="CO34" i="4"/>
  <c r="CM34" i="4"/>
  <c r="AL34" i="4"/>
  <c r="BQ34" i="4"/>
  <c r="AL50" i="4"/>
  <c r="CO50" i="4"/>
  <c r="CC50" i="4"/>
  <c r="CP50" i="4"/>
  <c r="CG50" i="4"/>
  <c r="CK50" i="4"/>
  <c r="CM50" i="4"/>
  <c r="BO50" i="4"/>
  <c r="CN50" i="4"/>
  <c r="CL50" i="4"/>
  <c r="CF50" i="4"/>
  <c r="BQ50" i="4"/>
  <c r="CD50" i="4"/>
  <c r="CI50" i="4"/>
  <c r="AF50" i="4"/>
  <c r="CH50" i="4"/>
  <c r="CE50" i="4"/>
  <c r="AC50" i="4"/>
  <c r="AN50" i="4"/>
  <c r="CF53" i="4"/>
  <c r="BX53" i="4" s="1"/>
  <c r="CH53" i="4"/>
  <c r="AC53" i="4"/>
  <c r="CL53" i="4"/>
  <c r="CN53" i="4"/>
  <c r="AL53" i="4"/>
  <c r="CK53" i="4"/>
  <c r="CO53" i="4"/>
  <c r="BO53" i="4"/>
  <c r="CI53" i="4"/>
  <c r="CD53" i="4"/>
  <c r="AN53" i="4"/>
  <c r="CM53" i="4"/>
  <c r="CP53" i="4"/>
  <c r="CE53" i="4"/>
  <c r="AF53" i="4"/>
  <c r="CG53" i="4"/>
  <c r="CC53" i="4"/>
  <c r="BQ53" i="4"/>
  <c r="CI70" i="4"/>
  <c r="CK70" i="4"/>
  <c r="CM70" i="4"/>
  <c r="AL70" i="4"/>
  <c r="AF70" i="4"/>
  <c r="CG70" i="4"/>
  <c r="CN70" i="4"/>
  <c r="CF70" i="4"/>
  <c r="CC70" i="4"/>
  <c r="CH70" i="4"/>
  <c r="CL70" i="4"/>
  <c r="CP70" i="4"/>
  <c r="CO70" i="4"/>
  <c r="AC70" i="4"/>
  <c r="BO70" i="4"/>
  <c r="BQ70" i="4"/>
  <c r="AN70" i="4"/>
  <c r="CD70" i="4"/>
  <c r="CE70" i="4"/>
  <c r="AL30" i="4"/>
  <c r="CG30" i="4"/>
  <c r="CE30" i="4"/>
  <c r="AF30" i="4"/>
  <c r="CL30" i="4"/>
  <c r="CH30" i="4"/>
  <c r="CI30" i="4"/>
  <c r="BO30" i="4"/>
  <c r="CP30" i="4"/>
  <c r="BQ30" i="4"/>
  <c r="CC30" i="4"/>
  <c r="CN30" i="4"/>
  <c r="CK30" i="4"/>
  <c r="AN30" i="4"/>
  <c r="CF30" i="4"/>
  <c r="CO30" i="4"/>
  <c r="CM30" i="4"/>
  <c r="CD30" i="4"/>
  <c r="AC30" i="4"/>
  <c r="CH64" i="4"/>
  <c r="BQ64" i="4"/>
  <c r="CC64" i="4"/>
  <c r="AF64" i="4"/>
  <c r="CK64" i="4"/>
  <c r="CO64" i="4"/>
  <c r="CM64" i="4"/>
  <c r="CP64" i="4"/>
  <c r="AL64" i="4"/>
  <c r="CF64" i="4"/>
  <c r="BO64" i="4"/>
  <c r="CE64" i="4"/>
  <c r="CG64" i="4"/>
  <c r="CI64" i="4"/>
  <c r="AN64" i="4"/>
  <c r="CD64" i="4"/>
  <c r="CL64" i="4"/>
  <c r="CN64" i="4"/>
  <c r="AC64" i="4"/>
  <c r="AL8" i="4"/>
  <c r="CD8" i="4"/>
  <c r="AC8" i="4"/>
  <c r="AN8" i="4"/>
  <c r="CH8" i="4"/>
  <c r="BO8" i="4"/>
  <c r="CL8" i="4"/>
  <c r="CI8" i="4"/>
  <c r="CF8" i="4"/>
  <c r="BX8" i="4" s="1"/>
  <c r="BQ8" i="4"/>
  <c r="CE8" i="4"/>
  <c r="AF8" i="4"/>
  <c r="CN8" i="4"/>
  <c r="CP8" i="4"/>
  <c r="CM8" i="4"/>
  <c r="CG8" i="4"/>
  <c r="CC8" i="4"/>
  <c r="CK8" i="4"/>
  <c r="CO8" i="4"/>
  <c r="CG66" i="4"/>
  <c r="BQ66" i="4"/>
  <c r="CM66" i="4"/>
  <c r="CO66" i="4"/>
  <c r="CN66" i="4"/>
  <c r="CP66" i="4"/>
  <c r="AF66" i="4"/>
  <c r="AC66" i="4"/>
  <c r="CI66" i="4"/>
  <c r="CH66" i="4"/>
  <c r="CL66" i="4"/>
  <c r="CC66" i="4"/>
  <c r="CK66" i="4"/>
  <c r="AL66" i="4"/>
  <c r="AN66" i="4"/>
  <c r="CF66" i="4"/>
  <c r="CD66" i="4"/>
  <c r="CE66" i="4"/>
  <c r="BO66" i="4"/>
  <c r="AL82" i="4"/>
  <c r="CG82" i="4"/>
  <c r="CM82" i="4"/>
  <c r="AC82" i="4"/>
  <c r="AN82" i="4"/>
  <c r="CC82" i="4"/>
  <c r="CI82" i="4"/>
  <c r="CE82" i="4"/>
  <c r="BO82" i="4"/>
  <c r="CL82" i="4"/>
  <c r="BQ82" i="4"/>
  <c r="CP82" i="4"/>
  <c r="CH82" i="4"/>
  <c r="CF82" i="4"/>
  <c r="CD82" i="4"/>
  <c r="CN82" i="4"/>
  <c r="CK82" i="4"/>
  <c r="AF82" i="4"/>
  <c r="CO82" i="4"/>
  <c r="CG26" i="4"/>
  <c r="CN26" i="4"/>
  <c r="CP26" i="4"/>
  <c r="CK26" i="4"/>
  <c r="CF26" i="4"/>
  <c r="CC26" i="4"/>
  <c r="CO26" i="4"/>
  <c r="CL26" i="4"/>
  <c r="AN26" i="4"/>
  <c r="AF26" i="4"/>
  <c r="CI26" i="4"/>
  <c r="BQ26" i="4"/>
  <c r="AC26" i="4"/>
  <c r="CD26" i="4"/>
  <c r="CE26" i="4"/>
  <c r="CM26" i="4"/>
  <c r="CH26" i="4"/>
  <c r="AL26" i="4"/>
  <c r="BO26" i="4"/>
  <c r="CP79" i="4"/>
  <c r="CE79" i="4"/>
  <c r="CM79" i="4"/>
  <c r="CC79" i="4"/>
  <c r="AL79" i="4"/>
  <c r="CD79" i="4"/>
  <c r="CF79" i="4"/>
  <c r="CN79" i="4"/>
  <c r="CG79" i="4"/>
  <c r="AF79" i="4"/>
  <c r="CH79" i="4"/>
  <c r="BO79" i="4"/>
  <c r="CO79" i="4"/>
  <c r="AN79" i="4"/>
  <c r="BQ79" i="4"/>
  <c r="AC79" i="4"/>
  <c r="CL79" i="4"/>
  <c r="CI79" i="4"/>
  <c r="CK79" i="4"/>
  <c r="BQ14" i="4"/>
  <c r="CK14" i="4"/>
  <c r="CO14" i="4"/>
  <c r="CL14" i="4"/>
  <c r="CN14" i="4"/>
  <c r="CF14" i="4"/>
  <c r="BO14" i="4"/>
  <c r="AL14" i="4"/>
  <c r="CH14" i="4"/>
  <c r="CC14" i="4"/>
  <c r="AC14" i="4"/>
  <c r="AN14" i="4"/>
  <c r="CD14" i="4"/>
  <c r="CG14" i="4"/>
  <c r="CM14" i="4"/>
  <c r="CE14" i="4"/>
  <c r="AF14" i="4"/>
  <c r="CP14" i="4"/>
  <c r="CH49" i="4"/>
  <c r="CD49" i="4"/>
  <c r="CO49" i="4"/>
  <c r="CN49" i="4"/>
  <c r="CK49" i="4"/>
  <c r="CP49" i="4"/>
  <c r="CG49" i="4"/>
  <c r="BQ49" i="4"/>
  <c r="BO49" i="4"/>
  <c r="CE49" i="4"/>
  <c r="AF49" i="4"/>
  <c r="CF49" i="4"/>
  <c r="AN49" i="4"/>
  <c r="CI49" i="4"/>
  <c r="AL49" i="4"/>
  <c r="CM49" i="4"/>
  <c r="CC49" i="4"/>
  <c r="CL49" i="4"/>
  <c r="AC49" i="4"/>
  <c r="CD87" i="4"/>
  <c r="CL87" i="4"/>
  <c r="CK87" i="4"/>
  <c r="CG87" i="4"/>
  <c r="AF87" i="4"/>
  <c r="CC87" i="4"/>
  <c r="AL87" i="4"/>
  <c r="CM87" i="4"/>
  <c r="CP87" i="4"/>
  <c r="CF87" i="4"/>
  <c r="BQ87" i="4"/>
  <c r="AC87" i="4"/>
  <c r="CN87" i="4"/>
  <c r="BO87" i="4"/>
  <c r="CH87" i="4"/>
  <c r="AN87" i="4"/>
  <c r="CE87" i="4"/>
  <c r="CI87" i="4"/>
  <c r="CO87" i="4"/>
  <c r="AN13" i="4"/>
  <c r="CG13" i="4"/>
  <c r="CO13" i="4"/>
  <c r="CI13" i="4"/>
  <c r="AC13" i="4"/>
  <c r="CL13" i="4"/>
  <c r="CE13" i="4"/>
  <c r="AF13" i="4"/>
  <c r="CC13" i="4"/>
  <c r="CH13" i="4"/>
  <c r="CM13" i="4"/>
  <c r="CD13" i="4"/>
  <c r="CP13" i="4"/>
  <c r="CK13" i="4"/>
  <c r="BO13" i="4"/>
  <c r="BQ13" i="4"/>
  <c r="AL13" i="4"/>
  <c r="CN13" i="4"/>
  <c r="CF13" i="4"/>
  <c r="CN12" i="4"/>
  <c r="CE12" i="4"/>
  <c r="CD12" i="4"/>
  <c r="CM12" i="4"/>
  <c r="AN12" i="4"/>
  <c r="CG12" i="4"/>
  <c r="AF12" i="4"/>
  <c r="CL12" i="4"/>
  <c r="CH12" i="4"/>
  <c r="CO12" i="4"/>
  <c r="CF12" i="4"/>
  <c r="BO12" i="4"/>
  <c r="BQ12" i="4"/>
  <c r="CP12" i="4"/>
  <c r="CK12" i="4"/>
  <c r="CC12" i="4"/>
  <c r="AC12" i="4"/>
  <c r="AL12" i="4"/>
  <c r="CK41" i="4"/>
  <c r="CO41" i="4"/>
  <c r="CL41" i="4"/>
  <c r="CH41" i="4"/>
  <c r="CM41" i="4"/>
  <c r="AN41" i="4"/>
  <c r="AC41" i="4"/>
  <c r="CD41" i="4"/>
  <c r="CN41" i="4"/>
  <c r="CE41" i="4"/>
  <c r="CP41" i="4"/>
  <c r="CF41" i="4"/>
  <c r="CG41" i="4"/>
  <c r="AL41" i="4"/>
  <c r="BO41" i="4"/>
  <c r="BQ41" i="4"/>
  <c r="CC41" i="4"/>
  <c r="AF41" i="4"/>
  <c r="CO83" i="4"/>
  <c r="CM83" i="4"/>
  <c r="CH83" i="4"/>
  <c r="AF83" i="4"/>
  <c r="AN83" i="4"/>
  <c r="CF83" i="4"/>
  <c r="CP83" i="4"/>
  <c r="BO83" i="4"/>
  <c r="CL83" i="4"/>
  <c r="BQ83" i="4"/>
  <c r="CC83" i="4"/>
  <c r="CD83" i="4"/>
  <c r="CK83" i="4"/>
  <c r="CG83" i="4"/>
  <c r="AC83" i="4"/>
  <c r="CI83" i="4"/>
  <c r="CE83" i="4"/>
  <c r="CN83" i="4"/>
  <c r="AL83" i="4"/>
  <c r="AF69" i="4"/>
  <c r="CH69" i="4"/>
  <c r="BQ69" i="4"/>
  <c r="CF69" i="4"/>
  <c r="CD69" i="4"/>
  <c r="CG69" i="4"/>
  <c r="AC69" i="4"/>
  <c r="BO69" i="4"/>
  <c r="CC69" i="4"/>
  <c r="CM69" i="4"/>
  <c r="CO69" i="4"/>
  <c r="CP69" i="4"/>
  <c r="CE69" i="4"/>
  <c r="CI69" i="4"/>
  <c r="CK69" i="4"/>
  <c r="AN69" i="4"/>
  <c r="AL69" i="4"/>
  <c r="CN69" i="4"/>
  <c r="CL69" i="4"/>
  <c r="CF44" i="4"/>
  <c r="CD44" i="4"/>
  <c r="CO44" i="4"/>
  <c r="CC44" i="4"/>
  <c r="AL44" i="4"/>
  <c r="CI44" i="4"/>
  <c r="CN44" i="4"/>
  <c r="AF44" i="4"/>
  <c r="BO44" i="4"/>
  <c r="CE44" i="4"/>
  <c r="AN44" i="4"/>
  <c r="CK44" i="4"/>
  <c r="CH44" i="4"/>
  <c r="CG44" i="4"/>
  <c r="CP44" i="4"/>
  <c r="CM44" i="4"/>
  <c r="BQ44" i="4"/>
  <c r="AC44" i="4"/>
  <c r="CL44" i="4"/>
  <c r="CI47" i="4"/>
  <c r="CP47" i="4"/>
  <c r="CM47" i="4"/>
  <c r="CK47" i="4"/>
  <c r="CD47" i="4"/>
  <c r="AL47" i="4"/>
  <c r="CG47" i="4"/>
  <c r="CL47" i="4"/>
  <c r="CE47" i="4"/>
  <c r="BQ47" i="4"/>
  <c r="AN47" i="4"/>
  <c r="CF47" i="4"/>
  <c r="CN47" i="4"/>
  <c r="CO47" i="4"/>
  <c r="AC47" i="4"/>
  <c r="AF47" i="4"/>
  <c r="BO47" i="4"/>
  <c r="CC47" i="4"/>
  <c r="CH47" i="4"/>
  <c r="CF31" i="4"/>
  <c r="CP31" i="4"/>
  <c r="AF31" i="4"/>
  <c r="CG31" i="4"/>
  <c r="BO31" i="4"/>
  <c r="CC31" i="4"/>
  <c r="CO31" i="4"/>
  <c r="CI31" i="4"/>
  <c r="CN31" i="4"/>
  <c r="CD31" i="4"/>
  <c r="AN31" i="4"/>
  <c r="CH31" i="4"/>
  <c r="CL31" i="4"/>
  <c r="CK31" i="4"/>
  <c r="CE31" i="4"/>
  <c r="BQ31" i="4"/>
  <c r="AC31" i="4"/>
  <c r="AL31" i="4"/>
  <c r="CM31" i="4"/>
  <c r="CL65" i="4"/>
  <c r="CF65" i="4"/>
  <c r="AN65" i="4"/>
  <c r="CC65" i="4"/>
  <c r="CK65" i="4"/>
  <c r="AF65" i="4"/>
  <c r="CM65" i="4"/>
  <c r="CG65" i="4"/>
  <c r="CN65" i="4"/>
  <c r="CP65" i="4"/>
  <c r="CE65" i="4"/>
  <c r="BQ65" i="4"/>
  <c r="AC65" i="4"/>
  <c r="CO65" i="4"/>
  <c r="CD65" i="4"/>
  <c r="CH65" i="4"/>
  <c r="AL65" i="4"/>
  <c r="BO65" i="4"/>
  <c r="CI65" i="4"/>
  <c r="AN46" i="4"/>
  <c r="CD46" i="4"/>
  <c r="CP46" i="4"/>
  <c r="CH46" i="4"/>
  <c r="CF46" i="4"/>
  <c r="CC46" i="4"/>
  <c r="CI46" i="4"/>
  <c r="BQ46" i="4"/>
  <c r="BO46" i="4"/>
  <c r="CE46" i="4"/>
  <c r="CG46" i="4"/>
  <c r="AF46" i="4"/>
  <c r="CM46" i="4"/>
  <c r="CL46" i="4"/>
  <c r="CO46" i="4"/>
  <c r="CK46" i="4"/>
  <c r="CN46" i="4"/>
  <c r="AC46" i="4"/>
  <c r="AL46" i="4"/>
  <c r="CD35" i="4"/>
  <c r="CE35" i="4"/>
  <c r="AL35" i="4"/>
  <c r="AF35" i="4"/>
  <c r="CL35" i="4"/>
  <c r="CN35" i="4"/>
  <c r="CG35" i="4"/>
  <c r="AC35" i="4"/>
  <c r="BO35" i="4"/>
  <c r="BQ35" i="4"/>
  <c r="CO35" i="4"/>
  <c r="CI35" i="4"/>
  <c r="CM35" i="4"/>
  <c r="AN35" i="4"/>
  <c r="CK35" i="4"/>
  <c r="CH35" i="4"/>
  <c r="CP35" i="4"/>
  <c r="CC35" i="4"/>
  <c r="CF35" i="4"/>
  <c r="CP63" i="4"/>
  <c r="CM63" i="4"/>
  <c r="CD63" i="4"/>
  <c r="AN63" i="4"/>
  <c r="CG63" i="4"/>
  <c r="CC63" i="4"/>
  <c r="BQ63" i="4"/>
  <c r="AL63" i="4"/>
  <c r="CN63" i="4"/>
  <c r="CO63" i="4"/>
  <c r="CF63" i="4"/>
  <c r="AC63" i="4"/>
  <c r="CE63" i="4"/>
  <c r="CH63" i="4"/>
  <c r="CL63" i="4"/>
  <c r="BO63" i="4"/>
  <c r="CK63" i="4"/>
  <c r="AF63" i="4"/>
  <c r="AL62" i="4"/>
  <c r="CK62" i="4"/>
  <c r="CG62" i="4"/>
  <c r="CP62" i="4"/>
  <c r="CN62" i="4"/>
  <c r="CD62" i="4"/>
  <c r="BQ62" i="4"/>
  <c r="CM62" i="4"/>
  <c r="AN62" i="4"/>
  <c r="CC62" i="4"/>
  <c r="CH62" i="4"/>
  <c r="CF62" i="4"/>
  <c r="CL62" i="4"/>
  <c r="CE62" i="4"/>
  <c r="BO62" i="4"/>
  <c r="AC62" i="4"/>
  <c r="CO62" i="4"/>
  <c r="CI62" i="4"/>
  <c r="AF62" i="4"/>
  <c r="BO28" i="4"/>
  <c r="CH28" i="4"/>
  <c r="CG28" i="4"/>
  <c r="CM28" i="4"/>
  <c r="CE28" i="4"/>
  <c r="BQ28" i="4"/>
  <c r="AL28" i="4"/>
  <c r="CO28" i="4"/>
  <c r="CK28" i="4"/>
  <c r="CI28" i="4"/>
  <c r="CC28" i="4"/>
  <c r="CD28" i="4"/>
  <c r="AF28" i="4"/>
  <c r="CL28" i="4"/>
  <c r="CP28" i="4"/>
  <c r="AC28" i="4"/>
  <c r="CN28" i="4"/>
  <c r="CF28" i="4"/>
  <c r="AN28" i="4"/>
  <c r="CD52" i="4"/>
  <c r="BO52" i="4"/>
  <c r="CH52" i="4"/>
  <c r="CK52" i="4"/>
  <c r="CP52" i="4"/>
  <c r="CE52" i="4"/>
  <c r="CM52" i="4"/>
  <c r="CF52" i="4"/>
  <c r="BQ52" i="4"/>
  <c r="AF52" i="4"/>
  <c r="AN52" i="4"/>
  <c r="CN52" i="4"/>
  <c r="CL52" i="4"/>
  <c r="CC52" i="4"/>
  <c r="CO52" i="4"/>
  <c r="CG52" i="4"/>
  <c r="AL52" i="4"/>
  <c r="AC52" i="4"/>
  <c r="AG58" i="4"/>
  <c r="AH58" i="4"/>
  <c r="AL77" i="4"/>
  <c r="CP77" i="4"/>
  <c r="AF77" i="4"/>
  <c r="CH77" i="4"/>
  <c r="AN77" i="4"/>
  <c r="CG77" i="4"/>
  <c r="CO77" i="4"/>
  <c r="CM77" i="4"/>
  <c r="CN77" i="4"/>
  <c r="CC77" i="4"/>
  <c r="CD77" i="4"/>
  <c r="AC77" i="4"/>
  <c r="BO77" i="4"/>
  <c r="BQ77" i="4"/>
  <c r="CK77" i="4"/>
  <c r="CL77" i="4"/>
  <c r="CI77" i="4"/>
  <c r="CE77" i="4"/>
  <c r="CF77" i="4"/>
  <c r="AN24" i="4"/>
  <c r="CD24" i="4"/>
  <c r="CN24" i="4"/>
  <c r="CF24" i="4"/>
  <c r="CG24" i="4"/>
  <c r="BO24" i="4"/>
  <c r="CH24" i="4"/>
  <c r="CI24" i="4"/>
  <c r="CK24" i="4"/>
  <c r="CP24" i="4"/>
  <c r="AC24" i="4"/>
  <c r="CM24" i="4"/>
  <c r="AF24" i="4"/>
  <c r="CC24" i="4"/>
  <c r="AL24" i="4"/>
  <c r="CL24" i="4"/>
  <c r="CE24" i="4"/>
  <c r="BQ24" i="4"/>
  <c r="CO24" i="4"/>
  <c r="CL86" i="4"/>
  <c r="AL86" i="4"/>
  <c r="AN86" i="4"/>
  <c r="CM86" i="4"/>
  <c r="CP86" i="4"/>
  <c r="CC86" i="4"/>
  <c r="CG86" i="4"/>
  <c r="AF86" i="4"/>
  <c r="CK86" i="4"/>
  <c r="CF86" i="4"/>
  <c r="CH86" i="4"/>
  <c r="CO86" i="4"/>
  <c r="CD86" i="4"/>
  <c r="BO86" i="4"/>
  <c r="BQ86" i="4"/>
  <c r="AC86" i="4"/>
  <c r="CN86" i="4"/>
  <c r="CE86" i="4"/>
  <c r="CI54" i="4"/>
  <c r="AN54" i="4"/>
  <c r="CK54" i="4"/>
  <c r="CH54" i="4"/>
  <c r="CG54" i="4"/>
  <c r="CO54" i="4"/>
  <c r="CE54" i="4"/>
  <c r="CF54" i="4"/>
  <c r="BO54" i="4"/>
  <c r="CL54" i="4"/>
  <c r="CP54" i="4"/>
  <c r="AF54" i="4"/>
  <c r="CD54" i="4"/>
  <c r="BQ54" i="4"/>
  <c r="CC54" i="4"/>
  <c r="AL54" i="4"/>
  <c r="CN54" i="4"/>
  <c r="AC54" i="4"/>
  <c r="CM54" i="4"/>
  <c r="CI74" i="4"/>
  <c r="BO74" i="4"/>
  <c r="AC74" i="4"/>
  <c r="CG74" i="4"/>
  <c r="CK74" i="4"/>
  <c r="CL74" i="4"/>
  <c r="AF74" i="4"/>
  <c r="CF74" i="4"/>
  <c r="AN74" i="4"/>
  <c r="BQ74" i="4"/>
  <c r="AL74" i="4"/>
  <c r="CO74" i="4"/>
  <c r="CM74" i="4"/>
  <c r="CE74" i="4"/>
  <c r="CN74" i="4"/>
  <c r="CP74" i="4"/>
  <c r="CC74" i="4"/>
  <c r="CD74" i="4"/>
  <c r="CH74" i="4"/>
  <c r="CN11" i="4"/>
  <c r="CC11" i="4"/>
  <c r="CD11" i="4"/>
  <c r="CP11" i="4"/>
  <c r="CL11" i="4"/>
  <c r="BO11" i="4"/>
  <c r="AF11" i="4"/>
  <c r="BQ11" i="4"/>
  <c r="CH11" i="4"/>
  <c r="CI11" i="4"/>
  <c r="AC11" i="4"/>
  <c r="CF11" i="4"/>
  <c r="CM11" i="4"/>
  <c r="CO11" i="4"/>
  <c r="CE11" i="4"/>
  <c r="AL11" i="4"/>
  <c r="CK11" i="4"/>
  <c r="CG11" i="4"/>
  <c r="AN11" i="4"/>
  <c r="AO58" i="4"/>
  <c r="AP58" i="4"/>
  <c r="B58" i="1"/>
  <c r="BO40" i="4"/>
  <c r="CG40" i="4"/>
  <c r="BQ40" i="4"/>
  <c r="CH40" i="4"/>
  <c r="CM40" i="4"/>
  <c r="CC40" i="4"/>
  <c r="CF40" i="4"/>
  <c r="AF40" i="4"/>
  <c r="CO40" i="4"/>
  <c r="CK40" i="4"/>
  <c r="AN40" i="4"/>
  <c r="CN40" i="4"/>
  <c r="CE40" i="4"/>
  <c r="AL40" i="4"/>
  <c r="CD40" i="4"/>
  <c r="CL40" i="4"/>
  <c r="CP40" i="4"/>
  <c r="AC40" i="4"/>
  <c r="AC56" i="4"/>
  <c r="AL56" i="4"/>
  <c r="CF56" i="4"/>
  <c r="BQ56" i="4"/>
  <c r="BO56" i="4"/>
  <c r="CO56" i="4"/>
  <c r="CL56" i="4"/>
  <c r="CD56" i="4"/>
  <c r="AF56" i="4"/>
  <c r="CH56" i="4"/>
  <c r="CP56" i="4"/>
  <c r="CC56" i="4"/>
  <c r="CE56" i="4"/>
  <c r="CK56" i="4"/>
  <c r="CN56" i="4"/>
  <c r="AN56" i="4"/>
  <c r="CG56" i="4"/>
  <c r="CM56" i="4"/>
  <c r="CG25" i="4"/>
  <c r="AF25" i="4"/>
  <c r="BO25" i="4"/>
  <c r="CF25" i="4"/>
  <c r="CN25" i="4"/>
  <c r="CP25" i="4"/>
  <c r="CO25" i="4"/>
  <c r="CH25" i="4"/>
  <c r="CE25" i="4"/>
  <c r="CD25" i="4"/>
  <c r="CM25" i="4"/>
  <c r="CK25" i="4"/>
  <c r="AL25" i="4"/>
  <c r="AC25" i="4"/>
  <c r="CL25" i="4"/>
  <c r="CI25" i="4"/>
  <c r="CC25" i="4"/>
  <c r="BQ25" i="4"/>
  <c r="AN25" i="4"/>
  <c r="CP75" i="4"/>
  <c r="BO75" i="4"/>
  <c r="CC75" i="4"/>
  <c r="CO75" i="4"/>
  <c r="AN75" i="4"/>
  <c r="CG75" i="4"/>
  <c r="BQ75" i="4"/>
  <c r="CE75" i="4"/>
  <c r="CK75" i="4"/>
  <c r="CH75" i="4"/>
  <c r="AF75" i="4"/>
  <c r="AL75" i="4"/>
  <c r="CM75" i="4"/>
  <c r="CF75" i="4"/>
  <c r="AC75" i="4"/>
  <c r="CL75" i="4"/>
  <c r="CN75" i="4"/>
  <c r="CD75" i="4"/>
  <c r="AF91" i="4"/>
  <c r="CC91" i="4"/>
  <c r="AL91" i="4"/>
  <c r="AC91" i="4"/>
  <c r="CH91" i="4"/>
  <c r="CM91" i="4"/>
  <c r="BQ91" i="4"/>
  <c r="CK91" i="4"/>
  <c r="CF91" i="4"/>
  <c r="CP91" i="4"/>
  <c r="CL91" i="4"/>
  <c r="CO91" i="4"/>
  <c r="CE91" i="4"/>
  <c r="CG91" i="4"/>
  <c r="CD91" i="4"/>
  <c r="AN91" i="4"/>
  <c r="BO91" i="4"/>
  <c r="CN91" i="4"/>
  <c r="CN33" i="4"/>
  <c r="CP33" i="4"/>
  <c r="AL33" i="4"/>
  <c r="CH33" i="4"/>
  <c r="CI33" i="4"/>
  <c r="CF33" i="4"/>
  <c r="BQ33" i="4"/>
  <c r="AN33" i="4"/>
  <c r="CM33" i="4"/>
  <c r="BO33" i="4"/>
  <c r="CC33" i="4"/>
  <c r="CL33" i="4"/>
  <c r="AC33" i="4"/>
  <c r="CD33" i="4"/>
  <c r="CE33" i="4"/>
  <c r="CK33" i="4"/>
  <c r="CG33" i="4"/>
  <c r="AF33" i="4"/>
  <c r="CO33" i="4"/>
  <c r="A1874" i="13"/>
  <c r="A478" i="13"/>
  <c r="A976" i="13"/>
  <c r="AX976" i="13" s="1"/>
  <c r="AX78" i="13"/>
  <c r="A877" i="13"/>
  <c r="AX877" i="13" s="1"/>
  <c r="A777" i="13"/>
  <c r="AX478" i="13"/>
  <c r="A678" i="13"/>
  <c r="A1075" i="13"/>
  <c r="AX578" i="13"/>
  <c r="AX1075" i="13"/>
  <c r="A178" i="13"/>
  <c r="A578" i="13"/>
  <c r="AX678" i="13"/>
  <c r="A1174" i="13"/>
  <c r="D59" i="1"/>
  <c r="BV59" i="4" a="1"/>
  <c r="BV59" i="4" s="1"/>
  <c r="BW59" i="4" a="1"/>
  <c r="BW59" i="4" s="1"/>
  <c r="C59" i="4"/>
  <c r="A61" i="9"/>
  <c r="S91" i="22"/>
  <c r="A59" i="20"/>
  <c r="D59" i="4"/>
  <c r="BD59" i="4" a="1"/>
  <c r="BD59" i="4" s="1"/>
  <c r="D81" i="1"/>
  <c r="BD81" i="4" a="1"/>
  <c r="BD81" i="4" s="1"/>
  <c r="A83" i="9"/>
  <c r="BW81" i="4" a="1"/>
  <c r="BW81" i="4" s="1"/>
  <c r="BV81" i="4" a="1"/>
  <c r="BV81" i="4" s="1"/>
  <c r="A81" i="20"/>
  <c r="C81" i="4"/>
  <c r="D81" i="4"/>
  <c r="A72" i="20"/>
  <c r="BW72" i="4" a="1"/>
  <c r="BW72" i="4" s="1"/>
  <c r="A74" i="9"/>
  <c r="BV72" i="4" a="1"/>
  <c r="BV72" i="4" s="1"/>
  <c r="C72" i="4"/>
  <c r="D72" i="4"/>
  <c r="BD72" i="4" a="1"/>
  <c r="BD72" i="4" s="1"/>
  <c r="D72" i="1"/>
  <c r="A57" i="20"/>
  <c r="BV57" i="4" a="1"/>
  <c r="BV57" i="4" s="1"/>
  <c r="D57" i="4"/>
  <c r="BW57" i="4" a="1"/>
  <c r="BW57" i="4" s="1"/>
  <c r="D57" i="1"/>
  <c r="A59" i="9"/>
  <c r="S89" i="22"/>
  <c r="C57" i="4"/>
  <c r="BD57" i="4" a="1"/>
  <c r="BD57" i="4" s="1"/>
  <c r="AX577" i="13"/>
  <c r="A477" i="13"/>
  <c r="A177" i="13"/>
  <c r="AX677" i="13"/>
  <c r="A577" i="13"/>
  <c r="A1173" i="13"/>
  <c r="AX1074" i="13"/>
  <c r="AX77" i="13"/>
  <c r="A975" i="13"/>
  <c r="AX975" i="13" s="1"/>
  <c r="A776" i="13"/>
  <c r="A1074" i="13"/>
  <c r="A1873" i="13"/>
  <c r="AX477" i="13"/>
  <c r="A876" i="13"/>
  <c r="AX876" i="13" s="1"/>
  <c r="A677" i="13"/>
  <c r="M17" i="4"/>
  <c r="BD17" i="4" a="1"/>
  <c r="BD17" i="4" s="1"/>
  <c r="I17" i="4"/>
  <c r="AR5" i="71" s="1"/>
  <c r="A17" i="4"/>
  <c r="J485" i="15" s="1"/>
  <c r="BA17" i="4"/>
  <c r="A19" i="9"/>
  <c r="K17" i="4"/>
  <c r="AT17" i="4" s="1"/>
  <c r="AV619" i="13" s="1"/>
  <c r="A17" i="20"/>
  <c r="BT17" i="4"/>
  <c r="BV17" i="4" a="1"/>
  <c r="BV17" i="4" s="1"/>
  <c r="BW17" i="4" a="1"/>
  <c r="BW17" i="4" s="1"/>
  <c r="D17" i="1"/>
  <c r="C17" i="4"/>
  <c r="D17" i="4"/>
  <c r="BD42" i="4" a="1"/>
  <c r="BD42" i="4" s="1"/>
  <c r="A42" i="20"/>
  <c r="M42" i="4"/>
  <c r="A44" i="9"/>
  <c r="D42" i="1"/>
  <c r="BA42" i="4"/>
  <c r="BT42" i="4"/>
  <c r="A42" i="4"/>
  <c r="BW42" i="4" a="1"/>
  <c r="BW42" i="4" s="1"/>
  <c r="I42" i="4"/>
  <c r="C42" i="4"/>
  <c r="BV42" i="4" a="1"/>
  <c r="BV42" i="4" s="1"/>
  <c r="K42" i="4"/>
  <c r="AT42" i="4" s="1"/>
  <c r="AV644" i="13" s="1"/>
  <c r="D42" i="4"/>
  <c r="A792" i="13"/>
  <c r="A991" i="13"/>
  <c r="AX991" i="13" s="1"/>
  <c r="A693" i="13"/>
  <c r="A1189" i="13"/>
  <c r="A1090" i="13"/>
  <c r="A892" i="13"/>
  <c r="AX892" i="13" s="1"/>
  <c r="A193" i="13"/>
  <c r="A1889" i="13"/>
  <c r="AX593" i="13"/>
  <c r="A493" i="13"/>
  <c r="AX93" i="13"/>
  <c r="AX493" i="13"/>
  <c r="AX1090" i="13"/>
  <c r="AX693" i="13"/>
  <c r="A593" i="13"/>
  <c r="D61" i="1"/>
  <c r="BD61" i="4" a="1"/>
  <c r="BD61" i="4" s="1"/>
  <c r="A63" i="9"/>
  <c r="A61" i="20"/>
  <c r="BV61" i="4" a="1"/>
  <c r="BV61" i="4" s="1"/>
  <c r="S93" i="22"/>
  <c r="BW61" i="4" a="1"/>
  <c r="BW61" i="4" s="1"/>
  <c r="C61" i="4"/>
  <c r="D61" i="4"/>
  <c r="A933" i="13"/>
  <c r="AX933" i="13" s="1"/>
  <c r="A734" i="13"/>
  <c r="AX635" i="13"/>
  <c r="AX535" i="13"/>
  <c r="AX435" i="13"/>
  <c r="A435" i="13"/>
  <c r="A135" i="13"/>
  <c r="A1131" i="13"/>
  <c r="A635" i="13"/>
  <c r="A834" i="13"/>
  <c r="AX834" i="13" s="1"/>
  <c r="AX1032" i="13"/>
  <c r="A1032" i="13"/>
  <c r="AX35" i="13"/>
  <c r="A1831" i="13"/>
  <c r="A535" i="13"/>
  <c r="D5" i="1"/>
  <c r="BV5" i="4" a="1"/>
  <c r="BV5" i="4" s="1"/>
  <c r="BD5" i="4" a="1"/>
  <c r="BD5" i="4" s="1"/>
  <c r="BT5" i="4"/>
  <c r="A7" i="9"/>
  <c r="C5" i="4"/>
  <c r="I5" i="4"/>
  <c r="H17" i="71" s="1"/>
  <c r="M5" i="4"/>
  <c r="D5" i="4"/>
  <c r="BA5" i="4"/>
  <c r="K5" i="4"/>
  <c r="AT5" i="4" s="1"/>
  <c r="AV607" i="13" s="1"/>
  <c r="A5" i="4"/>
  <c r="BW5" i="4" a="1"/>
  <c r="BW5" i="4" s="1"/>
  <c r="A5" i="20"/>
  <c r="AY710" i="13"/>
  <c r="T12" i="71"/>
  <c r="T36" i="71"/>
  <c r="AR30" i="71"/>
  <c r="W14" i="71"/>
  <c r="T9" i="71"/>
  <c r="W11" i="71"/>
  <c r="T20" i="71"/>
  <c r="T32" i="71"/>
  <c r="T24" i="71"/>
  <c r="T19" i="71"/>
  <c r="H9" i="71"/>
  <c r="AR36" i="71"/>
  <c r="J564" i="15"/>
  <c r="AR23" i="71"/>
  <c r="T22" i="71"/>
  <c r="W13" i="71"/>
  <c r="T15" i="71"/>
  <c r="AR17" i="71"/>
  <c r="AR4" i="71"/>
  <c r="T17" i="71"/>
  <c r="T29" i="71"/>
  <c r="AR16" i="71"/>
  <c r="U38" i="71"/>
  <c r="T35" i="71"/>
  <c r="T25" i="71"/>
  <c r="W31" i="71"/>
  <c r="T10" i="71"/>
  <c r="H32" i="71"/>
  <c r="AR27" i="71"/>
  <c r="T18" i="71"/>
  <c r="W9" i="71"/>
  <c r="T28" i="71"/>
  <c r="W16" i="71"/>
  <c r="AR25" i="71"/>
  <c r="W20" i="71"/>
  <c r="W30" i="71"/>
  <c r="AR20" i="71"/>
  <c r="W33" i="71"/>
  <c r="T4" i="71"/>
  <c r="H22" i="71"/>
  <c r="W35" i="71"/>
  <c r="AR13" i="71"/>
  <c r="T6" i="71"/>
  <c r="J563" i="15"/>
  <c r="H36" i="71"/>
  <c r="T30" i="71"/>
  <c r="W17" i="71"/>
  <c r="V19" i="22"/>
  <c r="J663" i="15"/>
  <c r="Z1807" i="13"/>
  <c r="B1807" i="13" s="1" a="1"/>
  <c r="B1807" i="13" s="1"/>
  <c r="W28" i="71"/>
  <c r="W6" i="71"/>
  <c r="W7" i="71"/>
  <c r="H26" i="71"/>
  <c r="H10" i="71"/>
  <c r="W8" i="71"/>
  <c r="T33" i="71"/>
  <c r="W12" i="71"/>
  <c r="W4" i="71"/>
  <c r="AR22" i="71"/>
  <c r="T13" i="71"/>
  <c r="H11" i="9"/>
  <c r="T27" i="71"/>
  <c r="W10" i="71"/>
  <c r="W23" i="71"/>
  <c r="W36" i="71"/>
  <c r="H18" i="71"/>
  <c r="W22" i="71"/>
  <c r="H19" i="71"/>
  <c r="AS38" i="71"/>
  <c r="T7" i="71"/>
  <c r="T34" i="71"/>
  <c r="T16" i="71"/>
  <c r="V22" i="22"/>
  <c r="T11" i="71"/>
  <c r="AR35" i="71"/>
  <c r="W24" i="71"/>
  <c r="AR11" i="71"/>
  <c r="W26" i="71"/>
  <c r="T5" i="71"/>
  <c r="AR15" i="71"/>
  <c r="AR14" i="71"/>
  <c r="AR28" i="71"/>
  <c r="T8" i="71"/>
  <c r="AR9" i="71"/>
  <c r="X38" i="71"/>
  <c r="T23" i="71"/>
  <c r="W22" i="22"/>
  <c r="Y22" i="22" s="1"/>
  <c r="W5" i="71"/>
  <c r="W15" i="71"/>
  <c r="T21" i="71"/>
  <c r="W25" i="71"/>
  <c r="AV710" i="13"/>
  <c r="T31" i="71"/>
  <c r="J565" i="15"/>
  <c r="W32" i="71"/>
  <c r="W34" i="71"/>
  <c r="W18" i="71"/>
  <c r="W27" i="71"/>
  <c r="H33" i="71"/>
  <c r="AR24" i="71"/>
  <c r="T26" i="71"/>
  <c r="AR26" i="71"/>
  <c r="W19" i="71"/>
  <c r="AR18" i="71"/>
  <c r="J9" i="72"/>
  <c r="Z1508" i="13"/>
  <c r="AA10" i="72" a="1"/>
  <c r="AA10" i="72" s="1"/>
  <c r="BK10" i="72"/>
  <c r="N10" i="72" a="1"/>
  <c r="N10" i="72" s="1"/>
  <c r="Z1509" i="13"/>
  <c r="AR10" i="71"/>
  <c r="AY711" i="13"/>
  <c r="Z1808" i="13"/>
  <c r="B1808" i="13" s="1" a="1"/>
  <c r="B1808" i="13" s="1"/>
  <c r="W9" i="72"/>
  <c r="AB10" i="72"/>
  <c r="Q10" i="72"/>
  <c r="A10" i="69"/>
  <c r="A10" i="72"/>
  <c r="AP10" i="72"/>
  <c r="AR6" i="71"/>
  <c r="A9" i="69"/>
  <c r="W9" i="69"/>
  <c r="N9" i="72" a="1"/>
  <c r="N9" i="72" s="1"/>
  <c r="BK9" i="72"/>
  <c r="A9" i="72"/>
  <c r="AS10" i="69"/>
  <c r="AM10" i="72"/>
  <c r="AR31" i="71"/>
  <c r="P9" i="69"/>
  <c r="AM9" i="72"/>
  <c r="BB10" i="69"/>
  <c r="L10" i="69"/>
  <c r="W10" i="72"/>
  <c r="BL10" i="72"/>
  <c r="AQ9" i="72"/>
  <c r="H12" i="9"/>
  <c r="Q10" i="69"/>
  <c r="P10" i="69"/>
  <c r="AV1504" i="13"/>
  <c r="AV1603" i="13" s="1"/>
  <c r="AC9" i="72"/>
  <c r="AC9" i="69"/>
  <c r="BL9" i="72"/>
  <c r="AV711" i="13"/>
  <c r="Y9" i="69"/>
  <c r="H25" i="71"/>
  <c r="W21" i="71"/>
  <c r="BB9" i="69"/>
  <c r="AB9" i="69" a="1"/>
  <c r="AB9" i="69" s="1"/>
  <c r="AO10" i="72"/>
  <c r="AV1503" i="13"/>
  <c r="AV1602" i="13" s="1"/>
  <c r="AB10" i="69" a="1"/>
  <c r="AB10" i="69" s="1"/>
  <c r="J572" i="15"/>
  <c r="J575" i="15"/>
  <c r="H12" i="71"/>
  <c r="AR32" i="71"/>
  <c r="N9" i="69" a="1"/>
  <c r="N9" i="69" s="1"/>
  <c r="AP9" i="72"/>
  <c r="AQ10" i="72"/>
  <c r="Y10" i="72"/>
  <c r="AG10" i="72"/>
  <c r="L10" i="72"/>
  <c r="AC10" i="72"/>
  <c r="BB9" i="72"/>
  <c r="AG9" i="72"/>
  <c r="P10" i="72"/>
  <c r="J10" i="72"/>
  <c r="W19" i="22"/>
  <c r="Y19" i="22" s="1"/>
  <c r="AR21" i="71"/>
  <c r="AR34" i="71"/>
  <c r="AS9" i="69"/>
  <c r="AA9" i="72" a="1"/>
  <c r="AA9" i="72" s="1"/>
  <c r="W10" i="69"/>
  <c r="Y10" i="69"/>
  <c r="N10" i="69" a="1"/>
  <c r="N10" i="69" s="1"/>
  <c r="W29" i="71"/>
  <c r="AO9" i="72"/>
  <c r="BC9" i="69"/>
  <c r="Y9" i="72"/>
  <c r="BC10" i="69"/>
  <c r="AC10" i="69"/>
  <c r="J10" i="69"/>
  <c r="AV1405" i="13"/>
  <c r="T14" i="71"/>
  <c r="Q9" i="72"/>
  <c r="Q9" i="69"/>
  <c r="AB9" i="72"/>
  <c r="J9" i="69"/>
  <c r="P9" i="72"/>
  <c r="BB10" i="72"/>
  <c r="A1119" i="13"/>
  <c r="A423" i="13"/>
  <c r="A921" i="13"/>
  <c r="AX921" i="13" s="1"/>
  <c r="A523" i="13"/>
  <c r="A1020" i="13"/>
  <c r="AX623" i="13"/>
  <c r="AX423" i="13"/>
  <c r="A623" i="13"/>
  <c r="A123" i="13"/>
  <c r="AX1020" i="13"/>
  <c r="A822" i="13"/>
  <c r="AX822" i="13" s="1"/>
  <c r="A722" i="13"/>
  <c r="AX23" i="13"/>
  <c r="AX523" i="13"/>
  <c r="A1819" i="13"/>
  <c r="DE62" i="4"/>
  <c r="AV262" i="13"/>
  <c r="AX160" i="13"/>
  <c r="A260" i="13"/>
  <c r="BZ58" i="4" a="1"/>
  <c r="BZ58" i="4" s="1"/>
  <c r="CA58" i="4" a="1"/>
  <c r="CA58" i="4" s="1"/>
  <c r="BY58" i="4" s="1" a="1"/>
  <c r="BY58" i="4" s="1"/>
  <c r="A76" i="20"/>
  <c r="D76" i="4"/>
  <c r="C76" i="4"/>
  <c r="BW76" i="4" a="1"/>
  <c r="BW76" i="4" s="1"/>
  <c r="BD76" i="4" a="1"/>
  <c r="BD76" i="4" s="1"/>
  <c r="A78" i="9"/>
  <c r="BV76" i="4" a="1"/>
  <c r="BV76" i="4" s="1"/>
  <c r="D76" i="1"/>
  <c r="A1058" i="13"/>
  <c r="A461" i="13"/>
  <c r="A161" i="13"/>
  <c r="A661" i="13"/>
  <c r="A860" i="13"/>
  <c r="AX860" i="13" s="1"/>
  <c r="A1157" i="13"/>
  <c r="AX461" i="13"/>
  <c r="AX1058" i="13"/>
  <c r="AX61" i="13"/>
  <c r="AX561" i="13"/>
  <c r="A959" i="13"/>
  <c r="AX959" i="13" s="1"/>
  <c r="A561" i="13"/>
  <c r="A760" i="13"/>
  <c r="AX661" i="13"/>
  <c r="A1857" i="13"/>
  <c r="A918" i="13"/>
  <c r="AX918" i="13" s="1"/>
  <c r="A1116" i="13"/>
  <c r="AX620" i="13"/>
  <c r="A719" i="13"/>
  <c r="A420" i="13"/>
  <c r="A819" i="13"/>
  <c r="AX819" i="13" s="1"/>
  <c r="AX20" i="13"/>
  <c r="A120" i="13"/>
  <c r="A620" i="13"/>
  <c r="AX1017" i="13"/>
  <c r="A520" i="13"/>
  <c r="A1017" i="13"/>
  <c r="A1816" i="13"/>
  <c r="AX420" i="13"/>
  <c r="AX520" i="13"/>
  <c r="A1016" i="13"/>
  <c r="A1115" i="13"/>
  <c r="AX419" i="13"/>
  <c r="A917" i="13"/>
  <c r="AX917" i="13" s="1"/>
  <c r="A119" i="13"/>
  <c r="A1815" i="13"/>
  <c r="Z1815" i="13" s="1"/>
  <c r="B1815" i="13" s="1" a="1"/>
  <c r="B1815" i="13" s="1"/>
  <c r="A718" i="13"/>
  <c r="A419" i="13"/>
  <c r="AX1016" i="13"/>
  <c r="A619" i="13"/>
  <c r="AX19" i="13"/>
  <c r="A519" i="13"/>
  <c r="A818" i="13"/>
  <c r="AX818" i="13" s="1"/>
  <c r="AX519" i="13"/>
  <c r="AX619" i="13"/>
  <c r="AX618" i="13"/>
  <c r="A418" i="13"/>
  <c r="A916" i="13"/>
  <c r="AX916" i="13" s="1"/>
  <c r="A518" i="13"/>
  <c r="AX518" i="13"/>
  <c r="A618" i="13"/>
  <c r="A1814" i="13"/>
  <c r="A118" i="13"/>
  <c r="A1114" i="13"/>
  <c r="A1015" i="13"/>
  <c r="AX418" i="13"/>
  <c r="AX1015" i="13"/>
  <c r="A717" i="13"/>
  <c r="A817" i="13"/>
  <c r="AX817" i="13" s="1"/>
  <c r="AX18" i="13"/>
  <c r="BV68" i="4" a="1"/>
  <c r="BV68" i="4" s="1"/>
  <c r="BW68" i="4" a="1"/>
  <c r="BW68" i="4" s="1"/>
  <c r="D68" i="4"/>
  <c r="D68" i="1"/>
  <c r="C68" i="4"/>
  <c r="A68" i="20"/>
  <c r="BD68" i="4" a="1"/>
  <c r="BD68" i="4" s="1"/>
  <c r="A70" i="9"/>
  <c r="AX39" i="13"/>
  <c r="A539" i="13"/>
  <c r="A738" i="13"/>
  <c r="AX1036" i="13"/>
  <c r="A937" i="13"/>
  <c r="AX937" i="13" s="1"/>
  <c r="A639" i="13"/>
  <c r="A1036" i="13"/>
  <c r="AX539" i="13"/>
  <c r="A439" i="13"/>
  <c r="A838" i="13"/>
  <c r="AX838" i="13" s="1"/>
  <c r="A1835" i="13"/>
  <c r="A1135" i="13"/>
  <c r="AX439" i="13"/>
  <c r="A139" i="13"/>
  <c r="AX639" i="13"/>
  <c r="DE3" i="4"/>
  <c r="AX1695" i="13"/>
  <c r="AX1696" i="13" s="1"/>
  <c r="I1703" i="13"/>
  <c r="T3" i="4"/>
  <c r="AV205" i="13"/>
  <c r="BV48" i="4" a="1"/>
  <c r="BV48" i="4" s="1"/>
  <c r="D48" i="4"/>
  <c r="A50" i="9"/>
  <c r="A48" i="20"/>
  <c r="BT48" i="4"/>
  <c r="M48" i="4"/>
  <c r="BD48" i="4" a="1"/>
  <c r="BD48" i="4" s="1"/>
  <c r="A48" i="4"/>
  <c r="BA48" i="4"/>
  <c r="D48" i="1"/>
  <c r="BW48" i="4" a="1"/>
  <c r="BW48" i="4" s="1"/>
  <c r="C48" i="4"/>
  <c r="I48" i="4"/>
  <c r="K48" i="4"/>
  <c r="BA29" i="4"/>
  <c r="K29" i="4"/>
  <c r="M29" i="4"/>
  <c r="D29" i="4"/>
  <c r="A31" i="9"/>
  <c r="BW29" i="4" a="1"/>
  <c r="BW29" i="4" s="1"/>
  <c r="BT29" i="4"/>
  <c r="A29" i="20"/>
  <c r="A29" i="4"/>
  <c r="D29" i="1"/>
  <c r="BV29" i="4" a="1"/>
  <c r="BV29" i="4" s="1"/>
  <c r="C29" i="4"/>
  <c r="I29" i="4"/>
  <c r="BD29" i="4" a="1"/>
  <c r="BD29" i="4" s="1"/>
  <c r="C19" i="27"/>
  <c r="K5" i="27"/>
  <c r="K39" i="4"/>
  <c r="A39" i="20"/>
  <c r="BT39" i="4"/>
  <c r="D39" i="4"/>
  <c r="M39" i="4"/>
  <c r="BA39" i="4"/>
  <c r="C39" i="4"/>
  <c r="BV39" i="4" a="1"/>
  <c r="BV39" i="4" s="1"/>
  <c r="A39" i="4"/>
  <c r="I39" i="4"/>
  <c r="D39" i="1"/>
  <c r="BW39" i="4" a="1"/>
  <c r="BW39" i="4" s="1"/>
  <c r="A41" i="9"/>
  <c r="BD39" i="4" a="1"/>
  <c r="BD39" i="4" s="1"/>
  <c r="A1191" i="13"/>
  <c r="A1891" i="13"/>
  <c r="A1092" i="13"/>
  <c r="AX495" i="13"/>
  <c r="A695" i="13"/>
  <c r="AX595" i="13"/>
  <c r="A495" i="13"/>
  <c r="A794" i="13"/>
  <c r="AX1092" i="13"/>
  <c r="AX95" i="13"/>
  <c r="A195" i="13"/>
  <c r="A993" i="13"/>
  <c r="AX993" i="13" s="1"/>
  <c r="AX695" i="13"/>
  <c r="A595" i="13"/>
  <c r="A894" i="13"/>
  <c r="AX894" i="13" s="1"/>
  <c r="A1887" i="13"/>
  <c r="AX491" i="13"/>
  <c r="A491" i="13"/>
  <c r="A890" i="13"/>
  <c r="AX890" i="13" s="1"/>
  <c r="A1187" i="13"/>
  <c r="AX1088" i="13"/>
  <c r="A790" i="13"/>
  <c r="A1088" i="13"/>
  <c r="A191" i="13"/>
  <c r="A591" i="13"/>
  <c r="AX91" i="13"/>
  <c r="A691" i="13"/>
  <c r="AX691" i="13"/>
  <c r="AX591" i="13"/>
  <c r="A989" i="13"/>
  <c r="AX989" i="13" s="1"/>
  <c r="C45" i="4"/>
  <c r="A45" i="4"/>
  <c r="BA45" i="4"/>
  <c r="BT45" i="4"/>
  <c r="I45" i="4"/>
  <c r="BW45" i="4" a="1"/>
  <c r="BW45" i="4" s="1"/>
  <c r="M45" i="4"/>
  <c r="K45" i="4"/>
  <c r="A47" i="9"/>
  <c r="BV45" i="4" a="1"/>
  <c r="BV45" i="4" s="1"/>
  <c r="A45" i="20"/>
  <c r="D45" i="4"/>
  <c r="D45" i="1"/>
  <c r="BD45" i="4" a="1"/>
  <c r="BD45" i="4" s="1"/>
  <c r="BD21" i="4" a="1"/>
  <c r="BD21" i="4" s="1"/>
  <c r="C21" i="4"/>
  <c r="BV21" i="4" a="1"/>
  <c r="BV21" i="4" s="1"/>
  <c r="D21" i="1"/>
  <c r="BT21" i="4"/>
  <c r="A23" i="9"/>
  <c r="I21" i="4"/>
  <c r="D21" i="4"/>
  <c r="A21" i="20"/>
  <c r="BA21" i="4"/>
  <c r="BW21" i="4" a="1"/>
  <c r="BW21" i="4" s="1"/>
  <c r="M21" i="4"/>
  <c r="A21" i="4"/>
  <c r="J476" i="15" s="1"/>
  <c r="K21" i="4"/>
  <c r="BT18" i="4"/>
  <c r="BD18" i="4" a="1"/>
  <c r="BD18" i="4" s="1"/>
  <c r="BV18" i="4" a="1"/>
  <c r="BV18" i="4" s="1"/>
  <c r="D18" i="1"/>
  <c r="BW18" i="4" a="1"/>
  <c r="BW18" i="4" s="1"/>
  <c r="A20" i="9"/>
  <c r="M18" i="4"/>
  <c r="I18" i="4"/>
  <c r="AU22" i="71" s="1"/>
  <c r="C18" i="4"/>
  <c r="D18" i="4"/>
  <c r="BA18" i="4"/>
  <c r="A18" i="4"/>
  <c r="K18" i="4"/>
  <c r="AT18" i="4" s="1"/>
  <c r="AV620" i="13" s="1"/>
  <c r="A18" i="20"/>
  <c r="AX1014" i="13"/>
  <c r="AX17" i="13"/>
  <c r="AX417" i="13"/>
  <c r="A1014" i="13"/>
  <c r="A617" i="13"/>
  <c r="A716" i="13"/>
  <c r="A517" i="13"/>
  <c r="A1813" i="13"/>
  <c r="A117" i="13"/>
  <c r="A816" i="13"/>
  <c r="AX816" i="13" s="1"/>
  <c r="A915" i="13"/>
  <c r="AX915" i="13" s="1"/>
  <c r="AX617" i="13"/>
  <c r="A1113" i="13"/>
  <c r="A417" i="13"/>
  <c r="AX517" i="13"/>
  <c r="BV16" i="4" a="1"/>
  <c r="BV16" i="4" s="1"/>
  <c r="M16" i="4"/>
  <c r="A16" i="20"/>
  <c r="BT16" i="4"/>
  <c r="BW16" i="4" a="1"/>
  <c r="BW16" i="4" s="1"/>
  <c r="I16" i="4"/>
  <c r="K16" i="4"/>
  <c r="A18" i="9"/>
  <c r="D16" i="1"/>
  <c r="BD16" i="4" a="1"/>
  <c r="BD16" i="4" s="1"/>
  <c r="D16" i="4"/>
  <c r="C16" i="4"/>
  <c r="A16" i="4"/>
  <c r="BA16" i="4"/>
  <c r="A670" i="13"/>
  <c r="A470" i="13"/>
  <c r="A1166" i="13"/>
  <c r="AX570" i="13"/>
  <c r="A869" i="13"/>
  <c r="AX869" i="13" s="1"/>
  <c r="A170" i="13"/>
  <c r="AX470" i="13"/>
  <c r="A1067" i="13"/>
  <c r="A570" i="13"/>
  <c r="A1866" i="13"/>
  <c r="A968" i="13"/>
  <c r="AX968" i="13" s="1"/>
  <c r="AX1067" i="13"/>
  <c r="AX70" i="13"/>
  <c r="A769" i="13"/>
  <c r="AX670" i="13"/>
  <c r="C37" i="4"/>
  <c r="K37" i="4"/>
  <c r="M37" i="4"/>
  <c r="D37" i="1"/>
  <c r="BT37" i="4"/>
  <c r="A37" i="4"/>
  <c r="A37" i="20"/>
  <c r="I37" i="4"/>
  <c r="A39" i="9"/>
  <c r="BW37" i="4" a="1"/>
  <c r="BW37" i="4" s="1"/>
  <c r="BD37" i="4" a="1"/>
  <c r="BD37" i="4" s="1"/>
  <c r="D37" i="4"/>
  <c r="BA37" i="4"/>
  <c r="BV37" i="4" a="1"/>
  <c r="BV37" i="4" s="1"/>
  <c r="A29" i="9"/>
  <c r="A27" i="20"/>
  <c r="D27" i="1"/>
  <c r="M27" i="4"/>
  <c r="BV27" i="4" a="1"/>
  <c r="BV27" i="4" s="1"/>
  <c r="BA27" i="4"/>
  <c r="BW27" i="4" a="1"/>
  <c r="BW27" i="4" s="1"/>
  <c r="C27" i="4"/>
  <c r="K27" i="4"/>
  <c r="D27" i="4"/>
  <c r="BD27" i="4" a="1"/>
  <c r="BD27" i="4" s="1"/>
  <c r="I27" i="4"/>
  <c r="BT27" i="4"/>
  <c r="A27" i="4"/>
  <c r="A150" i="13"/>
  <c r="A450" i="13"/>
  <c r="A1846" i="13"/>
  <c r="AX1047" i="13"/>
  <c r="AX450" i="13"/>
  <c r="AX50" i="13"/>
  <c r="A1047" i="13"/>
  <c r="A948" i="13"/>
  <c r="AX948" i="13" s="1"/>
  <c r="A749" i="13"/>
  <c r="A849" i="13"/>
  <c r="AX849" i="13" s="1"/>
  <c r="AX650" i="13"/>
  <c r="A550" i="13"/>
  <c r="AX550" i="13"/>
  <c r="A650" i="13"/>
  <c r="A1146" i="13"/>
  <c r="A730" i="13"/>
  <c r="AX431" i="13"/>
  <c r="A631" i="13"/>
  <c r="A131" i="13"/>
  <c r="A1827" i="13"/>
  <c r="AX1028" i="13"/>
  <c r="AX631" i="13"/>
  <c r="AX31" i="13"/>
  <c r="A830" i="13"/>
  <c r="AX830" i="13" s="1"/>
  <c r="A1028" i="13"/>
  <c r="A431" i="13"/>
  <c r="A1127" i="13"/>
  <c r="AX531" i="13"/>
  <c r="A929" i="13"/>
  <c r="AX929" i="13" s="1"/>
  <c r="A531" i="13"/>
  <c r="B9" i="4"/>
  <c r="E178" i="15" s="1"/>
  <c r="BB9" i="4" a="1"/>
  <c r="BB9" i="4" s="1"/>
  <c r="BC9" i="4" s="1"/>
  <c r="AV111" i="13" s="1"/>
  <c r="A541" i="13"/>
  <c r="AX641" i="13"/>
  <c r="A641" i="13"/>
  <c r="A840" i="13"/>
  <c r="AX840" i="13" s="1"/>
  <c r="A939" i="13"/>
  <c r="AX939" i="13" s="1"/>
  <c r="AX41" i="13"/>
  <c r="A1038" i="13"/>
  <c r="AX441" i="13"/>
  <c r="A1837" i="13"/>
  <c r="A1137" i="13"/>
  <c r="A141" i="13"/>
  <c r="AX1038" i="13"/>
  <c r="A740" i="13"/>
  <c r="AX541" i="13"/>
  <c r="A441" i="13"/>
  <c r="C93" i="4"/>
  <c r="D93" i="4"/>
  <c r="BD93" i="4" a="1"/>
  <c r="BD93" i="4" s="1"/>
  <c r="BW93" i="4" a="1"/>
  <c r="BW93" i="4" s="1"/>
  <c r="D93" i="1"/>
  <c r="A95" i="9"/>
  <c r="A93" i="20"/>
  <c r="BV93" i="4" a="1"/>
  <c r="BV93" i="4" s="1"/>
  <c r="A91" i="9"/>
  <c r="D89" i="1"/>
  <c r="BV89" i="4" a="1"/>
  <c r="BV89" i="4" s="1"/>
  <c r="D89" i="4"/>
  <c r="BD89" i="4" a="1"/>
  <c r="BD89" i="4" s="1"/>
  <c r="A89" i="20"/>
  <c r="C89" i="4"/>
  <c r="BW89" i="4" a="1"/>
  <c r="BW89" i="4" s="1"/>
  <c r="AX1044" i="13"/>
  <c r="AX447" i="13"/>
  <c r="A945" i="13"/>
  <c r="AX945" i="13" s="1"/>
  <c r="A746" i="13"/>
  <c r="A547" i="13"/>
  <c r="AX47" i="13"/>
  <c r="A1044" i="13"/>
  <c r="A846" i="13"/>
  <c r="AX846" i="13" s="1"/>
  <c r="A447" i="13"/>
  <c r="AX647" i="13"/>
  <c r="A647" i="13"/>
  <c r="A147" i="13"/>
  <c r="A1143" i="13"/>
  <c r="A1843" i="13"/>
  <c r="AX547" i="13"/>
  <c r="A109" i="13"/>
  <c r="A609" i="13"/>
  <c r="A1105" i="13"/>
  <c r="A907" i="13"/>
  <c r="AX907" i="13" s="1"/>
  <c r="A808" i="13"/>
  <c r="AX808" i="13" s="1"/>
  <c r="AX609" i="13"/>
  <c r="A409" i="13"/>
  <c r="A509" i="13"/>
  <c r="A1805" i="13"/>
  <c r="AX409" i="13"/>
  <c r="A708" i="13"/>
  <c r="AX9" i="13"/>
  <c r="A1006" i="13"/>
  <c r="AX1006" i="13"/>
  <c r="AX509" i="13"/>
  <c r="D78" i="4"/>
  <c r="BV78" i="4" a="1"/>
  <c r="BV78" i="4" s="1"/>
  <c r="A80" i="9"/>
  <c r="C78" i="4"/>
  <c r="D78" i="1"/>
  <c r="BD78" i="4" a="1"/>
  <c r="BD78" i="4" s="1"/>
  <c r="A78" i="20"/>
  <c r="BW78" i="4" a="1"/>
  <c r="BW78" i="4" s="1"/>
  <c r="A53" i="9"/>
  <c r="BV51" i="4" a="1"/>
  <c r="BV51" i="4" s="1"/>
  <c r="BW51" i="4" a="1"/>
  <c r="BW51" i="4" s="1"/>
  <c r="D51" i="1"/>
  <c r="M51" i="4"/>
  <c r="BT51" i="4"/>
  <c r="BD51" i="4" a="1"/>
  <c r="BD51" i="4" s="1"/>
  <c r="C51" i="4"/>
  <c r="A51" i="20"/>
  <c r="I51" i="4"/>
  <c r="BA51" i="4"/>
  <c r="D51" i="4"/>
  <c r="K51" i="4"/>
  <c r="A51" i="4"/>
  <c r="AX434" i="13"/>
  <c r="A1830" i="13"/>
  <c r="AX1031" i="13"/>
  <c r="A434" i="13"/>
  <c r="A634" i="13"/>
  <c r="A932" i="13"/>
  <c r="AX932" i="13" s="1"/>
  <c r="AX34" i="13"/>
  <c r="A833" i="13"/>
  <c r="AX833" i="13" s="1"/>
  <c r="A534" i="13"/>
  <c r="A1130" i="13"/>
  <c r="A134" i="13"/>
  <c r="AX534" i="13"/>
  <c r="A1031" i="13"/>
  <c r="A733" i="13"/>
  <c r="AX634" i="13"/>
  <c r="A592" i="13"/>
  <c r="AX492" i="13"/>
  <c r="AX1089" i="13"/>
  <c r="A692" i="13"/>
  <c r="AX692" i="13"/>
  <c r="A891" i="13"/>
  <c r="AX891" i="13" s="1"/>
  <c r="A791" i="13"/>
  <c r="A192" i="13"/>
  <c r="AX592" i="13"/>
  <c r="A990" i="13"/>
  <c r="AX990" i="13" s="1"/>
  <c r="A1888" i="13"/>
  <c r="A1089" i="13"/>
  <c r="A492" i="13"/>
  <c r="A1188" i="13"/>
  <c r="AX92" i="13"/>
  <c r="A575" i="13"/>
  <c r="A874" i="13"/>
  <c r="AX874" i="13" s="1"/>
  <c r="A973" i="13"/>
  <c r="AX973" i="13" s="1"/>
  <c r="A1072" i="13"/>
  <c r="AX475" i="13"/>
  <c r="A1171" i="13"/>
  <c r="A175" i="13"/>
  <c r="A1871" i="13"/>
  <c r="AX1072" i="13"/>
  <c r="AX75" i="13"/>
  <c r="AX675" i="13"/>
  <c r="AX575" i="13"/>
  <c r="A774" i="13"/>
  <c r="A675" i="13"/>
  <c r="A475" i="13"/>
  <c r="BV15" i="4" a="1"/>
  <c r="BV15" i="4" s="1"/>
  <c r="BW15" i="4" a="1"/>
  <c r="BW15" i="4" s="1"/>
  <c r="A15" i="4"/>
  <c r="BA15" i="4"/>
  <c r="D15" i="1"/>
  <c r="D15" i="4"/>
  <c r="BD15" i="4" a="1"/>
  <c r="BD15" i="4" s="1"/>
  <c r="M15" i="4"/>
  <c r="C15" i="4"/>
  <c r="A15" i="20"/>
  <c r="K15" i="4"/>
  <c r="AT15" i="4" s="1"/>
  <c r="AV617" i="13" s="1"/>
  <c r="A17" i="9"/>
  <c r="I15" i="4"/>
  <c r="BT15" i="4"/>
  <c r="A638" i="13"/>
  <c r="AX1035" i="13"/>
  <c r="A438" i="13"/>
  <c r="A1035" i="13"/>
  <c r="A138" i="13"/>
  <c r="A737" i="13"/>
  <c r="A837" i="13"/>
  <c r="AX837" i="13" s="1"/>
  <c r="AX638" i="13"/>
  <c r="A1134" i="13"/>
  <c r="AX438" i="13"/>
  <c r="AX38" i="13"/>
  <c r="A936" i="13"/>
  <c r="AX936" i="13" s="1"/>
  <c r="AX538" i="13"/>
  <c r="A538" i="13"/>
  <c r="A1834" i="13"/>
  <c r="AX1201" i="13"/>
  <c r="A1300" i="13"/>
  <c r="D85" i="4"/>
  <c r="BV85" i="4" a="1"/>
  <c r="BV85" i="4" s="1"/>
  <c r="A87" i="9"/>
  <c r="BW85" i="4" a="1"/>
  <c r="BW85" i="4" s="1"/>
  <c r="A85" i="20"/>
  <c r="BD85" i="4" a="1"/>
  <c r="BD85" i="4" s="1"/>
  <c r="C85" i="4"/>
  <c r="D85" i="1"/>
  <c r="A1825" i="13"/>
  <c r="A828" i="13"/>
  <c r="AX828" i="13" s="1"/>
  <c r="A529" i="13"/>
  <c r="AX629" i="13"/>
  <c r="AX529" i="13"/>
  <c r="A129" i="13"/>
  <c r="AX429" i="13"/>
  <c r="A728" i="13"/>
  <c r="A1125" i="13"/>
  <c r="A1026" i="13"/>
  <c r="A429" i="13"/>
  <c r="A629" i="13"/>
  <c r="AX29" i="13"/>
  <c r="AX1026" i="13"/>
  <c r="A927" i="13"/>
  <c r="AX927" i="13" s="1"/>
  <c r="I20" i="4"/>
  <c r="BA27" i="71" s="1"/>
  <c r="D20" i="4"/>
  <c r="D20" i="1"/>
  <c r="BW20" i="4" a="1"/>
  <c r="BW20" i="4" s="1"/>
  <c r="K20" i="4"/>
  <c r="BV20" i="4" a="1"/>
  <c r="BV20" i="4" s="1"/>
  <c r="C20" i="4"/>
  <c r="A22" i="9"/>
  <c r="M20" i="4"/>
  <c r="A20" i="20"/>
  <c r="A20" i="4"/>
  <c r="BT20" i="4"/>
  <c r="BA20" i="4"/>
  <c r="BD20" i="4" a="1"/>
  <c r="BD20" i="4" s="1"/>
  <c r="DD10" i="4"/>
  <c r="BA10" i="72" s="1"/>
  <c r="CW10" i="4"/>
  <c r="CX10" i="4" s="1"/>
  <c r="AD10" i="4"/>
  <c r="AY10" i="4"/>
  <c r="BD22" i="4" a="1"/>
  <c r="BD22" i="4" s="1"/>
  <c r="BT22" i="4"/>
  <c r="A22" i="20"/>
  <c r="M22" i="4"/>
  <c r="C22" i="4"/>
  <c r="K22" i="4"/>
  <c r="BW22" i="4" a="1"/>
  <c r="BW22" i="4" s="1"/>
  <c r="D22" i="4"/>
  <c r="BA22" i="4"/>
  <c r="BV22" i="4" a="1"/>
  <c r="BV22" i="4" s="1"/>
  <c r="D22" i="1"/>
  <c r="A22" i="4"/>
  <c r="I22" i="4"/>
  <c r="A24" i="9"/>
  <c r="BA7" i="4"/>
  <c r="A7" i="20"/>
  <c r="BW7" i="4" a="1"/>
  <c r="BW7" i="4" s="1"/>
  <c r="A7" i="4"/>
  <c r="C7" i="4"/>
  <c r="D7" i="1"/>
  <c r="K7" i="4"/>
  <c r="BV7" i="4" a="1"/>
  <c r="BV7" i="4" s="1"/>
  <c r="D7" i="4"/>
  <c r="BT7" i="4"/>
  <c r="I7" i="4"/>
  <c r="BD7" i="4" a="1"/>
  <c r="BD7" i="4" s="1"/>
  <c r="A9" i="9"/>
  <c r="M7" i="4"/>
  <c r="Z1300" i="13"/>
  <c r="AZ4" i="4"/>
  <c r="AV6" i="13"/>
  <c r="AX4" i="4"/>
  <c r="V14" i="22"/>
  <c r="W14" i="22"/>
  <c r="Y14" i="22" s="1"/>
  <c r="AX1091" i="13"/>
  <c r="A793" i="13"/>
  <c r="A194" i="13"/>
  <c r="A494" i="13"/>
  <c r="AX494" i="13"/>
  <c r="A1091" i="13"/>
  <c r="AX594" i="13"/>
  <c r="AX694" i="13"/>
  <c r="A992" i="13"/>
  <c r="AX992" i="13" s="1"/>
  <c r="A594" i="13"/>
  <c r="A893" i="13"/>
  <c r="AX893" i="13" s="1"/>
  <c r="A1190" i="13"/>
  <c r="A1890" i="13"/>
  <c r="A694" i="13"/>
  <c r="AX94" i="13"/>
  <c r="A682" i="13"/>
  <c r="A781" i="13"/>
  <c r="A1079" i="13"/>
  <c r="A482" i="13"/>
  <c r="AX682" i="13"/>
  <c r="A1178" i="13"/>
  <c r="A582" i="13"/>
  <c r="AX82" i="13"/>
  <c r="AX582" i="13"/>
  <c r="A881" i="13"/>
  <c r="AX881" i="13" s="1"/>
  <c r="A182" i="13"/>
  <c r="A1878" i="13"/>
  <c r="AX482" i="13"/>
  <c r="AX1079" i="13"/>
  <c r="A980" i="13"/>
  <c r="AX980" i="13" s="1"/>
  <c r="D6" i="1"/>
  <c r="C6" i="4"/>
  <c r="BA6" i="4"/>
  <c r="D6" i="4"/>
  <c r="BT6" i="4"/>
  <c r="BV6" i="4" a="1"/>
  <c r="BV6" i="4" s="1"/>
  <c r="K6" i="4"/>
  <c r="I6" i="4"/>
  <c r="K18" i="71" s="1"/>
  <c r="M6" i="4"/>
  <c r="A8" i="9"/>
  <c r="BW6" i="4" a="1"/>
  <c r="BW6" i="4" s="1"/>
  <c r="A6" i="4"/>
  <c r="BD6" i="4" a="1"/>
  <c r="BD6" i="4" s="1"/>
  <c r="A6" i="20"/>
  <c r="AX580" i="13"/>
  <c r="A779" i="13"/>
  <c r="A879" i="13"/>
  <c r="AX879" i="13" s="1"/>
  <c r="A1176" i="13"/>
  <c r="A1077" i="13"/>
  <c r="AX80" i="13"/>
  <c r="A978" i="13"/>
  <c r="AX978" i="13" s="1"/>
  <c r="A1876" i="13"/>
  <c r="A580" i="13"/>
  <c r="A180" i="13"/>
  <c r="AX1077" i="13"/>
  <c r="AX680" i="13"/>
  <c r="A480" i="13"/>
  <c r="AX480" i="13"/>
  <c r="A680" i="13"/>
  <c r="AX553" i="13"/>
  <c r="A852" i="13"/>
  <c r="AX852" i="13" s="1"/>
  <c r="A553" i="13"/>
  <c r="A1849" i="13"/>
  <c r="A1149" i="13"/>
  <c r="AX53" i="13"/>
  <c r="AX1050" i="13"/>
  <c r="AX653" i="13"/>
  <c r="AX453" i="13"/>
  <c r="A153" i="13"/>
  <c r="A1050" i="13"/>
  <c r="A653" i="13"/>
  <c r="A752" i="13"/>
  <c r="A453" i="13"/>
  <c r="A951" i="13"/>
  <c r="AX951" i="13" s="1"/>
  <c r="A32" i="4"/>
  <c r="I32" i="4"/>
  <c r="BA32" i="4"/>
  <c r="A34" i="9"/>
  <c r="A32" i="20"/>
  <c r="K32" i="4"/>
  <c r="BW32" i="4" a="1"/>
  <c r="BW32" i="4" s="1"/>
  <c r="BT32" i="4"/>
  <c r="BV32" i="4" a="1"/>
  <c r="BV32" i="4" s="1"/>
  <c r="D32" i="4"/>
  <c r="BD32" i="4" a="1"/>
  <c r="BD32" i="4" s="1"/>
  <c r="M32" i="4"/>
  <c r="D32" i="1"/>
  <c r="C32" i="4"/>
  <c r="A90" i="20"/>
  <c r="BD90" i="4" a="1"/>
  <c r="BD90" i="4" s="1"/>
  <c r="D90" i="1"/>
  <c r="D90" i="4"/>
  <c r="C90" i="4"/>
  <c r="BW90" i="4" a="1"/>
  <c r="BW90" i="4" s="1"/>
  <c r="A92" i="9"/>
  <c r="BV90" i="4" a="1"/>
  <c r="BV90" i="4" s="1"/>
  <c r="BV73" i="4" a="1"/>
  <c r="BV73" i="4" s="1"/>
  <c r="D73" i="1"/>
  <c r="D73" i="4"/>
  <c r="C73" i="4"/>
  <c r="A73" i="20"/>
  <c r="BD73" i="4" a="1"/>
  <c r="BD73" i="4" s="1"/>
  <c r="A75" i="9"/>
  <c r="BW73" i="4" a="1"/>
  <c r="BW73" i="4" s="1"/>
  <c r="K38" i="4"/>
  <c r="BD38" i="4" a="1"/>
  <c r="BD38" i="4" s="1"/>
  <c r="BV38" i="4" a="1"/>
  <c r="BV38" i="4" s="1"/>
  <c r="BA38" i="4"/>
  <c r="D38" i="1"/>
  <c r="I38" i="4"/>
  <c r="BW38" i="4" a="1"/>
  <c r="BW38" i="4" s="1"/>
  <c r="A38" i="4"/>
  <c r="A38" i="20"/>
  <c r="A40" i="9"/>
  <c r="D38" i="4"/>
  <c r="M38" i="4"/>
  <c r="BT38" i="4"/>
  <c r="C38" i="4"/>
  <c r="A38" i="9"/>
  <c r="A36" i="20"/>
  <c r="BT36" i="4"/>
  <c r="D36" i="1"/>
  <c r="A36" i="4"/>
  <c r="BD36" i="4" a="1"/>
  <c r="BD36" i="4" s="1"/>
  <c r="I36" i="4"/>
  <c r="K36" i="4"/>
  <c r="BA36" i="4"/>
  <c r="BV36" i="4" a="1"/>
  <c r="BV36" i="4" s="1"/>
  <c r="M36" i="4"/>
  <c r="BW36" i="4" a="1"/>
  <c r="BW36" i="4" s="1"/>
  <c r="D36" i="4"/>
  <c r="C36" i="4"/>
  <c r="AX687" i="13"/>
  <c r="A487" i="13"/>
  <c r="A1183" i="13"/>
  <c r="AX587" i="13"/>
  <c r="AX1084" i="13"/>
  <c r="AX487" i="13"/>
  <c r="A985" i="13"/>
  <c r="AX985" i="13" s="1"/>
  <c r="A886" i="13"/>
  <c r="AX886" i="13" s="1"/>
  <c r="A1883" i="13"/>
  <c r="A1084" i="13"/>
  <c r="A187" i="13"/>
  <c r="A786" i="13"/>
  <c r="A587" i="13"/>
  <c r="A687" i="13"/>
  <c r="AX87" i="13"/>
  <c r="AX22" i="13"/>
  <c r="AX422" i="13"/>
  <c r="A821" i="13"/>
  <c r="AX821" i="13" s="1"/>
  <c r="A721" i="13"/>
  <c r="A1019" i="13"/>
  <c r="AX1019" i="13"/>
  <c r="A122" i="13"/>
  <c r="A1118" i="13"/>
  <c r="A920" i="13"/>
  <c r="AX920" i="13" s="1"/>
  <c r="AX622" i="13"/>
  <c r="A522" i="13"/>
  <c r="A622" i="13"/>
  <c r="A1818" i="13"/>
  <c r="AX522" i="13"/>
  <c r="A422" i="13"/>
  <c r="K15" i="27"/>
  <c r="A124" i="13"/>
  <c r="A1820" i="13"/>
  <c r="Z1820" i="13" s="1"/>
  <c r="B1820" i="13" s="1" a="1"/>
  <c r="B1820" i="13" s="1"/>
  <c r="A524" i="13"/>
  <c r="AX1021" i="13"/>
  <c r="A424" i="13"/>
  <c r="A823" i="13"/>
  <c r="AX823" i="13" s="1"/>
  <c r="AX624" i="13"/>
  <c r="A1021" i="13"/>
  <c r="A624" i="13"/>
  <c r="A723" i="13"/>
  <c r="AX524" i="13"/>
  <c r="AX24" i="13"/>
  <c r="AX424" i="13"/>
  <c r="A922" i="13"/>
  <c r="AX922" i="13" s="1"/>
  <c r="A1120" i="13"/>
  <c r="AX436" i="13"/>
  <c r="A536" i="13"/>
  <c r="AX536" i="13"/>
  <c r="A835" i="13"/>
  <c r="AX835" i="13" s="1"/>
  <c r="A1132" i="13"/>
  <c r="A436" i="13"/>
  <c r="AX636" i="13"/>
  <c r="AX1033" i="13"/>
  <c r="A934" i="13"/>
  <c r="AX934" i="13" s="1"/>
  <c r="A1033" i="13"/>
  <c r="A136" i="13"/>
  <c r="A735" i="13"/>
  <c r="A636" i="13"/>
  <c r="AX36" i="13"/>
  <c r="A1832" i="13"/>
  <c r="H6" i="9"/>
  <c r="CW4" i="4"/>
  <c r="CX4" i="4" s="1"/>
  <c r="AD4" i="4"/>
  <c r="DD4" i="4"/>
  <c r="AY4" i="4"/>
  <c r="E13" i="71"/>
  <c r="E6" i="71"/>
  <c r="E30" i="71"/>
  <c r="E31" i="71"/>
  <c r="E14" i="71"/>
  <c r="E5" i="71"/>
  <c r="E19" i="71"/>
  <c r="E34" i="71"/>
  <c r="E22" i="71"/>
  <c r="E23" i="71"/>
  <c r="E21" i="71"/>
  <c r="E9" i="71"/>
  <c r="E20" i="71"/>
  <c r="E35" i="71"/>
  <c r="E18" i="71"/>
  <c r="E15" i="71"/>
  <c r="E4" i="71"/>
  <c r="E26" i="71"/>
  <c r="E17" i="71"/>
  <c r="E16" i="71"/>
  <c r="E33" i="71"/>
  <c r="E12" i="71"/>
  <c r="E11" i="71"/>
  <c r="E7" i="71"/>
  <c r="E32" i="71"/>
  <c r="E10" i="71"/>
  <c r="E27" i="71"/>
  <c r="E29" i="71"/>
  <c r="E28" i="71"/>
  <c r="E36" i="71"/>
  <c r="F38" i="71"/>
  <c r="E8" i="71"/>
  <c r="E24" i="71"/>
  <c r="E25" i="71"/>
  <c r="D92" i="1"/>
  <c r="BW92" i="4" a="1"/>
  <c r="BW92" i="4" s="1"/>
  <c r="C92" i="4"/>
  <c r="A92" i="20"/>
  <c r="A94" i="9"/>
  <c r="D92" i="4"/>
  <c r="BV92" i="4" a="1"/>
  <c r="BV92" i="4" s="1"/>
  <c r="BD92" i="4" a="1"/>
  <c r="BD92" i="4" s="1"/>
  <c r="A82" i="9"/>
  <c r="BW80" i="4" a="1"/>
  <c r="BW80" i="4" s="1"/>
  <c r="D80" i="1"/>
  <c r="BV80" i="4" a="1"/>
  <c r="BV80" i="4" s="1"/>
  <c r="C80" i="4"/>
  <c r="D80" i="4"/>
  <c r="A80" i="20"/>
  <c r="BD80" i="4" a="1"/>
  <c r="BD80" i="4" s="1"/>
  <c r="A1804" i="13"/>
  <c r="A108" i="13"/>
  <c r="A1104" i="13"/>
  <c r="A906" i="13"/>
  <c r="AX906" i="13" s="1"/>
  <c r="AX608" i="13"/>
  <c r="A608" i="13"/>
  <c r="AX408" i="13"/>
  <c r="A807" i="13"/>
  <c r="AX807" i="13" s="1"/>
  <c r="AX8" i="13"/>
  <c r="A408" i="13"/>
  <c r="A508" i="13"/>
  <c r="AX508" i="13"/>
  <c r="AX1005" i="13"/>
  <c r="A707" i="13"/>
  <c r="A1005" i="13"/>
  <c r="AX640" i="13"/>
  <c r="A739" i="13"/>
  <c r="A540" i="13"/>
  <c r="AX440" i="13"/>
  <c r="A140" i="13"/>
  <c r="A640" i="13"/>
  <c r="A839" i="13"/>
  <c r="AX839" i="13" s="1"/>
  <c r="A1037" i="13"/>
  <c r="AX1037" i="13"/>
  <c r="A1136" i="13"/>
  <c r="A440" i="13"/>
  <c r="A938" i="13"/>
  <c r="AX938" i="13" s="1"/>
  <c r="AX540" i="13"/>
  <c r="A1836" i="13"/>
  <c r="AX40" i="13"/>
  <c r="A1148" i="13"/>
  <c r="A652" i="13"/>
  <c r="A552" i="13"/>
  <c r="AX652" i="13"/>
  <c r="AX52" i="13"/>
  <c r="A751" i="13"/>
  <c r="A851" i="13"/>
  <c r="AX851" i="13" s="1"/>
  <c r="A1049" i="13"/>
  <c r="AX552" i="13"/>
  <c r="A152" i="13"/>
  <c r="A950" i="13"/>
  <c r="AX950" i="13" s="1"/>
  <c r="AX1049" i="13"/>
  <c r="AX452" i="13"/>
  <c r="A452" i="13"/>
  <c r="A1848" i="13"/>
  <c r="D43" i="1"/>
  <c r="BT43" i="4"/>
  <c r="I43" i="4"/>
  <c r="BA43" i="4"/>
  <c r="BV43" i="4" a="1"/>
  <c r="BV43" i="4" s="1"/>
  <c r="A43" i="20"/>
  <c r="A45" i="9"/>
  <c r="A43" i="4"/>
  <c r="BD43" i="4" a="1"/>
  <c r="BD43" i="4" s="1"/>
  <c r="M43" i="4"/>
  <c r="K43" i="4"/>
  <c r="AT43" i="4" s="1"/>
  <c r="AV645" i="13" s="1"/>
  <c r="D43" i="4"/>
  <c r="BW43" i="4" a="1"/>
  <c r="BW43" i="4" s="1"/>
  <c r="C43" i="4"/>
  <c r="BV88" i="4" a="1"/>
  <c r="BV88" i="4" s="1"/>
  <c r="A90" i="9"/>
  <c r="D88" i="1"/>
  <c r="C88" i="4"/>
  <c r="BD88" i="4" a="1"/>
  <c r="BD88" i="4" s="1"/>
  <c r="BW88" i="4" a="1"/>
  <c r="BW88" i="4" s="1"/>
  <c r="A88" i="20"/>
  <c r="D88" i="4"/>
  <c r="A71" i="20"/>
  <c r="D71" i="4"/>
  <c r="D71" i="1"/>
  <c r="BW71" i="4" a="1"/>
  <c r="BW71" i="4" s="1"/>
  <c r="A73" i="9"/>
  <c r="BV71" i="4" a="1"/>
  <c r="BV71" i="4" s="1"/>
  <c r="C71" i="4"/>
  <c r="BD71" i="4" a="1"/>
  <c r="BD71" i="4" s="1"/>
  <c r="BB10" i="4" a="1"/>
  <c r="BB10" i="4" s="1"/>
  <c r="BC10" i="4" s="1"/>
  <c r="T10" i="72" s="1"/>
  <c r="B10" i="4"/>
  <c r="Z10" i="4" s="1"/>
  <c r="A19" i="4"/>
  <c r="J656" i="15" s="1"/>
  <c r="K19" i="4"/>
  <c r="AT19" i="4" s="1"/>
  <c r="AV621" i="13" s="1"/>
  <c r="BD19" i="4" a="1"/>
  <c r="BD19" i="4" s="1"/>
  <c r="M19" i="4"/>
  <c r="I19" i="4"/>
  <c r="AX33" i="71" s="1"/>
  <c r="A19" i="20"/>
  <c r="BA19" i="4"/>
  <c r="C19" i="4"/>
  <c r="BW19" i="4" a="1"/>
  <c r="BW19" i="4" s="1"/>
  <c r="D19" i="4"/>
  <c r="BV19" i="4" a="1"/>
  <c r="BV19" i="4" s="1"/>
  <c r="BT19" i="4"/>
  <c r="D19" i="1"/>
  <c r="A21" i="9"/>
  <c r="A84" i="20"/>
  <c r="D84" i="4"/>
  <c r="C84" i="4"/>
  <c r="BD84" i="4" a="1"/>
  <c r="BD84" i="4" s="1"/>
  <c r="A86" i="9"/>
  <c r="D84" i="1"/>
  <c r="BV84" i="4" a="1"/>
  <c r="BV84" i="4" s="1"/>
  <c r="BW84" i="4" a="1"/>
  <c r="BW84" i="4" s="1"/>
  <c r="BW67" i="4" a="1"/>
  <c r="BW67" i="4" s="1"/>
  <c r="D67" i="4"/>
  <c r="BV67" i="4" a="1"/>
  <c r="BV67" i="4" s="1"/>
  <c r="A69" i="9"/>
  <c r="A67" i="20"/>
  <c r="BD67" i="4" a="1"/>
  <c r="BD67" i="4" s="1"/>
  <c r="D67" i="1"/>
  <c r="C67" i="4"/>
  <c r="A953" i="13"/>
  <c r="AX953" i="13" s="1"/>
  <c r="A155" i="13"/>
  <c r="AX555" i="13"/>
  <c r="A754" i="13"/>
  <c r="AX55" i="13"/>
  <c r="A1052" i="13"/>
  <c r="A555" i="13"/>
  <c r="A655" i="13"/>
  <c r="A455" i="13"/>
  <c r="A1851" i="13"/>
  <c r="A1151" i="13"/>
  <c r="AX1052" i="13"/>
  <c r="AX655" i="13"/>
  <c r="A854" i="13"/>
  <c r="AX854" i="13" s="1"/>
  <c r="AX455" i="13"/>
  <c r="BA34" i="4"/>
  <c r="K34" i="4"/>
  <c r="A36" i="9"/>
  <c r="BT34" i="4"/>
  <c r="I34" i="4"/>
  <c r="A34" i="4"/>
  <c r="D34" i="4"/>
  <c r="BV34" i="4" a="1"/>
  <c r="BV34" i="4" s="1"/>
  <c r="BW34" i="4" a="1"/>
  <c r="BW34" i="4" s="1"/>
  <c r="C34" i="4"/>
  <c r="A34" i="20"/>
  <c r="D34" i="1"/>
  <c r="M34" i="4"/>
  <c r="BD34" i="4" a="1"/>
  <c r="BD34" i="4" s="1"/>
  <c r="A52" i="9"/>
  <c r="BT50" i="4"/>
  <c r="I50" i="4"/>
  <c r="BA50" i="4"/>
  <c r="C50" i="4"/>
  <c r="BW50" i="4" a="1"/>
  <c r="BW50" i="4" s="1"/>
  <c r="D50" i="4"/>
  <c r="K50" i="4"/>
  <c r="D50" i="1"/>
  <c r="BV50" i="4" a="1"/>
  <c r="BV50" i="4" s="1"/>
  <c r="A50" i="20"/>
  <c r="BD50" i="4" a="1"/>
  <c r="BD50" i="4" s="1"/>
  <c r="M50" i="4"/>
  <c r="A50" i="4"/>
  <c r="A545" i="13"/>
  <c r="A1841" i="13"/>
  <c r="A1042" i="13"/>
  <c r="AX645" i="13"/>
  <c r="AX545" i="13"/>
  <c r="AX45" i="13"/>
  <c r="AX1042" i="13"/>
  <c r="AX445" i="13"/>
  <c r="A844" i="13"/>
  <c r="AX844" i="13" s="1"/>
  <c r="A744" i="13"/>
  <c r="A1141" i="13"/>
  <c r="A645" i="13"/>
  <c r="A943" i="13"/>
  <c r="AX943" i="13" s="1"/>
  <c r="A445" i="13"/>
  <c r="A145" i="13"/>
  <c r="A590" i="13"/>
  <c r="A789" i="13"/>
  <c r="AX590" i="13"/>
  <c r="AX490" i="13"/>
  <c r="A988" i="13"/>
  <c r="AX988" i="13" s="1"/>
  <c r="A190" i="13"/>
  <c r="A490" i="13"/>
  <c r="AX1087" i="13"/>
  <c r="A690" i="13"/>
  <c r="AX690" i="13"/>
  <c r="A889" i="13"/>
  <c r="AX889" i="13" s="1"/>
  <c r="AX90" i="13"/>
  <c r="A1886" i="13"/>
  <c r="A1186" i="13"/>
  <c r="A1087" i="13"/>
  <c r="AX573" i="13"/>
  <c r="AX73" i="13"/>
  <c r="A673" i="13"/>
  <c r="A473" i="13"/>
  <c r="AX473" i="13"/>
  <c r="A573" i="13"/>
  <c r="A1869" i="13"/>
  <c r="A971" i="13"/>
  <c r="AX971" i="13" s="1"/>
  <c r="AX673" i="13"/>
  <c r="AX1070" i="13"/>
  <c r="A872" i="13"/>
  <c r="AX872" i="13" s="1"/>
  <c r="A1169" i="13"/>
  <c r="A772" i="13"/>
  <c r="A1070" i="13"/>
  <c r="A173" i="13"/>
  <c r="A421" i="13"/>
  <c r="A1117" i="13"/>
  <c r="AX621" i="13"/>
  <c r="AX421" i="13"/>
  <c r="AX1018" i="13"/>
  <c r="AX21" i="13"/>
  <c r="A820" i="13"/>
  <c r="AX820" i="13" s="1"/>
  <c r="A521" i="13"/>
  <c r="A1817" i="13"/>
  <c r="A121" i="13"/>
  <c r="A720" i="13"/>
  <c r="A1018" i="13"/>
  <c r="A919" i="13"/>
  <c r="AX919" i="13" s="1"/>
  <c r="AX521" i="13"/>
  <c r="A621" i="13"/>
  <c r="A885" i="13"/>
  <c r="AX885" i="13" s="1"/>
  <c r="A186" i="13"/>
  <c r="A586" i="13"/>
  <c r="AX1083" i="13"/>
  <c r="AX686" i="13"/>
  <c r="A785" i="13"/>
  <c r="AX486" i="13"/>
  <c r="A1882" i="13"/>
  <c r="A686" i="13"/>
  <c r="A1083" i="13"/>
  <c r="AX586" i="13"/>
  <c r="A1182" i="13"/>
  <c r="AX86" i="13"/>
  <c r="A486" i="13"/>
  <c r="A984" i="13"/>
  <c r="AX984" i="13" s="1"/>
  <c r="AX569" i="13"/>
  <c r="AX69" i="13"/>
  <c r="A569" i="13"/>
  <c r="A469" i="13"/>
  <c r="A1865" i="13"/>
  <c r="A868" i="13"/>
  <c r="AX868" i="13" s="1"/>
  <c r="AX469" i="13"/>
  <c r="A768" i="13"/>
  <c r="A169" i="13"/>
  <c r="A1165" i="13"/>
  <c r="A967" i="13"/>
  <c r="AX967" i="13" s="1"/>
  <c r="A669" i="13"/>
  <c r="AX1066" i="13"/>
  <c r="A1066" i="13"/>
  <c r="AX669" i="13"/>
  <c r="D53" i="4"/>
  <c r="BA53" i="4"/>
  <c r="K53" i="4"/>
  <c r="BW53" i="4" a="1"/>
  <c r="BW53" i="4" s="1"/>
  <c r="M53" i="4"/>
  <c r="BV53" i="4" a="1"/>
  <c r="BV53" i="4" s="1"/>
  <c r="A53" i="4"/>
  <c r="A53" i="20"/>
  <c r="A55" i="9"/>
  <c r="C53" i="4"/>
  <c r="BD53" i="4" a="1"/>
  <c r="BD53" i="4" s="1"/>
  <c r="BT53" i="4"/>
  <c r="D53" i="1"/>
  <c r="I53" i="4"/>
  <c r="H60" i="4"/>
  <c r="A62" i="13"/>
  <c r="Z107" i="13"/>
  <c r="A1081" i="13"/>
  <c r="AX1081" i="13"/>
  <c r="A783" i="13"/>
  <c r="AX684" i="13"/>
  <c r="A1180" i="13"/>
  <c r="A684" i="13"/>
  <c r="A184" i="13"/>
  <c r="A484" i="13"/>
  <c r="A883" i="13"/>
  <c r="AX883" i="13" s="1"/>
  <c r="A1880" i="13"/>
  <c r="AX584" i="13"/>
  <c r="A584" i="13"/>
  <c r="AX84" i="13"/>
  <c r="A982" i="13"/>
  <c r="AX982" i="13" s="1"/>
  <c r="AX484" i="13"/>
  <c r="D70" i="4"/>
  <c r="BW70" i="4" a="1"/>
  <c r="BW70" i="4" s="1"/>
  <c r="A70" i="20"/>
  <c r="C70" i="4"/>
  <c r="BV70" i="4" a="1"/>
  <c r="BV70" i="4" s="1"/>
  <c r="A72" i="9"/>
  <c r="BD70" i="4" a="1"/>
  <c r="BD70" i="4" s="1"/>
  <c r="D70" i="1"/>
  <c r="A1124" i="13"/>
  <c r="AX628" i="13"/>
  <c r="A428" i="13"/>
  <c r="A128" i="13"/>
  <c r="A926" i="13"/>
  <c r="AX926" i="13" s="1"/>
  <c r="A628" i="13"/>
  <c r="A1025" i="13"/>
  <c r="A827" i="13"/>
  <c r="AX827" i="13" s="1"/>
  <c r="A528" i="13"/>
  <c r="AX428" i="13"/>
  <c r="AX1025" i="13"/>
  <c r="A1824" i="13"/>
  <c r="A727" i="13"/>
  <c r="AX28" i="13"/>
  <c r="AX528" i="13"/>
  <c r="BV30" i="4" a="1"/>
  <c r="BV30" i="4" s="1"/>
  <c r="D30" i="4"/>
  <c r="K30" i="4"/>
  <c r="C30" i="4"/>
  <c r="A30" i="4"/>
  <c r="A30" i="20"/>
  <c r="A32" i="9"/>
  <c r="BD30" i="4" a="1"/>
  <c r="BD30" i="4" s="1"/>
  <c r="BA30" i="4"/>
  <c r="BT30" i="4"/>
  <c r="M30" i="4"/>
  <c r="I30" i="4"/>
  <c r="D30" i="1"/>
  <c r="BW30" i="4" a="1"/>
  <c r="BW30" i="4" s="1"/>
  <c r="A979" i="13"/>
  <c r="AX979" i="13" s="1"/>
  <c r="AX681" i="13"/>
  <c r="A181" i="13"/>
  <c r="AX481" i="13"/>
  <c r="A581" i="13"/>
  <c r="AX81" i="13"/>
  <c r="A681" i="13"/>
  <c r="AX1078" i="13"/>
  <c r="A1877" i="13"/>
  <c r="AX581" i="13"/>
  <c r="A481" i="13"/>
  <c r="A1078" i="13"/>
  <c r="A1177" i="13"/>
  <c r="A780" i="13"/>
  <c r="A880" i="13"/>
  <c r="AX880" i="13" s="1"/>
  <c r="BW64" i="4" a="1"/>
  <c r="BW64" i="4" s="1"/>
  <c r="D64" i="1"/>
  <c r="S96" i="22"/>
  <c r="BD64" i="4" a="1"/>
  <c r="BD64" i="4" s="1"/>
  <c r="A66" i="9"/>
  <c r="A64" i="20"/>
  <c r="D64" i="4"/>
  <c r="C64" i="4"/>
  <c r="BV64" i="4" a="1"/>
  <c r="BV64" i="4" s="1"/>
  <c r="D8" i="1"/>
  <c r="BV8" i="4" a="1"/>
  <c r="BV8" i="4" s="1"/>
  <c r="BD8" i="4" a="1"/>
  <c r="BD8" i="4" s="1"/>
  <c r="A10" i="9"/>
  <c r="C8" i="4"/>
  <c r="D8" i="4"/>
  <c r="BW8" i="4" a="1"/>
  <c r="BW8" i="4" s="1"/>
  <c r="A8" i="20"/>
  <c r="I8" i="4"/>
  <c r="Q13" i="71" s="1"/>
  <c r="K8" i="4"/>
  <c r="BA8" i="4"/>
  <c r="A8" i="4"/>
  <c r="J509" i="15" s="1"/>
  <c r="BT8" i="4"/>
  <c r="M8" i="4"/>
  <c r="A151" i="13"/>
  <c r="AX51" i="13"/>
  <c r="AX1048" i="13"/>
  <c r="A750" i="13"/>
  <c r="A651" i="13"/>
  <c r="A850" i="13"/>
  <c r="AX850" i="13" s="1"/>
  <c r="A1147" i="13"/>
  <c r="AX551" i="13"/>
  <c r="A551" i="13"/>
  <c r="AX651" i="13"/>
  <c r="A1048" i="13"/>
  <c r="AX451" i="13"/>
  <c r="A451" i="13"/>
  <c r="A1847" i="13"/>
  <c r="A949" i="13"/>
  <c r="AX949" i="13" s="1"/>
  <c r="AX689" i="13"/>
  <c r="A987" i="13"/>
  <c r="AX987" i="13" s="1"/>
  <c r="AX489" i="13"/>
  <c r="A1086" i="13"/>
  <c r="AX589" i="13"/>
  <c r="AX1086" i="13"/>
  <c r="A1185" i="13"/>
  <c r="A888" i="13"/>
  <c r="AX888" i="13" s="1"/>
  <c r="A788" i="13"/>
  <c r="A689" i="13"/>
  <c r="A1885" i="13"/>
  <c r="A589" i="13"/>
  <c r="A189" i="13"/>
  <c r="A489" i="13"/>
  <c r="AX89" i="13"/>
  <c r="A66" i="20"/>
  <c r="A68" i="9"/>
  <c r="D66" i="1"/>
  <c r="D66" i="4"/>
  <c r="C66" i="4"/>
  <c r="BD66" i="4" a="1"/>
  <c r="BD66" i="4" s="1"/>
  <c r="BV66" i="4" a="1"/>
  <c r="BV66" i="4" s="1"/>
  <c r="BW66" i="4" a="1"/>
  <c r="BW66" i="4" s="1"/>
  <c r="A514" i="13"/>
  <c r="A813" i="13"/>
  <c r="AX813" i="13" s="1"/>
  <c r="A114" i="13"/>
  <c r="A1810" i="13"/>
  <c r="AX414" i="13"/>
  <c r="A614" i="13"/>
  <c r="AX14" i="13"/>
  <c r="AX614" i="13"/>
  <c r="A1011" i="13"/>
  <c r="A414" i="13"/>
  <c r="AX1011" i="13"/>
  <c r="AX514" i="13"/>
  <c r="A713" i="13"/>
  <c r="A1110" i="13"/>
  <c r="A912" i="13"/>
  <c r="AX912" i="13" s="1"/>
  <c r="AX543" i="13"/>
  <c r="A543" i="13"/>
  <c r="A443" i="13"/>
  <c r="A842" i="13"/>
  <c r="AX842" i="13" s="1"/>
  <c r="A742" i="13"/>
  <c r="AX43" i="13"/>
  <c r="AX443" i="13"/>
  <c r="A643" i="13"/>
  <c r="AX1040" i="13"/>
  <c r="A143" i="13"/>
  <c r="A941" i="13"/>
  <c r="AX941" i="13" s="1"/>
  <c r="A1040" i="13"/>
  <c r="A1839" i="13"/>
  <c r="A1139" i="13"/>
  <c r="AX643" i="13"/>
  <c r="X4" i="69"/>
  <c r="V4" i="72"/>
  <c r="A1255" i="13"/>
  <c r="AX1156" i="13"/>
  <c r="AX685" i="13"/>
  <c r="A884" i="13"/>
  <c r="AX884" i="13" s="1"/>
  <c r="A185" i="13"/>
  <c r="A784" i="13"/>
  <c r="AX1082" i="13"/>
  <c r="A1082" i="13"/>
  <c r="A585" i="13"/>
  <c r="A983" i="13"/>
  <c r="AX983" i="13" s="1"/>
  <c r="A685" i="13"/>
  <c r="AX485" i="13"/>
  <c r="AX85" i="13"/>
  <c r="A1181" i="13"/>
  <c r="A1881" i="13"/>
  <c r="A485" i="13"/>
  <c r="AX585" i="13"/>
  <c r="A171" i="13"/>
  <c r="A571" i="13"/>
  <c r="A1068" i="13"/>
  <c r="A671" i="13"/>
  <c r="A770" i="13"/>
  <c r="AX71" i="13"/>
  <c r="A870" i="13"/>
  <c r="AX870" i="13" s="1"/>
  <c r="A471" i="13"/>
  <c r="A969" i="13"/>
  <c r="AX969" i="13" s="1"/>
  <c r="AX1068" i="13"/>
  <c r="AX671" i="13"/>
  <c r="AX471" i="13"/>
  <c r="A1167" i="13"/>
  <c r="A1867" i="13"/>
  <c r="AX571" i="13"/>
  <c r="D82" i="1"/>
  <c r="D82" i="4"/>
  <c r="BD82" i="4" a="1"/>
  <c r="BD82" i="4" s="1"/>
  <c r="A84" i="9"/>
  <c r="A82" i="20"/>
  <c r="BW82" i="4" a="1"/>
  <c r="BW82" i="4" s="1"/>
  <c r="BV82" i="4" a="1"/>
  <c r="BV82" i="4" s="1"/>
  <c r="C82" i="4"/>
  <c r="AX672" i="13"/>
  <c r="A572" i="13"/>
  <c r="A172" i="13"/>
  <c r="AX572" i="13"/>
  <c r="A1868" i="13"/>
  <c r="A472" i="13"/>
  <c r="A970" i="13"/>
  <c r="AX970" i="13" s="1"/>
  <c r="A672" i="13"/>
  <c r="AX72" i="13"/>
  <c r="A1069" i="13"/>
  <c r="AX472" i="13"/>
  <c r="A1168" i="13"/>
  <c r="AX1069" i="13"/>
  <c r="A871" i="13"/>
  <c r="AX871" i="13" s="1"/>
  <c r="A771" i="13"/>
  <c r="A28" i="9"/>
  <c r="A26" i="4"/>
  <c r="K26" i="4"/>
  <c r="AT26" i="4" s="1"/>
  <c r="AV628" i="13" s="1"/>
  <c r="I26" i="4"/>
  <c r="BD26" i="4" a="1"/>
  <c r="BD26" i="4" s="1"/>
  <c r="BA26" i="4"/>
  <c r="A26" i="20"/>
  <c r="BV26" i="4" a="1"/>
  <c r="BV26" i="4" s="1"/>
  <c r="BT26" i="4"/>
  <c r="D26" i="4"/>
  <c r="BW26" i="4" a="1"/>
  <c r="BW26" i="4" s="1"/>
  <c r="M26" i="4"/>
  <c r="D26" i="1"/>
  <c r="C26" i="4"/>
  <c r="A432" i="13"/>
  <c r="AX632" i="13"/>
  <c r="A731" i="13"/>
  <c r="A632" i="13"/>
  <c r="A132" i="13"/>
  <c r="AX432" i="13"/>
  <c r="AX32" i="13"/>
  <c r="AX532" i="13"/>
  <c r="A1828" i="13"/>
  <c r="A532" i="13"/>
  <c r="AX1029" i="13"/>
  <c r="A831" i="13"/>
  <c r="AX831" i="13" s="1"/>
  <c r="A1128" i="13"/>
  <c r="A930" i="13"/>
  <c r="AX930" i="13" s="1"/>
  <c r="A1029" i="13"/>
  <c r="BW79" i="4" a="1"/>
  <c r="BW79" i="4" s="1"/>
  <c r="BD79" i="4" a="1"/>
  <c r="BD79" i="4" s="1"/>
  <c r="A79" i="20"/>
  <c r="BV79" i="4" a="1"/>
  <c r="BV79" i="4" s="1"/>
  <c r="C79" i="4"/>
  <c r="A81" i="9"/>
  <c r="D79" i="1"/>
  <c r="D79" i="4"/>
  <c r="AX466" i="13"/>
  <c r="A1063" i="13"/>
  <c r="A964" i="13"/>
  <c r="AX964" i="13" s="1"/>
  <c r="A466" i="13"/>
  <c r="AX1063" i="13"/>
  <c r="A765" i="13"/>
  <c r="A865" i="13"/>
  <c r="AX865" i="13" s="1"/>
  <c r="A166" i="13"/>
  <c r="A1862" i="13"/>
  <c r="AX666" i="13"/>
  <c r="AX66" i="13"/>
  <c r="AX566" i="13"/>
  <c r="A1162" i="13"/>
  <c r="A566" i="13"/>
  <c r="A666" i="13"/>
  <c r="A306" i="13"/>
  <c r="AX306" i="13" s="1"/>
  <c r="AX206" i="13"/>
  <c r="A1007" i="13"/>
  <c r="AX610" i="13"/>
  <c r="AX410" i="13"/>
  <c r="A1106" i="13"/>
  <c r="A709" i="13"/>
  <c r="AX10" i="13"/>
  <c r="A908" i="13"/>
  <c r="AX908" i="13" s="1"/>
  <c r="A1806" i="13"/>
  <c r="Z1806" i="13" s="1"/>
  <c r="B1806" i="13" s="1" a="1"/>
  <c r="B1806" i="13" s="1"/>
  <c r="A110" i="13"/>
  <c r="A410" i="13"/>
  <c r="A510" i="13"/>
  <c r="AX510" i="13"/>
  <c r="A610" i="13"/>
  <c r="A809" i="13"/>
  <c r="AX809" i="13" s="1"/>
  <c r="AX1007" i="13"/>
  <c r="D14" i="1"/>
  <c r="D14" i="4"/>
  <c r="C14" i="4"/>
  <c r="BA14" i="4"/>
  <c r="BT14" i="4"/>
  <c r="M14" i="4"/>
  <c r="I14" i="4"/>
  <c r="AI19" i="71" s="1"/>
  <c r="BD14" i="4" a="1"/>
  <c r="BD14" i="4" s="1"/>
  <c r="BV14" i="4" a="1"/>
  <c r="BV14" i="4" s="1"/>
  <c r="A16" i="9"/>
  <c r="A14" i="20"/>
  <c r="K14" i="4"/>
  <c r="A14" i="4"/>
  <c r="BW14" i="4" a="1"/>
  <c r="BW14" i="4" s="1"/>
  <c r="D49" i="4"/>
  <c r="A49" i="4"/>
  <c r="I49" i="4"/>
  <c r="BA49" i="4"/>
  <c r="BT49" i="4"/>
  <c r="A49" i="20"/>
  <c r="BV49" i="4" a="1"/>
  <c r="BV49" i="4" s="1"/>
  <c r="M49" i="4"/>
  <c r="A51" i="9"/>
  <c r="K49" i="4"/>
  <c r="C49" i="4"/>
  <c r="BW49" i="4" a="1"/>
  <c r="BW49" i="4" s="1"/>
  <c r="D49" i="1"/>
  <c r="BD49" i="4" a="1"/>
  <c r="BD49" i="4" s="1"/>
  <c r="BD87" i="4" a="1"/>
  <c r="BD87" i="4" s="1"/>
  <c r="A89" i="9"/>
  <c r="D87" i="4"/>
  <c r="C87" i="4"/>
  <c r="D87" i="1"/>
  <c r="BV87" i="4" a="1"/>
  <c r="BV87" i="4" s="1"/>
  <c r="A87" i="20"/>
  <c r="BW87" i="4" a="1"/>
  <c r="BW87" i="4" s="1"/>
  <c r="AX468" i="13"/>
  <c r="A468" i="13"/>
  <c r="A966" i="13"/>
  <c r="AX966" i="13" s="1"/>
  <c r="A668" i="13"/>
  <c r="AX568" i="13"/>
  <c r="A867" i="13"/>
  <c r="AX867" i="13" s="1"/>
  <c r="A1164" i="13"/>
  <c r="AX668" i="13"/>
  <c r="A1065" i="13"/>
  <c r="AX1065" i="13"/>
  <c r="AX68" i="13"/>
  <c r="A568" i="13"/>
  <c r="A168" i="13"/>
  <c r="A1864" i="13"/>
  <c r="A767" i="13"/>
  <c r="C13" i="4"/>
  <c r="D13" i="4"/>
  <c r="BD13" i="4" a="1"/>
  <c r="BD13" i="4" s="1"/>
  <c r="BT13" i="4"/>
  <c r="A13" i="20"/>
  <c r="I13" i="4"/>
  <c r="AF21" i="71" s="1"/>
  <c r="M13" i="4"/>
  <c r="D13" i="1"/>
  <c r="A15" i="9"/>
  <c r="BA13" i="4"/>
  <c r="K13" i="4"/>
  <c r="BV13" i="4" a="1"/>
  <c r="BV13" i="4" s="1"/>
  <c r="A13" i="4"/>
  <c r="J483" i="15" s="1"/>
  <c r="BW13" i="4" a="1"/>
  <c r="BW13" i="4" s="1"/>
  <c r="M12" i="4"/>
  <c r="BV12" i="4" a="1"/>
  <c r="BV12" i="4" s="1"/>
  <c r="BT12" i="4"/>
  <c r="BA12" i="4"/>
  <c r="BW12" i="4" a="1"/>
  <c r="BW12" i="4" s="1"/>
  <c r="A12" i="4"/>
  <c r="K12" i="4"/>
  <c r="AT12" i="4" s="1"/>
  <c r="AV614" i="13" s="1"/>
  <c r="I12" i="4"/>
  <c r="AC25" i="71" s="1"/>
  <c r="A12" i="20"/>
  <c r="BD12" i="4" a="1"/>
  <c r="BD12" i="4" s="1"/>
  <c r="D12" i="4"/>
  <c r="C12" i="4"/>
  <c r="A14" i="9"/>
  <c r="D12" i="1"/>
  <c r="D41" i="4"/>
  <c r="BA41" i="4"/>
  <c r="M41" i="4"/>
  <c r="BV41" i="4" a="1"/>
  <c r="BV41" i="4" s="1"/>
  <c r="A41" i="20"/>
  <c r="I41" i="4"/>
  <c r="BD41" i="4" a="1"/>
  <c r="BD41" i="4" s="1"/>
  <c r="BT41" i="4"/>
  <c r="D41" i="1"/>
  <c r="A43" i="9"/>
  <c r="BW41" i="4" a="1"/>
  <c r="BW41" i="4" s="1"/>
  <c r="C41" i="4"/>
  <c r="K41" i="4"/>
  <c r="A41" i="4"/>
  <c r="A1027" i="13"/>
  <c r="A1826" i="13"/>
  <c r="A829" i="13"/>
  <c r="AX829" i="13" s="1"/>
  <c r="A928" i="13"/>
  <c r="AX928" i="13" s="1"/>
  <c r="AX1027" i="13"/>
  <c r="A430" i="13"/>
  <c r="AX430" i="13"/>
  <c r="A630" i="13"/>
  <c r="A130" i="13"/>
  <c r="AX530" i="13"/>
  <c r="A729" i="13"/>
  <c r="A530" i="13"/>
  <c r="AX630" i="13"/>
  <c r="AX30" i="13"/>
  <c r="A1126" i="13"/>
  <c r="A454" i="13"/>
  <c r="AX654" i="13"/>
  <c r="AX1051" i="13"/>
  <c r="A554" i="13"/>
  <c r="A753" i="13"/>
  <c r="AX454" i="13"/>
  <c r="A952" i="13"/>
  <c r="AX952" i="13" s="1"/>
  <c r="A1051" i="13"/>
  <c r="A1850" i="13"/>
  <c r="A154" i="13"/>
  <c r="A654" i="13"/>
  <c r="A853" i="13"/>
  <c r="AX853" i="13" s="1"/>
  <c r="A1150" i="13"/>
  <c r="AX554" i="13"/>
  <c r="AX54" i="13"/>
  <c r="BP58" i="4"/>
  <c r="G58" i="4"/>
  <c r="AX759" i="13"/>
  <c r="D83" i="4"/>
  <c r="BV83" i="4" a="1"/>
  <c r="BV83" i="4" s="1"/>
  <c r="BD83" i="4" a="1"/>
  <c r="BD83" i="4" s="1"/>
  <c r="C83" i="4"/>
  <c r="A85" i="9"/>
  <c r="A83" i="20"/>
  <c r="BW83" i="4" a="1"/>
  <c r="BW83" i="4" s="1"/>
  <c r="D83" i="1"/>
  <c r="BV69" i="4" a="1"/>
  <c r="BV69" i="4" s="1"/>
  <c r="D69" i="4"/>
  <c r="BD69" i="4" a="1"/>
  <c r="BD69" i="4" s="1"/>
  <c r="A71" i="9"/>
  <c r="C69" i="4"/>
  <c r="BW69" i="4" a="1"/>
  <c r="BW69" i="4" s="1"/>
  <c r="A69" i="20"/>
  <c r="D69" i="1"/>
  <c r="BB3" i="4" a="1"/>
  <c r="BB3" i="4" s="1"/>
  <c r="BC3" i="4" s="1"/>
  <c r="B3" i="4"/>
  <c r="DC3" i="4" s="1" a="1"/>
  <c r="DC3" i="4" s="1"/>
  <c r="J566" i="15"/>
  <c r="J507" i="15"/>
  <c r="J578" i="15"/>
  <c r="J486" i="15"/>
  <c r="J603" i="15"/>
  <c r="J638" i="15"/>
  <c r="A3" i="72"/>
  <c r="A3" i="69"/>
  <c r="BA44" i="4"/>
  <c r="A46" i="9"/>
  <c r="D44" i="1"/>
  <c r="M44" i="4"/>
  <c r="I44" i="4"/>
  <c r="C44" i="4"/>
  <c r="BD44" i="4" a="1"/>
  <c r="BD44" i="4" s="1"/>
  <c r="K44" i="4"/>
  <c r="BV44" i="4" a="1"/>
  <c r="BV44" i="4" s="1"/>
  <c r="D44" i="4"/>
  <c r="BT44" i="4"/>
  <c r="A44" i="4"/>
  <c r="BW44" i="4" a="1"/>
  <c r="BW44" i="4" s="1"/>
  <c r="A44" i="20"/>
  <c r="I47" i="4"/>
  <c r="K47" i="4"/>
  <c r="AT47" i="4" s="1"/>
  <c r="AV649" i="13" s="1"/>
  <c r="BV47" i="4" a="1"/>
  <c r="BV47" i="4" s="1"/>
  <c r="D47" i="1"/>
  <c r="M47" i="4"/>
  <c r="C47" i="4"/>
  <c r="BD47" i="4" a="1"/>
  <c r="BD47" i="4" s="1"/>
  <c r="BT47" i="4"/>
  <c r="A47" i="20"/>
  <c r="BW47" i="4" a="1"/>
  <c r="BW47" i="4" s="1"/>
  <c r="A47" i="4"/>
  <c r="A49" i="9"/>
  <c r="BA47" i="4"/>
  <c r="D47" i="4"/>
  <c r="A31" i="20"/>
  <c r="BD31" i="4" a="1"/>
  <c r="BD31" i="4" s="1"/>
  <c r="K31" i="4"/>
  <c r="M31" i="4"/>
  <c r="D31" i="4"/>
  <c r="A31" i="4"/>
  <c r="BT31" i="4"/>
  <c r="I31" i="4"/>
  <c r="A33" i="9"/>
  <c r="C31" i="4"/>
  <c r="BW31" i="4" a="1"/>
  <c r="BW31" i="4" s="1"/>
  <c r="BA31" i="4"/>
  <c r="D31" i="1"/>
  <c r="BV31" i="4" a="1"/>
  <c r="BV31" i="4" s="1"/>
  <c r="AX416" i="13"/>
  <c r="A416" i="13"/>
  <c r="AX1013" i="13"/>
  <c r="AX516" i="13"/>
  <c r="AX16" i="13"/>
  <c r="A914" i="13"/>
  <c r="AX914" i="13" s="1"/>
  <c r="A616" i="13"/>
  <c r="A1013" i="13"/>
  <c r="A1812" i="13"/>
  <c r="A715" i="13"/>
  <c r="A815" i="13"/>
  <c r="AX815" i="13" s="1"/>
  <c r="A516" i="13"/>
  <c r="AX616" i="13"/>
  <c r="A116" i="13"/>
  <c r="A1112" i="13"/>
  <c r="A1076" i="13"/>
  <c r="A179" i="13"/>
  <c r="A479" i="13"/>
  <c r="AX79" i="13"/>
  <c r="A778" i="13"/>
  <c r="A977" i="13"/>
  <c r="AX977" i="13" s="1"/>
  <c r="A878" i="13"/>
  <c r="AX878" i="13" s="1"/>
  <c r="AX1076" i="13"/>
  <c r="A1175" i="13"/>
  <c r="A579" i="13"/>
  <c r="A1875" i="13"/>
  <c r="AX479" i="13"/>
  <c r="A679" i="13"/>
  <c r="AX679" i="13"/>
  <c r="AX579" i="13"/>
  <c r="BV65" i="4" a="1"/>
  <c r="BV65" i="4" s="1"/>
  <c r="S97" i="22"/>
  <c r="D65" i="4"/>
  <c r="BW65" i="4" a="1"/>
  <c r="BW65" i="4" s="1"/>
  <c r="A65" i="20"/>
  <c r="A67" i="9"/>
  <c r="BD65" i="4" a="1"/>
  <c r="BD65" i="4" s="1"/>
  <c r="C65" i="4"/>
  <c r="D65" i="1"/>
  <c r="AX1085" i="13"/>
  <c r="AX588" i="13"/>
  <c r="A588" i="13"/>
  <c r="A688" i="13"/>
  <c r="A188" i="13"/>
  <c r="AX488" i="13"/>
  <c r="A488" i="13"/>
  <c r="AX88" i="13"/>
  <c r="A1884" i="13"/>
  <c r="AX688" i="13"/>
  <c r="A1085" i="13"/>
  <c r="A787" i="13"/>
  <c r="A887" i="13"/>
  <c r="AX887" i="13" s="1"/>
  <c r="A1184" i="13"/>
  <c r="A986" i="13"/>
  <c r="AX986" i="13" s="1"/>
  <c r="BT46" i="4"/>
  <c r="BA46" i="4"/>
  <c r="C46" i="4"/>
  <c r="I46" i="4"/>
  <c r="BW46" i="4" a="1"/>
  <c r="BW46" i="4" s="1"/>
  <c r="M46" i="4"/>
  <c r="A46" i="4"/>
  <c r="D46" i="1"/>
  <c r="D46" i="4"/>
  <c r="A46" i="20"/>
  <c r="BD46" i="4" a="1"/>
  <c r="BD46" i="4" s="1"/>
  <c r="A48" i="9"/>
  <c r="K46" i="4"/>
  <c r="AT46" i="4" s="1"/>
  <c r="AV648" i="13" s="1"/>
  <c r="BV46" i="4" a="1"/>
  <c r="BV46" i="4" s="1"/>
  <c r="A714" i="13"/>
  <c r="AX15" i="13"/>
  <c r="A515" i="13"/>
  <c r="A913" i="13"/>
  <c r="AX913" i="13" s="1"/>
  <c r="A1811" i="13"/>
  <c r="Z1811" i="13" s="1"/>
  <c r="B1811" i="13" s="1" a="1"/>
  <c r="B1811" i="13" s="1"/>
  <c r="A115" i="13"/>
  <c r="A615" i="13"/>
  <c r="A1111" i="13"/>
  <c r="A415" i="13"/>
  <c r="AX415" i="13"/>
  <c r="AX1012" i="13"/>
  <c r="A1012" i="13"/>
  <c r="AX615" i="13"/>
  <c r="A814" i="13"/>
  <c r="AX814" i="13" s="1"/>
  <c r="AX515" i="13"/>
  <c r="A1152" i="13"/>
  <c r="AX656" i="13"/>
  <c r="AX1053" i="13"/>
  <c r="AX556" i="13"/>
  <c r="A1053" i="13"/>
  <c r="A1852" i="13"/>
  <c r="AX56" i="13"/>
  <c r="A755" i="13"/>
  <c r="A855" i="13"/>
  <c r="AX855" i="13" s="1"/>
  <c r="A456" i="13"/>
  <c r="A954" i="13"/>
  <c r="AX954" i="13" s="1"/>
  <c r="A156" i="13"/>
  <c r="A656" i="13"/>
  <c r="AX456" i="13"/>
  <c r="A556" i="13"/>
  <c r="A35" i="20"/>
  <c r="BW35" i="4" a="1"/>
  <c r="BW35" i="4" s="1"/>
  <c r="BV35" i="4" a="1"/>
  <c r="BV35" i="4" s="1"/>
  <c r="A37" i="9"/>
  <c r="BT35" i="4"/>
  <c r="BD35" i="4" a="1"/>
  <c r="BD35" i="4" s="1"/>
  <c r="D35" i="4"/>
  <c r="M35" i="4"/>
  <c r="D35" i="1"/>
  <c r="I35" i="4"/>
  <c r="BA35" i="4"/>
  <c r="A35" i="4"/>
  <c r="C35" i="4"/>
  <c r="K35" i="4"/>
  <c r="B6" i="27"/>
  <c r="K17" i="27"/>
  <c r="I12" i="27"/>
  <c r="AD9" i="4"/>
  <c r="AY9" i="4"/>
  <c r="DD9" i="4"/>
  <c r="AR9" i="69" s="1"/>
  <c r="CW9" i="4"/>
  <c r="CX9" i="4" s="1"/>
  <c r="CY9" i="4"/>
  <c r="CZ9" i="4" s="1"/>
  <c r="DC9" i="4" a="1"/>
  <c r="DC9" i="4" s="1"/>
  <c r="F9" i="4"/>
  <c r="AQ9" i="4"/>
  <c r="AV311" i="13" s="1"/>
  <c r="AE9" i="4"/>
  <c r="AM9" i="4"/>
  <c r="Z9" i="4"/>
  <c r="AV1206" i="13" s="1"/>
  <c r="AI9" i="4"/>
  <c r="A576" i="13"/>
  <c r="A974" i="13"/>
  <c r="AX974" i="13" s="1"/>
  <c r="AX476" i="13"/>
  <c r="AX76" i="13"/>
  <c r="A1073" i="13"/>
  <c r="AX676" i="13"/>
  <c r="A176" i="13"/>
  <c r="AX576" i="13"/>
  <c r="A476" i="13"/>
  <c r="A875" i="13"/>
  <c r="AX875" i="13" s="1"/>
  <c r="A676" i="13"/>
  <c r="AX1073" i="13"/>
  <c r="A1872" i="13"/>
  <c r="A775" i="13"/>
  <c r="A1172" i="13"/>
  <c r="BV63" i="4" a="1"/>
  <c r="BV63" i="4" s="1"/>
  <c r="D63" i="1"/>
  <c r="BW63" i="4" a="1"/>
  <c r="BW63" i="4" s="1"/>
  <c r="A65" i="9"/>
  <c r="A63" i="20"/>
  <c r="BD63" i="4" a="1"/>
  <c r="BD63" i="4" s="1"/>
  <c r="D63" i="4"/>
  <c r="C63" i="4"/>
  <c r="S95" i="22"/>
  <c r="AX613" i="13"/>
  <c r="A1809" i="13"/>
  <c r="AX413" i="13"/>
  <c r="AX13" i="13"/>
  <c r="A712" i="13"/>
  <c r="A413" i="13"/>
  <c r="A513" i="13"/>
  <c r="A113" i="13"/>
  <c r="AX1010" i="13"/>
  <c r="A911" i="13"/>
  <c r="AX911" i="13" s="1"/>
  <c r="AX513" i="13"/>
  <c r="A613" i="13"/>
  <c r="A1010" i="13"/>
  <c r="A1109" i="13"/>
  <c r="A812" i="13"/>
  <c r="AX812" i="13" s="1"/>
  <c r="BV62" i="4" a="1"/>
  <c r="BV62" i="4" s="1"/>
  <c r="A64" i="9"/>
  <c r="A62" i="20"/>
  <c r="D62" i="1"/>
  <c r="D62" i="4"/>
  <c r="BD62" i="4" a="1"/>
  <c r="BD62" i="4" s="1"/>
  <c r="S94" i="22"/>
  <c r="C62" i="4"/>
  <c r="BW62" i="4" a="1"/>
  <c r="BW62" i="4" s="1"/>
  <c r="K28" i="4"/>
  <c r="BV28" i="4" a="1"/>
  <c r="BV28" i="4" s="1"/>
  <c r="BT28" i="4"/>
  <c r="D28" i="4"/>
  <c r="BA28" i="4"/>
  <c r="A28" i="20"/>
  <c r="A30" i="9"/>
  <c r="BW28" i="4" a="1"/>
  <c r="BW28" i="4" s="1"/>
  <c r="M28" i="4"/>
  <c r="BD28" i="4" a="1"/>
  <c r="BD28" i="4" s="1"/>
  <c r="A28" i="4"/>
  <c r="D28" i="1"/>
  <c r="I28" i="4"/>
  <c r="C28" i="4"/>
  <c r="D52" i="1"/>
  <c r="K52" i="4"/>
  <c r="M52" i="4"/>
  <c r="BW52" i="4" a="1"/>
  <c r="BW52" i="4" s="1"/>
  <c r="A52" i="4"/>
  <c r="D52" i="4"/>
  <c r="I52" i="4"/>
  <c r="A54" i="9"/>
  <c r="BD52" i="4" a="1"/>
  <c r="BD52" i="4" s="1"/>
  <c r="C52" i="4"/>
  <c r="BT52" i="4"/>
  <c r="BA52" i="4"/>
  <c r="BV52" i="4" a="1"/>
  <c r="BV52" i="4" s="1"/>
  <c r="A52" i="20"/>
  <c r="Z1455" i="13"/>
  <c r="Z1257" i="13"/>
  <c r="A25" i="13"/>
  <c r="H23" i="4"/>
  <c r="I60" i="9"/>
  <c r="A940" i="13"/>
  <c r="AX940" i="13" s="1"/>
  <c r="A442" i="13"/>
  <c r="A642" i="13"/>
  <c r="A1838" i="13"/>
  <c r="Z1838" i="13" s="1"/>
  <c r="B1838" i="13" s="1" a="1"/>
  <c r="B1838" i="13" s="1"/>
  <c r="AX1039" i="13"/>
  <c r="A542" i="13"/>
  <c r="A142" i="13"/>
  <c r="A1039" i="13"/>
  <c r="AX42" i="13"/>
  <c r="A1138" i="13"/>
  <c r="A741" i="13"/>
  <c r="AX642" i="13"/>
  <c r="A841" i="13"/>
  <c r="AX841" i="13" s="1"/>
  <c r="AX442" i="13"/>
  <c r="AX542" i="13"/>
  <c r="AX46" i="13"/>
  <c r="A745" i="13"/>
  <c r="AX1043" i="13"/>
  <c r="A1842" i="13"/>
  <c r="A1142" i="13"/>
  <c r="AX646" i="13"/>
  <c r="A944" i="13"/>
  <c r="AX944" i="13" s="1"/>
  <c r="A1043" i="13"/>
  <c r="AX546" i="13"/>
  <c r="AX446" i="13"/>
  <c r="A146" i="13"/>
  <c r="A546" i="13"/>
  <c r="A845" i="13"/>
  <c r="AX845" i="13" s="1"/>
  <c r="A446" i="13"/>
  <c r="A646" i="13"/>
  <c r="A658" i="13"/>
  <c r="A857" i="13"/>
  <c r="AX857" i="13" s="1"/>
  <c r="A757" i="13"/>
  <c r="AX58" i="13"/>
  <c r="AX458" i="13"/>
  <c r="AX558" i="13"/>
  <c r="A956" i="13"/>
  <c r="AX956" i="13" s="1"/>
  <c r="A1854" i="13"/>
  <c r="A458" i="13"/>
  <c r="A558" i="13"/>
  <c r="A158" i="13"/>
  <c r="AX1055" i="13"/>
  <c r="A1154" i="13"/>
  <c r="A1055" i="13"/>
  <c r="AX658" i="13"/>
  <c r="AX1024" i="13"/>
  <c r="AX627" i="13"/>
  <c r="A1123" i="13"/>
  <c r="A726" i="13"/>
  <c r="A527" i="13"/>
  <c r="A427" i="13"/>
  <c r="A127" i="13"/>
  <c r="A925" i="13"/>
  <c r="AX925" i="13" s="1"/>
  <c r="A1024" i="13"/>
  <c r="AX27" i="13"/>
  <c r="AX427" i="13"/>
  <c r="A1823" i="13"/>
  <c r="A627" i="13"/>
  <c r="A826" i="13"/>
  <c r="AX826" i="13" s="1"/>
  <c r="AX527" i="13"/>
  <c r="A1145" i="13"/>
  <c r="AX649" i="13"/>
  <c r="A449" i="13"/>
  <c r="A649" i="13"/>
  <c r="A149" i="13"/>
  <c r="A947" i="13"/>
  <c r="AX947" i="13" s="1"/>
  <c r="AX449" i="13"/>
  <c r="A549" i="13"/>
  <c r="A848" i="13"/>
  <c r="AX848" i="13" s="1"/>
  <c r="AX549" i="13"/>
  <c r="A1845" i="13"/>
  <c r="A748" i="13"/>
  <c r="AX49" i="13"/>
  <c r="AX1046" i="13"/>
  <c r="A1046" i="13"/>
  <c r="AX533" i="13"/>
  <c r="A633" i="13"/>
  <c r="A533" i="13"/>
  <c r="AX633" i="13"/>
  <c r="A732" i="13"/>
  <c r="A1030" i="13"/>
  <c r="A931" i="13"/>
  <c r="AX931" i="13" s="1"/>
  <c r="AX433" i="13"/>
  <c r="A832" i="13"/>
  <c r="AX832" i="13" s="1"/>
  <c r="A1829" i="13"/>
  <c r="AX1030" i="13"/>
  <c r="AX33" i="13"/>
  <c r="A433" i="13"/>
  <c r="A1129" i="13"/>
  <c r="A133" i="13"/>
  <c r="BV77" i="4" a="1"/>
  <c r="BV77" i="4" s="1"/>
  <c r="D77" i="4"/>
  <c r="BD77" i="4" a="1"/>
  <c r="BD77" i="4" s="1"/>
  <c r="BW77" i="4" a="1"/>
  <c r="BW77" i="4" s="1"/>
  <c r="D77" i="1"/>
  <c r="A79" i="9"/>
  <c r="C77" i="4"/>
  <c r="A77" i="20"/>
  <c r="A1064" i="13"/>
  <c r="A866" i="13"/>
  <c r="AX866" i="13" s="1"/>
  <c r="A1863" i="13"/>
  <c r="A567" i="13"/>
  <c r="AX67" i="13"/>
  <c r="A766" i="13"/>
  <c r="A1163" i="13"/>
  <c r="AX1064" i="13"/>
  <c r="A667" i="13"/>
  <c r="AX567" i="13"/>
  <c r="AX467" i="13"/>
  <c r="A965" i="13"/>
  <c r="AX965" i="13" s="1"/>
  <c r="A167" i="13"/>
  <c r="A467" i="13"/>
  <c r="AX667" i="13"/>
  <c r="BA24" i="4"/>
  <c r="A24" i="20"/>
  <c r="M24" i="4"/>
  <c r="BW24" i="4" a="1"/>
  <c r="BW24" i="4" s="1"/>
  <c r="C24" i="4"/>
  <c r="BD24" i="4" a="1"/>
  <c r="BD24" i="4" s="1"/>
  <c r="A26" i="9"/>
  <c r="BT24" i="4"/>
  <c r="A24" i="4"/>
  <c r="K24" i="4"/>
  <c r="AT24" i="4" s="1"/>
  <c r="AV626" i="13" s="1"/>
  <c r="D24" i="1"/>
  <c r="BV24" i="4" a="1"/>
  <c r="BV24" i="4" s="1"/>
  <c r="D24" i="4"/>
  <c r="I24" i="4"/>
  <c r="BD86" i="4" a="1"/>
  <c r="BD86" i="4" s="1"/>
  <c r="A88" i="9"/>
  <c r="BW86" i="4" a="1"/>
  <c r="BW86" i="4" s="1"/>
  <c r="D86" i="4"/>
  <c r="D86" i="1"/>
  <c r="A86" i="20"/>
  <c r="BV86" i="4" a="1"/>
  <c r="BV86" i="4" s="1"/>
  <c r="C86" i="4"/>
  <c r="A747" i="13"/>
  <c r="AX448" i="13"/>
  <c r="A1844" i="13"/>
  <c r="AX48" i="13"/>
  <c r="A946" i="13"/>
  <c r="AX946" i="13" s="1"/>
  <c r="A1045" i="13"/>
  <c r="A448" i="13"/>
  <c r="AX648" i="13"/>
  <c r="A847" i="13"/>
  <c r="AX847" i="13" s="1"/>
  <c r="A1144" i="13"/>
  <c r="A648" i="13"/>
  <c r="A548" i="13"/>
  <c r="A148" i="13"/>
  <c r="AX1045" i="13"/>
  <c r="AX548" i="13"/>
  <c r="D54" i="1"/>
  <c r="A56" i="9"/>
  <c r="A54" i="20"/>
  <c r="I54" i="4"/>
  <c r="A54" i="4"/>
  <c r="BW54" i="4" a="1"/>
  <c r="BW54" i="4" s="1"/>
  <c r="M54" i="4"/>
  <c r="D54" i="4"/>
  <c r="BV54" i="4" a="1"/>
  <c r="BV54" i="4" s="1"/>
  <c r="BT54" i="4"/>
  <c r="BA54" i="4"/>
  <c r="K54" i="4"/>
  <c r="C54" i="4"/>
  <c r="BD54" i="4" a="1"/>
  <c r="BD54" i="4" s="1"/>
  <c r="A437" i="13"/>
  <c r="AX437" i="13"/>
  <c r="AX537" i="13"/>
  <c r="AX1034" i="13"/>
  <c r="A736" i="13"/>
  <c r="A935" i="13"/>
  <c r="AX935" i="13" s="1"/>
  <c r="A1034" i="13"/>
  <c r="A637" i="13"/>
  <c r="A537" i="13"/>
  <c r="A1133" i="13"/>
  <c r="AX37" i="13"/>
  <c r="AX637" i="13"/>
  <c r="A1833" i="13"/>
  <c r="A137" i="13"/>
  <c r="A836" i="13"/>
  <c r="AX836" i="13" s="1"/>
  <c r="F12" i="5"/>
  <c r="F18" i="5"/>
  <c r="A74" i="20"/>
  <c r="BV74" i="4" a="1"/>
  <c r="BV74" i="4" s="1"/>
  <c r="A76" i="9"/>
  <c r="I76" i="9" s="1"/>
  <c r="C74" i="4"/>
  <c r="D74" i="4"/>
  <c r="D74" i="1"/>
  <c r="BD74" i="4" a="1"/>
  <c r="BD74" i="4" s="1"/>
  <c r="BW74" i="4" a="1"/>
  <c r="BW74" i="4" s="1"/>
  <c r="AX665" i="13"/>
  <c r="A1861" i="13"/>
  <c r="A963" i="13"/>
  <c r="AX963" i="13" s="1"/>
  <c r="A864" i="13"/>
  <c r="AX864" i="13" s="1"/>
  <c r="AX565" i="13"/>
  <c r="A1161" i="13"/>
  <c r="A1062" i="13"/>
  <c r="A665" i="13"/>
  <c r="AX465" i="13"/>
  <c r="AX65" i="13"/>
  <c r="A565" i="13"/>
  <c r="AX1062" i="13"/>
  <c r="A465" i="13"/>
  <c r="A165" i="13"/>
  <c r="A764" i="13"/>
  <c r="BA11" i="4"/>
  <c r="C11" i="4"/>
  <c r="BT11" i="4"/>
  <c r="BW11" i="4" a="1"/>
  <c r="BW11" i="4" s="1"/>
  <c r="K11" i="4"/>
  <c r="I11" i="4"/>
  <c r="Z28" i="71" s="1"/>
  <c r="A11" i="4"/>
  <c r="A11" i="20"/>
  <c r="BV11" i="4" a="1"/>
  <c r="BV11" i="4" s="1"/>
  <c r="A13" i="9"/>
  <c r="BD11" i="4" a="1"/>
  <c r="BD11" i="4" s="1"/>
  <c r="D11" i="4"/>
  <c r="D11" i="1"/>
  <c r="M11" i="4"/>
  <c r="A1860" i="13"/>
  <c r="A1160" i="13"/>
  <c r="AX564" i="13"/>
  <c r="A763" i="13"/>
  <c r="AX1061" i="13"/>
  <c r="A664" i="13"/>
  <c r="A1061" i="13"/>
  <c r="AX664" i="13"/>
  <c r="A863" i="13"/>
  <c r="AX863" i="13" s="1"/>
  <c r="AX464" i="13"/>
  <c r="A962" i="13"/>
  <c r="AX962" i="13" s="1"/>
  <c r="A464" i="13"/>
  <c r="A164" i="13"/>
  <c r="A564" i="13"/>
  <c r="AX64" i="13"/>
  <c r="A40" i="20"/>
  <c r="I40" i="4"/>
  <c r="BW40" i="4" a="1"/>
  <c r="BW40" i="4" s="1"/>
  <c r="K40" i="4"/>
  <c r="M40" i="4"/>
  <c r="D40" i="4"/>
  <c r="BV40" i="4" a="1"/>
  <c r="BV40" i="4" s="1"/>
  <c r="D40" i="1"/>
  <c r="BD40" i="4" a="1"/>
  <c r="BD40" i="4" s="1"/>
  <c r="C40" i="4"/>
  <c r="BA40" i="4"/>
  <c r="A40" i="4"/>
  <c r="A42" i="9"/>
  <c r="BT40" i="4"/>
  <c r="A683" i="13"/>
  <c r="A1080" i="13"/>
  <c r="AX83" i="13"/>
  <c r="A782" i="13"/>
  <c r="AX1080" i="13"/>
  <c r="AX583" i="13"/>
  <c r="A183" i="13"/>
  <c r="A882" i="13"/>
  <c r="AX882" i="13" s="1"/>
  <c r="A1179" i="13"/>
  <c r="A583" i="13"/>
  <c r="A1879" i="13"/>
  <c r="AX683" i="13"/>
  <c r="A981" i="13"/>
  <c r="AX981" i="13" s="1"/>
  <c r="A483" i="13"/>
  <c r="AX483" i="13"/>
  <c r="A972" i="13"/>
  <c r="AX972" i="13" s="1"/>
  <c r="AX74" i="13"/>
  <c r="A873" i="13"/>
  <c r="AX873" i="13" s="1"/>
  <c r="A174" i="13"/>
  <c r="A474" i="13"/>
  <c r="A1071" i="13"/>
  <c r="A674" i="13"/>
  <c r="A1870" i="13"/>
  <c r="AX474" i="13"/>
  <c r="AX674" i="13"/>
  <c r="A574" i="13"/>
  <c r="A1170" i="13"/>
  <c r="AX574" i="13"/>
  <c r="A773" i="13"/>
  <c r="AX1071" i="13"/>
  <c r="AX459" i="13"/>
  <c r="A957" i="13"/>
  <c r="AX957" i="13" s="1"/>
  <c r="AX559" i="13"/>
  <c r="A1855" i="13"/>
  <c r="AX1056" i="13"/>
  <c r="A858" i="13"/>
  <c r="AX858" i="13" s="1"/>
  <c r="A1056" i="13"/>
  <c r="A659" i="13"/>
  <c r="A159" i="13"/>
  <c r="A758" i="13"/>
  <c r="A559" i="13"/>
  <c r="A1155" i="13"/>
  <c r="AX659" i="13"/>
  <c r="A459" i="13"/>
  <c r="AX59" i="13"/>
  <c r="A58" i="9"/>
  <c r="BV56" i="4" a="1"/>
  <c r="BV56" i="4" s="1"/>
  <c r="C56" i="4"/>
  <c r="S88" i="22"/>
  <c r="D56" i="4"/>
  <c r="A56" i="20"/>
  <c r="D56" i="1"/>
  <c r="BW56" i="4" a="1"/>
  <c r="BW56" i="4" s="1"/>
  <c r="BD56" i="4" a="1"/>
  <c r="BD56" i="4" s="1"/>
  <c r="A27" i="9"/>
  <c r="BA25" i="4"/>
  <c r="BT25" i="4"/>
  <c r="A25" i="20"/>
  <c r="M25" i="4"/>
  <c r="A25" i="4"/>
  <c r="C25" i="4"/>
  <c r="I25" i="4"/>
  <c r="BW25" i="4" a="1"/>
  <c r="BW25" i="4" s="1"/>
  <c r="D25" i="4"/>
  <c r="BV25" i="4" a="1"/>
  <c r="BV25" i="4" s="1"/>
  <c r="K25" i="4"/>
  <c r="BD25" i="4" a="1"/>
  <c r="BD25" i="4" s="1"/>
  <c r="D25" i="1"/>
  <c r="BB4" i="4" a="1"/>
  <c r="BB4" i="4" s="1"/>
  <c r="BC4" i="4" s="1"/>
  <c r="AV106" i="13" s="1"/>
  <c r="B4" i="4"/>
  <c r="J510" i="15"/>
  <c r="BV75" i="4" a="1"/>
  <c r="BV75" i="4" s="1"/>
  <c r="BW75" i="4" a="1"/>
  <c r="BW75" i="4" s="1"/>
  <c r="A77" i="9"/>
  <c r="D75" i="1"/>
  <c r="D75" i="4"/>
  <c r="BD75" i="4" a="1"/>
  <c r="BD75" i="4" s="1"/>
  <c r="A75" i="20"/>
  <c r="C75" i="4"/>
  <c r="AX526" i="13"/>
  <c r="A126" i="13"/>
  <c r="A1023" i="13"/>
  <c r="A426" i="13"/>
  <c r="A725" i="13"/>
  <c r="AX426" i="13"/>
  <c r="AX26" i="13"/>
  <c r="A1822" i="13"/>
  <c r="AX1023" i="13"/>
  <c r="A526" i="13"/>
  <c r="AX626" i="13"/>
  <c r="A626" i="13"/>
  <c r="A924" i="13"/>
  <c r="AX924" i="13" s="1"/>
  <c r="A1122" i="13"/>
  <c r="A825" i="13"/>
  <c r="AX825" i="13" s="1"/>
  <c r="A1041" i="13"/>
  <c r="A1840" i="13"/>
  <c r="A544" i="13"/>
  <c r="A644" i="13"/>
  <c r="A743" i="13"/>
  <c r="A144" i="13"/>
  <c r="A1140" i="13"/>
  <c r="A942" i="13"/>
  <c r="AX942" i="13" s="1"/>
  <c r="AX644" i="13"/>
  <c r="AX544" i="13"/>
  <c r="A843" i="13"/>
  <c r="AX843" i="13" s="1"/>
  <c r="A444" i="13"/>
  <c r="AX444" i="13"/>
  <c r="AX44" i="13"/>
  <c r="AX1041" i="13"/>
  <c r="D91" i="1"/>
  <c r="A91" i="20"/>
  <c r="BW91" i="4" a="1"/>
  <c r="BW91" i="4" s="1"/>
  <c r="D91" i="4"/>
  <c r="C91" i="4"/>
  <c r="BD91" i="4" a="1"/>
  <c r="BD91" i="4" s="1"/>
  <c r="BV91" i="4" a="1"/>
  <c r="BV91" i="4" s="1"/>
  <c r="A93" i="9"/>
  <c r="AX1060" i="13"/>
  <c r="A163" i="13"/>
  <c r="A961" i="13"/>
  <c r="AX961" i="13" s="1"/>
  <c r="A1060" i="13"/>
  <c r="AX563" i="13"/>
  <c r="A1159" i="13"/>
  <c r="A563" i="13"/>
  <c r="A663" i="13"/>
  <c r="A862" i="13"/>
  <c r="AX862" i="13" s="1"/>
  <c r="AX663" i="13"/>
  <c r="A463" i="13"/>
  <c r="AX463" i="13"/>
  <c r="A1859" i="13"/>
  <c r="A762" i="13"/>
  <c r="AX63" i="13"/>
  <c r="DE4" i="4"/>
  <c r="T4" i="4"/>
  <c r="AV206" i="13"/>
  <c r="I33" i="4"/>
  <c r="BD33" i="4" a="1"/>
  <c r="BD33" i="4" s="1"/>
  <c r="C33" i="4"/>
  <c r="BA33" i="4"/>
  <c r="BT33" i="4"/>
  <c r="BV33" i="4" a="1"/>
  <c r="BV33" i="4" s="1"/>
  <c r="A33" i="4"/>
  <c r="K33" i="4"/>
  <c r="A33" i="20"/>
  <c r="D33" i="4"/>
  <c r="BW33" i="4" a="1"/>
  <c r="BW33" i="4" s="1"/>
  <c r="A35" i="9"/>
  <c r="D33" i="1"/>
  <c r="M33" i="4"/>
  <c r="K6" i="27"/>
  <c r="A905" i="13"/>
  <c r="AX905" i="13" s="1"/>
  <c r="A107" i="13"/>
  <c r="A507" i="13"/>
  <c r="AX407" i="13"/>
  <c r="A706" i="13"/>
  <c r="A1103" i="13"/>
  <c r="A407" i="13"/>
  <c r="A1803" i="13"/>
  <c r="Z1803" i="13" s="1"/>
  <c r="B1803" i="13" s="1" a="1"/>
  <c r="B1803" i="13" s="1"/>
  <c r="AX1004" i="13"/>
  <c r="A607" i="13"/>
  <c r="AX507" i="13"/>
  <c r="AX7" i="13"/>
  <c r="A806" i="13"/>
  <c r="AX806" i="13" s="1"/>
  <c r="AX607" i="13"/>
  <c r="A1004" i="13"/>
  <c r="CW3" i="4"/>
  <c r="CY3" i="4"/>
  <c r="CZ3" i="4" s="1"/>
  <c r="DD3" i="4"/>
  <c r="AY3" i="4"/>
  <c r="AD3" i="4"/>
  <c r="B22" i="71"/>
  <c r="B8" i="71"/>
  <c r="B13" i="71"/>
  <c r="B32" i="71"/>
  <c r="B36" i="71"/>
  <c r="B5" i="71"/>
  <c r="B31" i="71"/>
  <c r="B33" i="71"/>
  <c r="B27" i="71"/>
  <c r="B7" i="71"/>
  <c r="B4" i="71"/>
  <c r="B35" i="71"/>
  <c r="B17" i="71"/>
  <c r="B24" i="71"/>
  <c r="B19" i="71"/>
  <c r="B18" i="71"/>
  <c r="B23" i="71"/>
  <c r="B20" i="71"/>
  <c r="B14" i="71"/>
  <c r="B30" i="71"/>
  <c r="B34" i="71"/>
  <c r="H3" i="9"/>
  <c r="B25" i="71"/>
  <c r="B16" i="71"/>
  <c r="B26" i="71"/>
  <c r="B9" i="71"/>
  <c r="B21" i="71"/>
  <c r="B11" i="71"/>
  <c r="B28" i="71"/>
  <c r="B6" i="71"/>
  <c r="B15" i="71"/>
  <c r="B10" i="71"/>
  <c r="B29" i="71"/>
  <c r="B12" i="71"/>
  <c r="C38" i="71"/>
  <c r="AT3" i="4"/>
  <c r="H5" i="9"/>
  <c r="AM3" i="4"/>
  <c r="AI3" i="4"/>
  <c r="AE3" i="4"/>
  <c r="F3" i="4"/>
  <c r="AQ3" i="4"/>
  <c r="Y3" i="72"/>
  <c r="AO3" i="72"/>
  <c r="W3" i="69"/>
  <c r="K3" i="27"/>
  <c r="BA76" i="4"/>
  <c r="AH59" i="4" a="1"/>
  <c r="AG59" i="4" a="1"/>
  <c r="AJ72" i="4" a="1"/>
  <c r="AK72" i="4" a="1"/>
  <c r="AO61" i="4" a="1"/>
  <c r="AP61" i="4" a="1"/>
  <c r="AG76" i="4" a="1"/>
  <c r="AH76" i="4" a="1"/>
  <c r="AK29" i="4" a="1"/>
  <c r="AJ29" i="4" a="1"/>
  <c r="AO39" i="4" a="1"/>
  <c r="AP39" i="4" a="1"/>
  <c r="AH18" i="4" a="1"/>
  <c r="AG18" i="4" a="1"/>
  <c r="AJ16" i="4" a="1"/>
  <c r="AK16" i="4" a="1"/>
  <c r="AA27" i="4" a="1"/>
  <c r="AB27" i="4" a="1"/>
  <c r="AK93" i="4" a="1"/>
  <c r="AJ93" i="4" a="1"/>
  <c r="AK85" i="4" a="1"/>
  <c r="AJ85" i="4" a="1"/>
  <c r="AA32" i="4" a="1"/>
  <c r="AB32" i="4" a="1"/>
  <c r="AO90" i="4" a="1"/>
  <c r="AP90" i="4" a="1"/>
  <c r="AP73" i="4" a="1"/>
  <c r="AO73" i="4" a="1"/>
  <c r="AG36" i="4" a="1"/>
  <c r="AH36" i="4" a="1"/>
  <c r="AA71" i="4" a="1"/>
  <c r="AB71" i="4" a="1"/>
  <c r="AK19" i="4" a="1"/>
  <c r="AJ19" i="4" a="1"/>
  <c r="AO34" i="4" a="1"/>
  <c r="AP34" i="4" a="1"/>
  <c r="AK34" i="4" a="1"/>
  <c r="AJ34" i="4" a="1"/>
  <c r="AG53" i="4" a="1"/>
  <c r="AH53" i="4" a="1"/>
  <c r="AP30" i="4" a="1"/>
  <c r="AO30" i="4" a="1"/>
  <c r="AA64" i="4" a="1"/>
  <c r="AB64" i="4" a="1"/>
  <c r="AG8" i="4" a="1"/>
  <c r="AH8" i="4" a="1"/>
  <c r="AA49" i="4" a="1"/>
  <c r="AB49" i="4" a="1"/>
  <c r="AB87" i="4" a="1"/>
  <c r="AA87" i="4" a="1"/>
  <c r="AA13" i="4" a="1"/>
  <c r="AB13" i="4" a="1"/>
  <c r="AJ13" i="4" a="1"/>
  <c r="AK13" i="4" a="1"/>
  <c r="AH44" i="4" a="1"/>
  <c r="AG44" i="4" a="1"/>
  <c r="AJ31" i="4" a="1"/>
  <c r="AK31" i="4" a="1"/>
  <c r="AG28" i="4" a="1"/>
  <c r="AH28" i="4" a="1"/>
  <c r="AA52" i="4" a="1"/>
  <c r="AB52" i="4" a="1"/>
  <c r="AK24" i="4" a="1"/>
  <c r="AJ24" i="4" a="1"/>
  <c r="AH86" i="4" a="1"/>
  <c r="AG86" i="4" a="1"/>
  <c r="AO54" i="4" a="1"/>
  <c r="AP54" i="4" a="1"/>
  <c r="AH74" i="4" a="1"/>
  <c r="AG74" i="4" a="1"/>
  <c r="AJ40" i="4" a="1"/>
  <c r="AK40" i="4" a="1"/>
  <c r="AG25" i="4" a="1"/>
  <c r="AH25" i="4" a="1"/>
  <c r="AA25" i="4" a="1"/>
  <c r="AB25" i="4" a="1"/>
  <c r="AG91" i="4" a="1"/>
  <c r="AH91" i="4" a="1"/>
  <c r="AP59" i="4" a="1"/>
  <c r="AO59" i="4" a="1"/>
  <c r="AA42" i="4" a="1"/>
  <c r="AB42" i="4" a="1"/>
  <c r="AO16" i="4" a="1"/>
  <c r="AP16" i="4" a="1"/>
  <c r="AP37" i="4" a="1"/>
  <c r="AO37" i="4" a="1"/>
  <c r="AK27" i="4" a="1"/>
  <c r="AJ27" i="4" a="1"/>
  <c r="AG27" i="4" a="1"/>
  <c r="AH27" i="4" a="1"/>
  <c r="AA93" i="4" a="1"/>
  <c r="AB93" i="4" a="1"/>
  <c r="AB85" i="4" a="1"/>
  <c r="AA85" i="4" a="1"/>
  <c r="AP6" i="4" a="1"/>
  <c r="AO6" i="4" a="1"/>
  <c r="AJ6" i="4" a="1"/>
  <c r="AK6" i="4" a="1"/>
  <c r="AA90" i="4" a="1"/>
  <c r="AB90" i="4" a="1"/>
  <c r="AB36" i="4" a="1"/>
  <c r="AA36" i="4" a="1"/>
  <c r="AO80" i="4" a="1"/>
  <c r="AP80" i="4" a="1"/>
  <c r="AO43" i="4" a="1"/>
  <c r="AP43" i="4" a="1"/>
  <c r="AH88" i="4" a="1"/>
  <c r="AG88" i="4" a="1"/>
  <c r="AK71" i="4" a="1"/>
  <c r="AJ71" i="4" a="1"/>
  <c r="AJ8" i="4" a="1"/>
  <c r="AK8" i="4" a="1"/>
  <c r="AP69" i="4" a="1"/>
  <c r="AO69" i="4" a="1"/>
  <c r="AO62" i="4" a="1"/>
  <c r="AP62" i="4" a="1"/>
  <c r="AG56" i="4" a="1"/>
  <c r="AH56" i="4" a="1"/>
  <c r="AO33" i="4" a="1"/>
  <c r="AP33" i="4" a="1"/>
  <c r="B81" i="1" a="1"/>
  <c r="B17" i="1" a="1"/>
  <c r="AP72" i="4" a="1"/>
  <c r="AO72" i="4" a="1"/>
  <c r="AG17" i="4" a="1"/>
  <c r="AH17" i="4" a="1"/>
  <c r="AG68" i="4" a="1"/>
  <c r="AH68" i="4" a="1"/>
  <c r="AB68" i="4" a="1"/>
  <c r="AA68" i="4" a="1"/>
  <c r="AH48" i="4" a="1"/>
  <c r="AG48" i="4" a="1"/>
  <c r="AG29" i="4" a="1"/>
  <c r="AH29" i="4" a="1"/>
  <c r="AG39" i="4" a="1"/>
  <c r="AH39" i="4" a="1"/>
  <c r="AA45" i="4" a="1"/>
  <c r="AB45" i="4" a="1"/>
  <c r="AB16" i="4" a="1"/>
  <c r="AA16" i="4" a="1"/>
  <c r="AG16" i="4" a="1"/>
  <c r="AH16" i="4" a="1"/>
  <c r="AB37" i="4" a="1"/>
  <c r="AA37" i="4" a="1"/>
  <c r="AP89" i="4" a="1"/>
  <c r="AO89" i="4" a="1"/>
  <c r="AK15" i="4" a="1"/>
  <c r="AJ15" i="4" a="1"/>
  <c r="AP85" i="4" a="1"/>
  <c r="AO85" i="4" a="1"/>
  <c r="AG7" i="4" a="1"/>
  <c r="AH7" i="4" a="1"/>
  <c r="AH90" i="4" a="1"/>
  <c r="AG90" i="4" a="1"/>
  <c r="AH73" i="4" a="1"/>
  <c r="AG73" i="4" a="1"/>
  <c r="AK88" i="4" a="1"/>
  <c r="AJ88" i="4" a="1"/>
  <c r="AJ67" i="4" a="1"/>
  <c r="AK67" i="4" a="1"/>
  <c r="AK50" i="4" a="1"/>
  <c r="AJ50" i="4" a="1"/>
  <c r="AK53" i="4" a="1"/>
  <c r="AJ53" i="4" a="1"/>
  <c r="AH30" i="4" a="1"/>
  <c r="AG30" i="4" a="1"/>
  <c r="AJ64" i="4" a="1"/>
  <c r="AK64" i="4" a="1"/>
  <c r="AH66" i="4" a="1"/>
  <c r="AG66" i="4" a="1"/>
  <c r="AH79" i="4" a="1"/>
  <c r="AG79" i="4" a="1"/>
  <c r="AO41" i="4" a="1"/>
  <c r="AP41" i="4" a="1"/>
  <c r="AH41" i="4" a="1"/>
  <c r="AG41" i="4" a="1"/>
  <c r="AJ69" i="4" a="1"/>
  <c r="AK69" i="4" a="1"/>
  <c r="AA47" i="4" a="1"/>
  <c r="AB47" i="4" a="1"/>
  <c r="AA65" i="4" a="1"/>
  <c r="AB65" i="4" a="1"/>
  <c r="AA46" i="4" a="1"/>
  <c r="AB46" i="4" a="1"/>
  <c r="AO63" i="4" a="1"/>
  <c r="AP63" i="4" a="1"/>
  <c r="AA77" i="4" a="1"/>
  <c r="AB77" i="4" a="1"/>
  <c r="AK54" i="4" a="1"/>
  <c r="AJ54" i="4" a="1"/>
  <c r="AP74" i="4" a="1"/>
  <c r="AO74" i="4" a="1"/>
  <c r="AJ91" i="4" a="1"/>
  <c r="AK91" i="4" a="1"/>
  <c r="AK21" i="4" a="1"/>
  <c r="AJ21" i="4" a="1"/>
  <c r="AO78" i="4" a="1"/>
  <c r="AP78" i="4" a="1"/>
  <c r="AK32" i="4" a="1"/>
  <c r="AJ32" i="4" a="1"/>
  <c r="AJ90" i="4" a="1"/>
  <c r="AK90" i="4" a="1"/>
  <c r="AH71" i="4" a="1"/>
  <c r="AG71" i="4" a="1"/>
  <c r="AA8" i="4" a="1"/>
  <c r="AB8" i="4" a="1"/>
  <c r="AB66" i="4" a="1"/>
  <c r="AA66" i="4" a="1"/>
  <c r="AJ82" i="4" a="1"/>
  <c r="AK82" i="4" a="1"/>
  <c r="AK26" i="4" a="1"/>
  <c r="AJ26" i="4" a="1"/>
  <c r="AH13" i="4" a="1"/>
  <c r="AG13" i="4" a="1"/>
  <c r="AB41" i="4" a="1"/>
  <c r="AA41" i="4" a="1"/>
  <c r="AP44" i="4" a="1"/>
  <c r="AO44" i="4" a="1"/>
  <c r="AG47" i="4" a="1"/>
  <c r="AH47" i="4" a="1"/>
  <c r="AK46" i="4" a="1"/>
  <c r="AJ46" i="4" a="1"/>
  <c r="AB28" i="4" a="1"/>
  <c r="AA28" i="4" a="1"/>
  <c r="AJ77" i="4" a="1"/>
  <c r="AK77" i="4" a="1"/>
  <c r="AB91" i="4" a="1"/>
  <c r="AA91" i="4" a="1"/>
  <c r="AO91" i="4" a="1"/>
  <c r="AP91" i="4" a="1"/>
  <c r="AA72" i="4" a="1"/>
  <c r="AB72" i="4" a="1"/>
  <c r="AK5" i="4" a="1"/>
  <c r="AJ5" i="4" a="1"/>
  <c r="AK68" i="4" a="1"/>
  <c r="AJ68" i="4" a="1"/>
  <c r="AK48" i="4" a="1"/>
  <c r="AJ48" i="4" a="1"/>
  <c r="AJ45" i="4" a="1"/>
  <c r="AK45" i="4" a="1"/>
  <c r="AJ37" i="4" a="1"/>
  <c r="AK37" i="4" a="1"/>
  <c r="AJ78" i="4" a="1"/>
  <c r="AK78" i="4" a="1"/>
  <c r="AA80" i="4" a="1"/>
  <c r="AB80" i="4" a="1"/>
  <c r="AB19" i="4" a="1"/>
  <c r="AA19" i="4" a="1"/>
  <c r="AB67" i="4" a="1"/>
  <c r="AA67" i="4" a="1"/>
  <c r="AG50" i="4" a="1"/>
  <c r="AH50" i="4" a="1"/>
  <c r="AP8" i="4" a="1"/>
  <c r="AO8" i="4" a="1"/>
  <c r="AG14" i="4" a="1"/>
  <c r="AH14" i="4" a="1"/>
  <c r="AH49" i="4" a="1"/>
  <c r="AG49" i="4" a="1"/>
  <c r="AP87" i="4" a="1"/>
  <c r="AO87" i="4" a="1"/>
  <c r="AB69" i="4" a="1"/>
  <c r="AA69" i="4" a="1"/>
  <c r="AP65" i="4" a="1"/>
  <c r="AO65" i="4" a="1"/>
  <c r="AH63" i="4" a="1"/>
  <c r="AG63" i="4" a="1"/>
  <c r="AH52" i="4" a="1"/>
  <c r="AG52" i="4" a="1"/>
  <c r="AA54" i="4" a="1"/>
  <c r="AB54" i="4" a="1"/>
  <c r="AK74" i="4" a="1"/>
  <c r="AJ74" i="4" a="1"/>
  <c r="AK11" i="4" a="1"/>
  <c r="AJ11" i="4" a="1"/>
  <c r="AB40" i="4" a="1"/>
  <c r="AA40" i="4" a="1"/>
  <c r="AH75" i="4" a="1"/>
  <c r="AG75" i="4" a="1"/>
  <c r="AA81" i="4" a="1"/>
  <c r="AB81" i="4" a="1"/>
  <c r="AH57" i="4" a="1"/>
  <c r="AG57" i="4" a="1"/>
  <c r="AP17" i="4" a="1"/>
  <c r="AO17" i="4" a="1"/>
  <c r="AK61" i="4" a="1"/>
  <c r="AJ61" i="4" a="1"/>
  <c r="AO5" i="4" a="1"/>
  <c r="AP5" i="4" a="1"/>
  <c r="AK76" i="4" a="1"/>
  <c r="AJ76" i="4" a="1"/>
  <c r="AO18" i="4" a="1"/>
  <c r="AP18" i="4" a="1"/>
  <c r="AO15" i="4" a="1"/>
  <c r="AP15" i="4" a="1"/>
  <c r="AK22" i="4" a="1"/>
  <c r="AJ22" i="4" a="1"/>
  <c r="AH32" i="4" a="1"/>
  <c r="AG32" i="4" a="1"/>
  <c r="AP32" i="4" a="1"/>
  <c r="AO32" i="4" a="1"/>
  <c r="AP38" i="4" a="1"/>
  <c r="AO38" i="4" a="1"/>
  <c r="AB38" i="4" a="1"/>
  <c r="AA38" i="4" a="1"/>
  <c r="AB92" i="4" a="1"/>
  <c r="AA92" i="4" a="1"/>
  <c r="AG19" i="4" a="1"/>
  <c r="AH19" i="4" a="1"/>
  <c r="AA70" i="4" a="1"/>
  <c r="AB70" i="4" a="1"/>
  <c r="AB30" i="4" a="1"/>
  <c r="AA30" i="4" a="1"/>
  <c r="AH87" i="4" a="1"/>
  <c r="AG87" i="4" a="1"/>
  <c r="AB83" i="4" a="1"/>
  <c r="AA83" i="4" a="1"/>
  <c r="AJ47" i="4" a="1"/>
  <c r="AK47" i="4" a="1"/>
  <c r="AO31" i="4" a="1"/>
  <c r="AP31" i="4" a="1"/>
  <c r="AO35" i="4" a="1"/>
  <c r="AP35" i="4" a="1"/>
  <c r="AJ62" i="4" a="1"/>
  <c r="AK62" i="4" a="1"/>
  <c r="AP52" i="4" a="1"/>
  <c r="AO52" i="4" a="1"/>
  <c r="AH77" i="4" a="1"/>
  <c r="AG77" i="4" a="1"/>
  <c r="AA56" i="4" a="1"/>
  <c r="AB56" i="4" a="1"/>
  <c r="AP25" i="4" a="1"/>
  <c r="AO25" i="4" a="1"/>
  <c r="AK75" i="4" a="1"/>
  <c r="AJ75" i="4" a="1"/>
  <c r="AA17" i="4" a="1"/>
  <c r="AB17" i="4" a="1"/>
  <c r="AA18" i="4" a="1"/>
  <c r="AB18" i="4" a="1"/>
  <c r="AG93" i="4" a="1"/>
  <c r="AH93" i="4" a="1"/>
  <c r="AJ7" i="4" a="1"/>
  <c r="AK7" i="4" a="1"/>
  <c r="AP92" i="4" a="1"/>
  <c r="AO92" i="4" a="1"/>
  <c r="AG84" i="4" a="1"/>
  <c r="AH84" i="4" a="1"/>
  <c r="AG67" i="4" a="1"/>
  <c r="AH67" i="4" a="1"/>
  <c r="AA34" i="4" a="1"/>
  <c r="AB34" i="4" a="1"/>
  <c r="AB82" i="4" a="1"/>
  <c r="AA82" i="4" a="1"/>
  <c r="AP26" i="4" a="1"/>
  <c r="AO26" i="4" a="1"/>
  <c r="AP79" i="4" a="1"/>
  <c r="AO79" i="4" a="1"/>
  <c r="AO49" i="4" a="1"/>
  <c r="AP49" i="4" a="1"/>
  <c r="AH83" i="4" a="1"/>
  <c r="AG83" i="4" a="1"/>
  <c r="AK65" i="4" a="1"/>
  <c r="AJ65" i="4" a="1"/>
  <c r="AJ35" i="4" a="1"/>
  <c r="AK35" i="4" a="1"/>
  <c r="AK63" i="4" a="1"/>
  <c r="AJ63" i="4" a="1"/>
  <c r="AK28" i="4" a="1"/>
  <c r="AJ28" i="4" a="1"/>
  <c r="AO28" i="4" a="1"/>
  <c r="AP28" i="4" a="1"/>
  <c r="AJ86" i="4" a="1"/>
  <c r="AK86" i="4" a="1"/>
  <c r="AG40" i="4" a="1"/>
  <c r="AH40" i="4" a="1"/>
  <c r="AJ56" i="4" a="1"/>
  <c r="AK56" i="4" a="1"/>
  <c r="AB33" i="4" a="1"/>
  <c r="AA33" i="4" a="1"/>
  <c r="AH72" i="4" a="1"/>
  <c r="AG72" i="4" a="1"/>
  <c r="AP42" i="4" a="1"/>
  <c r="AO42" i="4" a="1"/>
  <c r="AO68" i="4" a="1"/>
  <c r="AP68" i="4" a="1"/>
  <c r="AK18" i="4" a="1"/>
  <c r="AJ18" i="4" a="1"/>
  <c r="AG37" i="4" a="1"/>
  <c r="AH37" i="4" a="1"/>
  <c r="AP27" i="4" a="1"/>
  <c r="AO27" i="4" a="1"/>
  <c r="AA89" i="4" a="1"/>
  <c r="AB89" i="4" a="1"/>
  <c r="AK51" i="4" a="1"/>
  <c r="AJ51" i="4" a="1"/>
  <c r="AB20" i="4" a="1"/>
  <c r="AA20" i="4" a="1"/>
  <c r="AB7" i="4" a="1"/>
  <c r="AA7" i="4" a="1"/>
  <c r="AK38" i="4" a="1"/>
  <c r="AJ38" i="4" a="1"/>
  <c r="AK36" i="4" a="1"/>
  <c r="AJ36" i="4" a="1"/>
  <c r="AG92" i="4" a="1"/>
  <c r="AH92" i="4" a="1"/>
  <c r="AH80" i="4" a="1"/>
  <c r="AG80" i="4" a="1"/>
  <c r="AH43" i="4" a="1"/>
  <c r="AG43" i="4" a="1"/>
  <c r="AB50" i="4" a="1"/>
  <c r="AA50" i="4" a="1"/>
  <c r="AK70" i="4" a="1"/>
  <c r="AJ70" i="4" a="1"/>
  <c r="AO82" i="4" a="1"/>
  <c r="AP82" i="4" a="1"/>
  <c r="AH26" i="4" a="1"/>
  <c r="AG26" i="4" a="1"/>
  <c r="AJ14" i="4" a="1"/>
  <c r="AK14" i="4" a="1"/>
  <c r="AJ87" i="4" a="1"/>
  <c r="AK87" i="4" a="1"/>
  <c r="AO12" i="4" a="1"/>
  <c r="AP12" i="4" a="1"/>
  <c r="AA12" i="4" a="1"/>
  <c r="AB12" i="4" a="1"/>
  <c r="AP83" i="4" a="1"/>
  <c r="AO83" i="4" a="1"/>
  <c r="AH65" i="4" a="1"/>
  <c r="AG65" i="4" a="1"/>
  <c r="AH35" i="4" a="1"/>
  <c r="AG35" i="4" a="1"/>
  <c r="AO77" i="4" a="1"/>
  <c r="AP77" i="4" a="1"/>
  <c r="AP86" i="4" a="1"/>
  <c r="AO86" i="4" a="1"/>
  <c r="AG11" i="4" a="1"/>
  <c r="AH11" i="4" a="1"/>
  <c r="AO11" i="4" a="1"/>
  <c r="AP11" i="4" a="1"/>
  <c r="AA59" i="4" a="1"/>
  <c r="AB59" i="4" a="1"/>
  <c r="AP81" i="4" a="1"/>
  <c r="AO81" i="4" a="1"/>
  <c r="AB61" i="4" a="1"/>
  <c r="AA61" i="4" a="1"/>
  <c r="AB5" i="4" a="1"/>
  <c r="AA5" i="4" a="1"/>
  <c r="AP29" i="4" a="1"/>
  <c r="AO29" i="4" a="1"/>
  <c r="AH45" i="4" a="1"/>
  <c r="AG45" i="4" a="1"/>
  <c r="AO21" i="4" a="1"/>
  <c r="AP21" i="4" a="1"/>
  <c r="AO51" i="4" a="1"/>
  <c r="AP51" i="4" a="1"/>
  <c r="AP22" i="4" a="1"/>
  <c r="AO22" i="4" a="1"/>
  <c r="AO7" i="4" a="1"/>
  <c r="AP7" i="4" a="1"/>
  <c r="AH38" i="4" a="1"/>
  <c r="AG38" i="4" a="1"/>
  <c r="AA88" i="4" a="1"/>
  <c r="AB88" i="4" a="1"/>
  <c r="AP71" i="4" a="1"/>
  <c r="AO71" i="4" a="1"/>
  <c r="AA84" i="4" a="1"/>
  <c r="AB84" i="4" a="1"/>
  <c r="AP67" i="4" a="1"/>
  <c r="AO67" i="4" a="1"/>
  <c r="AO50" i="4" a="1"/>
  <c r="AP50" i="4" a="1"/>
  <c r="AO53" i="4" a="1"/>
  <c r="AP53" i="4" a="1"/>
  <c r="AG70" i="4" a="1"/>
  <c r="AH70" i="4" a="1"/>
  <c r="AP70" i="4" a="1"/>
  <c r="AO70" i="4" a="1"/>
  <c r="AP64" i="4" a="1"/>
  <c r="AO64" i="4" a="1"/>
  <c r="AG82" i="4" a="1"/>
  <c r="AH82" i="4" a="1"/>
  <c r="AA79" i="4" a="1"/>
  <c r="AB79" i="4" a="1"/>
  <c r="AJ49" i="4" a="1"/>
  <c r="AK49" i="4" a="1"/>
  <c r="AO13" i="4" a="1"/>
  <c r="AP13" i="4" a="1"/>
  <c r="AJ12" i="4" a="1"/>
  <c r="AK12" i="4" a="1"/>
  <c r="AH46" i="4" a="1"/>
  <c r="AG46" i="4" a="1"/>
  <c r="AB62" i="4" a="1"/>
  <c r="AA62" i="4" a="1"/>
  <c r="AB24" i="4" a="1"/>
  <c r="AA24" i="4" a="1"/>
  <c r="AA86" i="4" a="1"/>
  <c r="AB86" i="4" a="1"/>
  <c r="AB74" i="4" a="1"/>
  <c r="AA74" i="4" a="1"/>
  <c r="AP56" i="4" a="1"/>
  <c r="AO56" i="4" a="1"/>
  <c r="AA75" i="4" a="1"/>
  <c r="AB75" i="4" a="1"/>
  <c r="AK33" i="4" a="1"/>
  <c r="AJ33" i="4" a="1"/>
  <c r="AG81" i="4" a="1"/>
  <c r="AH81" i="4" a="1"/>
  <c r="AJ81" i="4" a="1"/>
  <c r="AK81" i="4" a="1"/>
  <c r="AA57" i="4" a="1"/>
  <c r="AB57" i="4" a="1"/>
  <c r="AK57" i="4" a="1"/>
  <c r="AJ57" i="4" a="1"/>
  <c r="AK42" i="4" a="1"/>
  <c r="AJ42" i="4" a="1"/>
  <c r="AG42" i="4" a="1"/>
  <c r="AH42" i="4" a="1"/>
  <c r="AG5" i="4" a="1"/>
  <c r="AH5" i="4" a="1"/>
  <c r="AB48" i="4" a="1"/>
  <c r="AA48" i="4" a="1"/>
  <c r="AO45" i="4" a="1"/>
  <c r="AP45" i="4" a="1"/>
  <c r="AB21" i="4" a="1"/>
  <c r="AA21" i="4" a="1"/>
  <c r="AH89" i="4" a="1"/>
  <c r="AG89" i="4" a="1"/>
  <c r="AA51" i="4" a="1"/>
  <c r="AB51" i="4" a="1"/>
  <c r="AH15" i="4" a="1"/>
  <c r="AG15" i="4" a="1"/>
  <c r="AO20" i="4" a="1"/>
  <c r="AP20" i="4" a="1"/>
  <c r="AB22" i="4" a="1"/>
  <c r="AA22" i="4" a="1"/>
  <c r="AG6" i="4" a="1"/>
  <c r="AH6" i="4" a="1"/>
  <c r="AK73" i="4" a="1"/>
  <c r="AJ73" i="4" a="1"/>
  <c r="AK43" i="4" a="1"/>
  <c r="AJ43" i="4" a="1"/>
  <c r="AH64" i="4" a="1"/>
  <c r="AG64" i="4" a="1"/>
  <c r="AK66" i="4" a="1"/>
  <c r="AJ66" i="4" a="1"/>
  <c r="AK79" i="4" a="1"/>
  <c r="AJ79" i="4" a="1"/>
  <c r="AH12" i="4" a="1"/>
  <c r="AG12" i="4" a="1"/>
  <c r="AJ83" i="4" a="1"/>
  <c r="AK83" i="4" a="1"/>
  <c r="AK44" i="4" a="1"/>
  <c r="AJ44" i="4" a="1"/>
  <c r="AG31" i="4" a="1"/>
  <c r="AH31" i="4" a="1"/>
  <c r="AP46" i="4" a="1"/>
  <c r="AO46" i="4" a="1"/>
  <c r="AP40" i="4" a="1"/>
  <c r="AO40" i="4" a="1"/>
  <c r="B59" i="1" a="1"/>
  <c r="B42" i="1" a="1"/>
  <c r="AH61" i="4" a="1"/>
  <c r="AG61" i="4" a="1"/>
  <c r="AP76" i="4" a="1"/>
  <c r="AO76" i="4" a="1"/>
  <c r="AA29" i="4" a="1"/>
  <c r="AB29" i="4" a="1"/>
  <c r="AJ39" i="4" a="1"/>
  <c r="AK39" i="4" a="1"/>
  <c r="AP93" i="4" a="1"/>
  <c r="AO93" i="4" a="1"/>
  <c r="AJ89" i="4" a="1"/>
  <c r="AK89" i="4" a="1"/>
  <c r="AG78" i="4" a="1"/>
  <c r="AH78" i="4" a="1"/>
  <c r="AA15" i="4" a="1"/>
  <c r="AB15" i="4" a="1"/>
  <c r="AG20" i="4" a="1"/>
  <c r="AH20" i="4" a="1"/>
  <c r="AG22" i="4" a="1"/>
  <c r="AH22" i="4" a="1"/>
  <c r="AJ92" i="4" a="1"/>
  <c r="AK92" i="4" a="1"/>
  <c r="AK80" i="4" a="1"/>
  <c r="AJ80" i="4" a="1"/>
  <c r="AB43" i="4" a="1"/>
  <c r="AA43" i="4" a="1"/>
  <c r="AO88" i="4" a="1"/>
  <c r="AP88" i="4" a="1"/>
  <c r="AP84" i="4" a="1"/>
  <c r="AO84" i="4" a="1"/>
  <c r="AG34" i="4" a="1"/>
  <c r="AH34" i="4" a="1"/>
  <c r="AO66" i="4" a="1"/>
  <c r="AP66" i="4" a="1"/>
  <c r="AA26" i="4" a="1"/>
  <c r="AB26" i="4" a="1"/>
  <c r="AB14" i="4" a="1"/>
  <c r="AA14" i="4" a="1"/>
  <c r="AJ41" i="4" a="1"/>
  <c r="AK41" i="4" a="1"/>
  <c r="AH69" i="4" a="1"/>
  <c r="AG69" i="4" a="1"/>
  <c r="AB44" i="4" a="1"/>
  <c r="AA44" i="4" a="1"/>
  <c r="AO47" i="4" a="1"/>
  <c r="AP47" i="4" a="1"/>
  <c r="AB63" i="4" a="1"/>
  <c r="AA63" i="4" a="1"/>
  <c r="AO24" i="4" a="1"/>
  <c r="AP24" i="4" a="1"/>
  <c r="AH24" i="4" a="1"/>
  <c r="AG24" i="4" a="1"/>
  <c r="AG54" i="4" a="1"/>
  <c r="AH54" i="4" a="1"/>
  <c r="AO75" i="4" a="1"/>
  <c r="AP75" i="4" a="1"/>
  <c r="B5" i="1" a="1"/>
  <c r="AK59" i="4" a="1"/>
  <c r="AJ59" i="4" a="1"/>
  <c r="AO57" i="4" a="1"/>
  <c r="AP57" i="4" a="1"/>
  <c r="AK17" i="4" a="1"/>
  <c r="AJ17" i="4" a="1"/>
  <c r="AA76" i="4" a="1"/>
  <c r="AB76" i="4" a="1"/>
  <c r="AP48" i="4" a="1"/>
  <c r="AO48" i="4" a="1"/>
  <c r="AA39" i="4" a="1"/>
  <c r="AB39" i="4" a="1"/>
  <c r="AG21" i="4" a="1"/>
  <c r="AH21" i="4" a="1"/>
  <c r="AA78" i="4" a="1"/>
  <c r="AB78" i="4" a="1"/>
  <c r="AG51" i="4" a="1"/>
  <c r="AH51" i="4" a="1"/>
  <c r="AH85" i="4" a="1"/>
  <c r="AG85" i="4" a="1"/>
  <c r="AJ20" i="4" a="1"/>
  <c r="AK20" i="4" a="1"/>
  <c r="AB6" i="4" a="1"/>
  <c r="AA6" i="4" a="1"/>
  <c r="AB73" i="4" a="1"/>
  <c r="AA73" i="4" a="1"/>
  <c r="AP36" i="4" a="1"/>
  <c r="AO36" i="4" a="1"/>
  <c r="AP19" i="4" a="1"/>
  <c r="AO19" i="4" a="1"/>
  <c r="AK84" i="4" a="1"/>
  <c r="AJ84" i="4" a="1"/>
  <c r="AB53" i="4" a="1"/>
  <c r="AA53" i="4" a="1"/>
  <c r="AJ30" i="4" a="1"/>
  <c r="AK30" i="4" a="1"/>
  <c r="AP14" i="4" a="1"/>
  <c r="AO14" i="4" a="1"/>
  <c r="AB31" i="4" a="1"/>
  <c r="AA31" i="4" a="1"/>
  <c r="AA35" i="4" a="1"/>
  <c r="AB35" i="4" a="1"/>
  <c r="AG62" i="4" a="1"/>
  <c r="AH62" i="4" a="1"/>
  <c r="AJ52" i="4" a="1"/>
  <c r="AK52" i="4" a="1"/>
  <c r="AA11" i="4" a="1"/>
  <c r="AB11" i="4" a="1"/>
  <c r="AJ25" i="4" a="1"/>
  <c r="AK25" i="4" a="1"/>
  <c r="AG33" i="4" a="1"/>
  <c r="AH33" i="4" a="1"/>
  <c r="B72" i="1" a="1"/>
  <c r="B57" i="1" a="1"/>
  <c r="B61" i="1" a="1"/>
  <c r="B18" i="1" a="1"/>
  <c r="B37" i="1" a="1"/>
  <c r="BL9" i="4" a="1"/>
  <c r="DH9" i="4" a="1"/>
  <c r="BK9" i="4" a="1"/>
  <c r="BJ9" i="4" a="1"/>
  <c r="B46" i="1" a="1"/>
  <c r="B45" i="1" a="1"/>
  <c r="B51" i="1" a="1"/>
  <c r="B85" i="1" a="1"/>
  <c r="B90" i="1" a="1"/>
  <c r="BK10" i="4" a="1"/>
  <c r="BJ10" i="4" a="1"/>
  <c r="BL10" i="4" a="1"/>
  <c r="DH10" i="4" a="1"/>
  <c r="B34" i="1" a="1"/>
  <c r="B30" i="1" a="1"/>
  <c r="B87" i="1" a="1"/>
  <c r="B69" i="1" a="1"/>
  <c r="B47" i="1" a="1"/>
  <c r="B31" i="1" a="1"/>
  <c r="B62" i="1" a="1"/>
  <c r="B28" i="1" a="1"/>
  <c r="B77" i="1" a="1"/>
  <c r="B24" i="1" a="1"/>
  <c r="B33" i="1" a="1"/>
  <c r="B39" i="1" a="1"/>
  <c r="B27" i="1" a="1"/>
  <c r="B15" i="1" a="1"/>
  <c r="B20" i="1" a="1"/>
  <c r="B43" i="1" a="1"/>
  <c r="B19" i="1" a="1"/>
  <c r="B67" i="1" a="1"/>
  <c r="B50" i="1" a="1"/>
  <c r="B70" i="1" a="1"/>
  <c r="B75" i="1" a="1"/>
  <c r="B74" i="1" a="1"/>
  <c r="B48" i="1" a="1"/>
  <c r="B73" i="1" a="1"/>
  <c r="B82" i="1" a="1"/>
  <c r="B14" i="1" a="1"/>
  <c r="B25" i="1" a="1"/>
  <c r="B80" i="1" a="1"/>
  <c r="B66" i="1" a="1"/>
  <c r="B63" i="1" a="1"/>
  <c r="B52" i="1" a="1"/>
  <c r="B53" i="1" a="1"/>
  <c r="B8" i="1" a="1"/>
  <c r="B11" i="1" a="1"/>
  <c r="B29" i="1" a="1"/>
  <c r="B7" i="1" a="1"/>
  <c r="B49" i="1" a="1"/>
  <c r="B65" i="1" a="1"/>
  <c r="B21" i="1" a="1"/>
  <c r="B88" i="1" a="1"/>
  <c r="B12" i="1" a="1"/>
  <c r="B56" i="1" a="1"/>
  <c r="B68" i="1" a="1"/>
  <c r="B22" i="1" a="1"/>
  <c r="B32" i="1" a="1"/>
  <c r="B64" i="1" a="1"/>
  <c r="B40" i="1" a="1"/>
  <c r="B91" i="1" a="1"/>
  <c r="B93" i="1" a="1"/>
  <c r="B89" i="1" a="1"/>
  <c r="B38" i="1" a="1"/>
  <c r="AF60" i="4" a="1"/>
  <c r="CS60" i="4"/>
  <c r="AC60" i="4" a="1"/>
  <c r="BO60" i="4" a="1"/>
  <c r="CF60" i="4" a="1"/>
  <c r="CE60" i="4" a="1"/>
  <c r="CL60" i="4" a="1"/>
  <c r="AL60" i="4" a="1"/>
  <c r="CP60" i="4" a="1"/>
  <c r="CN60" i="4" a="1"/>
  <c r="CG60" i="4" a="1"/>
  <c r="CK60" i="4" a="1"/>
  <c r="BQ60" i="4" a="1"/>
  <c r="CH60" i="4" a="1"/>
  <c r="CM60" i="4" a="1"/>
  <c r="CC60" i="4" a="1"/>
  <c r="CO60" i="4" a="1"/>
  <c r="CD60" i="4" a="1"/>
  <c r="CJ60" i="4"/>
  <c r="CI60" i="4" s="1" a="1"/>
  <c r="AN60" i="4" a="1"/>
  <c r="CV60" i="4"/>
  <c r="B26" i="1" a="1"/>
  <c r="B79" i="1" a="1"/>
  <c r="B41" i="1" a="1"/>
  <c r="B44" i="1" a="1"/>
  <c r="BK4" i="4" a="1"/>
  <c r="BL4" i="4" a="1"/>
  <c r="BJ4" i="4" a="1"/>
  <c r="DH4" i="4" a="1"/>
  <c r="B76" i="1" a="1"/>
  <c r="B71" i="1" a="1"/>
  <c r="B84" i="1" a="1"/>
  <c r="B13" i="1" a="1"/>
  <c r="B83" i="1" a="1"/>
  <c r="BL3" i="4" a="1"/>
  <c r="BK3" i="4" a="1"/>
  <c r="BJ3" i="4" a="1"/>
  <c r="DH3" i="4" a="1"/>
  <c r="B35" i="1" a="1"/>
  <c r="B86" i="1" a="1"/>
  <c r="CH23" i="4" a="1"/>
  <c r="CP23" i="4" a="1"/>
  <c r="AF23" i="4" a="1"/>
  <c r="CD23" i="4" a="1"/>
  <c r="CE23" i="4" a="1"/>
  <c r="AN23" i="4" a="1"/>
  <c r="CF23" i="4" a="1"/>
  <c r="CJ23" i="4"/>
  <c r="CL23" i="4" a="1"/>
  <c r="CV23" i="4"/>
  <c r="AL23" i="4" a="1"/>
  <c r="CO23" i="4" a="1"/>
  <c r="CC23" i="4" a="1"/>
  <c r="CN23" i="4" a="1"/>
  <c r="AC23" i="4" a="1"/>
  <c r="CK23" i="4" a="1"/>
  <c r="BO23" i="4" a="1"/>
  <c r="CM23" i="4" a="1"/>
  <c r="CS23" i="4"/>
  <c r="BQ23" i="4" a="1"/>
  <c r="CG23" i="4" a="1"/>
  <c r="B16" i="1" a="1"/>
  <c r="B78" i="1" a="1"/>
  <c r="B6" i="1" a="1"/>
  <c r="B36" i="1" a="1"/>
  <c r="B92" i="1" a="1"/>
  <c r="CI58" i="4" a="1"/>
  <c r="B54" i="1" a="1"/>
  <c r="CR60" i="4" a="1"/>
  <c r="CQ60" i="4" a="1"/>
  <c r="CU60" i="4" a="1"/>
  <c r="CT60" i="4" a="1"/>
  <c r="CU23" i="4" a="1"/>
  <c r="CT23" i="4" a="1"/>
  <c r="CR23" i="4" a="1"/>
  <c r="CQ23" i="4" a="1"/>
  <c r="BX6" i="4" l="1"/>
  <c r="BX19" i="4"/>
  <c r="BX32" i="4"/>
  <c r="BX89" i="4"/>
  <c r="BX31" i="4"/>
  <c r="BX34" i="4"/>
  <c r="BX42" i="4"/>
  <c r="BX54" i="4"/>
  <c r="BX72" i="4"/>
  <c r="BX16" i="4"/>
  <c r="Z1840" i="13"/>
  <c r="B1840" i="13" s="1" a="1"/>
  <c r="B1840" i="13" s="1"/>
  <c r="Z1842" i="13"/>
  <c r="B1842" i="13" s="1" a="1"/>
  <c r="B1842" i="13" s="1"/>
  <c r="AT52" i="4"/>
  <c r="AV654" i="13" s="1"/>
  <c r="H34" i="71"/>
  <c r="H11" i="71"/>
  <c r="H24" i="71"/>
  <c r="H4" i="71"/>
  <c r="AT49" i="4"/>
  <c r="AV651" i="13" s="1"/>
  <c r="Z1804" i="13"/>
  <c r="B1804" i="13" s="1" a="1"/>
  <c r="B1804" i="13" s="1"/>
  <c r="AT38" i="4"/>
  <c r="AV640" i="13" s="1"/>
  <c r="Z3" i="4"/>
  <c r="Z1809" i="13"/>
  <c r="B1809" i="13" s="1" a="1"/>
  <c r="B1809" i="13" s="1"/>
  <c r="Z1812" i="13"/>
  <c r="B1812" i="13" s="1" a="1"/>
  <c r="B1812" i="13" s="1"/>
  <c r="Z1826" i="13"/>
  <c r="B1826" i="13" s="1" a="1"/>
  <c r="B1826" i="13" s="1"/>
  <c r="AT22" i="4"/>
  <c r="AV624" i="13" s="1"/>
  <c r="AT37" i="4"/>
  <c r="AV639" i="13" s="1"/>
  <c r="AT16" i="4"/>
  <c r="AV618" i="13" s="1"/>
  <c r="AT21" i="4"/>
  <c r="AV623" i="13" s="1"/>
  <c r="H8" i="71"/>
  <c r="H5" i="71"/>
  <c r="H20" i="71"/>
  <c r="H29" i="71"/>
  <c r="AT30" i="4"/>
  <c r="AV632" i="13" s="1"/>
  <c r="AT36" i="4"/>
  <c r="AV638" i="13" s="1"/>
  <c r="L9" i="72"/>
  <c r="H13" i="71"/>
  <c r="H30" i="71"/>
  <c r="H31" i="71"/>
  <c r="H28" i="71"/>
  <c r="AU31" i="71"/>
  <c r="H23" i="71"/>
  <c r="H6" i="71"/>
  <c r="AR29" i="71"/>
  <c r="AR19" i="71"/>
  <c r="H27" i="71"/>
  <c r="AR7" i="71"/>
  <c r="Z1822" i="13"/>
  <c r="B1822" i="13" s="1" a="1"/>
  <c r="B1822" i="13" s="1"/>
  <c r="AT6" i="4"/>
  <c r="AV608" i="13" s="1"/>
  <c r="AT40" i="4"/>
  <c r="AV642" i="13" s="1"/>
  <c r="Z1833" i="13"/>
  <c r="B1833" i="13" s="1" a="1"/>
  <c r="B1833" i="13" s="1"/>
  <c r="AT31" i="4"/>
  <c r="AV633" i="13" s="1"/>
  <c r="H16" i="71"/>
  <c r="AR8" i="71"/>
  <c r="H15" i="71"/>
  <c r="I38" i="71"/>
  <c r="H21" i="71"/>
  <c r="H14" i="71"/>
  <c r="AR33" i="71"/>
  <c r="H7" i="71"/>
  <c r="BX17" i="4"/>
  <c r="BX28" i="4"/>
  <c r="BX14" i="4"/>
  <c r="BX88" i="4"/>
  <c r="BX87" i="4"/>
  <c r="BX20" i="4"/>
  <c r="BX76" i="4"/>
  <c r="BX63" i="4"/>
  <c r="BQ10" i="72"/>
  <c r="BX33" i="4"/>
  <c r="BX13" i="4"/>
  <c r="BX70" i="4"/>
  <c r="BX29" i="4"/>
  <c r="AE10" i="69" a="1"/>
  <c r="AE10" i="69" s="1"/>
  <c r="AU10" i="69" s="1" a="1"/>
  <c r="AU10" i="69" s="1"/>
  <c r="BH9" i="72" a="1"/>
  <c r="BH9" i="72" s="1"/>
  <c r="BH9" i="69"/>
  <c r="CE10" i="72" a="1"/>
  <c r="CE10" i="72" s="1"/>
  <c r="BX47" i="4"/>
  <c r="BX79" i="4"/>
  <c r="BX66" i="4"/>
  <c r="BX85" i="4"/>
  <c r="BX57" i="4"/>
  <c r="BX35" i="4"/>
  <c r="BX43" i="4"/>
  <c r="BX91" i="4"/>
  <c r="BX41" i="4"/>
  <c r="BX68" i="4"/>
  <c r="BX67" i="4"/>
  <c r="BX27" i="4"/>
  <c r="AY9" i="69" a="1"/>
  <c r="AY9" i="69" s="1"/>
  <c r="CB10" i="72"/>
  <c r="AF9" i="72" a="1"/>
  <c r="AF9" i="72" s="1"/>
  <c r="BD9" i="72" s="1" a="1"/>
  <c r="BD9" i="72" s="1"/>
  <c r="AY10" i="69" a="1"/>
  <c r="AY10" i="69" s="1"/>
  <c r="BX24" i="4"/>
  <c r="BX51" i="4"/>
  <c r="CQ23" i="4"/>
  <c r="CR23" i="4"/>
  <c r="CT23" i="4"/>
  <c r="CU23" i="4"/>
  <c r="CT60" i="4"/>
  <c r="CU60" i="4"/>
  <c r="CQ60" i="4"/>
  <c r="CR60" i="4"/>
  <c r="B54" i="1"/>
  <c r="CI58" i="4"/>
  <c r="B92" i="1"/>
  <c r="B36" i="1"/>
  <c r="B6" i="1"/>
  <c r="B78" i="1"/>
  <c r="B16" i="1"/>
  <c r="CG23" i="4"/>
  <c r="BQ23" i="4"/>
  <c r="CM23" i="4"/>
  <c r="BO23" i="4"/>
  <c r="CK23" i="4"/>
  <c r="AC23" i="4"/>
  <c r="CN23" i="4"/>
  <c r="CC23" i="4"/>
  <c r="CO23" i="4"/>
  <c r="AL23" i="4"/>
  <c r="CL23" i="4"/>
  <c r="CF23" i="4"/>
  <c r="AN23" i="4"/>
  <c r="CE23" i="4"/>
  <c r="CD23" i="4"/>
  <c r="AF23" i="4"/>
  <c r="CP23" i="4"/>
  <c r="CH23" i="4"/>
  <c r="B86" i="1"/>
  <c r="B35" i="1"/>
  <c r="DH3" i="4"/>
  <c r="BJ3" i="4"/>
  <c r="BK3" i="4"/>
  <c r="BL3" i="4"/>
  <c r="B83" i="1"/>
  <c r="B13" i="1"/>
  <c r="B84" i="1"/>
  <c r="B71" i="1"/>
  <c r="B76" i="1"/>
  <c r="DH4" i="4"/>
  <c r="BJ4" i="4"/>
  <c r="BL4" i="4"/>
  <c r="BK4" i="4"/>
  <c r="B44" i="1"/>
  <c r="B41" i="1"/>
  <c r="B79" i="1"/>
  <c r="B26" i="1"/>
  <c r="AN60" i="4"/>
  <c r="CI60" i="4"/>
  <c r="CD60" i="4"/>
  <c r="CO60" i="4"/>
  <c r="CC60" i="4"/>
  <c r="CM60" i="4"/>
  <c r="CH60" i="4"/>
  <c r="BQ60" i="4"/>
  <c r="CK60" i="4"/>
  <c r="CG60" i="4"/>
  <c r="CN60" i="4"/>
  <c r="CP60" i="4"/>
  <c r="AL60" i="4"/>
  <c r="CL60" i="4"/>
  <c r="CE60" i="4"/>
  <c r="CF60" i="4"/>
  <c r="BO60" i="4"/>
  <c r="AC60" i="4"/>
  <c r="AF60" i="4"/>
  <c r="B38" i="1"/>
  <c r="B89" i="1"/>
  <c r="B93" i="1"/>
  <c r="B91" i="1"/>
  <c r="B40" i="1"/>
  <c r="B64" i="1"/>
  <c r="B32" i="1"/>
  <c r="B22" i="1"/>
  <c r="B68" i="1"/>
  <c r="B56" i="1"/>
  <c r="B12" i="1"/>
  <c r="B88" i="1"/>
  <c r="B21" i="1"/>
  <c r="B65" i="1"/>
  <c r="B49" i="1"/>
  <c r="B7" i="1"/>
  <c r="B29" i="1"/>
  <c r="B11" i="1"/>
  <c r="B8" i="1"/>
  <c r="B53" i="1"/>
  <c r="B52" i="1"/>
  <c r="B63" i="1"/>
  <c r="B66" i="1"/>
  <c r="B80" i="1"/>
  <c r="B25" i="1"/>
  <c r="B14" i="1"/>
  <c r="B82" i="1"/>
  <c r="B73" i="1"/>
  <c r="B48" i="1"/>
  <c r="B74" i="1"/>
  <c r="B75" i="1"/>
  <c r="B70" i="1"/>
  <c r="B50" i="1"/>
  <c r="B67" i="1"/>
  <c r="B19" i="1"/>
  <c r="B43" i="1"/>
  <c r="B20" i="1"/>
  <c r="B15" i="1"/>
  <c r="B27" i="1"/>
  <c r="B39" i="1"/>
  <c r="B33" i="1"/>
  <c r="B24" i="1"/>
  <c r="B77" i="1"/>
  <c r="B28" i="1"/>
  <c r="B62" i="1"/>
  <c r="B31" i="1"/>
  <c r="B47" i="1"/>
  <c r="B69" i="1"/>
  <c r="B87" i="1"/>
  <c r="B30" i="1"/>
  <c r="B34" i="1"/>
  <c r="DH10" i="4"/>
  <c r="BL10" i="4"/>
  <c r="BJ10" i="4"/>
  <c r="BK10" i="4"/>
  <c r="B90" i="1"/>
  <c r="B85" i="1"/>
  <c r="B51" i="1"/>
  <c r="B45" i="1"/>
  <c r="B46" i="1"/>
  <c r="BJ9" i="4"/>
  <c r="BK9" i="4"/>
  <c r="DH9" i="4"/>
  <c r="BL9" i="4"/>
  <c r="B37" i="1"/>
  <c r="B18" i="1"/>
  <c r="B61" i="1"/>
  <c r="B57" i="1"/>
  <c r="B72" i="1"/>
  <c r="AH33" i="4"/>
  <c r="AG33" i="4"/>
  <c r="AK25" i="4"/>
  <c r="AJ25" i="4"/>
  <c r="AB11" i="4"/>
  <c r="AA11" i="4"/>
  <c r="DD11" i="4" s="1"/>
  <c r="AK52" i="4"/>
  <c r="AJ52" i="4"/>
  <c r="AH62" i="4"/>
  <c r="AG62" i="4"/>
  <c r="AB35" i="4"/>
  <c r="AA35" i="4"/>
  <c r="DD35" i="4" s="1"/>
  <c r="AA31" i="4"/>
  <c r="DD31" i="4" s="1"/>
  <c r="AB31" i="4"/>
  <c r="AO14" i="4"/>
  <c r="AP14" i="4"/>
  <c r="AK30" i="4"/>
  <c r="AJ30" i="4"/>
  <c r="AA53" i="4"/>
  <c r="DD53" i="4" s="1"/>
  <c r="AB53" i="4"/>
  <c r="AJ84" i="4"/>
  <c r="AK84" i="4"/>
  <c r="AO19" i="4"/>
  <c r="AP19" i="4"/>
  <c r="AO36" i="4"/>
  <c r="AP36" i="4"/>
  <c r="AA73" i="4"/>
  <c r="AB73" i="4"/>
  <c r="AA6" i="4"/>
  <c r="DD6" i="4" s="1"/>
  <c r="AB6" i="4"/>
  <c r="AK20" i="4"/>
  <c r="AJ20" i="4"/>
  <c r="AG85" i="4"/>
  <c r="AH85" i="4"/>
  <c r="AH51" i="4"/>
  <c r="AG51" i="4"/>
  <c r="AB78" i="4"/>
  <c r="AA78" i="4"/>
  <c r="AH21" i="4"/>
  <c r="AG21" i="4"/>
  <c r="AB39" i="4"/>
  <c r="AA39" i="4"/>
  <c r="DD39" i="4" s="1"/>
  <c r="AO48" i="4"/>
  <c r="AP48" i="4"/>
  <c r="AB76" i="4"/>
  <c r="AA76" i="4"/>
  <c r="AJ17" i="4"/>
  <c r="AK17" i="4"/>
  <c r="AP57" i="4"/>
  <c r="AO57" i="4"/>
  <c r="AJ59" i="4"/>
  <c r="AK59" i="4"/>
  <c r="B5" i="1"/>
  <c r="AP75" i="4"/>
  <c r="AO75" i="4"/>
  <c r="AH54" i="4"/>
  <c r="AG54" i="4"/>
  <c r="AG24" i="4"/>
  <c r="AH24" i="4"/>
  <c r="AP24" i="4"/>
  <c r="AO24" i="4"/>
  <c r="AA63" i="4"/>
  <c r="AB63" i="4"/>
  <c r="AP47" i="4"/>
  <c r="AO47" i="4"/>
  <c r="AA44" i="4"/>
  <c r="DD44" i="4" s="1"/>
  <c r="AB44" i="4"/>
  <c r="AG69" i="4"/>
  <c r="AH69" i="4"/>
  <c r="AK41" i="4"/>
  <c r="AJ41" i="4"/>
  <c r="AA14" i="4"/>
  <c r="DD14" i="4" s="1"/>
  <c r="AB14" i="4"/>
  <c r="AB26" i="4"/>
  <c r="AA26" i="4"/>
  <c r="DD26" i="4" s="1"/>
  <c r="AP66" i="4"/>
  <c r="AO66" i="4"/>
  <c r="AH34" i="4"/>
  <c r="AG34" i="4"/>
  <c r="AO84" i="4"/>
  <c r="AP84" i="4"/>
  <c r="AP88" i="4"/>
  <c r="AO88" i="4"/>
  <c r="AA43" i="4"/>
  <c r="DD43" i="4" s="1"/>
  <c r="AB43" i="4"/>
  <c r="AJ80" i="4"/>
  <c r="AK80" i="4"/>
  <c r="AK92" i="4"/>
  <c r="AJ92" i="4"/>
  <c r="AH22" i="4"/>
  <c r="AG22" i="4"/>
  <c r="AH20" i="4"/>
  <c r="AG20" i="4"/>
  <c r="AB15" i="4"/>
  <c r="AA15" i="4"/>
  <c r="DD15" i="4" s="1"/>
  <c r="AH78" i="4"/>
  <c r="AG78" i="4"/>
  <c r="AK89" i="4"/>
  <c r="AJ89" i="4"/>
  <c r="AO93" i="4"/>
  <c r="AP93" i="4"/>
  <c r="AK39" i="4"/>
  <c r="AJ39" i="4"/>
  <c r="AB29" i="4"/>
  <c r="AA29" i="4"/>
  <c r="DD29" i="4" s="1"/>
  <c r="AO76" i="4"/>
  <c r="AP76" i="4"/>
  <c r="AG61" i="4"/>
  <c r="AH61" i="4"/>
  <c r="B42" i="1"/>
  <c r="B59" i="1"/>
  <c r="AO40" i="4"/>
  <c r="AP40" i="4"/>
  <c r="AO46" i="4"/>
  <c r="AP46" i="4"/>
  <c r="AH31" i="4"/>
  <c r="AG31" i="4"/>
  <c r="AJ44" i="4"/>
  <c r="AK44" i="4"/>
  <c r="AK83" i="4"/>
  <c r="AJ83" i="4"/>
  <c r="AG12" i="4"/>
  <c r="AH12" i="4"/>
  <c r="AJ79" i="4"/>
  <c r="AK79" i="4"/>
  <c r="AJ66" i="4"/>
  <c r="AK66" i="4"/>
  <c r="AG64" i="4"/>
  <c r="AH64" i="4"/>
  <c r="AJ43" i="4"/>
  <c r="AK43" i="4"/>
  <c r="AJ73" i="4"/>
  <c r="AK73" i="4"/>
  <c r="AH6" i="4"/>
  <c r="AG6" i="4"/>
  <c r="AA22" i="4"/>
  <c r="DD22" i="4" s="1"/>
  <c r="AB22" i="4"/>
  <c r="AP20" i="4"/>
  <c r="AO20" i="4"/>
  <c r="AG15" i="4"/>
  <c r="AH15" i="4"/>
  <c r="AB51" i="4"/>
  <c r="AA51" i="4"/>
  <c r="DD51" i="4" s="1"/>
  <c r="AG89" i="4"/>
  <c r="AH89" i="4"/>
  <c r="AA21" i="4"/>
  <c r="DD21" i="4" s="1"/>
  <c r="AB21" i="4"/>
  <c r="AP45" i="4"/>
  <c r="AO45" i="4"/>
  <c r="AA48" i="4"/>
  <c r="DD48" i="4" s="1"/>
  <c r="AB48" i="4"/>
  <c r="AH5" i="4"/>
  <c r="AG5" i="4"/>
  <c r="AH42" i="4"/>
  <c r="AG42" i="4"/>
  <c r="AJ42" i="4"/>
  <c r="AK42" i="4"/>
  <c r="AJ57" i="4"/>
  <c r="AK57" i="4"/>
  <c r="AB57" i="4"/>
  <c r="AA57" i="4"/>
  <c r="AK81" i="4"/>
  <c r="AJ81" i="4"/>
  <c r="AH81" i="4"/>
  <c r="AG81" i="4"/>
  <c r="AJ33" i="4"/>
  <c r="AK33" i="4"/>
  <c r="T2" i="14" s="1"/>
  <c r="AB75" i="4"/>
  <c r="AA75" i="4"/>
  <c r="AO56" i="4"/>
  <c r="AP56" i="4"/>
  <c r="AA74" i="4"/>
  <c r="AB74" i="4"/>
  <c r="AB86" i="4"/>
  <c r="AA86" i="4"/>
  <c r="AA24" i="4"/>
  <c r="DD24" i="4" s="1"/>
  <c r="AB24" i="4"/>
  <c r="AA62" i="4"/>
  <c r="AB62" i="4"/>
  <c r="AG46" i="4"/>
  <c r="AH46" i="4"/>
  <c r="AK12" i="4"/>
  <c r="AJ12" i="4"/>
  <c r="AP13" i="4"/>
  <c r="AO13" i="4"/>
  <c r="AK49" i="4"/>
  <c r="AJ49" i="4"/>
  <c r="AB79" i="4"/>
  <c r="AA79" i="4"/>
  <c r="AH82" i="4"/>
  <c r="AG82" i="4"/>
  <c r="AO64" i="4"/>
  <c r="AP64" i="4"/>
  <c r="AO70" i="4"/>
  <c r="AP70" i="4"/>
  <c r="AH70" i="4"/>
  <c r="AG70" i="4"/>
  <c r="AP53" i="4"/>
  <c r="AO53" i="4"/>
  <c r="AP50" i="4"/>
  <c r="AO50" i="4"/>
  <c r="AO67" i="4"/>
  <c r="AP67" i="4"/>
  <c r="AB84" i="4"/>
  <c r="AA84" i="4"/>
  <c r="AO71" i="4"/>
  <c r="AP71" i="4"/>
  <c r="AB88" i="4"/>
  <c r="AA88" i="4"/>
  <c r="AG38" i="4"/>
  <c r="AH38" i="4"/>
  <c r="AP7" i="4"/>
  <c r="AO7" i="4"/>
  <c r="AO22" i="4"/>
  <c r="AP22" i="4"/>
  <c r="AP51" i="4"/>
  <c r="AO51" i="4"/>
  <c r="AP21" i="4"/>
  <c r="AO21" i="4"/>
  <c r="AG45" i="4"/>
  <c r="AH45" i="4"/>
  <c r="AO29" i="4"/>
  <c r="AP29" i="4"/>
  <c r="AA5" i="4"/>
  <c r="DD5" i="4" s="1"/>
  <c r="AB5" i="4"/>
  <c r="AA61" i="4"/>
  <c r="AB61" i="4"/>
  <c r="AO81" i="4"/>
  <c r="AP81" i="4"/>
  <c r="AB59" i="4"/>
  <c r="AA59" i="4"/>
  <c r="AP11" i="4"/>
  <c r="AO11" i="4"/>
  <c r="AH11" i="4"/>
  <c r="AG11" i="4"/>
  <c r="AO86" i="4"/>
  <c r="AP86" i="4"/>
  <c r="AP77" i="4"/>
  <c r="AO77" i="4"/>
  <c r="AG35" i="4"/>
  <c r="AH35" i="4"/>
  <c r="AG65" i="4"/>
  <c r="AH65" i="4"/>
  <c r="AO83" i="4"/>
  <c r="AP83" i="4"/>
  <c r="AB12" i="4"/>
  <c r="AA12" i="4"/>
  <c r="DD12" i="4" s="1"/>
  <c r="AP12" i="4"/>
  <c r="AO12" i="4"/>
  <c r="AK87" i="4"/>
  <c r="AJ87" i="4"/>
  <c r="AK14" i="4"/>
  <c r="AJ14" i="4"/>
  <c r="AG26" i="4"/>
  <c r="AH26" i="4"/>
  <c r="AP82" i="4"/>
  <c r="AO82" i="4"/>
  <c r="AJ70" i="4"/>
  <c r="AK70" i="4"/>
  <c r="AA50" i="4"/>
  <c r="DD50" i="4" s="1"/>
  <c r="AB50" i="4"/>
  <c r="AG43" i="4"/>
  <c r="AH43" i="4"/>
  <c r="AG80" i="4"/>
  <c r="AH80" i="4"/>
  <c r="AH92" i="4"/>
  <c r="AG92" i="4"/>
  <c r="AJ36" i="4"/>
  <c r="AK36" i="4"/>
  <c r="AJ38" i="4"/>
  <c r="AK38" i="4"/>
  <c r="AA7" i="4"/>
  <c r="DD7" i="4" s="1"/>
  <c r="AB7" i="4"/>
  <c r="AA20" i="4"/>
  <c r="DD20" i="4" s="1"/>
  <c r="AB20" i="4"/>
  <c r="AJ51" i="4"/>
  <c r="AK51" i="4"/>
  <c r="AB89" i="4"/>
  <c r="AA89" i="4"/>
  <c r="AO27" i="4"/>
  <c r="AP27" i="4"/>
  <c r="AH37" i="4"/>
  <c r="AG37" i="4"/>
  <c r="AJ18" i="4"/>
  <c r="AK18" i="4"/>
  <c r="AP68" i="4"/>
  <c r="AO68" i="4"/>
  <c r="AO42" i="4"/>
  <c r="AP42" i="4"/>
  <c r="AG72" i="4"/>
  <c r="AH72" i="4"/>
  <c r="AA33" i="4"/>
  <c r="DD33" i="4" s="1"/>
  <c r="AB33" i="4"/>
  <c r="AK56" i="4"/>
  <c r="AJ56" i="4"/>
  <c r="AH40" i="4"/>
  <c r="AG40" i="4"/>
  <c r="AK86" i="4"/>
  <c r="AJ86" i="4"/>
  <c r="AP28" i="4"/>
  <c r="AO28" i="4"/>
  <c r="AJ28" i="4"/>
  <c r="AK28" i="4"/>
  <c r="AJ63" i="4"/>
  <c r="AK63" i="4"/>
  <c r="AK35" i="4"/>
  <c r="AJ35" i="4"/>
  <c r="AJ65" i="4"/>
  <c r="AK65" i="4"/>
  <c r="AG83" i="4"/>
  <c r="AH83" i="4"/>
  <c r="AP49" i="4"/>
  <c r="AO49" i="4"/>
  <c r="AO79" i="4"/>
  <c r="AP79" i="4"/>
  <c r="AO26" i="4"/>
  <c r="AP26" i="4"/>
  <c r="AA82" i="4"/>
  <c r="AB82" i="4"/>
  <c r="AB34" i="4"/>
  <c r="AA34" i="4"/>
  <c r="DD34" i="4" s="1"/>
  <c r="AH67" i="4"/>
  <c r="AG67" i="4"/>
  <c r="AH84" i="4"/>
  <c r="AG84" i="4"/>
  <c r="AO92" i="4"/>
  <c r="AP92" i="4"/>
  <c r="AK7" i="4"/>
  <c r="AJ7" i="4"/>
  <c r="AH93" i="4"/>
  <c r="AG93" i="4"/>
  <c r="AB18" i="4"/>
  <c r="AA18" i="4"/>
  <c r="DD18" i="4" s="1"/>
  <c r="AB17" i="4"/>
  <c r="AA17" i="4"/>
  <c r="DD17" i="4" s="1"/>
  <c r="AJ75" i="4"/>
  <c r="AK75" i="4"/>
  <c r="AO25" i="4"/>
  <c r="AP25" i="4"/>
  <c r="AB56" i="4"/>
  <c r="AA56" i="4"/>
  <c r="AG77" i="4"/>
  <c r="AH77" i="4"/>
  <c r="AO52" i="4"/>
  <c r="AP52" i="4"/>
  <c r="AK62" i="4"/>
  <c r="AJ62" i="4"/>
  <c r="AP35" i="4"/>
  <c r="AO35" i="4"/>
  <c r="AP31" i="4"/>
  <c r="AO31" i="4"/>
  <c r="AK47" i="4"/>
  <c r="AJ47" i="4"/>
  <c r="AA83" i="4"/>
  <c r="AB83" i="4"/>
  <c r="AG87" i="4"/>
  <c r="AH87" i="4"/>
  <c r="AA30" i="4"/>
  <c r="DD30" i="4" s="1"/>
  <c r="AB30" i="4"/>
  <c r="AB70" i="4"/>
  <c r="AA70" i="4"/>
  <c r="AH19" i="4"/>
  <c r="AG19" i="4"/>
  <c r="AA92" i="4"/>
  <c r="AB92" i="4"/>
  <c r="AA38" i="4"/>
  <c r="DD38" i="4" s="1"/>
  <c r="AB38" i="4"/>
  <c r="AO38" i="4"/>
  <c r="AP38" i="4"/>
  <c r="AO32" i="4"/>
  <c r="AP32" i="4"/>
  <c r="AG32" i="4"/>
  <c r="AH32" i="4"/>
  <c r="AJ22" i="4"/>
  <c r="AK22" i="4"/>
  <c r="AP15" i="4"/>
  <c r="AO15" i="4"/>
  <c r="AP18" i="4"/>
  <c r="AO18" i="4"/>
  <c r="AJ76" i="4"/>
  <c r="AK76" i="4"/>
  <c r="AP5" i="4"/>
  <c r="AO5" i="4"/>
  <c r="AJ61" i="4"/>
  <c r="AK61" i="4"/>
  <c r="AO17" i="4"/>
  <c r="AP17" i="4"/>
  <c r="AG57" i="4"/>
  <c r="AH57" i="4"/>
  <c r="AB81" i="4"/>
  <c r="AA81" i="4"/>
  <c r="AG75" i="4"/>
  <c r="AH75" i="4"/>
  <c r="AA40" i="4"/>
  <c r="DD40" i="4" s="1"/>
  <c r="AB40" i="4"/>
  <c r="AJ11" i="4"/>
  <c r="AK11" i="4"/>
  <c r="AJ74" i="4"/>
  <c r="AK74" i="4"/>
  <c r="AB54" i="4"/>
  <c r="AA54" i="4"/>
  <c r="DD54" i="4" s="1"/>
  <c r="AG52" i="4"/>
  <c r="AH52" i="4"/>
  <c r="AG63" i="4"/>
  <c r="AH63" i="4"/>
  <c r="AO65" i="4"/>
  <c r="AP65" i="4"/>
  <c r="AA69" i="4"/>
  <c r="AB69" i="4"/>
  <c r="AO87" i="4"/>
  <c r="AP87" i="4"/>
  <c r="AG49" i="4"/>
  <c r="AH49" i="4"/>
  <c r="AH14" i="4"/>
  <c r="AG14" i="4"/>
  <c r="AO8" i="4"/>
  <c r="AP8" i="4"/>
  <c r="AH50" i="4"/>
  <c r="AG50" i="4"/>
  <c r="AA67" i="4"/>
  <c r="AB67" i="4"/>
  <c r="AA19" i="4"/>
  <c r="DD19" i="4" s="1"/>
  <c r="AB19" i="4"/>
  <c r="AB80" i="4"/>
  <c r="AA80" i="4"/>
  <c r="AK78" i="4"/>
  <c r="AJ78" i="4"/>
  <c r="AK37" i="4"/>
  <c r="AJ37" i="4"/>
  <c r="AK45" i="4"/>
  <c r="AJ45" i="4"/>
  <c r="AJ48" i="4"/>
  <c r="AK48" i="4"/>
  <c r="AJ68" i="4"/>
  <c r="AK68" i="4"/>
  <c r="AJ5" i="4"/>
  <c r="AK5" i="4"/>
  <c r="AB72" i="4"/>
  <c r="AA72" i="4"/>
  <c r="AP91" i="4"/>
  <c r="AO91" i="4"/>
  <c r="AA91" i="4"/>
  <c r="AB91" i="4"/>
  <c r="AK77" i="4"/>
  <c r="AJ77" i="4"/>
  <c r="AA28" i="4"/>
  <c r="DD28" i="4" s="1"/>
  <c r="AB28" i="4"/>
  <c r="AJ46" i="4"/>
  <c r="AK46" i="4"/>
  <c r="AH47" i="4"/>
  <c r="AG47" i="4"/>
  <c r="AO44" i="4"/>
  <c r="AP44" i="4"/>
  <c r="AA41" i="4"/>
  <c r="DD41" i="4" s="1"/>
  <c r="AB41" i="4"/>
  <c r="AG13" i="4"/>
  <c r="AH13" i="4"/>
  <c r="AJ26" i="4"/>
  <c r="AK26" i="4"/>
  <c r="AK82" i="4"/>
  <c r="AJ82" i="4"/>
  <c r="AA66" i="4"/>
  <c r="AB66" i="4"/>
  <c r="AB8" i="4"/>
  <c r="AA8" i="4"/>
  <c r="DD8" i="4" s="1"/>
  <c r="AG71" i="4"/>
  <c r="AH71" i="4"/>
  <c r="AK90" i="4"/>
  <c r="AJ90" i="4"/>
  <c r="AJ32" i="4"/>
  <c r="AK32" i="4"/>
  <c r="AP78" i="4"/>
  <c r="AO78" i="4"/>
  <c r="AJ21" i="4"/>
  <c r="AK21" i="4"/>
  <c r="AK91" i="4"/>
  <c r="AJ91" i="4"/>
  <c r="AO74" i="4"/>
  <c r="AP74" i="4"/>
  <c r="AJ54" i="4"/>
  <c r="AK54" i="4"/>
  <c r="AB77" i="4"/>
  <c r="AA77" i="4"/>
  <c r="AP63" i="4"/>
  <c r="AO63" i="4"/>
  <c r="AB46" i="4"/>
  <c r="AA46" i="4"/>
  <c r="DD46" i="4" s="1"/>
  <c r="AB65" i="4"/>
  <c r="AA65" i="4"/>
  <c r="AB47" i="4"/>
  <c r="AA47" i="4"/>
  <c r="DD47" i="4" s="1"/>
  <c r="AK69" i="4"/>
  <c r="AJ69" i="4"/>
  <c r="AG41" i="4"/>
  <c r="AH41" i="4"/>
  <c r="AP41" i="4"/>
  <c r="AO41" i="4"/>
  <c r="AG79" i="4"/>
  <c r="AH79" i="4"/>
  <c r="AG66" i="4"/>
  <c r="AH66" i="4"/>
  <c r="AK64" i="4"/>
  <c r="AJ64" i="4"/>
  <c r="AG30" i="4"/>
  <c r="AH30" i="4"/>
  <c r="AJ53" i="4"/>
  <c r="AK53" i="4"/>
  <c r="AJ50" i="4"/>
  <c r="AK50" i="4"/>
  <c r="AK67" i="4"/>
  <c r="AJ67" i="4"/>
  <c r="AJ88" i="4"/>
  <c r="AK88" i="4"/>
  <c r="AG73" i="4"/>
  <c r="AH73" i="4"/>
  <c r="AG90" i="4"/>
  <c r="AH90" i="4"/>
  <c r="AH7" i="4"/>
  <c r="AG7" i="4"/>
  <c r="AO85" i="4"/>
  <c r="AP85" i="4"/>
  <c r="AJ15" i="4"/>
  <c r="AK15" i="4"/>
  <c r="AO89" i="4"/>
  <c r="AP89" i="4"/>
  <c r="AA37" i="4"/>
  <c r="DD37" i="4" s="1"/>
  <c r="AB37" i="4"/>
  <c r="AH16" i="4"/>
  <c r="AG16" i="4"/>
  <c r="AA16" i="4"/>
  <c r="DD16" i="4" s="1"/>
  <c r="AB16" i="4"/>
  <c r="AB45" i="4"/>
  <c r="AA45" i="4"/>
  <c r="DD45" i="4" s="1"/>
  <c r="AH39" i="4"/>
  <c r="AG39" i="4"/>
  <c r="AH29" i="4"/>
  <c r="AG29" i="4"/>
  <c r="AG48" i="4"/>
  <c r="AH48" i="4"/>
  <c r="AA68" i="4"/>
  <c r="AB68" i="4"/>
  <c r="AH68" i="4"/>
  <c r="AG68" i="4"/>
  <c r="AH17" i="4"/>
  <c r="AG17" i="4"/>
  <c r="AO72" i="4"/>
  <c r="AP72" i="4"/>
  <c r="B17" i="1"/>
  <c r="B81" i="1"/>
  <c r="AP33" i="4"/>
  <c r="AO33" i="4"/>
  <c r="AH56" i="4"/>
  <c r="AG56" i="4"/>
  <c r="AP62" i="4"/>
  <c r="AO62" i="4"/>
  <c r="AO69" i="4"/>
  <c r="AP69" i="4"/>
  <c r="AK8" i="4"/>
  <c r="AJ8" i="4"/>
  <c r="AJ71" i="4"/>
  <c r="AK71" i="4"/>
  <c r="AG88" i="4"/>
  <c r="AH88" i="4"/>
  <c r="AP43" i="4"/>
  <c r="AO43" i="4"/>
  <c r="AP80" i="4"/>
  <c r="AO80" i="4"/>
  <c r="AA36" i="4"/>
  <c r="DD36" i="4" s="1"/>
  <c r="AB36" i="4"/>
  <c r="AB90" i="4"/>
  <c r="AA90" i="4"/>
  <c r="AK6" i="4"/>
  <c r="AJ6" i="4"/>
  <c r="AO6" i="4"/>
  <c r="AP6" i="4"/>
  <c r="AA85" i="4"/>
  <c r="AB85" i="4"/>
  <c r="AB93" i="4"/>
  <c r="AA93" i="4"/>
  <c r="AH27" i="4"/>
  <c r="AG27" i="4"/>
  <c r="AJ27" i="4"/>
  <c r="AK27" i="4"/>
  <c r="AO37" i="4"/>
  <c r="AP37" i="4"/>
  <c r="AP16" i="4"/>
  <c r="AO16" i="4"/>
  <c r="AB42" i="4"/>
  <c r="AA42" i="4"/>
  <c r="DD42" i="4" s="1"/>
  <c r="AO59" i="4"/>
  <c r="AP59" i="4"/>
  <c r="AH91" i="4"/>
  <c r="AG91" i="4"/>
  <c r="AB25" i="4"/>
  <c r="AA25" i="4"/>
  <c r="DD25" i="4" s="1"/>
  <c r="AH25" i="4"/>
  <c r="AG25" i="4"/>
  <c r="AK40" i="4"/>
  <c r="AJ40" i="4"/>
  <c r="AG74" i="4"/>
  <c r="AH74" i="4"/>
  <c r="AP54" i="4"/>
  <c r="AO54" i="4"/>
  <c r="AG86" i="4"/>
  <c r="AH86" i="4"/>
  <c r="AJ24" i="4"/>
  <c r="AK24" i="4"/>
  <c r="AB52" i="4"/>
  <c r="AA52" i="4"/>
  <c r="DD52" i="4" s="1"/>
  <c r="AH28" i="4"/>
  <c r="AG28" i="4"/>
  <c r="AK31" i="4"/>
  <c r="AJ31" i="4"/>
  <c r="AG44" i="4"/>
  <c r="AH44" i="4"/>
  <c r="AK13" i="4"/>
  <c r="AJ13" i="4"/>
  <c r="AB13" i="4"/>
  <c r="AA13" i="4"/>
  <c r="DD13" i="4" s="1"/>
  <c r="AA87" i="4"/>
  <c r="AB87" i="4"/>
  <c r="AB49" i="4"/>
  <c r="AA49" i="4"/>
  <c r="DD49" i="4" s="1"/>
  <c r="AH8" i="4"/>
  <c r="AG8" i="4"/>
  <c r="AB64" i="4"/>
  <c r="AA64" i="4"/>
  <c r="AO30" i="4"/>
  <c r="AP30" i="4"/>
  <c r="AH53" i="4"/>
  <c r="AG53" i="4"/>
  <c r="AJ34" i="4"/>
  <c r="AK34" i="4"/>
  <c r="AP34" i="4"/>
  <c r="AO34" i="4"/>
  <c r="AJ19" i="4"/>
  <c r="AK19" i="4"/>
  <c r="AB71" i="4"/>
  <c r="AA71" i="4"/>
  <c r="AH36" i="4"/>
  <c r="AG36" i="4"/>
  <c r="AO73" i="4"/>
  <c r="AP73" i="4"/>
  <c r="AP90" i="4"/>
  <c r="AO90" i="4"/>
  <c r="AB32" i="4"/>
  <c r="AA32" i="4"/>
  <c r="DD32" i="4" s="1"/>
  <c r="AJ85" i="4"/>
  <c r="AK85" i="4"/>
  <c r="AJ93" i="4"/>
  <c r="AK93" i="4"/>
  <c r="AB27" i="4"/>
  <c r="AA27" i="4"/>
  <c r="DD27" i="4" s="1"/>
  <c r="AK16" i="4"/>
  <c r="AJ16" i="4"/>
  <c r="AG18" i="4"/>
  <c r="AH18" i="4"/>
  <c r="AP39" i="4"/>
  <c r="AO39" i="4"/>
  <c r="AJ29" i="4"/>
  <c r="AK29" i="4"/>
  <c r="AH76" i="4"/>
  <c r="AG76" i="4"/>
  <c r="AP61" i="4"/>
  <c r="AO61" i="4"/>
  <c r="AK72" i="4"/>
  <c r="AJ72" i="4"/>
  <c r="AG59" i="4"/>
  <c r="AH59" i="4"/>
  <c r="AF10" i="69" a="1"/>
  <c r="AF10" i="69" s="1"/>
  <c r="AV1207" i="13"/>
  <c r="B10" i="69"/>
  <c r="S10" i="72"/>
  <c r="B10" i="72"/>
  <c r="S10" i="69"/>
  <c r="AX762" i="13"/>
  <c r="I75" i="4"/>
  <c r="BB40" i="4" a="1"/>
  <c r="BB40" i="4" s="1"/>
  <c r="BC40" i="4" s="1"/>
  <c r="AV142" i="13" s="1"/>
  <c r="B40" i="4"/>
  <c r="C54" i="1"/>
  <c r="AX167" i="13"/>
  <c r="A267" i="13"/>
  <c r="H54" i="9"/>
  <c r="I54" i="9"/>
  <c r="BT95" i="4"/>
  <c r="AX1140" i="13"/>
  <c r="A1239" i="13"/>
  <c r="A75" i="4"/>
  <c r="CA75" i="4" a="1"/>
  <c r="CA75" i="4" s="1"/>
  <c r="BY75" i="4" s="1" a="1"/>
  <c r="BY75" i="4" s="1"/>
  <c r="BZ75" i="4" a="1"/>
  <c r="BZ75" i="4" s="1"/>
  <c r="I56" i="4"/>
  <c r="AT54" i="4"/>
  <c r="AV656" i="13" s="1"/>
  <c r="B24" i="4"/>
  <c r="BB24" i="4" a="1"/>
  <c r="BB24" i="4" s="1"/>
  <c r="BC24" i="4" s="1"/>
  <c r="AV126" i="13" s="1"/>
  <c r="I64" i="9"/>
  <c r="AX712" i="13"/>
  <c r="AV712" i="13"/>
  <c r="S13" i="4" s="1"/>
  <c r="AY712" i="13"/>
  <c r="CW35" i="4"/>
  <c r="CX35" i="4" s="1"/>
  <c r="AY35" i="4"/>
  <c r="AD35" i="4"/>
  <c r="AX1152" i="13"/>
  <c r="A1251" i="13"/>
  <c r="B46" i="4"/>
  <c r="BB46" i="4" a="1"/>
  <c r="BB46" i="4" s="1"/>
  <c r="BC46" i="4" s="1"/>
  <c r="AV148" i="13" s="1"/>
  <c r="I65" i="4"/>
  <c r="AX778" i="13"/>
  <c r="AY44" i="4"/>
  <c r="AD44" i="4"/>
  <c r="CW44" i="4"/>
  <c r="CX44" i="4" s="1"/>
  <c r="BA83" i="4"/>
  <c r="AX58" i="4"/>
  <c r="AV60" i="13"/>
  <c r="AZ58" i="4"/>
  <c r="Z1354" i="13"/>
  <c r="AX753" i="13"/>
  <c r="AY753" i="13"/>
  <c r="AV753" i="13"/>
  <c r="S54" i="4" s="1"/>
  <c r="K95" i="4"/>
  <c r="BB12" i="4" a="1"/>
  <c r="BB12" i="4" s="1"/>
  <c r="BC12" i="4" s="1"/>
  <c r="AV114" i="13" s="1"/>
  <c r="B12" i="4"/>
  <c r="I15" i="9"/>
  <c r="H15" i="9"/>
  <c r="CA14" i="4" a="1"/>
  <c r="CA14" i="4" s="1"/>
  <c r="BY14" i="4" s="1" a="1"/>
  <c r="BY14" i="4" s="1"/>
  <c r="BZ14" i="4" a="1"/>
  <c r="BZ14" i="4" s="1"/>
  <c r="AX765" i="13"/>
  <c r="M79" i="4"/>
  <c r="M82" i="4"/>
  <c r="A285" i="13"/>
  <c r="AX185" i="13"/>
  <c r="BA94" i="4"/>
  <c r="BA66" i="4"/>
  <c r="AX189" i="13"/>
  <c r="A289" i="13"/>
  <c r="AY750" i="13"/>
  <c r="AX750" i="13"/>
  <c r="AV750" i="13"/>
  <c r="I66" i="9"/>
  <c r="CA70" i="4" a="1"/>
  <c r="CA70" i="4" s="1"/>
  <c r="BY70" i="4" s="1" a="1"/>
  <c r="BY70" i="4" s="1"/>
  <c r="BZ70" i="4" a="1"/>
  <c r="BZ70" i="4" s="1"/>
  <c r="BB53" i="4" a="1"/>
  <c r="BB53" i="4" s="1"/>
  <c r="BC53" i="4" s="1"/>
  <c r="AV155" i="13" s="1"/>
  <c r="B53" i="4"/>
  <c r="AX1165" i="13"/>
  <c r="A1264" i="13"/>
  <c r="I69" i="9"/>
  <c r="BZ84" i="4" a="1"/>
  <c r="BZ84" i="4" s="1"/>
  <c r="CA84" i="4" a="1"/>
  <c r="CA84" i="4" s="1"/>
  <c r="BY84" i="4" s="1" a="1"/>
  <c r="BY84" i="4" s="1"/>
  <c r="K94" i="4"/>
  <c r="A1247" i="13"/>
  <c r="AX1148" i="13"/>
  <c r="AY405" i="13" a="1"/>
  <c r="AY405" i="13" s="1"/>
  <c r="BT80" i="4"/>
  <c r="M92" i="4"/>
  <c r="C92" i="1"/>
  <c r="C36" i="1"/>
  <c r="I73" i="4"/>
  <c r="K90" i="4"/>
  <c r="H34" i="9"/>
  <c r="I34" i="9"/>
  <c r="AX180" i="13"/>
  <c r="A280" i="13"/>
  <c r="C6" i="1"/>
  <c r="N26" i="71"/>
  <c r="CW7" i="4"/>
  <c r="CX7" i="4" s="1"/>
  <c r="AY7" i="4"/>
  <c r="AD7" i="4"/>
  <c r="N33" i="71"/>
  <c r="N21" i="71"/>
  <c r="N35" i="71"/>
  <c r="N5" i="71"/>
  <c r="N4" i="71"/>
  <c r="N34" i="71"/>
  <c r="O38" i="71"/>
  <c r="N32" i="71"/>
  <c r="N6" i="71"/>
  <c r="N12" i="71"/>
  <c r="N20" i="71"/>
  <c r="N7" i="71"/>
  <c r="N9" i="71"/>
  <c r="N13" i="71"/>
  <c r="N17" i="71"/>
  <c r="N24" i="71"/>
  <c r="N18" i="71"/>
  <c r="N28" i="71"/>
  <c r="N14" i="71"/>
  <c r="N23" i="71"/>
  <c r="N11" i="71"/>
  <c r="N22" i="71"/>
  <c r="N10" i="71"/>
  <c r="N31" i="71"/>
  <c r="N15" i="71"/>
  <c r="N8" i="71"/>
  <c r="N19" i="71"/>
  <c r="N16" i="71"/>
  <c r="N27" i="71"/>
  <c r="N36" i="71"/>
  <c r="H24" i="9"/>
  <c r="I24" i="9"/>
  <c r="A292" i="13"/>
  <c r="AX192" i="13"/>
  <c r="A234" i="13"/>
  <c r="AX134" i="13"/>
  <c r="B51" i="4"/>
  <c r="BB51" i="4" a="1"/>
  <c r="BB51" i="4" s="1"/>
  <c r="BC51" i="4" s="1"/>
  <c r="AV153" i="13" s="1"/>
  <c r="BZ51" i="4" a="1"/>
  <c r="BZ51" i="4" s="1"/>
  <c r="CA51" i="4" a="1"/>
  <c r="CA51" i="4" s="1"/>
  <c r="BY51" i="4" s="1" a="1"/>
  <c r="BY51" i="4" s="1"/>
  <c r="C78" i="1"/>
  <c r="AX1143" i="13"/>
  <c r="A1242" i="13"/>
  <c r="AX1137" i="13"/>
  <c r="A1236" i="13"/>
  <c r="I95" i="4"/>
  <c r="AX749" i="13"/>
  <c r="AV749" i="13"/>
  <c r="AY749" i="13"/>
  <c r="CW27" i="4"/>
  <c r="CX27" i="4" s="1"/>
  <c r="AY27" i="4"/>
  <c r="AD27" i="4"/>
  <c r="A270" i="13"/>
  <c r="AX170" i="13"/>
  <c r="C16" i="1"/>
  <c r="CA18" i="4" a="1"/>
  <c r="CA18" i="4" s="1"/>
  <c r="BY18" i="4" s="1" a="1"/>
  <c r="BY18" i="4" s="1"/>
  <c r="BZ18" i="4" a="1"/>
  <c r="BZ18" i="4" s="1"/>
  <c r="CA39" i="4" a="1"/>
  <c r="CA39" i="4" s="1"/>
  <c r="BY39" i="4" s="1" a="1"/>
  <c r="BY39" i="4" s="1"/>
  <c r="BZ39" i="4" a="1"/>
  <c r="BZ39" i="4" s="1"/>
  <c r="AX719" i="13"/>
  <c r="AV719" i="13"/>
  <c r="AY719" i="13"/>
  <c r="M76" i="4"/>
  <c r="A360" i="13"/>
  <c r="AX360" i="13" s="1"/>
  <c r="AX260" i="13"/>
  <c r="ES16" i="71"/>
  <c r="E239" i="15"/>
  <c r="E429" i="15"/>
  <c r="E558" i="15"/>
  <c r="CB27" i="71"/>
  <c r="DX35" i="71"/>
  <c r="EM26" i="71"/>
  <c r="BA29" i="71"/>
  <c r="CK30" i="71"/>
  <c r="CW10" i="71"/>
  <c r="FB5" i="71"/>
  <c r="S57" i="23" a="1"/>
  <c r="S57" i="23" s="1"/>
  <c r="S35" i="23" s="1"/>
  <c r="EB38" i="71"/>
  <c r="CZ12" i="71"/>
  <c r="CN31" i="71"/>
  <c r="BV4" i="71"/>
  <c r="BA17" i="71"/>
  <c r="AF7" i="71"/>
  <c r="K15" i="71"/>
  <c r="N57" i="14" a="1"/>
  <c r="N57" i="14" s="1"/>
  <c r="AT33" i="4"/>
  <c r="AV635" i="13" s="1"/>
  <c r="CA86" i="4" a="1"/>
  <c r="CA86" i="4" s="1"/>
  <c r="BY86" i="4" s="1" a="1"/>
  <c r="BY86" i="4" s="1"/>
  <c r="BZ86" i="4" a="1"/>
  <c r="BZ86" i="4" s="1"/>
  <c r="A62" i="4"/>
  <c r="M63" i="4"/>
  <c r="BB33" i="4" a="1"/>
  <c r="BB33" i="4" s="1"/>
  <c r="BC33" i="4" s="1"/>
  <c r="AV135" i="13" s="1"/>
  <c r="Z58" i="14" s="1" a="1"/>
  <c r="Z58" i="14" s="1"/>
  <c r="B33" i="4"/>
  <c r="E602" i="15" s="1"/>
  <c r="Z10" i="71"/>
  <c r="CW11" i="4"/>
  <c r="CX11" i="4" s="1"/>
  <c r="AY11" i="4"/>
  <c r="AD11" i="4"/>
  <c r="Z34" i="71"/>
  <c r="Z6" i="71"/>
  <c r="Z20" i="71"/>
  <c r="Z35" i="71"/>
  <c r="Z32" i="71"/>
  <c r="Z21" i="71"/>
  <c r="Z24" i="71"/>
  <c r="Z5" i="71"/>
  <c r="Z23" i="71"/>
  <c r="Z30" i="71"/>
  <c r="Z29" i="71"/>
  <c r="Z26" i="71"/>
  <c r="Z36" i="71"/>
  <c r="Z18" i="71"/>
  <c r="Z11" i="71"/>
  <c r="Z14" i="71"/>
  <c r="Z7" i="71"/>
  <c r="Z19" i="71"/>
  <c r="Z31" i="71"/>
  <c r="Z13" i="71"/>
  <c r="Z33" i="71"/>
  <c r="Z4" i="71"/>
  <c r="Z8" i="71"/>
  <c r="Z17" i="71"/>
  <c r="AA38" i="71"/>
  <c r="Z16" i="71"/>
  <c r="A74" i="4"/>
  <c r="Z1844" i="13"/>
  <c r="B1844" i="13" s="1" a="1"/>
  <c r="B1844" i="13" s="1"/>
  <c r="Z1823" i="13"/>
  <c r="B1823" i="13" s="1" a="1"/>
  <c r="B1823" i="13" s="1"/>
  <c r="AX757" i="13"/>
  <c r="D23" i="4"/>
  <c r="A25" i="9"/>
  <c r="BT23" i="4"/>
  <c r="BA23" i="4"/>
  <c r="M23" i="4"/>
  <c r="D23" i="1"/>
  <c r="I23" i="4"/>
  <c r="BJ33" i="71" s="1"/>
  <c r="A23" i="20"/>
  <c r="K23" i="4"/>
  <c r="BV23" i="4" a="1"/>
  <c r="BV23" i="4" s="1"/>
  <c r="C23" i="4"/>
  <c r="BW23" i="4" a="1"/>
  <c r="BW23" i="4" s="1"/>
  <c r="A23" i="4"/>
  <c r="J700" i="15" s="1"/>
  <c r="BD23" i="4" a="1"/>
  <c r="BD23" i="4" s="1"/>
  <c r="CB32" i="71"/>
  <c r="W59" i="23" a="1"/>
  <c r="W59" i="23" s="1"/>
  <c r="BM15" i="71"/>
  <c r="F49" i="14"/>
  <c r="P49" i="14" s="1"/>
  <c r="Z49" i="14" s="1"/>
  <c r="CE24" i="71"/>
  <c r="CZ17" i="71"/>
  <c r="F50" i="14"/>
  <c r="P50" i="14" s="1"/>
  <c r="Z50" i="14" s="1"/>
  <c r="CK24" i="71"/>
  <c r="DL12" i="71"/>
  <c r="BP34" i="71"/>
  <c r="DF21" i="71"/>
  <c r="DI26" i="71"/>
  <c r="EM32" i="71"/>
  <c r="F44" i="23"/>
  <c r="EY35" i="71"/>
  <c r="ES18" i="71"/>
  <c r="DL28" i="71"/>
  <c r="BY8" i="71"/>
  <c r="EA6" i="71"/>
  <c r="BY20" i="71"/>
  <c r="E607" i="15"/>
  <c r="CW9" i="71"/>
  <c r="CB28" i="71"/>
  <c r="L59" i="23" a="1"/>
  <c r="L59" i="23" s="1"/>
  <c r="BY14" i="71"/>
  <c r="Q16" i="27" a="1"/>
  <c r="Q16" i="27" s="1"/>
  <c r="DU27" i="71"/>
  <c r="BP12" i="71"/>
  <c r="EY33" i="71"/>
  <c r="E276" i="15"/>
  <c r="F56" i="14" a="1"/>
  <c r="F56" i="14" s="1"/>
  <c r="J614" i="15"/>
  <c r="EG9" i="71"/>
  <c r="S56" i="23" a="1"/>
  <c r="S56" i="23" s="1"/>
  <c r="CQ23" i="71"/>
  <c r="AM1296" i="13" a="1"/>
  <c r="AM1296" i="13" s="1"/>
  <c r="P15" i="27" a="1"/>
  <c r="P15" i="27" s="1"/>
  <c r="FB26" i="71"/>
  <c r="BP26" i="71"/>
  <c r="AF1296" i="13" a="1"/>
  <c r="AF1296" i="13" s="1"/>
  <c r="J625" i="15"/>
  <c r="I57" i="14" a="1"/>
  <c r="I57" i="14" s="1"/>
  <c r="DU11" i="71"/>
  <c r="EA10" i="71"/>
  <c r="EY32" i="71"/>
  <c r="J58" i="14" a="1"/>
  <c r="J58" i="14" s="1"/>
  <c r="CH32" i="71"/>
  <c r="B45" i="23"/>
  <c r="FB9" i="71"/>
  <c r="DI28" i="71"/>
  <c r="EY14" i="71"/>
  <c r="BS25" i="71"/>
  <c r="DF22" i="71"/>
  <c r="CN27" i="71"/>
  <c r="J584" i="15"/>
  <c r="B49" i="23"/>
  <c r="BP22" i="71"/>
  <c r="AC1296" i="13" a="1"/>
  <c r="AC1296" i="13" s="1"/>
  <c r="CH27" i="71"/>
  <c r="BM17" i="71"/>
  <c r="H59" i="14" a="1"/>
  <c r="H59" i="14" s="1"/>
  <c r="EP19" i="71"/>
  <c r="CN32" i="71"/>
  <c r="J695" i="15"/>
  <c r="DX12" i="71"/>
  <c r="Q58" i="14" a="1"/>
  <c r="Q58" i="14" s="1"/>
  <c r="DU32" i="71"/>
  <c r="AJ1296" i="13" a="1"/>
  <c r="AJ1296" i="13" s="1"/>
  <c r="BY27" i="71"/>
  <c r="CH9" i="71"/>
  <c r="Y202" i="13" a="1"/>
  <c r="Y202" i="13" s="1"/>
  <c r="DI13" i="71"/>
  <c r="AI1296" i="13" a="1"/>
  <c r="AI1296" i="13" s="1"/>
  <c r="BN38" i="71"/>
  <c r="BJ6" i="71"/>
  <c r="CN36" i="71"/>
  <c r="DO8" i="71"/>
  <c r="BS11" i="71"/>
  <c r="DI17" i="71"/>
  <c r="EA20" i="71"/>
  <c r="EA22" i="71"/>
  <c r="DF30" i="71"/>
  <c r="DO29" i="71"/>
  <c r="CE4" i="71"/>
  <c r="Q15" i="27" a="1"/>
  <c r="Q15" i="27" s="1"/>
  <c r="CB26" i="71"/>
  <c r="AM1197" i="13" a="1"/>
  <c r="AM1197" i="13" s="1"/>
  <c r="BV17" i="71"/>
  <c r="CQ36" i="71"/>
  <c r="J627" i="15"/>
  <c r="DO14" i="71"/>
  <c r="AF1197" i="13" a="1"/>
  <c r="AF1197" i="13" s="1"/>
  <c r="AE1197" i="13" s="1" a="1"/>
  <c r="AE1197" i="13" s="1"/>
  <c r="BS24" i="71"/>
  <c r="U14" i="27" a="1"/>
  <c r="U14" i="27" s="1"/>
  <c r="EV15" i="71"/>
  <c r="J674" i="15"/>
  <c r="DI22" i="71"/>
  <c r="EG19" i="71"/>
  <c r="CW28" i="71"/>
  <c r="FB36" i="71"/>
  <c r="DI6" i="71"/>
  <c r="CB16" i="71"/>
  <c r="DU29" i="71"/>
  <c r="E618" i="15"/>
  <c r="FB34" i="71"/>
  <c r="BP7" i="71"/>
  <c r="BY12" i="71"/>
  <c r="J574" i="15"/>
  <c r="EV12" i="71"/>
  <c r="EV33" i="71"/>
  <c r="EQ38" i="71"/>
  <c r="H202" i="13" a="1"/>
  <c r="H202" i="13" s="1"/>
  <c r="CK13" i="71"/>
  <c r="P56" i="23" a="1"/>
  <c r="P56" i="23" s="1"/>
  <c r="CQ18" i="71"/>
  <c r="E418" i="15"/>
  <c r="BV23" i="71"/>
  <c r="CK15" i="71"/>
  <c r="EP34" i="71"/>
  <c r="DU5" i="71"/>
  <c r="K57" i="14" a="1"/>
  <c r="K57" i="14" s="1"/>
  <c r="CE34" i="71"/>
  <c r="AK1296" i="13" a="1"/>
  <c r="AK1296" i="13" s="1"/>
  <c r="EM5" i="71"/>
  <c r="CZ26" i="71"/>
  <c r="J606" i="15"/>
  <c r="ES10" i="71"/>
  <c r="BY13" i="71"/>
  <c r="CH33" i="71"/>
  <c r="BY18" i="71"/>
  <c r="J665" i="15"/>
  <c r="DF29" i="71"/>
  <c r="DL32" i="71"/>
  <c r="CE7" i="71"/>
  <c r="DX18" i="71"/>
  <c r="Q59" i="14" a="1"/>
  <c r="Q59" i="14" s="1"/>
  <c r="CN18" i="71"/>
  <c r="F49" i="23"/>
  <c r="P49" i="23" s="1"/>
  <c r="Z49" i="23" s="1"/>
  <c r="DF9" i="71"/>
  <c r="ED28" i="71"/>
  <c r="J696" i="15"/>
  <c r="CW17" i="71"/>
  <c r="J583" i="15"/>
  <c r="CW23" i="71"/>
  <c r="ES29" i="71"/>
  <c r="DF15" i="71"/>
  <c r="CT15" i="71"/>
  <c r="DX16" i="71"/>
  <c r="Y56" i="14" a="1"/>
  <c r="Y56" i="14" s="1"/>
  <c r="J666" i="15"/>
  <c r="DR30" i="71"/>
  <c r="AP1197" i="13" a="1"/>
  <c r="AP1197" i="13" s="1"/>
  <c r="DX5" i="71"/>
  <c r="CW27" i="71"/>
  <c r="CN21" i="71"/>
  <c r="W57" i="14" a="1"/>
  <c r="W57" i="14" s="1"/>
  <c r="ES36" i="71"/>
  <c r="Z56" i="23" a="1"/>
  <c r="Z56" i="23" s="1"/>
  <c r="CK12" i="71"/>
  <c r="DL24" i="71"/>
  <c r="P14" i="27" a="1"/>
  <c r="P14" i="27" s="1"/>
  <c r="ES21" i="71"/>
  <c r="CN29" i="71"/>
  <c r="AR1296" i="13" a="1"/>
  <c r="AR1296" i="13" s="1"/>
  <c r="EY22" i="71"/>
  <c r="BP35" i="71"/>
  <c r="DR34" i="71"/>
  <c r="FB31" i="71"/>
  <c r="CE19" i="71"/>
  <c r="W56" i="23" a="1"/>
  <c r="W56" i="23" s="1"/>
  <c r="EM12" i="71"/>
  <c r="CB36" i="71"/>
  <c r="AI1197" i="13" a="1"/>
  <c r="AI1197" i="13" s="1"/>
  <c r="DI14" i="71"/>
  <c r="AG1296" i="13" a="1"/>
  <c r="AG1296" i="13" s="1"/>
  <c r="CN26" i="71"/>
  <c r="DI33" i="71"/>
  <c r="CQ8" i="71"/>
  <c r="E513" i="15"/>
  <c r="CH29" i="71"/>
  <c r="J618" i="15"/>
  <c r="DO6" i="71"/>
  <c r="CE10" i="71"/>
  <c r="EP22" i="71"/>
  <c r="K58" i="14" a="1"/>
  <c r="K58" i="14" s="1"/>
  <c r="EV24" i="71"/>
  <c r="E139" i="15"/>
  <c r="BS13" i="71"/>
  <c r="BP19" i="71"/>
  <c r="EV18" i="71"/>
  <c r="EY12" i="71"/>
  <c r="BM18" i="71"/>
  <c r="R56" i="23" a="1"/>
  <c r="R56" i="23" s="1"/>
  <c r="J631" i="15"/>
  <c r="H58" i="14" a="1"/>
  <c r="H58" i="14" s="1"/>
  <c r="EA31" i="71"/>
  <c r="BS10" i="71"/>
  <c r="CN34" i="71"/>
  <c r="CT34" i="71"/>
  <c r="BY26" i="71"/>
  <c r="CQ9" i="71"/>
  <c r="J612" i="15"/>
  <c r="EM25" i="71"/>
  <c r="CH35" i="71"/>
  <c r="EG13" i="71"/>
  <c r="BV33" i="71"/>
  <c r="DR7" i="71"/>
  <c r="CQ13" i="71"/>
  <c r="CN4" i="71"/>
  <c r="CE35" i="71"/>
  <c r="AU1197" i="13" a="1"/>
  <c r="AU1197" i="13" s="1"/>
  <c r="DF23" i="71"/>
  <c r="ED9" i="71"/>
  <c r="CQ27" i="71"/>
  <c r="CH26" i="71"/>
  <c r="CH24" i="71"/>
  <c r="EV31" i="71"/>
  <c r="DL4" i="71"/>
  <c r="J538" i="15"/>
  <c r="CF38" i="71"/>
  <c r="ED35" i="71"/>
  <c r="DU20" i="71"/>
  <c r="CK7" i="71"/>
  <c r="ES27" i="71"/>
  <c r="DO19" i="71"/>
  <c r="FB29" i="71"/>
  <c r="EG23" i="71"/>
  <c r="DR15" i="71"/>
  <c r="ED23" i="71"/>
  <c r="DU6" i="71"/>
  <c r="BY17" i="71"/>
  <c r="BJ13" i="71"/>
  <c r="CW26" i="71"/>
  <c r="CW18" i="71"/>
  <c r="CK9" i="71"/>
  <c r="CN24" i="71"/>
  <c r="EA21" i="71"/>
  <c r="AU1296" i="13" a="1"/>
  <c r="AU1296" i="13" s="1"/>
  <c r="EP24" i="71"/>
  <c r="CW24" i="71"/>
  <c r="EA14" i="71"/>
  <c r="CK14" i="71"/>
  <c r="DI23" i="71"/>
  <c r="U58" i="14" a="1"/>
  <c r="U58" i="14" s="1"/>
  <c r="J617" i="15"/>
  <c r="ES26" i="71"/>
  <c r="CH6" i="71"/>
  <c r="F45" i="14"/>
  <c r="P45" i="14" s="1"/>
  <c r="Z45" i="14" s="1"/>
  <c r="CE15" i="71"/>
  <c r="FB12" i="71"/>
  <c r="EG34" i="71"/>
  <c r="J629" i="15"/>
  <c r="BV11" i="71"/>
  <c r="W202" i="13" a="1"/>
  <c r="W202" i="13" s="1"/>
  <c r="BM12" i="71"/>
  <c r="Y59" i="14" a="1"/>
  <c r="Y59" i="14" s="1"/>
  <c r="DL19" i="71"/>
  <c r="W57" i="23" a="1"/>
  <c r="W57" i="23" s="1"/>
  <c r="W35" i="23" s="1"/>
  <c r="ED5" i="71"/>
  <c r="DI8" i="71"/>
  <c r="DI36" i="71"/>
  <c r="DU16" i="71"/>
  <c r="E296" i="15"/>
  <c r="DX31" i="71"/>
  <c r="AK1197" i="13" a="1"/>
  <c r="AK1197" i="13" s="1"/>
  <c r="EV32" i="71"/>
  <c r="CK18" i="71"/>
  <c r="CK27" i="71"/>
  <c r="FB22" i="71"/>
  <c r="EP29" i="71"/>
  <c r="EP31" i="71"/>
  <c r="CZ8" i="71"/>
  <c r="EP6" i="71"/>
  <c r="EY26" i="71"/>
  <c r="DF35" i="71"/>
  <c r="BS27" i="71"/>
  <c r="DO7" i="71"/>
  <c r="BJ36" i="71"/>
  <c r="EV30" i="71"/>
  <c r="CQ7" i="71"/>
  <c r="CZ27" i="71"/>
  <c r="DR8" i="71"/>
  <c r="F59" i="23" a="1"/>
  <c r="F59" i="23" s="1"/>
  <c r="CQ31" i="71"/>
  <c r="DL27" i="71"/>
  <c r="EV16" i="71"/>
  <c r="BV15" i="71"/>
  <c r="EG12" i="71"/>
  <c r="EV23" i="71"/>
  <c r="DR32" i="71"/>
  <c r="BS35" i="71"/>
  <c r="L56" i="23" a="1"/>
  <c r="L56" i="23" s="1"/>
  <c r="CZ9" i="71"/>
  <c r="S16" i="27" a="1"/>
  <c r="S16" i="27" s="1"/>
  <c r="FB21" i="71"/>
  <c r="EY5" i="71"/>
  <c r="DO10" i="71"/>
  <c r="J673" i="15"/>
  <c r="AB1197" i="13" a="1"/>
  <c r="AB1197" i="13" s="1"/>
  <c r="CZ29" i="71"/>
  <c r="M56" i="23" a="1"/>
  <c r="M56" i="23" s="1"/>
  <c r="CW4" i="71"/>
  <c r="DX28" i="71"/>
  <c r="EY16" i="71"/>
  <c r="EM33" i="71"/>
  <c r="DF17" i="71"/>
  <c r="Y59" i="23" a="1"/>
  <c r="Y59" i="23" s="1"/>
  <c r="DR26" i="71"/>
  <c r="EG14" i="71"/>
  <c r="EY21" i="71"/>
  <c r="DI35" i="71"/>
  <c r="DL31" i="71"/>
  <c r="BJ7" i="71"/>
  <c r="BM26" i="71"/>
  <c r="EY15" i="71"/>
  <c r="EV20" i="71"/>
  <c r="ES35" i="71"/>
  <c r="CW16" i="71"/>
  <c r="FB33" i="71"/>
  <c r="CT32" i="71"/>
  <c r="J547" i="15"/>
  <c r="L57" i="23" a="1"/>
  <c r="L57" i="23" s="1"/>
  <c r="L35" i="23" s="1"/>
  <c r="CT11" i="71"/>
  <c r="CQ24" i="71"/>
  <c r="J589" i="15"/>
  <c r="DL7" i="71"/>
  <c r="CQ30" i="71"/>
  <c r="CK25" i="71"/>
  <c r="DF25" i="71"/>
  <c r="CN15" i="71"/>
  <c r="CT18" i="71"/>
  <c r="EM28" i="71"/>
  <c r="CQ12" i="71"/>
  <c r="CE17" i="71"/>
  <c r="EY13" i="71"/>
  <c r="DO12" i="71"/>
  <c r="DU23" i="71"/>
  <c r="DO35" i="71"/>
  <c r="EP4" i="71"/>
  <c r="ED27" i="71"/>
  <c r="EP17" i="71"/>
  <c r="BJ15" i="71"/>
  <c r="EM24" i="71"/>
  <c r="F47" i="23"/>
  <c r="P47" i="23" s="1"/>
  <c r="Z47" i="23" s="1"/>
  <c r="E428" i="15"/>
  <c r="CW36" i="71"/>
  <c r="BV26" i="71"/>
  <c r="CZ11" i="71"/>
  <c r="T57" i="23" a="1"/>
  <c r="T57" i="23" s="1"/>
  <c r="T35" i="23" s="1"/>
  <c r="EA12" i="71"/>
  <c r="U56" i="14" a="1"/>
  <c r="U56" i="14" s="1"/>
  <c r="BK38" i="71"/>
  <c r="EP25" i="71"/>
  <c r="CT5" i="71"/>
  <c r="CE20" i="71"/>
  <c r="E464" i="15"/>
  <c r="E187" i="15"/>
  <c r="O59" i="14" a="1"/>
  <c r="O59" i="14" s="1"/>
  <c r="M59" i="23" a="1"/>
  <c r="M59" i="23" s="1"/>
  <c r="BV5" i="71"/>
  <c r="EV35" i="71"/>
  <c r="DO9" i="71"/>
  <c r="BV31" i="71"/>
  <c r="EP5" i="71"/>
  <c r="Y58" i="23" a="1"/>
  <c r="Y58" i="23" s="1"/>
  <c r="Y36" i="23" s="1"/>
  <c r="EV25" i="71"/>
  <c r="E220" i="15"/>
  <c r="CQ29" i="71"/>
  <c r="J562" i="15"/>
  <c r="EA25" i="71"/>
  <c r="B45" i="14"/>
  <c r="E54" i="15"/>
  <c r="CZ22" i="71"/>
  <c r="DU14" i="71"/>
  <c r="DX22" i="71"/>
  <c r="I59" i="14" a="1"/>
  <c r="I59" i="14" s="1"/>
  <c r="CW7" i="71"/>
  <c r="CQ6" i="71"/>
  <c r="CH20" i="71"/>
  <c r="J698" i="15"/>
  <c r="EG22" i="71"/>
  <c r="P56" i="14" a="1"/>
  <c r="P56" i="14" s="1"/>
  <c r="CE11" i="71"/>
  <c r="EV11" i="71"/>
  <c r="EG32" i="71"/>
  <c r="BJ12" i="71"/>
  <c r="BS4" i="71"/>
  <c r="EG8" i="71"/>
  <c r="CE18" i="71"/>
  <c r="BJ34" i="71"/>
  <c r="CE16" i="71"/>
  <c r="DL5" i="71"/>
  <c r="CT4" i="71"/>
  <c r="J517" i="15"/>
  <c r="CT20" i="71"/>
  <c r="S15" i="27" a="1"/>
  <c r="S15" i="27" s="1"/>
  <c r="EG10" i="71"/>
  <c r="Q59" i="23" a="1"/>
  <c r="Q59" i="23" s="1"/>
  <c r="EE38" i="71"/>
  <c r="O58" i="14" a="1"/>
  <c r="O58" i="14" s="1"/>
  <c r="CT14" i="71"/>
  <c r="DR27" i="71"/>
  <c r="J648" i="15"/>
  <c r="DI19" i="71"/>
  <c r="BJ14" i="71"/>
  <c r="E303" i="15"/>
  <c r="BS33" i="71"/>
  <c r="DO21" i="71"/>
  <c r="G58" i="14" a="1"/>
  <c r="G58" i="14" s="1"/>
  <c r="E666" i="15"/>
  <c r="BP33" i="71"/>
  <c r="EY27" i="71"/>
  <c r="CN9" i="71"/>
  <c r="ED4" i="71"/>
  <c r="J685" i="15"/>
  <c r="J539" i="15"/>
  <c r="EM6" i="71"/>
  <c r="DU4" i="71"/>
  <c r="DX14" i="71"/>
  <c r="DF34" i="71"/>
  <c r="BP13" i="71"/>
  <c r="M202" i="13" a="1"/>
  <c r="M202" i="13" s="1"/>
  <c r="CH28" i="71"/>
  <c r="EV7" i="71"/>
  <c r="AO1296" i="13" a="1"/>
  <c r="AO1296" i="13" s="1"/>
  <c r="EA29" i="71"/>
  <c r="J620" i="15"/>
  <c r="DL18" i="71"/>
  <c r="CW19" i="71"/>
  <c r="J567" i="15"/>
  <c r="BM13" i="71"/>
  <c r="DL16" i="71"/>
  <c r="DI4" i="71"/>
  <c r="FB16" i="71"/>
  <c r="DR25" i="71"/>
  <c r="CK29" i="71"/>
  <c r="BJ17" i="71"/>
  <c r="CO38" i="71"/>
  <c r="S56" i="14" a="1"/>
  <c r="S56" i="14" s="1"/>
  <c r="ED15" i="71"/>
  <c r="ES11" i="71"/>
  <c r="DX32" i="71"/>
  <c r="V56" i="23" a="1"/>
  <c r="V56" i="23" s="1"/>
  <c r="E271" i="15"/>
  <c r="DJ38" i="71"/>
  <c r="FB7" i="71"/>
  <c r="ED6" i="71"/>
  <c r="E527" i="15"/>
  <c r="J559" i="15"/>
  <c r="G57" i="14" a="1"/>
  <c r="G57" i="14" s="1"/>
  <c r="CK28" i="71"/>
  <c r="DV38" i="71"/>
  <c r="BY33" i="71"/>
  <c r="M59" i="14" a="1"/>
  <c r="M59" i="14" s="1"/>
  <c r="H57" i="23" a="1"/>
  <c r="H57" i="23" s="1"/>
  <c r="H35" i="23" s="1"/>
  <c r="CK16" i="71"/>
  <c r="CE23" i="71"/>
  <c r="DF6" i="71"/>
  <c r="EG29" i="71"/>
  <c r="CT36" i="71"/>
  <c r="CK35" i="71"/>
  <c r="F48" i="23"/>
  <c r="P48" i="23" s="1"/>
  <c r="Z48" i="23" s="1"/>
  <c r="CR38" i="71"/>
  <c r="Q56" i="23" a="1"/>
  <c r="Q56" i="23" s="1"/>
  <c r="BS16" i="71"/>
  <c r="CK19" i="71"/>
  <c r="DL11" i="71"/>
  <c r="EP11" i="71"/>
  <c r="CW11" i="71"/>
  <c r="CH22" i="71"/>
  <c r="N58" i="23" a="1"/>
  <c r="N58" i="23" s="1"/>
  <c r="N36" i="23" s="1"/>
  <c r="J647" i="15"/>
  <c r="CQ33" i="71"/>
  <c r="CK8" i="71"/>
  <c r="E384" i="15"/>
  <c r="EP36" i="71"/>
  <c r="CN16" i="71"/>
  <c r="DF8" i="71"/>
  <c r="DU26" i="71"/>
  <c r="AQ1296" i="13" a="1"/>
  <c r="AQ1296" i="13" s="1"/>
  <c r="J628" i="15"/>
  <c r="DU31" i="71"/>
  <c r="EP14" i="71"/>
  <c r="EM23" i="71"/>
  <c r="BM33" i="71"/>
  <c r="ES12" i="71"/>
  <c r="L59" i="14" a="1"/>
  <c r="L59" i="14" s="1"/>
  <c r="CN33" i="71"/>
  <c r="EY28" i="71"/>
  <c r="BM27" i="71"/>
  <c r="CN35" i="71"/>
  <c r="BJ29" i="71"/>
  <c r="CB21" i="71"/>
  <c r="EA19" i="71"/>
  <c r="J600" i="15"/>
  <c r="Q202" i="13" a="1"/>
  <c r="Q202" i="13" s="1"/>
  <c r="BS21" i="71"/>
  <c r="L56" i="14" a="1"/>
  <c r="L56" i="14" s="1"/>
  <c r="BS22" i="71"/>
  <c r="K56" i="23" a="1"/>
  <c r="K56" i="23" s="1"/>
  <c r="BM21" i="71"/>
  <c r="M57" i="14" a="1"/>
  <c r="M57" i="14" s="1"/>
  <c r="DF14" i="71"/>
  <c r="CI38" i="71"/>
  <c r="DL35" i="71"/>
  <c r="BM35" i="71"/>
  <c r="R56" i="14" a="1"/>
  <c r="R56" i="14" s="1"/>
  <c r="EA11" i="71"/>
  <c r="CK20" i="71"/>
  <c r="BJ27" i="71"/>
  <c r="CT29" i="71"/>
  <c r="Y57" i="23" a="1"/>
  <c r="Y57" i="23" s="1"/>
  <c r="Y35" i="23" s="1"/>
  <c r="DX8" i="71"/>
  <c r="ES24" i="71"/>
  <c r="K11" i="27" a="1"/>
  <c r="K11" i="27" s="1"/>
  <c r="J534" i="15"/>
  <c r="AB1296" i="13" a="1"/>
  <c r="AB1296" i="13" s="1"/>
  <c r="ES15" i="71"/>
  <c r="BP18" i="71"/>
  <c r="DU19" i="71"/>
  <c r="EY30" i="71"/>
  <c r="EH38" i="71"/>
  <c r="DL17" i="71"/>
  <c r="CT21" i="71"/>
  <c r="CW13" i="71"/>
  <c r="DO36" i="71"/>
  <c r="K59" i="14" a="1"/>
  <c r="K59" i="14" s="1"/>
  <c r="FB8" i="71"/>
  <c r="DF5" i="71"/>
  <c r="CH23" i="71"/>
  <c r="CT24" i="71"/>
  <c r="CW21" i="71"/>
  <c r="EV13" i="71"/>
  <c r="DU30" i="71"/>
  <c r="EM11" i="71"/>
  <c r="BS19" i="71"/>
  <c r="CZ31" i="71"/>
  <c r="BM34" i="71"/>
  <c r="AG1197" i="13" a="1"/>
  <c r="AG1197" i="13" s="1"/>
  <c r="EA36" i="71"/>
  <c r="BY32" i="71"/>
  <c r="CB22" i="71"/>
  <c r="CW12" i="71"/>
  <c r="DX17" i="71"/>
  <c r="BY34" i="71"/>
  <c r="CB4" i="71"/>
  <c r="Z57" i="23" a="1"/>
  <c r="Z57" i="23" s="1"/>
  <c r="Z35" i="23" s="1"/>
  <c r="FB6" i="71"/>
  <c r="CB19" i="71"/>
  <c r="DO30" i="71"/>
  <c r="BM20" i="71"/>
  <c r="P16" i="27" a="1"/>
  <c r="P16" i="27" s="1"/>
  <c r="EG27" i="71"/>
  <c r="CB18" i="71"/>
  <c r="DU10" i="71"/>
  <c r="I58" i="14" a="1"/>
  <c r="I58" i="14" s="1"/>
  <c r="CN5" i="71"/>
  <c r="CZ25" i="71"/>
  <c r="B48" i="23"/>
  <c r="BM4" i="71"/>
  <c r="BS17" i="71"/>
  <c r="CB20" i="71"/>
  <c r="DU34" i="71"/>
  <c r="CK11" i="71"/>
  <c r="E176" i="15"/>
  <c r="DL33" i="71"/>
  <c r="BJ30" i="71"/>
  <c r="EG35" i="71"/>
  <c r="K57" i="23" a="1"/>
  <c r="K57" i="23" s="1"/>
  <c r="K35" i="23" s="1"/>
  <c r="J659" i="15"/>
  <c r="CT33" i="71"/>
  <c r="BY6" i="71"/>
  <c r="CT19" i="71"/>
  <c r="CH11" i="71"/>
  <c r="EG17" i="71"/>
  <c r="DL30" i="71"/>
  <c r="DO24" i="71"/>
  <c r="CZ16" i="71"/>
  <c r="O59" i="23" a="1"/>
  <c r="O59" i="23" s="1"/>
  <c r="DU33" i="71"/>
  <c r="ES19" i="71"/>
  <c r="DR18" i="71"/>
  <c r="DR36" i="71"/>
  <c r="ED18" i="71"/>
  <c r="EP13" i="71"/>
  <c r="J701" i="15"/>
  <c r="Y57" i="14" a="1"/>
  <c r="Y57" i="14" s="1"/>
  <c r="CB29" i="71"/>
  <c r="CW15" i="71"/>
  <c r="BV35" i="71"/>
  <c r="CK32" i="71"/>
  <c r="BV20" i="71"/>
  <c r="R59" i="14" a="1"/>
  <c r="R59" i="14" s="1"/>
  <c r="EV8" i="71"/>
  <c r="DL25" i="71"/>
  <c r="ES30" i="71"/>
  <c r="F44" i="14"/>
  <c r="P44" i="14" s="1"/>
  <c r="Z44" i="14" s="1"/>
  <c r="CN20" i="71"/>
  <c r="EM16" i="71"/>
  <c r="X56" i="23" a="1"/>
  <c r="X56" i="23" s="1"/>
  <c r="T57" i="14" a="1"/>
  <c r="T57" i="14" s="1"/>
  <c r="CB7" i="71"/>
  <c r="S14" i="27" a="1"/>
  <c r="S14" i="27" s="1"/>
  <c r="J571" i="15"/>
  <c r="DO22" i="71"/>
  <c r="DX10" i="71"/>
  <c r="BV16" i="71"/>
  <c r="EM17" i="71"/>
  <c r="ED21" i="71"/>
  <c r="CT9" i="71"/>
  <c r="EV9" i="71"/>
  <c r="BP16" i="71"/>
  <c r="DI18" i="71"/>
  <c r="DI11" i="71"/>
  <c r="BJ21" i="71"/>
  <c r="CT22" i="71"/>
  <c r="DF10" i="71"/>
  <c r="J639" i="15"/>
  <c r="DF36" i="71"/>
  <c r="BY7" i="71"/>
  <c r="J580" i="15"/>
  <c r="DF31" i="71"/>
  <c r="F46" i="23"/>
  <c r="P46" i="23" s="1"/>
  <c r="Z46" i="23" s="1"/>
  <c r="O57" i="23" a="1"/>
  <c r="O57" i="23" s="1"/>
  <c r="O35" i="23" s="1"/>
  <c r="J544" i="15"/>
  <c r="E629" i="15"/>
  <c r="F58" i="23" a="1"/>
  <c r="F58" i="23" s="1"/>
  <c r="CT25" i="71"/>
  <c r="FB10" i="71"/>
  <c r="EG36" i="71"/>
  <c r="DF18" i="71"/>
  <c r="ES8" i="71"/>
  <c r="J530" i="15"/>
  <c r="BV29" i="71"/>
  <c r="DO5" i="71"/>
  <c r="BM25" i="71"/>
  <c r="CE8" i="71"/>
  <c r="O202" i="13" a="1"/>
  <c r="O202" i="13" s="1"/>
  <c r="DI5" i="71"/>
  <c r="CH5" i="71"/>
  <c r="BM6" i="71"/>
  <c r="J558" i="15"/>
  <c r="EA24" i="71"/>
  <c r="U57" i="14" a="1"/>
  <c r="U57" i="14" s="1"/>
  <c r="BP6" i="71"/>
  <c r="ED13" i="71"/>
  <c r="BV19" i="71"/>
  <c r="EA13" i="71"/>
  <c r="CE21" i="71"/>
  <c r="CZ7" i="71"/>
  <c r="J59" i="23" a="1"/>
  <c r="J59" i="23" s="1"/>
  <c r="ED25" i="71"/>
  <c r="G56" i="23" a="1"/>
  <c r="G56" i="23" s="1"/>
  <c r="J657" i="15"/>
  <c r="DR20" i="71"/>
  <c r="J635" i="15"/>
  <c r="BY9" i="71"/>
  <c r="N59" i="14" a="1"/>
  <c r="N59" i="14" s="1"/>
  <c r="EY25" i="71"/>
  <c r="CW33" i="71"/>
  <c r="X58" i="14" a="1"/>
  <c r="X58" i="14" s="1"/>
  <c r="BM5" i="71"/>
  <c r="DX21" i="71"/>
  <c r="CT16" i="71"/>
  <c r="EG30" i="71"/>
  <c r="DX7" i="71"/>
  <c r="J682" i="15"/>
  <c r="W59" i="14" a="1"/>
  <c r="W59" i="14" s="1"/>
  <c r="BV32" i="71"/>
  <c r="EY29" i="71"/>
  <c r="AT1197" i="13" a="1"/>
  <c r="AT1197" i="13" s="1"/>
  <c r="CE22" i="71"/>
  <c r="EG20" i="71"/>
  <c r="BP36" i="71"/>
  <c r="ES17" i="71"/>
  <c r="DF12" i="71"/>
  <c r="ED8" i="71"/>
  <c r="BY23" i="71"/>
  <c r="E393" i="15"/>
  <c r="J593" i="15"/>
  <c r="EV17" i="71"/>
  <c r="EV19" i="71"/>
  <c r="CW8" i="71"/>
  <c r="ED34" i="71"/>
  <c r="F201" i="13" a="1"/>
  <c r="F201" i="13" s="1"/>
  <c r="J537" i="15"/>
  <c r="ES7" i="71"/>
  <c r="R59" i="23" a="1"/>
  <c r="R59" i="23" s="1"/>
  <c r="J686" i="15"/>
  <c r="O57" i="14" a="1"/>
  <c r="O57" i="14" s="1"/>
  <c r="CB6" i="71"/>
  <c r="E460" i="15"/>
  <c r="BP5" i="71"/>
  <c r="ES32" i="71"/>
  <c r="EV28" i="71"/>
  <c r="CT35" i="71"/>
  <c r="R202" i="13" a="1"/>
  <c r="R202" i="13" s="1"/>
  <c r="EP23" i="71"/>
  <c r="U58" i="23" a="1"/>
  <c r="U58" i="23" s="1"/>
  <c r="U36" i="23" s="1"/>
  <c r="ES22" i="71"/>
  <c r="J581" i="15"/>
  <c r="DL26" i="71"/>
  <c r="CX38" i="71"/>
  <c r="BM29" i="71"/>
  <c r="FB28" i="71"/>
  <c r="EM36" i="71"/>
  <c r="E238" i="15"/>
  <c r="E383" i="15"/>
  <c r="EM22" i="71"/>
  <c r="CZ36" i="71"/>
  <c r="EG21" i="71"/>
  <c r="EV22" i="71"/>
  <c r="CZ19" i="71"/>
  <c r="CH18" i="71"/>
  <c r="BV30" i="71"/>
  <c r="Q14" i="27" a="1"/>
  <c r="Q14" i="27" s="1"/>
  <c r="CN25" i="71"/>
  <c r="B47" i="14"/>
  <c r="B50" i="14"/>
  <c r="M58" i="23" a="1"/>
  <c r="M58" i="23" s="1"/>
  <c r="M36" i="23" s="1"/>
  <c r="BZ38" i="71"/>
  <c r="DR33" i="71"/>
  <c r="EM21" i="71"/>
  <c r="CN12" i="71"/>
  <c r="EY11" i="71"/>
  <c r="BW38" i="71"/>
  <c r="CN19" i="71"/>
  <c r="DO32" i="71"/>
  <c r="AQ1197" i="13" a="1"/>
  <c r="AQ1197" i="13" s="1"/>
  <c r="BM28" i="71"/>
  <c r="EY6" i="71"/>
  <c r="BM14" i="71"/>
  <c r="EP16" i="71"/>
  <c r="J591" i="15"/>
  <c r="DR29" i="71"/>
  <c r="Q57" i="14" a="1"/>
  <c r="Q57" i="14" s="1"/>
  <c r="BP31" i="71"/>
  <c r="DG38" i="71"/>
  <c r="CH8" i="71"/>
  <c r="AL1197" i="13" a="1"/>
  <c r="AL1197" i="13" s="1"/>
  <c r="ET38" i="71"/>
  <c r="J59" i="14" a="1"/>
  <c r="J59" i="14" s="1"/>
  <c r="DO26" i="71"/>
  <c r="EM34" i="71"/>
  <c r="J616" i="15"/>
  <c r="U15" i="27" a="1"/>
  <c r="U15" i="27" s="1"/>
  <c r="CN10" i="71"/>
  <c r="W56" i="14" a="1"/>
  <c r="W56" i="14" s="1"/>
  <c r="DF7" i="71"/>
  <c r="CW6" i="71"/>
  <c r="M57" i="23" a="1"/>
  <c r="M57" i="23" s="1"/>
  <c r="M35" i="23" s="1"/>
  <c r="BV25" i="71"/>
  <c r="BY4" i="71"/>
  <c r="CQ32" i="71"/>
  <c r="BY15" i="71"/>
  <c r="P59" i="14" a="1"/>
  <c r="P59" i="14" s="1"/>
  <c r="EA30" i="71"/>
  <c r="Z56" i="14" a="1"/>
  <c r="Z56" i="14" s="1"/>
  <c r="J622" i="15"/>
  <c r="O56" i="14" a="1"/>
  <c r="O56" i="14" s="1"/>
  <c r="DX36" i="71"/>
  <c r="FB32" i="71"/>
  <c r="DO15" i="71"/>
  <c r="BY30" i="71"/>
  <c r="CE26" i="71"/>
  <c r="ED32" i="71"/>
  <c r="FB35" i="71"/>
  <c r="CH10" i="71"/>
  <c r="CQ16" i="71"/>
  <c r="L58" i="23" a="1"/>
  <c r="L58" i="23" s="1"/>
  <c r="L36" i="23" s="1"/>
  <c r="CB9" i="71"/>
  <c r="N59" i="23" a="1"/>
  <c r="N59" i="23" s="1"/>
  <c r="EP8" i="71"/>
  <c r="DI7" i="71"/>
  <c r="U56" i="23" a="1"/>
  <c r="U56" i="23" s="1"/>
  <c r="DR31" i="71"/>
  <c r="EW38" i="71"/>
  <c r="CT12" i="71"/>
  <c r="EA4" i="71"/>
  <c r="J549" i="15"/>
  <c r="ES9" i="71"/>
  <c r="J633" i="15"/>
  <c r="EV21" i="71"/>
  <c r="X202" i="13" a="1"/>
  <c r="X202" i="13" s="1"/>
  <c r="DO31" i="71"/>
  <c r="DU21" i="71"/>
  <c r="EY18" i="71"/>
  <c r="BM11" i="71"/>
  <c r="CZ30" i="71"/>
  <c r="DO11" i="71"/>
  <c r="T14" i="27" a="1"/>
  <c r="T14" i="27" s="1"/>
  <c r="CZ24" i="71"/>
  <c r="E207" i="15"/>
  <c r="DF27" i="71"/>
  <c r="CW35" i="71"/>
  <c r="BY35" i="71"/>
  <c r="BQ38" i="71"/>
  <c r="BS23" i="71"/>
  <c r="DO4" i="71"/>
  <c r="J528" i="15"/>
  <c r="BY31" i="71"/>
  <c r="CH21" i="71"/>
  <c r="CK22" i="71"/>
  <c r="DU22" i="71"/>
  <c r="DX9" i="71"/>
  <c r="CZ28" i="71"/>
  <c r="R57" i="14" a="1"/>
  <c r="R57" i="14" s="1"/>
  <c r="BJ35" i="71"/>
  <c r="DS38" i="71"/>
  <c r="BP17" i="71"/>
  <c r="CB33" i="71"/>
  <c r="CE14" i="71"/>
  <c r="CE33" i="71"/>
  <c r="BS26" i="71"/>
  <c r="EG5" i="71"/>
  <c r="EY17" i="71"/>
  <c r="J644" i="15"/>
  <c r="BS18" i="71"/>
  <c r="DR21" i="71"/>
  <c r="DX23" i="71"/>
  <c r="CB35" i="71"/>
  <c r="J690" i="15"/>
  <c r="J535" i="15"/>
  <c r="BM8" i="71"/>
  <c r="EM9" i="71"/>
  <c r="BM32" i="71"/>
  <c r="BJ25" i="71"/>
  <c r="DO33" i="71"/>
  <c r="J57" i="23" a="1"/>
  <c r="J57" i="23" s="1"/>
  <c r="J35" i="23" s="1"/>
  <c r="CZ14" i="71"/>
  <c r="EG18" i="71"/>
  <c r="I56" i="14" a="1"/>
  <c r="I56" i="14" s="1"/>
  <c r="I58" i="23" a="1"/>
  <c r="I58" i="23" s="1"/>
  <c r="I36" i="23" s="1"/>
  <c r="CQ5" i="71"/>
  <c r="F202" i="13" a="1"/>
  <c r="F202" i="13" s="1"/>
  <c r="DU24" i="71"/>
  <c r="S57" i="14" a="1"/>
  <c r="S57" i="14" s="1"/>
  <c r="CH17" i="71"/>
  <c r="BY36" i="71"/>
  <c r="CE31" i="71"/>
  <c r="CT30" i="71"/>
  <c r="P58" i="14" a="1"/>
  <c r="P58" i="14" s="1"/>
  <c r="E689" i="15"/>
  <c r="S58" i="23" a="1"/>
  <c r="S58" i="23" s="1"/>
  <c r="S36" i="23" s="1"/>
  <c r="EV6" i="71"/>
  <c r="CB30" i="71"/>
  <c r="DF32" i="71"/>
  <c r="CZ33" i="71"/>
  <c r="J525" i="15"/>
  <c r="J654" i="15"/>
  <c r="DU12" i="71"/>
  <c r="DO13" i="71"/>
  <c r="DF33" i="71"/>
  <c r="CB13" i="71"/>
  <c r="CB17" i="71"/>
  <c r="AP1296" i="13" a="1"/>
  <c r="AP1296" i="13" s="1"/>
  <c r="J524" i="15"/>
  <c r="ES14" i="71"/>
  <c r="BY28" i="71"/>
  <c r="BP32" i="71"/>
  <c r="FB30" i="71"/>
  <c r="M58" i="14" a="1"/>
  <c r="M58" i="14" s="1"/>
  <c r="EA15" i="71"/>
  <c r="EV5" i="71"/>
  <c r="CH15" i="71"/>
  <c r="G58" i="23" a="1"/>
  <c r="G58" i="23" s="1"/>
  <c r="G36" i="23" s="1"/>
  <c r="N56" i="23" a="1"/>
  <c r="N56" i="23" s="1"/>
  <c r="BP8" i="71"/>
  <c r="DI12" i="71"/>
  <c r="EY20" i="71"/>
  <c r="CZ18" i="71"/>
  <c r="P58" i="23" a="1"/>
  <c r="P58" i="23" s="1"/>
  <c r="P36" i="23" s="1"/>
  <c r="F57" i="23" a="1"/>
  <c r="F57" i="23" s="1"/>
  <c r="BM23" i="71"/>
  <c r="EP21" i="71"/>
  <c r="CH7" i="71"/>
  <c r="N56" i="14" a="1"/>
  <c r="N56" i="14" s="1"/>
  <c r="CT13" i="71"/>
  <c r="EG16" i="71"/>
  <c r="DI31" i="71"/>
  <c r="BT38" i="71"/>
  <c r="CQ11" i="71"/>
  <c r="R16" i="27" a="1"/>
  <c r="R16" i="27" s="1"/>
  <c r="EP20" i="71"/>
  <c r="ED14" i="71"/>
  <c r="R15" i="27" a="1"/>
  <c r="R15" i="27" s="1"/>
  <c r="CQ22" i="71"/>
  <c r="J676" i="15"/>
  <c r="DX29" i="71"/>
  <c r="BS36" i="71"/>
  <c r="DR5" i="71"/>
  <c r="EG26" i="71"/>
  <c r="BS12" i="71"/>
  <c r="CT17" i="71"/>
  <c r="V59" i="14" a="1"/>
  <c r="V59" i="14" s="1"/>
  <c r="BY25" i="71"/>
  <c r="EM18" i="71"/>
  <c r="CT6" i="71"/>
  <c r="DX33" i="71"/>
  <c r="CW32" i="71"/>
  <c r="CH31" i="71"/>
  <c r="CE32" i="71"/>
  <c r="X59" i="23" a="1"/>
  <c r="X59" i="23" s="1"/>
  <c r="EG15" i="71"/>
  <c r="BM16" i="71"/>
  <c r="EY19" i="71"/>
  <c r="EM13" i="71"/>
  <c r="BJ11" i="71"/>
  <c r="DO28" i="71"/>
  <c r="ED30" i="71"/>
  <c r="CT31" i="71"/>
  <c r="EP35" i="71"/>
  <c r="V59" i="23" a="1"/>
  <c r="V59" i="23" s="1"/>
  <c r="DR16" i="71"/>
  <c r="J202" i="13" a="1"/>
  <c r="J202" i="13" s="1"/>
  <c r="ED19" i="71"/>
  <c r="DF19" i="71"/>
  <c r="J619" i="15"/>
  <c r="CH16" i="71"/>
  <c r="F48" i="14"/>
  <c r="P48" i="14" s="1"/>
  <c r="Z48" i="14" s="1"/>
  <c r="J609" i="15"/>
  <c r="J672" i="15"/>
  <c r="J586" i="15"/>
  <c r="J607" i="15"/>
  <c r="CZ5" i="71"/>
  <c r="AO1197" i="13" a="1"/>
  <c r="AO1197" i="13" s="1"/>
  <c r="BV7" i="71"/>
  <c r="S59" i="14" a="1"/>
  <c r="S59" i="14" s="1"/>
  <c r="CK23" i="71"/>
  <c r="BY19" i="71"/>
  <c r="J513" i="15"/>
  <c r="I59" i="23" a="1"/>
  <c r="I59" i="23" s="1"/>
  <c r="E126" i="15"/>
  <c r="O58" i="23" a="1"/>
  <c r="O58" i="23" s="1"/>
  <c r="O36" i="23" s="1"/>
  <c r="U57" i="23" a="1"/>
  <c r="U57" i="23" s="1"/>
  <c r="U35" i="23" s="1"/>
  <c r="CW22" i="71"/>
  <c r="DI10" i="71"/>
  <c r="DX34" i="71"/>
  <c r="AN1197" i="13" a="1"/>
  <c r="AN1197" i="13" s="1"/>
  <c r="CZ20" i="71"/>
  <c r="CT23" i="71"/>
  <c r="J684" i="15"/>
  <c r="J689" i="15"/>
  <c r="BV12" i="71"/>
  <c r="E623" i="15"/>
  <c r="EM30" i="71"/>
  <c r="BY22" i="71"/>
  <c r="E453" i="15"/>
  <c r="EY7" i="71"/>
  <c r="BV10" i="71"/>
  <c r="J58" i="23" a="1"/>
  <c r="J58" i="23" s="1"/>
  <c r="J36" i="23" s="1"/>
  <c r="CW31" i="71"/>
  <c r="DX26" i="71"/>
  <c r="K58" i="23" a="1"/>
  <c r="K58" i="23" s="1"/>
  <c r="K36" i="23" s="1"/>
  <c r="J582" i="15"/>
  <c r="CB14" i="71"/>
  <c r="BJ9" i="71"/>
  <c r="BV28" i="71"/>
  <c r="CN8" i="71"/>
  <c r="ED29" i="71"/>
  <c r="BS32" i="71"/>
  <c r="DI27" i="71"/>
  <c r="CH14" i="71"/>
  <c r="EA17" i="71"/>
  <c r="EV14" i="71"/>
  <c r="AE1296" i="13" a="1"/>
  <c r="AE1296" i="13" s="1"/>
  <c r="CZ32" i="71"/>
  <c r="N58" i="14" a="1"/>
  <c r="N58" i="14" s="1"/>
  <c r="DL9" i="71"/>
  <c r="DI15" i="71"/>
  <c r="DL29" i="71"/>
  <c r="EP7" i="71"/>
  <c r="DI9" i="71"/>
  <c r="EP28" i="71"/>
  <c r="DR17" i="71"/>
  <c r="ED26" i="71"/>
  <c r="DR35" i="71"/>
  <c r="DR10" i="71"/>
  <c r="DO17" i="71"/>
  <c r="G56" i="14" a="1"/>
  <c r="G56" i="14" s="1"/>
  <c r="BS7" i="71"/>
  <c r="O56" i="23" a="1"/>
  <c r="O56" i="23" s="1"/>
  <c r="DX20" i="71"/>
  <c r="DU25" i="71"/>
  <c r="J632" i="15"/>
  <c r="BM22" i="71"/>
  <c r="F46" i="14"/>
  <c r="P46" i="14" s="1"/>
  <c r="Z46" i="14" s="1"/>
  <c r="DL6" i="71"/>
  <c r="DL15" i="71"/>
  <c r="CQ14" i="71"/>
  <c r="T58" i="14" a="1"/>
  <c r="T58" i="14" s="1"/>
  <c r="EA7" i="71"/>
  <c r="EA28" i="71"/>
  <c r="CE36" i="71"/>
  <c r="Q58" i="23" a="1"/>
  <c r="Q58" i="23" s="1"/>
  <c r="Q36" i="23" s="1"/>
  <c r="FB4" i="71"/>
  <c r="F59" i="14" a="1"/>
  <c r="F59" i="14" s="1"/>
  <c r="EG7" i="71"/>
  <c r="J579" i="15"/>
  <c r="BP10" i="71"/>
  <c r="CZ10" i="71"/>
  <c r="BM24" i="71"/>
  <c r="EG4" i="71"/>
  <c r="BY29" i="71"/>
  <c r="ED10" i="71"/>
  <c r="ES31" i="71"/>
  <c r="B44" i="14"/>
  <c r="BV22" i="71"/>
  <c r="DU36" i="71"/>
  <c r="CN11" i="71"/>
  <c r="H57" i="14" a="1"/>
  <c r="H57" i="14" s="1"/>
  <c r="L58" i="14" a="1"/>
  <c r="L58" i="14" s="1"/>
  <c r="BS29" i="71"/>
  <c r="AH1197" i="13" a="1"/>
  <c r="AH1197" i="13" s="1"/>
  <c r="BM9" i="71"/>
  <c r="Q57" i="23" a="1"/>
  <c r="Q57" i="23" s="1"/>
  <c r="Q35" i="23" s="1"/>
  <c r="BM10" i="71"/>
  <c r="CQ35" i="71"/>
  <c r="FC38" i="71"/>
  <c r="DL21" i="71"/>
  <c r="G59" i="23" a="1"/>
  <c r="G59" i="23" s="1"/>
  <c r="BJ28" i="71"/>
  <c r="BM7" i="71"/>
  <c r="CK21" i="71"/>
  <c r="DF26" i="71"/>
  <c r="ED31" i="71"/>
  <c r="EY24" i="71"/>
  <c r="ED24" i="71"/>
  <c r="ED11" i="71"/>
  <c r="EM20" i="71"/>
  <c r="J478" i="15"/>
  <c r="R14" i="27" a="1"/>
  <c r="R14" i="27" s="1"/>
  <c r="CK17" i="71"/>
  <c r="DF11" i="71"/>
  <c r="AD1296" i="13" a="1"/>
  <c r="AD1296" i="13" s="1"/>
  <c r="CK26" i="71"/>
  <c r="K56" i="14" a="1"/>
  <c r="K56" i="14" s="1"/>
  <c r="EV10" i="71"/>
  <c r="DU7" i="71"/>
  <c r="CQ21" i="71"/>
  <c r="DX4" i="71"/>
  <c r="P202" i="13" a="1"/>
  <c r="P202" i="13" s="1"/>
  <c r="ED20" i="71"/>
  <c r="EA33" i="71"/>
  <c r="E646" i="15"/>
  <c r="V57" i="23" a="1"/>
  <c r="V57" i="23" s="1"/>
  <c r="V35" i="23" s="1"/>
  <c r="CN17" i="71"/>
  <c r="CZ21" i="71"/>
  <c r="CK36" i="71"/>
  <c r="EZ38" i="71"/>
  <c r="ES23" i="71"/>
  <c r="K12" i="27" a="1"/>
  <c r="K12" i="27" s="1"/>
  <c r="EG33" i="71"/>
  <c r="DP38" i="71"/>
  <c r="E593" i="15"/>
  <c r="CU38" i="71"/>
  <c r="DU18" i="71"/>
  <c r="FB14" i="71"/>
  <c r="U59" i="23" a="1"/>
  <c r="U59" i="23" s="1"/>
  <c r="CE29" i="71"/>
  <c r="EA9" i="71"/>
  <c r="BJ8" i="71"/>
  <c r="DF28" i="71"/>
  <c r="AS1296" i="13" a="1"/>
  <c r="AS1296" i="13" s="1"/>
  <c r="CK10" i="71"/>
  <c r="CN14" i="71"/>
  <c r="CC38" i="71"/>
  <c r="BJ10" i="71"/>
  <c r="BP24" i="71"/>
  <c r="T56" i="14" a="1"/>
  <c r="T56" i="14" s="1"/>
  <c r="EA8" i="71"/>
  <c r="E396" i="15"/>
  <c r="J497" i="15"/>
  <c r="BP27" i="71"/>
  <c r="CH36" i="71"/>
  <c r="J658" i="15"/>
  <c r="J641" i="15"/>
  <c r="ED22" i="71"/>
  <c r="DU35" i="71"/>
  <c r="DX15" i="71"/>
  <c r="T59" i="14" a="1"/>
  <c r="T59" i="14" s="1"/>
  <c r="EG31" i="71"/>
  <c r="CZ4" i="71"/>
  <c r="E84" i="15"/>
  <c r="DI20" i="71"/>
  <c r="CL38" i="71"/>
  <c r="W58" i="14" a="1"/>
  <c r="W58" i="14" s="1"/>
  <c r="BM19" i="71"/>
  <c r="DU8" i="71"/>
  <c r="FB19" i="71"/>
  <c r="DF20" i="71"/>
  <c r="CQ26" i="71"/>
  <c r="EP9" i="71"/>
  <c r="E473" i="15"/>
  <c r="DR19" i="71"/>
  <c r="L57" i="14" a="1"/>
  <c r="L57" i="14" s="1"/>
  <c r="J630" i="15"/>
  <c r="J590" i="15"/>
  <c r="V56" i="14" a="1"/>
  <c r="V56" i="14" s="1"/>
  <c r="J601" i="15"/>
  <c r="AH1296" i="13" a="1"/>
  <c r="AH1296" i="13" s="1"/>
  <c r="CH4" i="71"/>
  <c r="ED36" i="71"/>
  <c r="J597" i="15"/>
  <c r="DL22" i="71"/>
  <c r="J664" i="15"/>
  <c r="CK6" i="71"/>
  <c r="B51" i="23"/>
  <c r="CK4" i="71"/>
  <c r="Z202" i="13" a="1"/>
  <c r="Z202" i="13" s="1"/>
  <c r="BP15" i="71"/>
  <c r="EM7" i="71"/>
  <c r="CB31" i="71"/>
  <c r="I56" i="23" a="1"/>
  <c r="I56" i="23" s="1"/>
  <c r="EA26" i="71"/>
  <c r="BY5" i="71"/>
  <c r="ES6" i="71"/>
  <c r="P59" i="23" a="1"/>
  <c r="P59" i="23" s="1"/>
  <c r="CE25" i="71"/>
  <c r="EA35" i="71"/>
  <c r="BS9" i="71"/>
  <c r="K202" i="13" a="1"/>
  <c r="K202" i="13" s="1"/>
  <c r="BY11" i="71"/>
  <c r="BS8" i="71"/>
  <c r="BP30" i="71"/>
  <c r="EY4" i="71"/>
  <c r="CK5" i="71"/>
  <c r="J561" i="15"/>
  <c r="DL14" i="71"/>
  <c r="CK33" i="71"/>
  <c r="H56" i="23" a="1"/>
  <c r="H56" i="23" s="1"/>
  <c r="DI30" i="71"/>
  <c r="T56" i="23" a="1"/>
  <c r="T56" i="23" s="1"/>
  <c r="DR4" i="71"/>
  <c r="V58" i="23" a="1"/>
  <c r="V58" i="23" s="1"/>
  <c r="V36" i="23" s="1"/>
  <c r="J613" i="15"/>
  <c r="J570" i="15"/>
  <c r="CZ23" i="71"/>
  <c r="DU17" i="71"/>
  <c r="J605" i="15"/>
  <c r="DA38" i="71"/>
  <c r="T58" i="23" a="1"/>
  <c r="T58" i="23" s="1"/>
  <c r="T36" i="23" s="1"/>
  <c r="BS34" i="71"/>
  <c r="B46" i="23"/>
  <c r="R58" i="14" a="1"/>
  <c r="R58" i="14" s="1"/>
  <c r="EM27" i="71"/>
  <c r="EY10" i="71"/>
  <c r="BJ20" i="71"/>
  <c r="EV26" i="71"/>
  <c r="CN30" i="71"/>
  <c r="DL34" i="71"/>
  <c r="ES34" i="71"/>
  <c r="BY10" i="71"/>
  <c r="DU28" i="71"/>
  <c r="CQ19" i="71"/>
  <c r="DO20" i="71"/>
  <c r="DO23" i="71"/>
  <c r="EM29" i="71"/>
  <c r="DX13" i="71"/>
  <c r="CT8" i="71"/>
  <c r="Z59" i="14" a="1"/>
  <c r="Z59" i="14" s="1"/>
  <c r="G202" i="13" a="1"/>
  <c r="G202" i="13" s="1"/>
  <c r="BJ26" i="71"/>
  <c r="FB15" i="71"/>
  <c r="E499" i="15"/>
  <c r="J602" i="15"/>
  <c r="CZ6" i="71"/>
  <c r="CT10" i="71"/>
  <c r="FB24" i="71"/>
  <c r="CE13" i="71"/>
  <c r="BY16" i="71"/>
  <c r="EG25" i="71"/>
  <c r="J56" i="14" a="1"/>
  <c r="J56" i="14" s="1"/>
  <c r="ED33" i="71"/>
  <c r="Y56" i="23" a="1"/>
  <c r="Y56" i="23" s="1"/>
  <c r="BP14" i="71"/>
  <c r="BP20" i="71"/>
  <c r="DL8" i="71"/>
  <c r="E605" i="15"/>
  <c r="EM4" i="71"/>
  <c r="G57" i="23" a="1"/>
  <c r="G57" i="23" s="1"/>
  <c r="G35" i="23" s="1"/>
  <c r="EY23" i="71"/>
  <c r="G59" i="14" a="1"/>
  <c r="G59" i="14" s="1"/>
  <c r="DL10" i="71"/>
  <c r="S202" i="13" a="1"/>
  <c r="S202" i="13" s="1"/>
  <c r="CQ34" i="71"/>
  <c r="E403" i="15"/>
  <c r="AC1197" i="13" a="1"/>
  <c r="AC1197" i="13" s="1"/>
  <c r="J636" i="15"/>
  <c r="J626" i="15"/>
  <c r="CH19" i="71"/>
  <c r="DX6" i="71"/>
  <c r="Z59" i="23" a="1"/>
  <c r="Z59" i="23" s="1"/>
  <c r="EP33" i="71"/>
  <c r="H56" i="14" a="1"/>
  <c r="H56" i="14" s="1"/>
  <c r="BP25" i="71"/>
  <c r="V58" i="14" a="1"/>
  <c r="V58" i="14" s="1"/>
  <c r="CN22" i="71"/>
  <c r="Z57" i="14" a="1"/>
  <c r="Z57" i="14" s="1"/>
  <c r="J529" i="15"/>
  <c r="ED7" i="71"/>
  <c r="FB17" i="71"/>
  <c r="EY36" i="71"/>
  <c r="FB25" i="71"/>
  <c r="BV14" i="71"/>
  <c r="J646" i="15"/>
  <c r="S59" i="23" a="1"/>
  <c r="S59" i="23" s="1"/>
  <c r="J489" i="15"/>
  <c r="CB10" i="71"/>
  <c r="EV4" i="71"/>
  <c r="DO27" i="71"/>
  <c r="DR24" i="71"/>
  <c r="BP23" i="71"/>
  <c r="DD38" i="71"/>
  <c r="DR9" i="71"/>
  <c r="V57" i="14" a="1"/>
  <c r="V57" i="14" s="1"/>
  <c r="H58" i="23" a="1"/>
  <c r="H58" i="23" s="1"/>
  <c r="H36" i="23" s="1"/>
  <c r="J693" i="15"/>
  <c r="CQ20" i="71"/>
  <c r="DF24" i="71"/>
  <c r="DR23" i="71"/>
  <c r="EA18" i="71"/>
  <c r="CN23" i="71"/>
  <c r="BV13" i="71"/>
  <c r="CH12" i="71"/>
  <c r="BV6" i="71"/>
  <c r="DX25" i="71"/>
  <c r="DL36" i="71"/>
  <c r="CH34" i="71"/>
  <c r="J494" i="15"/>
  <c r="DI21" i="71"/>
  <c r="AS1197" i="13" a="1"/>
  <c r="AS1197" i="13" s="1"/>
  <c r="BV18" i="71"/>
  <c r="CH13" i="71"/>
  <c r="CB8" i="71"/>
  <c r="EV27" i="71"/>
  <c r="BM36" i="71"/>
  <c r="ES33" i="71"/>
  <c r="EM8" i="71"/>
  <c r="CQ28" i="71"/>
  <c r="BS31" i="71"/>
  <c r="CH25" i="71"/>
  <c r="T202" i="13" a="1"/>
  <c r="T202" i="13" s="1"/>
  <c r="DO25" i="71"/>
  <c r="CW5" i="71"/>
  <c r="BP9" i="71"/>
  <c r="BS5" i="71"/>
  <c r="DY38" i="71"/>
  <c r="CB23" i="71"/>
  <c r="EY9" i="71"/>
  <c r="EV36" i="71"/>
  <c r="AL1296" i="13" a="1"/>
  <c r="AL1296" i="13" s="1"/>
  <c r="BV27" i="71"/>
  <c r="EP27" i="71"/>
  <c r="DR13" i="71"/>
  <c r="BY21" i="71"/>
  <c r="DU9" i="71"/>
  <c r="AD52" i="4"/>
  <c r="CW52" i="4"/>
  <c r="CX52" i="4" s="1"/>
  <c r="AY52" i="4"/>
  <c r="BT62" i="4"/>
  <c r="AV1305" i="13"/>
  <c r="G9" i="69"/>
  <c r="BM3" i="72"/>
  <c r="AL3" i="72" a="1"/>
  <c r="AL3" i="72" s="1"/>
  <c r="AW3" i="72"/>
  <c r="R3" i="72"/>
  <c r="AU3" i="72" a="1"/>
  <c r="AU3" i="72" s="1"/>
  <c r="BV3" i="72" a="1"/>
  <c r="BV3" i="72" s="1"/>
  <c r="AS3" i="72" a="1"/>
  <c r="AS3" i="72" s="1"/>
  <c r="AT3" i="72" a="1"/>
  <c r="AT3" i="72" s="1"/>
  <c r="BP3" i="72"/>
  <c r="AI3" i="72"/>
  <c r="BQ3" i="72"/>
  <c r="L3" i="72"/>
  <c r="BH3" i="72" a="1"/>
  <c r="BH3" i="72" s="1"/>
  <c r="BY3" i="72"/>
  <c r="BX3" i="72" s="1"/>
  <c r="CA3" i="72" s="1"/>
  <c r="AF3" i="72" a="1"/>
  <c r="AF3" i="72" s="1"/>
  <c r="BC3" i="72" s="1" a="1"/>
  <c r="BC3" i="72" s="1"/>
  <c r="BZ3" i="72" a="1"/>
  <c r="BZ3" i="72" s="1"/>
  <c r="E3" i="72"/>
  <c r="BN3" i="72"/>
  <c r="CE3" i="72" a="1"/>
  <c r="CE3" i="72" s="1"/>
  <c r="CI3" i="72"/>
  <c r="CF3" i="72" a="1"/>
  <c r="CF3" i="72" s="1"/>
  <c r="CG3" i="72" a="1"/>
  <c r="CG3" i="72" s="1"/>
  <c r="AK3" i="72" a="1"/>
  <c r="AK3" i="72" s="1"/>
  <c r="A3" i="27"/>
  <c r="A2" i="27"/>
  <c r="K10" i="27"/>
  <c r="BZ33" i="4" a="1"/>
  <c r="BZ33" i="4" s="1"/>
  <c r="CA33" i="4" a="1"/>
  <c r="CA33" i="4" s="1"/>
  <c r="BY33" i="4" s="1" a="1"/>
  <c r="BY33" i="4" s="1"/>
  <c r="A244" i="13"/>
  <c r="AX144" i="13"/>
  <c r="BT75" i="4"/>
  <c r="BB25" i="4" a="1"/>
  <c r="BB25" i="4" s="1"/>
  <c r="BC25" i="4" s="1"/>
  <c r="AV127" i="13" s="1"/>
  <c r="B25" i="4"/>
  <c r="E324" i="15" s="1"/>
  <c r="M56" i="4"/>
  <c r="A274" i="13"/>
  <c r="AX174" i="13"/>
  <c r="A283" i="13"/>
  <c r="AX183" i="13"/>
  <c r="E40" i="4"/>
  <c r="BE40" i="4" s="1"/>
  <c r="DG40" i="4"/>
  <c r="AX1160" i="13"/>
  <c r="A1259" i="13"/>
  <c r="AT11" i="4"/>
  <c r="AV613" i="13" s="1"/>
  <c r="BA74" i="4"/>
  <c r="C86" i="1"/>
  <c r="BT77" i="4"/>
  <c r="AX732" i="13"/>
  <c r="AY732" i="13"/>
  <c r="AV732" i="13"/>
  <c r="AX1142" i="13"/>
  <c r="A1241" i="13"/>
  <c r="AX1022" i="13"/>
  <c r="A724" i="13"/>
  <c r="AX25" i="13"/>
  <c r="A1022" i="13"/>
  <c r="A824" i="13"/>
  <c r="AX824" i="13" s="1"/>
  <c r="AX625" i="13"/>
  <c r="AX525" i="13"/>
  <c r="A923" i="13"/>
  <c r="AX923" i="13" s="1"/>
  <c r="A125" i="13"/>
  <c r="A1821" i="13"/>
  <c r="Z1821" i="13" s="1"/>
  <c r="B1821" i="13" s="1" a="1"/>
  <c r="B1821" i="13" s="1"/>
  <c r="A425" i="13"/>
  <c r="AX425" i="13"/>
  <c r="A625" i="13"/>
  <c r="A525" i="13"/>
  <c r="A1121" i="13"/>
  <c r="BA62" i="4"/>
  <c r="CA62" i="4" a="1"/>
  <c r="CA62" i="4" s="1"/>
  <c r="BY62" i="4" s="1" a="1"/>
  <c r="BY62" i="4" s="1"/>
  <c r="BZ62" i="4" a="1"/>
  <c r="BZ62" i="4" s="1"/>
  <c r="C35" i="1"/>
  <c r="A256" i="13"/>
  <c r="AX156" i="13"/>
  <c r="BT65" i="4"/>
  <c r="CA65" i="4" a="1"/>
  <c r="CA65" i="4" s="1"/>
  <c r="BY65" i="4" s="1" a="1"/>
  <c r="BY65" i="4" s="1"/>
  <c r="BZ65" i="4" a="1"/>
  <c r="BZ65" i="4" s="1"/>
  <c r="CW47" i="4"/>
  <c r="CX47" i="4" s="1"/>
  <c r="AD47" i="4"/>
  <c r="AY47" i="4"/>
  <c r="E76" i="15"/>
  <c r="E71" i="15"/>
  <c r="E358" i="15"/>
  <c r="E486" i="15"/>
  <c r="E307" i="15"/>
  <c r="E507" i="15"/>
  <c r="E363" i="15"/>
  <c r="E638" i="15"/>
  <c r="E344" i="15"/>
  <c r="E375" i="15"/>
  <c r="E578" i="15"/>
  <c r="E185" i="15"/>
  <c r="E136" i="15"/>
  <c r="E268" i="15"/>
  <c r="E603" i="15"/>
  <c r="E566" i="15"/>
  <c r="DG3" i="4"/>
  <c r="E3" i="4"/>
  <c r="C83" i="1"/>
  <c r="I43" i="9"/>
  <c r="H43" i="9"/>
  <c r="Z96" i="69"/>
  <c r="C13" i="1"/>
  <c r="I87" i="4"/>
  <c r="I89" i="9"/>
  <c r="BB26" i="4" a="1"/>
  <c r="BB26" i="4" s="1"/>
  <c r="BC26" i="4" s="1"/>
  <c r="AV128" i="13" s="1"/>
  <c r="B26" i="4"/>
  <c r="E562" i="15" s="1"/>
  <c r="V95" i="69"/>
  <c r="I66" i="4"/>
  <c r="AX727" i="13"/>
  <c r="AV727" i="13"/>
  <c r="AY727" i="13"/>
  <c r="A1223" i="13"/>
  <c r="AX1124" i="13"/>
  <c r="A284" i="13"/>
  <c r="AX184" i="13"/>
  <c r="A662" i="13"/>
  <c r="A1858" i="13"/>
  <c r="A162" i="13"/>
  <c r="A1158" i="13"/>
  <c r="A562" i="13"/>
  <c r="AX562" i="13"/>
  <c r="A761" i="13"/>
  <c r="AX462" i="13"/>
  <c r="AX1059" i="13"/>
  <c r="A462" i="13"/>
  <c r="AX62" i="13"/>
  <c r="A861" i="13"/>
  <c r="AX861" i="13" s="1"/>
  <c r="A960" i="13"/>
  <c r="AX960" i="13" s="1"/>
  <c r="AX662" i="13"/>
  <c r="A1059" i="13"/>
  <c r="BZ53" i="4" a="1"/>
  <c r="BZ53" i="4" s="1"/>
  <c r="CA53" i="4" a="1"/>
  <c r="CA53" i="4" s="1"/>
  <c r="BY53" i="4" s="1" a="1"/>
  <c r="BY53" i="4" s="1"/>
  <c r="A269" i="13"/>
  <c r="AX169" i="13"/>
  <c r="AX1182" i="13"/>
  <c r="A1281" i="13"/>
  <c r="A245" i="13"/>
  <c r="AX145" i="13"/>
  <c r="CA67" i="4" a="1"/>
  <c r="CA67" i="4" s="1"/>
  <c r="BY67" i="4" s="1" a="1"/>
  <c r="BY67" i="4" s="1"/>
  <c r="BZ67" i="4" a="1"/>
  <c r="BZ67" i="4" s="1"/>
  <c r="C84" i="1"/>
  <c r="C71" i="1"/>
  <c r="I80" i="4"/>
  <c r="BT92" i="4"/>
  <c r="BT58" i="4"/>
  <c r="AX735" i="13"/>
  <c r="AV735" i="13"/>
  <c r="AY735" i="13"/>
  <c r="A1219" i="13"/>
  <c r="AX1120" i="13"/>
  <c r="AX786" i="13"/>
  <c r="AD38" i="4"/>
  <c r="CW38" i="4"/>
  <c r="CX38" i="4" s="1"/>
  <c r="AY38" i="4"/>
  <c r="BA73" i="4"/>
  <c r="BT90" i="4"/>
  <c r="BB6" i="4" a="1"/>
  <c r="BB6" i="4" s="1"/>
  <c r="BC6" i="4" s="1"/>
  <c r="AV108" i="13" s="1"/>
  <c r="B6" i="4"/>
  <c r="J532" i="15"/>
  <c r="BG36" i="71"/>
  <c r="CW22" i="4"/>
  <c r="CX22" i="4" s="1"/>
  <c r="AY22" i="4"/>
  <c r="AD22" i="4"/>
  <c r="BG20" i="71"/>
  <c r="BG27" i="71"/>
  <c r="BG12" i="71"/>
  <c r="BG24" i="71"/>
  <c r="BG11" i="71"/>
  <c r="BG28" i="71"/>
  <c r="BG4" i="71"/>
  <c r="BG26" i="71"/>
  <c r="BG5" i="71"/>
  <c r="BG30" i="71"/>
  <c r="BG17" i="71"/>
  <c r="BG16" i="71"/>
  <c r="BG34" i="71"/>
  <c r="BG10" i="71"/>
  <c r="BG6" i="71"/>
  <c r="BG13" i="71"/>
  <c r="BG18" i="71"/>
  <c r="BG32" i="71"/>
  <c r="BG29" i="71"/>
  <c r="BG9" i="71"/>
  <c r="BG7" i="71"/>
  <c r="BG19" i="71"/>
  <c r="BG33" i="71"/>
  <c r="BG8" i="71"/>
  <c r="BG15" i="71"/>
  <c r="BG25" i="71"/>
  <c r="BG35" i="71"/>
  <c r="BG31" i="71"/>
  <c r="BB20" i="4" a="1"/>
  <c r="BB20" i="4" s="1"/>
  <c r="BC20" i="4" s="1"/>
  <c r="AV122" i="13" s="1"/>
  <c r="B20" i="4"/>
  <c r="AL31" i="71"/>
  <c r="AD15" i="4"/>
  <c r="CW15" i="4"/>
  <c r="CX15" i="4" s="1"/>
  <c r="AY15" i="4"/>
  <c r="AL4" i="71"/>
  <c r="AL26" i="71"/>
  <c r="AL24" i="71"/>
  <c r="AL22" i="71"/>
  <c r="AL11" i="71"/>
  <c r="AL27" i="71"/>
  <c r="AM38" i="71"/>
  <c r="AL29" i="71"/>
  <c r="AL17" i="71"/>
  <c r="AL33" i="71"/>
  <c r="AL20" i="71"/>
  <c r="AL30" i="71"/>
  <c r="AL8" i="71"/>
  <c r="AL18" i="71"/>
  <c r="AL13" i="71"/>
  <c r="AL15" i="71"/>
  <c r="AL5" i="71"/>
  <c r="AL34" i="71"/>
  <c r="AL36" i="71"/>
  <c r="AL35" i="71"/>
  <c r="AL19" i="71"/>
  <c r="AL10" i="71"/>
  <c r="AL6" i="71"/>
  <c r="AL32" i="71"/>
  <c r="AL23" i="71"/>
  <c r="AL14" i="71"/>
  <c r="AL12" i="71"/>
  <c r="BZ15" i="4" a="1"/>
  <c r="BZ15" i="4" s="1"/>
  <c r="CA15" i="4" a="1"/>
  <c r="CA15" i="4" s="1"/>
  <c r="BY15" i="4" s="1" a="1"/>
  <c r="BY15" i="4" s="1"/>
  <c r="AX791" i="13"/>
  <c r="A1229" i="13"/>
  <c r="AX1130" i="13"/>
  <c r="AT51" i="4"/>
  <c r="AV653" i="13" s="1"/>
  <c r="I53" i="9"/>
  <c r="H53" i="9"/>
  <c r="Z1805" i="13"/>
  <c r="B1805" i="13" s="1" a="1"/>
  <c r="B1805" i="13" s="1"/>
  <c r="AX147" i="13"/>
  <c r="A247" i="13"/>
  <c r="CA89" i="4" a="1"/>
  <c r="CA89" i="4" s="1"/>
  <c r="BY89" i="4" s="1" a="1"/>
  <c r="BY89" i="4" s="1"/>
  <c r="BZ89" i="4" a="1"/>
  <c r="BZ89" i="4" s="1"/>
  <c r="I95" i="9"/>
  <c r="Z1837" i="13"/>
  <c r="B1837" i="13" s="1" a="1"/>
  <c r="B1837" i="13" s="1"/>
  <c r="BA96" i="4"/>
  <c r="Z1827" i="13"/>
  <c r="B1827" i="13" s="1" a="1"/>
  <c r="B1827" i="13" s="1"/>
  <c r="BZ37" i="4" a="1"/>
  <c r="BZ37" i="4" s="1"/>
  <c r="CA37" i="4" a="1"/>
  <c r="CA37" i="4" s="1"/>
  <c r="BY37" i="4" s="1" a="1"/>
  <c r="BY37" i="4" s="1"/>
  <c r="H18" i="9"/>
  <c r="I18" i="9"/>
  <c r="AY21" i="4"/>
  <c r="AD21" i="4"/>
  <c r="CW21" i="4"/>
  <c r="CX21" i="4" s="1"/>
  <c r="BD15" i="71"/>
  <c r="BD19" i="71"/>
  <c r="BD33" i="71"/>
  <c r="BD10" i="71"/>
  <c r="BD11" i="71"/>
  <c r="BD9" i="71"/>
  <c r="BD21" i="71"/>
  <c r="BD24" i="71"/>
  <c r="BD16" i="71"/>
  <c r="BD6" i="71"/>
  <c r="BD29" i="71"/>
  <c r="BD18" i="71"/>
  <c r="BD17" i="71"/>
  <c r="BE38" i="71"/>
  <c r="BD14" i="71"/>
  <c r="BD12" i="71"/>
  <c r="BD8" i="71"/>
  <c r="BD35" i="71"/>
  <c r="BD7" i="71"/>
  <c r="BD32" i="71"/>
  <c r="BD34" i="71"/>
  <c r="BD26" i="71"/>
  <c r="BD5" i="71"/>
  <c r="BD30" i="71"/>
  <c r="BD31" i="71"/>
  <c r="BD27" i="71"/>
  <c r="BD28" i="71"/>
  <c r="BD4" i="71"/>
  <c r="BD22" i="71"/>
  <c r="BD36" i="71"/>
  <c r="BZ45" i="4" a="1"/>
  <c r="BZ45" i="4" s="1"/>
  <c r="CA45" i="4" a="1"/>
  <c r="CA45" i="4" s="1"/>
  <c r="BY45" i="4" s="1" a="1"/>
  <c r="BY45" i="4" s="1"/>
  <c r="AT29" i="4"/>
  <c r="AV631" i="13" s="1"/>
  <c r="AX738" i="13"/>
  <c r="AY738" i="13"/>
  <c r="AV738" i="13"/>
  <c r="AX1114" i="13"/>
  <c r="A1213" i="13"/>
  <c r="AX1157" i="13"/>
  <c r="A1256" i="13"/>
  <c r="C76" i="1"/>
  <c r="E628" i="15"/>
  <c r="J495" i="15"/>
  <c r="E574" i="15"/>
  <c r="J596" i="15"/>
  <c r="ES20" i="71"/>
  <c r="E530" i="15"/>
  <c r="CN6" i="71"/>
  <c r="E627" i="15"/>
  <c r="CE27" i="71"/>
  <c r="AR10" i="69"/>
  <c r="E450" i="15"/>
  <c r="BH10" i="72" a="1"/>
  <c r="BH10" i="72" s="1"/>
  <c r="BD9" i="69"/>
  <c r="R9" i="69"/>
  <c r="BG9" i="69"/>
  <c r="BQ9" i="69" a="1"/>
  <c r="BQ9" i="69" s="1"/>
  <c r="BP9" i="69"/>
  <c r="BO9" i="69" s="1"/>
  <c r="BR9" i="69" s="1"/>
  <c r="E9" i="69"/>
  <c r="AL7" i="71"/>
  <c r="BN10" i="72"/>
  <c r="BO10" i="72"/>
  <c r="CK34" i="71"/>
  <c r="Q34" i="71"/>
  <c r="Q32" i="71"/>
  <c r="EP15" i="71"/>
  <c r="DX11" i="71"/>
  <c r="J655" i="15"/>
  <c r="EA34" i="71"/>
  <c r="DU13" i="71"/>
  <c r="E644" i="15"/>
  <c r="AF15" i="71"/>
  <c r="N202" i="13" a="1"/>
  <c r="N202" i="13" s="1"/>
  <c r="EA27" i="71"/>
  <c r="DF4" i="71"/>
  <c r="FB23" i="71"/>
  <c r="ED12" i="71"/>
  <c r="BS14" i="71"/>
  <c r="BT96" i="4"/>
  <c r="BA91" i="4"/>
  <c r="AX743" i="13"/>
  <c r="AV743" i="13"/>
  <c r="AY743" i="13"/>
  <c r="M75" i="4"/>
  <c r="F4" i="4"/>
  <c r="E510" i="15"/>
  <c r="E405" i="15"/>
  <c r="E368" i="15"/>
  <c r="E175" i="15"/>
  <c r="E359" i="15"/>
  <c r="DG4" i="4"/>
  <c r="E4" i="4"/>
  <c r="BU4" i="4" s="1"/>
  <c r="BE4" i="4"/>
  <c r="A1254" i="13"/>
  <c r="AX1155" i="13"/>
  <c r="BA77" i="4"/>
  <c r="I9" i="69"/>
  <c r="I9" i="72"/>
  <c r="BA65" i="4"/>
  <c r="H33" i="9"/>
  <c r="I33" i="9"/>
  <c r="H49" i="9"/>
  <c r="I49" i="9"/>
  <c r="C44" i="1"/>
  <c r="AV105" i="13"/>
  <c r="E3" i="9"/>
  <c r="DF3" i="4" a="1"/>
  <c r="DF3" i="4" s="1"/>
  <c r="M3" i="72"/>
  <c r="T3" i="69"/>
  <c r="BT3" i="69" s="1"/>
  <c r="T3" i="72"/>
  <c r="M3" i="69"/>
  <c r="I71" i="9"/>
  <c r="C41" i="1"/>
  <c r="BT87" i="4"/>
  <c r="AI34" i="71"/>
  <c r="AD14" i="4"/>
  <c r="CW14" i="4"/>
  <c r="CX14" i="4" s="1"/>
  <c r="AY14" i="4"/>
  <c r="AI28" i="71"/>
  <c r="AI35" i="71"/>
  <c r="AI15" i="71"/>
  <c r="AI23" i="71"/>
  <c r="AI30" i="71"/>
  <c r="AI29" i="71"/>
  <c r="AI33" i="71"/>
  <c r="AI13" i="71"/>
  <c r="AI25" i="71"/>
  <c r="AI20" i="71"/>
  <c r="AI14" i="71"/>
  <c r="AI16" i="71"/>
  <c r="AJ38" i="71"/>
  <c r="AI12" i="71"/>
  <c r="AI31" i="71"/>
  <c r="AI7" i="71"/>
  <c r="AI27" i="71"/>
  <c r="AI36" i="71"/>
  <c r="AI5" i="71"/>
  <c r="AI21" i="71"/>
  <c r="AI24" i="71"/>
  <c r="AI6" i="71"/>
  <c r="C79" i="1"/>
  <c r="C26" i="1"/>
  <c r="I28" i="9"/>
  <c r="H28" i="9"/>
  <c r="BZ82" i="4" a="1"/>
  <c r="BZ82" i="4" s="1"/>
  <c r="CA82" i="4" a="1"/>
  <c r="CA82" i="4" s="1"/>
  <c r="BY82" i="4" s="1" a="1"/>
  <c r="BY82" i="4" s="1"/>
  <c r="A243" i="13"/>
  <c r="AX143" i="13"/>
  <c r="I94" i="4"/>
  <c r="Z1847" i="13"/>
  <c r="B1847" i="13" s="1" a="1"/>
  <c r="B1847" i="13" s="1"/>
  <c r="K64" i="4"/>
  <c r="Z1824" i="13"/>
  <c r="B1824" i="13" s="1" a="1"/>
  <c r="B1824" i="13" s="1"/>
  <c r="M60" i="4"/>
  <c r="BD60" i="4" a="1"/>
  <c r="BD60" i="4" s="1"/>
  <c r="BW60" i="4" a="1"/>
  <c r="BW60" i="4" s="1"/>
  <c r="BV60" i="4" a="1"/>
  <c r="BV60" i="4" s="1"/>
  <c r="A62" i="9"/>
  <c r="I60" i="4"/>
  <c r="BT60" i="4"/>
  <c r="BA60" i="4"/>
  <c r="A60" i="20"/>
  <c r="D60" i="4"/>
  <c r="D60" i="1"/>
  <c r="C60" i="4"/>
  <c r="A60" i="4"/>
  <c r="K60" i="4"/>
  <c r="S92" i="22"/>
  <c r="AX768" i="13"/>
  <c r="A1216" i="13"/>
  <c r="AX1117" i="13"/>
  <c r="Z1841" i="13"/>
  <c r="B1841" i="13" s="1" a="1"/>
  <c r="B1841" i="13" s="1"/>
  <c r="BZ34" i="4" a="1"/>
  <c r="BZ34" i="4" s="1"/>
  <c r="CA34" i="4" a="1"/>
  <c r="CA34" i="4" s="1"/>
  <c r="BY34" i="4" s="1" a="1"/>
  <c r="BY34" i="4" s="1"/>
  <c r="AX1151" i="13"/>
  <c r="A1250" i="13"/>
  <c r="BT67" i="4"/>
  <c r="I86" i="9"/>
  <c r="BT71" i="4"/>
  <c r="BB43" i="4" a="1"/>
  <c r="BB43" i="4" s="1"/>
  <c r="BC43" i="4" s="1"/>
  <c r="AV145" i="13" s="1"/>
  <c r="B43" i="4"/>
  <c r="E252" i="15" s="1"/>
  <c r="Z1836" i="13"/>
  <c r="B1836" i="13" s="1" a="1"/>
  <c r="B1836" i="13" s="1"/>
  <c r="AX739" i="13"/>
  <c r="AV739" i="13"/>
  <c r="S40" i="4" s="1"/>
  <c r="AY739" i="13"/>
  <c r="K92" i="4"/>
  <c r="AE4" i="4"/>
  <c r="A236" i="13"/>
  <c r="AX136" i="13"/>
  <c r="AX1118" i="13"/>
  <c r="A1217" i="13"/>
  <c r="A287" i="13"/>
  <c r="AX187" i="13"/>
  <c r="C38" i="1"/>
  <c r="BA90" i="4"/>
  <c r="CW32" i="4"/>
  <c r="CX32" i="4" s="1"/>
  <c r="AD32" i="4"/>
  <c r="AY32" i="4"/>
  <c r="A1248" i="13"/>
  <c r="AX1149" i="13"/>
  <c r="AX781" i="13"/>
  <c r="B22" i="4"/>
  <c r="BB22" i="4" a="1"/>
  <c r="BB22" i="4" s="1"/>
  <c r="BC22" i="4" s="1"/>
  <c r="AV124" i="13" s="1"/>
  <c r="I96" i="4"/>
  <c r="Z1825" i="13"/>
  <c r="B1825" i="13" s="1" a="1"/>
  <c r="B1825" i="13" s="1"/>
  <c r="AX1134" i="13"/>
  <c r="A1233" i="13"/>
  <c r="I17" i="9"/>
  <c r="H17" i="9"/>
  <c r="I80" i="9"/>
  <c r="BT89" i="4"/>
  <c r="C89" i="1"/>
  <c r="C93" i="1"/>
  <c r="C94" i="1"/>
  <c r="AX131" i="13"/>
  <c r="A231" i="13"/>
  <c r="H23" i="9"/>
  <c r="I23" i="9"/>
  <c r="I47" i="9"/>
  <c r="H47" i="9"/>
  <c r="AD29" i="4"/>
  <c r="AY29" i="4"/>
  <c r="CW29" i="4"/>
  <c r="CX29" i="4" s="1"/>
  <c r="AX139" i="13"/>
  <c r="A239" i="13"/>
  <c r="A218" i="13"/>
  <c r="AX118" i="13"/>
  <c r="AX1116" i="13"/>
  <c r="A1215" i="13"/>
  <c r="BZ76" i="4" a="1"/>
  <c r="BZ76" i="4" s="1"/>
  <c r="CA76" i="4" a="1"/>
  <c r="CA76" i="4" s="1"/>
  <c r="BY76" i="4" s="1" a="1"/>
  <c r="BY76" i="4" s="1"/>
  <c r="EA32" i="71"/>
  <c r="F56" i="23" a="1"/>
  <c r="F56" i="23" s="1"/>
  <c r="Z9" i="71"/>
  <c r="AL28" i="71"/>
  <c r="CE9" i="71"/>
  <c r="E459" i="15"/>
  <c r="EM14" i="71"/>
  <c r="CZ15" i="71"/>
  <c r="R58" i="23" a="1"/>
  <c r="R58" i="23" s="1"/>
  <c r="R36" i="23" s="1"/>
  <c r="BJ16" i="71"/>
  <c r="E230" i="15"/>
  <c r="AI11" i="71"/>
  <c r="E309" i="15"/>
  <c r="BP28" i="71"/>
  <c r="BY24" i="71"/>
  <c r="ES4" i="71"/>
  <c r="FB13" i="71"/>
  <c r="N29" i="71"/>
  <c r="E329" i="15"/>
  <c r="CW14" i="71"/>
  <c r="EY31" i="71"/>
  <c r="ES28" i="71"/>
  <c r="J688" i="15"/>
  <c r="B44" i="23"/>
  <c r="P57" i="23" a="1"/>
  <c r="P57" i="23" s="1"/>
  <c r="P35" i="23" s="1"/>
  <c r="AD1197" i="13" a="1"/>
  <c r="AD1197" i="13" s="1"/>
  <c r="CB24" i="71"/>
  <c r="J668" i="15"/>
  <c r="E632" i="15"/>
  <c r="AV1200" i="13"/>
  <c r="B3" i="72"/>
  <c r="S3" i="72"/>
  <c r="S3" i="69"/>
  <c r="B3" i="69"/>
  <c r="A264" i="13"/>
  <c r="AX164" i="13"/>
  <c r="I74" i="4"/>
  <c r="AE96" i="72"/>
  <c r="AX148" i="13"/>
  <c r="A248" i="13"/>
  <c r="AX747" i="13"/>
  <c r="AV747" i="13"/>
  <c r="AY747" i="13"/>
  <c r="BZ77" i="4" a="1"/>
  <c r="BZ77" i="4" s="1"/>
  <c r="CA77" i="4" a="1"/>
  <c r="CA77" i="4" s="1"/>
  <c r="BY77" i="4" s="1" a="1"/>
  <c r="BY77" i="4" s="1"/>
  <c r="A1253" i="13"/>
  <c r="AX1154" i="13"/>
  <c r="B52" i="4"/>
  <c r="BB52" i="4" a="1"/>
  <c r="BB52" i="4" s="1"/>
  <c r="BC52" i="4" s="1"/>
  <c r="AV154" i="13" s="1"/>
  <c r="M62" i="4"/>
  <c r="K91" i="4"/>
  <c r="C91" i="1"/>
  <c r="K75" i="4"/>
  <c r="AT75" i="4" s="1"/>
  <c r="AV677" i="13" s="1"/>
  <c r="AX773" i="13"/>
  <c r="C40" i="1"/>
  <c r="AX1161" i="13"/>
  <c r="A1260" i="13"/>
  <c r="K74" i="4"/>
  <c r="BT94" i="4"/>
  <c r="BZ54" i="4" a="1"/>
  <c r="BZ54" i="4" s="1"/>
  <c r="CA54" i="4" a="1"/>
  <c r="CA54" i="4" s="1"/>
  <c r="BY54" i="4" s="1" a="1"/>
  <c r="BY54" i="4" s="1"/>
  <c r="A77" i="4"/>
  <c r="AX133" i="13"/>
  <c r="A233" i="13"/>
  <c r="H30" i="9"/>
  <c r="I30" i="9"/>
  <c r="K62" i="4"/>
  <c r="A1208" i="13"/>
  <c r="AX1109" i="13"/>
  <c r="F9" i="69"/>
  <c r="F9" i="72"/>
  <c r="AX714" i="13"/>
  <c r="AV714" i="13"/>
  <c r="AY714" i="13"/>
  <c r="CW46" i="4"/>
  <c r="CX46" i="4" s="1"/>
  <c r="AD46" i="4"/>
  <c r="AY46" i="4"/>
  <c r="K65" i="4"/>
  <c r="AT65" i="4" s="1"/>
  <c r="AV667" i="13" s="1"/>
  <c r="AX179" i="13"/>
  <c r="A279" i="13"/>
  <c r="AD31" i="4"/>
  <c r="AY31" i="4"/>
  <c r="CW31" i="4"/>
  <c r="CX31" i="4" s="1"/>
  <c r="B47" i="4"/>
  <c r="E100" i="15" s="1"/>
  <c r="BB47" i="4" a="1"/>
  <c r="BB47" i="4" s="1"/>
  <c r="BC47" i="4" s="1"/>
  <c r="AV149" i="13" s="1"/>
  <c r="H46" i="9"/>
  <c r="I46" i="9"/>
  <c r="AG38" i="71"/>
  <c r="AY13" i="4"/>
  <c r="CW13" i="4"/>
  <c r="CX13" i="4" s="1"/>
  <c r="AD13" i="4"/>
  <c r="AF27" i="71"/>
  <c r="AF9" i="71"/>
  <c r="AF19" i="71"/>
  <c r="AF36" i="71"/>
  <c r="AF25" i="71"/>
  <c r="AF28" i="71"/>
  <c r="AF35" i="71"/>
  <c r="AF6" i="71"/>
  <c r="AF31" i="71"/>
  <c r="AF34" i="71"/>
  <c r="AF16" i="71"/>
  <c r="AF23" i="71"/>
  <c r="AF26" i="71"/>
  <c r="AF17" i="71"/>
  <c r="AF11" i="71"/>
  <c r="AF18" i="71"/>
  <c r="AF10" i="71"/>
  <c r="AF14" i="71"/>
  <c r="AF5" i="71"/>
  <c r="AF13" i="71"/>
  <c r="AF29" i="71"/>
  <c r="AF33" i="71"/>
  <c r="AF12" i="71"/>
  <c r="AF8" i="71"/>
  <c r="AF22" i="71"/>
  <c r="AF30" i="71"/>
  <c r="AF24" i="71"/>
  <c r="AF20" i="71"/>
  <c r="AF4" i="71"/>
  <c r="AF32" i="71"/>
  <c r="M87" i="4"/>
  <c r="CW49" i="4"/>
  <c r="CX49" i="4" s="1"/>
  <c r="AD49" i="4"/>
  <c r="AY49" i="4"/>
  <c r="AX110" i="13"/>
  <c r="A210" i="13"/>
  <c r="I81" i="9"/>
  <c r="Z1828" i="13"/>
  <c r="B1828" i="13" s="1" a="1"/>
  <c r="B1828" i="13" s="1"/>
  <c r="AX771" i="13"/>
  <c r="AX172" i="13"/>
  <c r="A272" i="13"/>
  <c r="AX1181" i="13"/>
  <c r="A1280" i="13"/>
  <c r="Z96" i="72"/>
  <c r="Z1810" i="13"/>
  <c r="B1810" i="13" s="1" a="1"/>
  <c r="B1810" i="13" s="1"/>
  <c r="BZ66" i="4" a="1"/>
  <c r="BZ66" i="4" s="1"/>
  <c r="CA66" i="4" a="1"/>
  <c r="CA66" i="4" s="1"/>
  <c r="BY66" i="4" s="1" a="1"/>
  <c r="BY66" i="4" s="1"/>
  <c r="A251" i="13"/>
  <c r="AX151" i="13"/>
  <c r="I10" i="9"/>
  <c r="H10" i="9"/>
  <c r="BT64" i="4"/>
  <c r="C64" i="1"/>
  <c r="I70" i="4"/>
  <c r="AX1180" i="13"/>
  <c r="A1279" i="13"/>
  <c r="AI4" i="4"/>
  <c r="AV1300" i="13" s="1"/>
  <c r="CW50" i="4"/>
  <c r="CX50" i="4" s="1"/>
  <c r="AY50" i="4"/>
  <c r="AD50" i="4"/>
  <c r="Z1851" i="13"/>
  <c r="B1851" i="13" s="1" a="1"/>
  <c r="B1851" i="13" s="1"/>
  <c r="K67" i="4"/>
  <c r="BA71" i="4"/>
  <c r="I45" i="9"/>
  <c r="H45" i="9"/>
  <c r="A252" i="13"/>
  <c r="AX152" i="13"/>
  <c r="I92" i="4"/>
  <c r="CY4" i="4"/>
  <c r="CZ4" i="4" s="1"/>
  <c r="A224" i="13"/>
  <c r="AX124" i="13"/>
  <c r="A222" i="13"/>
  <c r="AX122" i="13"/>
  <c r="H38" i="9"/>
  <c r="I38" i="9"/>
  <c r="I75" i="9"/>
  <c r="M90" i="4"/>
  <c r="C32" i="1"/>
  <c r="B32" i="4"/>
  <c r="CY32" i="4" s="1"/>
  <c r="CZ32" i="4" s="1"/>
  <c r="BB32" i="4" a="1"/>
  <c r="BB32" i="4" s="1"/>
  <c r="BC32" i="4" s="1"/>
  <c r="AV134" i="13" s="1"/>
  <c r="Z1849" i="13"/>
  <c r="B1849" i="13" s="1" a="1"/>
  <c r="B1849" i="13" s="1"/>
  <c r="H8" i="9"/>
  <c r="I8" i="9"/>
  <c r="BZ7" i="4" a="1"/>
  <c r="BZ7" i="4" s="1"/>
  <c r="CA7" i="4" a="1"/>
  <c r="CA7" i="4" s="1"/>
  <c r="BY7" i="4" s="1" a="1"/>
  <c r="BY7" i="4" s="1"/>
  <c r="C22" i="1"/>
  <c r="Z95" i="72"/>
  <c r="I87" i="9"/>
  <c r="BA78" i="4"/>
  <c r="BZ78" i="4" a="1"/>
  <c r="BZ78" i="4" s="1"/>
  <c r="CA78" i="4" a="1"/>
  <c r="CA78" i="4" s="1"/>
  <c r="BY78" i="4" s="1" a="1"/>
  <c r="BY78" i="4" s="1"/>
  <c r="A89" i="4"/>
  <c r="I91" i="9"/>
  <c r="AT27" i="4"/>
  <c r="AV629" i="13" s="1"/>
  <c r="AX1166" i="13"/>
  <c r="A1265" i="13"/>
  <c r="CW16" i="4"/>
  <c r="CX16" i="4" s="1"/>
  <c r="AD16" i="4"/>
  <c r="AY16" i="4"/>
  <c r="AO16" i="71"/>
  <c r="AO26" i="71"/>
  <c r="AO31" i="71"/>
  <c r="AO35" i="71"/>
  <c r="AO22" i="71"/>
  <c r="AO13" i="71"/>
  <c r="AO15" i="71"/>
  <c r="AO23" i="71"/>
  <c r="AO25" i="71"/>
  <c r="AO34" i="71"/>
  <c r="AO28" i="71"/>
  <c r="AO17" i="71"/>
  <c r="AO24" i="71"/>
  <c r="AO18" i="71"/>
  <c r="AO6" i="71"/>
  <c r="AO10" i="71"/>
  <c r="AO32" i="71"/>
  <c r="AO14" i="71"/>
  <c r="AO21" i="71"/>
  <c r="AO30" i="71"/>
  <c r="AO4" i="71"/>
  <c r="AO36" i="71"/>
  <c r="AO11" i="71"/>
  <c r="AP38" i="71"/>
  <c r="AO29" i="71"/>
  <c r="AO27" i="71"/>
  <c r="AO33" i="71"/>
  <c r="AO20" i="71"/>
  <c r="AO8" i="71"/>
  <c r="AO7" i="71"/>
  <c r="AO9" i="71"/>
  <c r="AO5" i="71"/>
  <c r="A217" i="13"/>
  <c r="AX117" i="13"/>
  <c r="B18" i="4"/>
  <c r="BB18" i="4" a="1"/>
  <c r="BB18" i="4" s="1"/>
  <c r="BC18" i="4" s="1"/>
  <c r="AV120" i="13" s="1"/>
  <c r="BA58" i="4"/>
  <c r="AT45" i="4"/>
  <c r="AV647" i="13" s="1"/>
  <c r="H50" i="9"/>
  <c r="I50" i="9"/>
  <c r="C68" i="1"/>
  <c r="Z1814" i="13"/>
  <c r="B1814" i="13" s="1" a="1"/>
  <c r="B1814" i="13" s="1"/>
  <c r="Z1816" i="13"/>
  <c r="B1816" i="13" s="1" a="1"/>
  <c r="B1816" i="13" s="1"/>
  <c r="I78" i="9"/>
  <c r="E209" i="15"/>
  <c r="E600" i="15"/>
  <c r="CE5" i="71"/>
  <c r="CQ10" i="71"/>
  <c r="U9" i="72" a="1"/>
  <c r="U9" i="72" s="1"/>
  <c r="BS30" i="71"/>
  <c r="R10" i="69"/>
  <c r="BG10" i="69"/>
  <c r="AV10" i="69" s="1" a="1"/>
  <c r="AV10" i="69" s="1"/>
  <c r="BD10" i="69"/>
  <c r="AP10" i="69" a="1"/>
  <c r="AP10" i="69" s="1"/>
  <c r="BQ10" i="69" a="1"/>
  <c r="BQ10" i="69" s="1"/>
  <c r="BP10" i="69"/>
  <c r="BO10" i="69" s="1"/>
  <c r="BR10" i="69" s="1"/>
  <c r="E10" i="69"/>
  <c r="E123" i="15"/>
  <c r="BA9" i="72"/>
  <c r="E394" i="15"/>
  <c r="J687" i="15"/>
  <c r="DX27" i="71"/>
  <c r="M10" i="69"/>
  <c r="BG22" i="71"/>
  <c r="BV10" i="69"/>
  <c r="AT10" i="69" a="1"/>
  <c r="AT10" i="69" s="1"/>
  <c r="E284" i="15"/>
  <c r="J576" i="15"/>
  <c r="Z22" i="71"/>
  <c r="X59" i="14" a="1"/>
  <c r="X59" i="14" s="1"/>
  <c r="T10" i="69"/>
  <c r="BF10" i="69" s="1"/>
  <c r="E579" i="15"/>
  <c r="F578" i="15" s="1" a="1"/>
  <c r="F578" i="15" s="1"/>
  <c r="T16" i="4"/>
  <c r="Z1608" i="13"/>
  <c r="ES5" i="71"/>
  <c r="AI17" i="71"/>
  <c r="BP4" i="71"/>
  <c r="EM10" i="71"/>
  <c r="BG21" i="71"/>
  <c r="CT27" i="71"/>
  <c r="DL13" i="71"/>
  <c r="BS20" i="71"/>
  <c r="E251" i="15"/>
  <c r="L202" i="13" a="1"/>
  <c r="L202" i="13" s="1"/>
  <c r="EM19" i="71"/>
  <c r="J515" i="15"/>
  <c r="E318" i="15"/>
  <c r="B37" i="71"/>
  <c r="I26" i="9"/>
  <c r="H26" i="9"/>
  <c r="A242" i="13"/>
  <c r="AX142" i="13"/>
  <c r="A95" i="4"/>
  <c r="AV305" i="13"/>
  <c r="U3" i="69" a="1"/>
  <c r="U3" i="69" s="1"/>
  <c r="U3" i="72" a="1"/>
  <c r="U3" i="72" s="1"/>
  <c r="E33" i="4"/>
  <c r="AD17" i="27" s="1"/>
  <c r="DG33" i="4"/>
  <c r="BE33" i="4"/>
  <c r="I91" i="4"/>
  <c r="BA75" i="4"/>
  <c r="C56" i="1"/>
  <c r="AX758" i="13"/>
  <c r="AX782" i="13"/>
  <c r="BZ40" i="4" a="1"/>
  <c r="BZ40" i="4" s="1"/>
  <c r="CA40" i="4" a="1"/>
  <c r="CA40" i="4" s="1"/>
  <c r="BY40" i="4" s="1" a="1"/>
  <c r="BY40" i="4" s="1"/>
  <c r="M95" i="4"/>
  <c r="AX736" i="13"/>
  <c r="AV736" i="13"/>
  <c r="AY736" i="13"/>
  <c r="K86" i="4"/>
  <c r="I88" i="9"/>
  <c r="E24" i="4"/>
  <c r="BE24" i="4" s="1"/>
  <c r="I77" i="4"/>
  <c r="AX1129" i="13"/>
  <c r="A1228" i="13"/>
  <c r="A249" i="13"/>
  <c r="AX149" i="13"/>
  <c r="AX158" i="13"/>
  <c r="A258" i="13"/>
  <c r="AX745" i="13"/>
  <c r="AV745" i="13"/>
  <c r="AY745" i="13"/>
  <c r="I62" i="4"/>
  <c r="E46" i="4"/>
  <c r="DG46" i="4"/>
  <c r="A65" i="4"/>
  <c r="A69" i="4"/>
  <c r="I85" i="9"/>
  <c r="A1249" i="13"/>
  <c r="AX1150" i="13"/>
  <c r="C12" i="1"/>
  <c r="CA12" i="4" a="1"/>
  <c r="CA12" i="4" s="1"/>
  <c r="BY12" i="4" s="1" a="1"/>
  <c r="BY12" i="4" s="1"/>
  <c r="BZ12" i="4" a="1"/>
  <c r="BZ12" i="4" s="1"/>
  <c r="BA87" i="4"/>
  <c r="BB49" i="4" a="1"/>
  <c r="BB49" i="4" s="1"/>
  <c r="BC49" i="4" s="1"/>
  <c r="AV151" i="13" s="1"/>
  <c r="B49" i="4"/>
  <c r="AX114" i="13"/>
  <c r="A214" i="13"/>
  <c r="AX788" i="13"/>
  <c r="BA64" i="4"/>
  <c r="BT70" i="4"/>
  <c r="AT53" i="4"/>
  <c r="AV655" i="13" s="1"/>
  <c r="AE95" i="72"/>
  <c r="BB50" i="4" a="1"/>
  <c r="BB50" i="4" s="1"/>
  <c r="BC50" i="4" s="1"/>
  <c r="AV152" i="13" s="1"/>
  <c r="B50" i="4"/>
  <c r="E261" i="15" s="1"/>
  <c r="B34" i="4"/>
  <c r="E619" i="15" s="1"/>
  <c r="BB34" i="4" a="1"/>
  <c r="BB34" i="4" s="1"/>
  <c r="BC34" i="4" s="1"/>
  <c r="AV136" i="13" s="1"/>
  <c r="A67" i="4"/>
  <c r="I71" i="4"/>
  <c r="C88" i="1"/>
  <c r="AX1104" i="13"/>
  <c r="A1203" i="13"/>
  <c r="A92" i="4"/>
  <c r="DC4" i="4" a="1"/>
  <c r="DC4" i="4" s="1"/>
  <c r="Z95" i="69"/>
  <c r="BZ38" i="4" a="1"/>
  <c r="BZ38" i="4" s="1"/>
  <c r="CA38" i="4" a="1"/>
  <c r="CA38" i="4" s="1"/>
  <c r="BY38" i="4" s="1" a="1"/>
  <c r="BY38" i="4" s="1"/>
  <c r="I90" i="4"/>
  <c r="AX194" i="13"/>
  <c r="A294" i="13"/>
  <c r="AT7" i="4"/>
  <c r="AV609" i="13" s="1"/>
  <c r="CA22" i="4" a="1"/>
  <c r="CA22" i="4" s="1"/>
  <c r="BY22" i="4" s="1" a="1"/>
  <c r="BY22" i="4" s="1"/>
  <c r="BZ22" i="4" a="1"/>
  <c r="BZ22" i="4" s="1"/>
  <c r="AI10" i="4"/>
  <c r="H22" i="9"/>
  <c r="I22" i="9"/>
  <c r="I85" i="4"/>
  <c r="BZ85" i="4" a="1"/>
  <c r="BZ85" i="4" s="1"/>
  <c r="CA85" i="4" a="1"/>
  <c r="CA85" i="4" s="1"/>
  <c r="BY85" i="4" s="1" a="1"/>
  <c r="BY85" i="4" s="1"/>
  <c r="AX774" i="13"/>
  <c r="AY51" i="4"/>
  <c r="AD51" i="4"/>
  <c r="CW51" i="4"/>
  <c r="CX51" i="4" s="1"/>
  <c r="K78" i="4"/>
  <c r="I89" i="4"/>
  <c r="AX769" i="13"/>
  <c r="Z1813" i="13"/>
  <c r="B1813" i="13" s="1" a="1"/>
  <c r="B1813" i="13" s="1"/>
  <c r="AM4" i="4"/>
  <c r="C21" i="1"/>
  <c r="A1290" i="13"/>
  <c r="AX1191" i="13"/>
  <c r="CA29" i="4" a="1"/>
  <c r="CA29" i="4" s="1"/>
  <c r="BY29" i="4" s="1" a="1"/>
  <c r="BY29" i="4" s="1"/>
  <c r="BZ29" i="4" a="1"/>
  <c r="BZ29" i="4" s="1"/>
  <c r="AT48" i="4"/>
  <c r="AV650" i="13" s="1"/>
  <c r="AX1135" i="13"/>
  <c r="A1234" i="13"/>
  <c r="AX161" i="13"/>
  <c r="A261" i="13"/>
  <c r="Z1819" i="13"/>
  <c r="B1819" i="13" s="1" a="1"/>
  <c r="B1819" i="13" s="1"/>
  <c r="E457" i="15"/>
  <c r="E581" i="15"/>
  <c r="J484" i="15"/>
  <c r="B9" i="72"/>
  <c r="E467" i="15"/>
  <c r="E441" i="15"/>
  <c r="ED17" i="71"/>
  <c r="CE9" i="72" a="1"/>
  <c r="CE9" i="72" s="1"/>
  <c r="E535" i="15"/>
  <c r="Z25" i="71"/>
  <c r="BP11" i="71"/>
  <c r="AI32" i="71"/>
  <c r="E444" i="15"/>
  <c r="E391" i="15"/>
  <c r="CQ25" i="71"/>
  <c r="E633" i="15"/>
  <c r="E539" i="15"/>
  <c r="BV36" i="71"/>
  <c r="AI9" i="71"/>
  <c r="E381" i="15"/>
  <c r="Z12" i="71"/>
  <c r="DM38" i="71"/>
  <c r="E333" i="15"/>
  <c r="CT7" i="71"/>
  <c r="CE12" i="71"/>
  <c r="AN1296" i="13" a="1"/>
  <c r="AN1296" i="13" s="1"/>
  <c r="EG28" i="71"/>
  <c r="BM31" i="71"/>
  <c r="DX30" i="71"/>
  <c r="J645" i="15"/>
  <c r="DX19" i="71"/>
  <c r="AI26" i="71"/>
  <c r="F58" i="14" a="1"/>
  <c r="F58" i="14" s="1"/>
  <c r="AC31" i="71"/>
  <c r="X56" i="14" a="1"/>
  <c r="X56" i="14" s="1"/>
  <c r="AI8" i="71"/>
  <c r="EP10" i="71"/>
  <c r="BA36" i="71"/>
  <c r="EA5" i="71"/>
  <c r="DI25" i="71"/>
  <c r="BT91" i="4"/>
  <c r="I65" i="9"/>
  <c r="A276" i="13"/>
  <c r="AX176" i="13"/>
  <c r="AY755" i="13"/>
  <c r="AX755" i="13"/>
  <c r="AV755" i="13"/>
  <c r="BZ46" i="4" a="1"/>
  <c r="BZ46" i="4" s="1"/>
  <c r="CA46" i="4" a="1"/>
  <c r="CA46" i="4" s="1"/>
  <c r="BY46" i="4" s="1" a="1"/>
  <c r="BY46" i="4" s="1"/>
  <c r="AX188" i="13"/>
  <c r="A288" i="13"/>
  <c r="C65" i="1"/>
  <c r="A1211" i="13"/>
  <c r="AX1112" i="13"/>
  <c r="B31" i="4"/>
  <c r="BB31" i="4" a="1"/>
  <c r="BB31" i="4" s="1"/>
  <c r="BC31" i="4" s="1"/>
  <c r="AV133" i="13" s="1"/>
  <c r="B44" i="4"/>
  <c r="E99" i="15" s="1"/>
  <c r="BB44" i="4" a="1"/>
  <c r="BB44" i="4" s="1"/>
  <c r="BC44" i="4" s="1"/>
  <c r="AV146" i="13" s="1"/>
  <c r="K69" i="4"/>
  <c r="CA69" i="4" a="1"/>
  <c r="CA69" i="4" s="1"/>
  <c r="BY69" i="4" s="1" a="1"/>
  <c r="BY69" i="4" s="1"/>
  <c r="BZ69" i="4" a="1"/>
  <c r="BZ69" i="4" s="1"/>
  <c r="A1225" i="13"/>
  <c r="AX1126" i="13"/>
  <c r="AD41" i="4"/>
  <c r="CW41" i="4"/>
  <c r="CX41" i="4" s="1"/>
  <c r="AY41" i="4"/>
  <c r="I14" i="9"/>
  <c r="H14" i="9"/>
  <c r="A1263" i="13"/>
  <c r="AX1164" i="13"/>
  <c r="A87" i="4"/>
  <c r="C49" i="1"/>
  <c r="AX1162" i="13"/>
  <c r="A1261" i="13"/>
  <c r="CA79" i="4" a="1"/>
  <c r="CA79" i="4" s="1"/>
  <c r="BY79" i="4" s="1" a="1"/>
  <c r="BY79" i="4" s="1"/>
  <c r="BZ79" i="4" a="1"/>
  <c r="BZ79" i="4" s="1"/>
  <c r="I84" i="9"/>
  <c r="AX1255" i="13"/>
  <c r="A1354" i="13"/>
  <c r="AX1110" i="13"/>
  <c r="A1209" i="13"/>
  <c r="CA8" i="4" a="1"/>
  <c r="CA8" i="4" s="1"/>
  <c r="BY8" i="4" s="1" a="1"/>
  <c r="BY8" i="4" s="1"/>
  <c r="BZ8" i="4" a="1"/>
  <c r="BZ8" i="4" s="1"/>
  <c r="I64" i="4"/>
  <c r="A281" i="13"/>
  <c r="AX181" i="13"/>
  <c r="BA70" i="4"/>
  <c r="AX783" i="13"/>
  <c r="CW53" i="4"/>
  <c r="CX53" i="4" s="1"/>
  <c r="AD53" i="4"/>
  <c r="AY53" i="4"/>
  <c r="AX720" i="13"/>
  <c r="AY720" i="13"/>
  <c r="AV720" i="13"/>
  <c r="K96" i="4"/>
  <c r="AT96" i="4" s="1"/>
  <c r="AV698" i="13" s="1"/>
  <c r="AX1141" i="13"/>
  <c r="A1240" i="13"/>
  <c r="I52" i="9"/>
  <c r="H52" i="9"/>
  <c r="AD34" i="4"/>
  <c r="CW34" i="4"/>
  <c r="CX34" i="4" s="1"/>
  <c r="AY34" i="4"/>
  <c r="M67" i="4"/>
  <c r="A84" i="4"/>
  <c r="AX13" i="71"/>
  <c r="AY19" i="4"/>
  <c r="CW19" i="4"/>
  <c r="CX19" i="4" s="1"/>
  <c r="AD19" i="4"/>
  <c r="AX23" i="71"/>
  <c r="AX18" i="71"/>
  <c r="AX5" i="71"/>
  <c r="AX14" i="71"/>
  <c r="AX26" i="71"/>
  <c r="AX25" i="71"/>
  <c r="AX22" i="71"/>
  <c r="AX28" i="71"/>
  <c r="AX6" i="71"/>
  <c r="AX36" i="71"/>
  <c r="AX16" i="71"/>
  <c r="AX4" i="71"/>
  <c r="AX9" i="71"/>
  <c r="AX27" i="71"/>
  <c r="AX24" i="71"/>
  <c r="AX29" i="71"/>
  <c r="AX12" i="71"/>
  <c r="AX31" i="71"/>
  <c r="AX11" i="71"/>
  <c r="AX20" i="71"/>
  <c r="AX30" i="71"/>
  <c r="AY38" i="71"/>
  <c r="AX7" i="71"/>
  <c r="AX21" i="71"/>
  <c r="AX34" i="71"/>
  <c r="AX8" i="71"/>
  <c r="AX32" i="71"/>
  <c r="AX35" i="71"/>
  <c r="K71" i="4"/>
  <c r="BA88" i="4"/>
  <c r="I90" i="9"/>
  <c r="BZ43" i="4" a="1"/>
  <c r="BZ43" i="4" s="1"/>
  <c r="CA43" i="4" a="1"/>
  <c r="CA43" i="4" s="1"/>
  <c r="BY43" i="4" s="1" a="1"/>
  <c r="BY43" i="4" s="1"/>
  <c r="AX707" i="13"/>
  <c r="AV707" i="13"/>
  <c r="S6" i="4" s="1"/>
  <c r="AY707" i="13"/>
  <c r="A208" i="13"/>
  <c r="AX108" i="13"/>
  <c r="M96" i="4"/>
  <c r="BZ90" i="4" a="1"/>
  <c r="BZ90" i="4" s="1"/>
  <c r="CA90" i="4" a="1"/>
  <c r="CA90" i="4" s="1"/>
  <c r="BY90" i="4" s="1" a="1"/>
  <c r="BY90" i="4" s="1"/>
  <c r="K31" i="71"/>
  <c r="AY6" i="4"/>
  <c r="CW6" i="4"/>
  <c r="CX6" i="4" s="1"/>
  <c r="AD6" i="4"/>
  <c r="K11" i="71"/>
  <c r="K4" i="71"/>
  <c r="K28" i="71"/>
  <c r="L38" i="71"/>
  <c r="K20" i="71"/>
  <c r="K19" i="71"/>
  <c r="K29" i="71"/>
  <c r="K6" i="71"/>
  <c r="K16" i="71"/>
  <c r="K36" i="71"/>
  <c r="K14" i="71"/>
  <c r="K26" i="71"/>
  <c r="K34" i="71"/>
  <c r="K23" i="71"/>
  <c r="K5" i="71"/>
  <c r="K24" i="71"/>
  <c r="K33" i="71"/>
  <c r="K22" i="71"/>
  <c r="K7" i="71"/>
  <c r="K21" i="71"/>
  <c r="K9" i="71"/>
  <c r="K35" i="71"/>
  <c r="K30" i="71"/>
  <c r="K10" i="71"/>
  <c r="K12" i="71"/>
  <c r="K17" i="71"/>
  <c r="K27" i="71"/>
  <c r="K13" i="71"/>
  <c r="K8" i="71"/>
  <c r="AX182" i="13"/>
  <c r="A282" i="13"/>
  <c r="AX793" i="13"/>
  <c r="K58" i="4"/>
  <c r="C7" i="1"/>
  <c r="AQ10" i="4"/>
  <c r="DC10" i="4" a="1"/>
  <c r="DC10" i="4" s="1"/>
  <c r="E20" i="4"/>
  <c r="BE20" i="4" s="1"/>
  <c r="DG20" i="4"/>
  <c r="M85" i="4"/>
  <c r="AX737" i="13"/>
  <c r="AV737" i="13"/>
  <c r="AY737" i="13"/>
  <c r="I78" i="4"/>
  <c r="HW38" i="71" s="1"/>
  <c r="I58" i="4"/>
  <c r="M89" i="4"/>
  <c r="A93" i="4"/>
  <c r="AX730" i="13"/>
  <c r="AV730" i="13"/>
  <c r="AY730" i="13"/>
  <c r="CA21" i="4" a="1"/>
  <c r="CA21" i="4" s="1"/>
  <c r="BY21" i="4" s="1" a="1"/>
  <c r="BY21" i="4" s="1"/>
  <c r="BZ21" i="4" a="1"/>
  <c r="BZ21" i="4" s="1"/>
  <c r="A291" i="13"/>
  <c r="AX191" i="13"/>
  <c r="C29" i="1"/>
  <c r="AD48" i="4"/>
  <c r="CW48" i="4"/>
  <c r="CX48" i="4" s="1"/>
  <c r="AY48" i="4"/>
  <c r="CA48" i="4" a="1"/>
  <c r="CA48" i="4" s="1"/>
  <c r="BY48" i="4" s="1" a="1"/>
  <c r="BY48" i="4" s="1"/>
  <c r="BZ48" i="4" a="1"/>
  <c r="BZ48" i="4" s="1"/>
  <c r="Z1835" i="13"/>
  <c r="B1835" i="13" s="1" a="1"/>
  <c r="B1835" i="13" s="1"/>
  <c r="BA68" i="4"/>
  <c r="E639" i="15"/>
  <c r="J697" i="15"/>
  <c r="BM9" i="72"/>
  <c r="AT9" i="72" a="1"/>
  <c r="AT9" i="72" s="1"/>
  <c r="AY9" i="72" a="1"/>
  <c r="AY9" i="72" s="1"/>
  <c r="BV9" i="72" a="1"/>
  <c r="BV9" i="72" s="1"/>
  <c r="AL9" i="72" a="1"/>
  <c r="AL9" i="72" s="1"/>
  <c r="AS9" i="72" a="1"/>
  <c r="AS9" i="72" s="1"/>
  <c r="R9" i="72"/>
  <c r="AW9" i="72"/>
  <c r="AU9" i="72" a="1"/>
  <c r="AU9" i="72" s="1"/>
  <c r="BW9" i="72" a="1"/>
  <c r="BW9" i="72" s="1"/>
  <c r="BP9" i="72"/>
  <c r="BE9" i="72" s="1" a="1"/>
  <c r="BE9" i="72" s="1"/>
  <c r="BY9" i="72"/>
  <c r="BX9" i="72" s="1"/>
  <c r="CA9" i="72" s="1"/>
  <c r="CG9" i="72" a="1"/>
  <c r="CG9" i="72" s="1"/>
  <c r="CF9" i="72" a="1"/>
  <c r="CF9" i="72" s="1"/>
  <c r="AH9" i="72" s="1" a="1"/>
  <c r="AH9" i="72" s="1"/>
  <c r="E9" i="72"/>
  <c r="BZ9" i="72" a="1"/>
  <c r="BZ9" i="72" s="1"/>
  <c r="EM15" i="71"/>
  <c r="BQ9" i="72"/>
  <c r="E319" i="15"/>
  <c r="CW30" i="71"/>
  <c r="E616" i="15"/>
  <c r="G9" i="72"/>
  <c r="EP32" i="71"/>
  <c r="DO34" i="71"/>
  <c r="X57" i="14" a="1"/>
  <c r="X57" i="14" s="1"/>
  <c r="E693" i="15"/>
  <c r="E151" i="15"/>
  <c r="CH30" i="71"/>
  <c r="CZ13" i="71"/>
  <c r="DR28" i="71"/>
  <c r="DR11" i="71"/>
  <c r="E524" i="15"/>
  <c r="S9" i="72"/>
  <c r="E624" i="15"/>
  <c r="DI24" i="71"/>
  <c r="Z15" i="71"/>
  <c r="M56" i="14" a="1"/>
  <c r="M56" i="14" s="1"/>
  <c r="BV8" i="71"/>
  <c r="J520" i="15"/>
  <c r="CN28" i="71"/>
  <c r="BD23" i="71"/>
  <c r="EM31" i="71"/>
  <c r="AI18" i="71"/>
  <c r="CZ35" i="71"/>
  <c r="AO19" i="71"/>
  <c r="CW20" i="71"/>
  <c r="E645" i="15"/>
  <c r="T16" i="27" a="1"/>
  <c r="T16" i="27" s="1"/>
  <c r="Z27" i="71"/>
  <c r="BA5" i="71"/>
  <c r="C11" i="1"/>
  <c r="AX1144" i="13"/>
  <c r="A1243" i="13"/>
  <c r="I86" i="4"/>
  <c r="BT86" i="4"/>
  <c r="AX766" i="13"/>
  <c r="M77" i="4"/>
  <c r="AX116" i="13"/>
  <c r="A216" i="13"/>
  <c r="BA69" i="4"/>
  <c r="E12" i="4"/>
  <c r="DG12" i="4"/>
  <c r="K87" i="4"/>
  <c r="AT87" i="4" s="1"/>
  <c r="AV689" i="13" s="1"/>
  <c r="AX1168" i="13"/>
  <c r="A1267" i="13"/>
  <c r="AY713" i="13"/>
  <c r="AV713" i="13"/>
  <c r="S14" i="4" s="1"/>
  <c r="AX713" i="13"/>
  <c r="AX1185" i="13"/>
  <c r="A1284" i="13"/>
  <c r="C8" i="1"/>
  <c r="M64" i="4"/>
  <c r="AX780" i="13"/>
  <c r="BB30" i="4" a="1"/>
  <c r="BB30" i="4" s="1"/>
  <c r="BC30" i="4" s="1"/>
  <c r="AV132" i="13" s="1"/>
  <c r="B30" i="4"/>
  <c r="M70" i="4"/>
  <c r="C53" i="1"/>
  <c r="A221" i="13"/>
  <c r="AX121" i="13"/>
  <c r="M94" i="4"/>
  <c r="AX744" i="13"/>
  <c r="AV744" i="13"/>
  <c r="S45" i="4" s="1"/>
  <c r="AY744" i="13"/>
  <c r="Z4" i="4"/>
  <c r="AV1201" i="13" s="1"/>
  <c r="I67" i="4"/>
  <c r="GO24" i="71" s="1"/>
  <c r="BA84" i="4"/>
  <c r="A71" i="4"/>
  <c r="I88" i="4"/>
  <c r="BZ88" i="4" a="1"/>
  <c r="BZ88" i="4" s="1"/>
  <c r="CA88" i="4" a="1"/>
  <c r="CA88" i="4" s="1"/>
  <c r="BY88" i="4" s="1" a="1"/>
  <c r="BY88" i="4" s="1"/>
  <c r="AX1136" i="13"/>
  <c r="A1235" i="13"/>
  <c r="BZ80" i="4" a="1"/>
  <c r="BZ80" i="4" s="1"/>
  <c r="CA80" i="4" a="1"/>
  <c r="CA80" i="4" s="1"/>
  <c r="BY80" i="4" s="1" a="1"/>
  <c r="BY80" i="4" s="1"/>
  <c r="CA92" i="4" a="1"/>
  <c r="CA92" i="4" s="1"/>
  <c r="BY92" i="4" s="1" a="1"/>
  <c r="BY92" i="4" s="1"/>
  <c r="BZ92" i="4" a="1"/>
  <c r="BZ92" i="4" s="1"/>
  <c r="AV723" i="13"/>
  <c r="AY723" i="13"/>
  <c r="AX723" i="13"/>
  <c r="AV721" i="13"/>
  <c r="AX721" i="13"/>
  <c r="AY721" i="13"/>
  <c r="BZ36" i="4" a="1"/>
  <c r="BZ36" i="4" s="1"/>
  <c r="CA36" i="4" a="1"/>
  <c r="CA36" i="4" s="1"/>
  <c r="BY36" i="4" s="1" a="1"/>
  <c r="BY36" i="4" s="1"/>
  <c r="I92" i="9"/>
  <c r="AX752" i="13"/>
  <c r="AV752" i="13"/>
  <c r="S53" i="4" s="1"/>
  <c r="AY752" i="13"/>
  <c r="A1275" i="13"/>
  <c r="AX1176" i="13"/>
  <c r="BZ20" i="4" a="1"/>
  <c r="BZ20" i="4" s="1"/>
  <c r="CA20" i="4" a="1"/>
  <c r="CA20" i="4" s="1"/>
  <c r="BY20" i="4" s="1" a="1"/>
  <c r="BY20" i="4" s="1"/>
  <c r="A1224" i="13"/>
  <c r="AX1125" i="13"/>
  <c r="BA85" i="4"/>
  <c r="AX1300" i="13"/>
  <c r="A1399" i="13"/>
  <c r="A238" i="13"/>
  <c r="AX138" i="13"/>
  <c r="AX1188" i="13"/>
  <c r="A1287" i="13"/>
  <c r="E51" i="4"/>
  <c r="DG51" i="4"/>
  <c r="BE51" i="4"/>
  <c r="BT78" i="4"/>
  <c r="K89" i="4"/>
  <c r="AT89" i="4" s="1"/>
  <c r="AV691" i="13" s="1"/>
  <c r="BA93" i="4"/>
  <c r="AX1127" i="13"/>
  <c r="A1226" i="13"/>
  <c r="A1245" i="13"/>
  <c r="AX1146" i="13"/>
  <c r="Z1846" i="13"/>
  <c r="B1846" i="13" s="1" a="1"/>
  <c r="B1846" i="13" s="1"/>
  <c r="H39" i="9"/>
  <c r="I39" i="9"/>
  <c r="AX716" i="13"/>
  <c r="AY716" i="13"/>
  <c r="AV716" i="13"/>
  <c r="DG18" i="4"/>
  <c r="E18" i="4"/>
  <c r="AY45" i="4"/>
  <c r="CW45" i="4"/>
  <c r="CX45" i="4" s="1"/>
  <c r="AD45" i="4"/>
  <c r="A295" i="13"/>
  <c r="AX195" i="13"/>
  <c r="BB29" i="4" a="1"/>
  <c r="BB29" i="4" s="1"/>
  <c r="BC29" i="4" s="1"/>
  <c r="AV131" i="13" s="1"/>
  <c r="B29" i="4"/>
  <c r="DG29" i="4" s="1"/>
  <c r="M68" i="4"/>
  <c r="BZ68" i="4" a="1"/>
  <c r="BZ68" i="4" s="1"/>
  <c r="CA68" i="4" a="1"/>
  <c r="CA68" i="4" s="1"/>
  <c r="BY68" i="4" s="1" a="1"/>
  <c r="BY68" i="4" s="1"/>
  <c r="AV718" i="13"/>
  <c r="AY718" i="13"/>
  <c r="AX718" i="13"/>
  <c r="AX760" i="13"/>
  <c r="AX1119" i="13"/>
  <c r="A1218" i="13"/>
  <c r="N30" i="71"/>
  <c r="E544" i="15"/>
  <c r="BJ4" i="71"/>
  <c r="K32" i="71"/>
  <c r="E664" i="15"/>
  <c r="BP29" i="71"/>
  <c r="E458" i="15"/>
  <c r="E612" i="15"/>
  <c r="AR1197" i="13" a="1"/>
  <c r="AR1197" i="13" s="1"/>
  <c r="E217" i="15"/>
  <c r="R10" i="72"/>
  <c r="AT10" i="72" a="1"/>
  <c r="AT10" i="72" s="1"/>
  <c r="AW10" i="72"/>
  <c r="AU10" i="72" a="1"/>
  <c r="AU10" i="72" s="1"/>
  <c r="BV10" i="72" a="1"/>
  <c r="BV10" i="72" s="1"/>
  <c r="BP10" i="72"/>
  <c r="AS10" i="72" a="1"/>
  <c r="AS10" i="72" s="1"/>
  <c r="AL10" i="72" a="1"/>
  <c r="AL10" i="72" s="1"/>
  <c r="BM10" i="72"/>
  <c r="BY10" i="72"/>
  <c r="BX10" i="72" s="1"/>
  <c r="CA10" i="72" s="1"/>
  <c r="CG10" i="72" a="1"/>
  <c r="CG10" i="72" s="1"/>
  <c r="BZ10" i="72" a="1"/>
  <c r="BZ10" i="72" s="1"/>
  <c r="E10" i="72"/>
  <c r="CF10" i="72" a="1"/>
  <c r="CF10" i="72" s="1"/>
  <c r="JC21" i="71"/>
  <c r="EP26" i="71"/>
  <c r="E669" i="15"/>
  <c r="J853" i="15"/>
  <c r="J876" i="15"/>
  <c r="B50" i="23"/>
  <c r="N74" i="9"/>
  <c r="E334" i="15"/>
  <c r="T9" i="72"/>
  <c r="CB9" i="72" s="1"/>
  <c r="EJ26" i="71"/>
  <c r="N25" i="71"/>
  <c r="J933" i="15"/>
  <c r="E673" i="15"/>
  <c r="E529" i="15"/>
  <c r="J702" i="15"/>
  <c r="CI10" i="72"/>
  <c r="AF10" i="72" a="1"/>
  <c r="AF10" i="72" s="1"/>
  <c r="BW10" i="72" s="1" a="1"/>
  <c r="BW10" i="72" s="1"/>
  <c r="E456" i="15"/>
  <c r="E528" i="15"/>
  <c r="E282" i="15"/>
  <c r="EM35" i="71"/>
  <c r="BJ32" i="71"/>
  <c r="BA18" i="71"/>
  <c r="E437" i="15"/>
  <c r="EV34" i="71"/>
  <c r="AI4" i="71"/>
  <c r="AT1296" i="13" a="1"/>
  <c r="AT1296" i="13" s="1"/>
  <c r="T15" i="27" a="1"/>
  <c r="T15" i="27" s="1"/>
  <c r="BS15" i="71"/>
  <c r="ED16" i="71"/>
  <c r="DI32" i="71"/>
  <c r="S11" i="4"/>
  <c r="S9" i="4"/>
  <c r="EN38" i="71"/>
  <c r="DU15" i="71"/>
  <c r="CB15" i="71"/>
  <c r="EG11" i="71"/>
  <c r="CE30" i="71"/>
  <c r="ES25" i="71"/>
  <c r="FB27" i="71"/>
  <c r="X57" i="23" a="1"/>
  <c r="X57" i="23" s="1"/>
  <c r="X35" i="23" s="1"/>
  <c r="BV34" i="71"/>
  <c r="AX19" i="71"/>
  <c r="AX159" i="13"/>
  <c r="A259" i="13"/>
  <c r="AR3" i="69"/>
  <c r="BA3" i="72"/>
  <c r="AX1103" i="13"/>
  <c r="A1202" i="13"/>
  <c r="CW33" i="4"/>
  <c r="CX33" i="4" s="1"/>
  <c r="AD33" i="4"/>
  <c r="AY33" i="4"/>
  <c r="M91" i="4"/>
  <c r="C52" i="1"/>
  <c r="I63" i="4"/>
  <c r="I37" i="9"/>
  <c r="H37" i="9"/>
  <c r="AV1299" i="13"/>
  <c r="G3" i="72"/>
  <c r="G3" i="69"/>
  <c r="AV706" i="13"/>
  <c r="S5" i="4" s="1"/>
  <c r="AY706" i="13"/>
  <c r="AX706" i="13"/>
  <c r="J701" i="13"/>
  <c r="F701" i="13"/>
  <c r="P701" i="13"/>
  <c r="L701" i="13"/>
  <c r="N701" i="13"/>
  <c r="R701" i="13"/>
  <c r="M701" i="13"/>
  <c r="G701" i="13"/>
  <c r="K701" i="13"/>
  <c r="O701" i="13"/>
  <c r="W701" i="13"/>
  <c r="V701" i="13"/>
  <c r="X701" i="13"/>
  <c r="Z701" i="13"/>
  <c r="Q701" i="13"/>
  <c r="Y701" i="13"/>
  <c r="T701" i="13"/>
  <c r="U701" i="13"/>
  <c r="H701" i="13"/>
  <c r="I701" i="13"/>
  <c r="S701" i="13"/>
  <c r="A91" i="4"/>
  <c r="AX137" i="13"/>
  <c r="A237" i="13"/>
  <c r="BB54" i="4" a="1"/>
  <c r="BB54" i="4" s="1"/>
  <c r="BC54" i="4" s="1"/>
  <c r="AV156" i="13" s="1"/>
  <c r="B54" i="4"/>
  <c r="E570" i="15" s="1"/>
  <c r="M86" i="4"/>
  <c r="AY24" i="4"/>
  <c r="CW24" i="4"/>
  <c r="CX24" i="4" s="1"/>
  <c r="AD24" i="4"/>
  <c r="AX146" i="13"/>
  <c r="A246" i="13"/>
  <c r="K63" i="4"/>
  <c r="AT63" i="4" s="1"/>
  <c r="AV665" i="13" s="1"/>
  <c r="C63" i="1"/>
  <c r="CA35" i="4" a="1"/>
  <c r="CA35" i="4" s="1"/>
  <c r="BY35" i="4" s="1" a="1"/>
  <c r="BY35" i="4" s="1"/>
  <c r="BZ35" i="4" a="1"/>
  <c r="BZ35" i="4" s="1"/>
  <c r="Z1852" i="13"/>
  <c r="B1852" i="13" s="1" a="1"/>
  <c r="B1852" i="13" s="1"/>
  <c r="H48" i="9"/>
  <c r="I48" i="9"/>
  <c r="BT69" i="4"/>
  <c r="BT83" i="4"/>
  <c r="CA83" i="4" a="1"/>
  <c r="CA83" i="4" s="1"/>
  <c r="BY83" i="4" s="1" a="1"/>
  <c r="BY83" i="4" s="1"/>
  <c r="BZ83" i="4" a="1"/>
  <c r="BZ83" i="4" s="1"/>
  <c r="AX154" i="13"/>
  <c r="A254" i="13"/>
  <c r="BZ41" i="4" a="1"/>
  <c r="BZ41" i="4" s="1"/>
  <c r="CA41" i="4" a="1"/>
  <c r="CA41" i="4" s="1"/>
  <c r="BY41" i="4" s="1" a="1"/>
  <c r="BY41" i="4" s="1"/>
  <c r="DG49" i="4"/>
  <c r="E49" i="4"/>
  <c r="BE49" i="4" s="1"/>
  <c r="AX709" i="13"/>
  <c r="AV709" i="13"/>
  <c r="S8" i="4" s="1"/>
  <c r="AY709" i="13"/>
  <c r="K79" i="4"/>
  <c r="A232" i="13"/>
  <c r="AX132" i="13"/>
  <c r="CA26" i="4" a="1"/>
  <c r="CA26" i="4" s="1"/>
  <c r="BY26" i="4" s="1" a="1"/>
  <c r="BY26" i="4" s="1"/>
  <c r="BZ26" i="4" a="1"/>
  <c r="BZ26" i="4" s="1"/>
  <c r="BA82" i="4"/>
  <c r="AX770" i="13"/>
  <c r="AQ4" i="72"/>
  <c r="BB4" i="72"/>
  <c r="M4" i="72"/>
  <c r="N4" i="72" a="1"/>
  <c r="N4" i="72" s="1"/>
  <c r="AC4" i="72"/>
  <c r="J4" i="72"/>
  <c r="AB4" i="72"/>
  <c r="P4" i="72"/>
  <c r="AA4" i="72" a="1"/>
  <c r="AA4" i="72" s="1"/>
  <c r="AN4" i="72"/>
  <c r="L4" i="72"/>
  <c r="Y4" i="72"/>
  <c r="BY4" i="72" s="1"/>
  <c r="X4" i="72"/>
  <c r="AE4" i="72"/>
  <c r="Z4" i="72"/>
  <c r="BK4" i="72"/>
  <c r="BL4" i="72"/>
  <c r="W4" i="72"/>
  <c r="AG4" i="72"/>
  <c r="K4" i="72" a="1"/>
  <c r="K4" i="72" s="1"/>
  <c r="T4" i="72"/>
  <c r="A4" i="72"/>
  <c r="Q4" i="72"/>
  <c r="AO4" i="72"/>
  <c r="BA4" i="72"/>
  <c r="AX742" i="13"/>
  <c r="AV742" i="13"/>
  <c r="AY742" i="13"/>
  <c r="C66" i="1"/>
  <c r="BB8" i="4" a="1"/>
  <c r="BB8" i="4" s="1"/>
  <c r="BC8" i="4" s="1"/>
  <c r="AV110" i="13" s="1"/>
  <c r="B8" i="4"/>
  <c r="DG8" i="4" s="1"/>
  <c r="J662" i="15"/>
  <c r="J512" i="15"/>
  <c r="J621" i="15"/>
  <c r="J519" i="15"/>
  <c r="J498" i="15"/>
  <c r="J577" i="15"/>
  <c r="J588" i="15"/>
  <c r="J480" i="15"/>
  <c r="J677" i="15"/>
  <c r="J615" i="15"/>
  <c r="J681" i="15"/>
  <c r="J492" i="15"/>
  <c r="J542" i="15"/>
  <c r="J536" i="15"/>
  <c r="J477" i="15"/>
  <c r="J516" i="15"/>
  <c r="J675" i="15"/>
  <c r="DF4" i="4" a="1"/>
  <c r="DF4" i="4" s="1"/>
  <c r="A64" i="4"/>
  <c r="AX1177" i="13"/>
  <c r="A1276" i="13"/>
  <c r="DG30" i="4"/>
  <c r="E30" i="4"/>
  <c r="BE30" i="4" s="1"/>
  <c r="A70" i="4"/>
  <c r="AX785" i="13"/>
  <c r="Z1817" i="13"/>
  <c r="B1817" i="13" s="1" a="1"/>
  <c r="B1817" i="13" s="1"/>
  <c r="AX173" i="13"/>
  <c r="A273" i="13"/>
  <c r="A290" i="13"/>
  <c r="AX190" i="13"/>
  <c r="I36" i="9"/>
  <c r="H36" i="9"/>
  <c r="BA67" i="4"/>
  <c r="BT84" i="4"/>
  <c r="M71" i="4"/>
  <c r="A88" i="4"/>
  <c r="CW43" i="4"/>
  <c r="CX43" i="4" s="1"/>
  <c r="AD43" i="4"/>
  <c r="CY43" i="4"/>
  <c r="CZ43" i="4" s="1"/>
  <c r="AY43" i="4"/>
  <c r="AX751" i="13"/>
  <c r="AV751" i="13"/>
  <c r="AY751" i="13"/>
  <c r="C80" i="1"/>
  <c r="BZ32" i="4" a="1"/>
  <c r="BZ32" i="4" s="1"/>
  <c r="CA32" i="4" a="1"/>
  <c r="CA32" i="4" s="1"/>
  <c r="BY32" i="4" s="1" a="1"/>
  <c r="BY32" i="4" s="1"/>
  <c r="BZ6" i="4" a="1"/>
  <c r="BZ6" i="4" s="1"/>
  <c r="CA6" i="4" a="1"/>
  <c r="CA6" i="4" s="1"/>
  <c r="BY6" i="4" s="1" a="1"/>
  <c r="BY6" i="4" s="1"/>
  <c r="A1289" i="13"/>
  <c r="AX1190" i="13"/>
  <c r="BB7" i="4" a="1"/>
  <c r="BB7" i="4" s="1"/>
  <c r="BC7" i="4" s="1"/>
  <c r="AV109" i="13" s="1"/>
  <c r="B7" i="4"/>
  <c r="AE10" i="4"/>
  <c r="CY10" i="4"/>
  <c r="CZ10" i="4" s="1"/>
  <c r="AT20" i="4"/>
  <c r="AV622" i="13" s="1"/>
  <c r="AX728" i="13"/>
  <c r="AV728" i="13"/>
  <c r="AY728" i="13"/>
  <c r="K85" i="4"/>
  <c r="AT85" i="4" s="1"/>
  <c r="AV687" i="13" s="1"/>
  <c r="A78" i="4"/>
  <c r="A1204" i="13"/>
  <c r="AX1105" i="13"/>
  <c r="BA89" i="4"/>
  <c r="K93" i="4"/>
  <c r="CA27" i="4" a="1"/>
  <c r="CA27" i="4" s="1"/>
  <c r="BY27" i="4" s="1" a="1"/>
  <c r="BY27" i="4" s="1"/>
  <c r="BZ27" i="4" a="1"/>
  <c r="BZ27" i="4" s="1"/>
  <c r="AD37" i="4"/>
  <c r="AY37" i="4"/>
  <c r="CW37" i="4"/>
  <c r="CX37" i="4" s="1"/>
  <c r="CW18" i="4"/>
  <c r="CX18" i="4" s="1"/>
  <c r="AY18" i="4"/>
  <c r="AD18" i="4"/>
  <c r="AU8" i="71"/>
  <c r="AU33" i="71"/>
  <c r="AU28" i="71"/>
  <c r="AU29" i="71"/>
  <c r="AU30" i="71"/>
  <c r="AU27" i="71"/>
  <c r="AU34" i="71"/>
  <c r="AU26" i="71"/>
  <c r="AU19" i="71"/>
  <c r="AU24" i="71"/>
  <c r="AU15" i="71"/>
  <c r="AU35" i="71"/>
  <c r="AU14" i="71"/>
  <c r="AU4" i="71"/>
  <c r="AU11" i="71"/>
  <c r="AU18" i="71"/>
  <c r="AU16" i="71"/>
  <c r="AU9" i="71"/>
  <c r="AU6" i="71"/>
  <c r="AU25" i="71"/>
  <c r="AU21" i="71"/>
  <c r="AU5" i="71"/>
  <c r="AU23" i="71"/>
  <c r="AV38" i="71"/>
  <c r="AU36" i="71"/>
  <c r="AU10" i="71"/>
  <c r="AU20" i="71"/>
  <c r="AU17" i="71"/>
  <c r="AU32" i="71"/>
  <c r="BB21" i="4" a="1"/>
  <c r="BB21" i="4" s="1"/>
  <c r="BC21" i="4" s="1"/>
  <c r="AV123" i="13" s="1"/>
  <c r="B21" i="4"/>
  <c r="E21" i="4" s="1"/>
  <c r="J643" i="15"/>
  <c r="J491" i="15"/>
  <c r="J488" i="15"/>
  <c r="J699" i="15"/>
  <c r="J540" i="15"/>
  <c r="AX790" i="13"/>
  <c r="I41" i="9"/>
  <c r="H41" i="9"/>
  <c r="AT39" i="4"/>
  <c r="AV641" i="13" s="1"/>
  <c r="A68" i="4"/>
  <c r="AX722" i="13"/>
  <c r="AV722" i="13"/>
  <c r="AY722" i="13"/>
  <c r="BH10" i="69"/>
  <c r="BV9" i="69"/>
  <c r="I5" i="15" a="1"/>
  <c r="I5" i="15" s="1"/>
  <c r="GC5" i="71"/>
  <c r="IT9" i="71"/>
  <c r="E471" i="15"/>
  <c r="HG5" i="71"/>
  <c r="R57" i="23" a="1"/>
  <c r="R57" i="23" s="1"/>
  <c r="R35" i="23" s="1"/>
  <c r="E702" i="15"/>
  <c r="FT7" i="71"/>
  <c r="IB19" i="71"/>
  <c r="EP12" i="71"/>
  <c r="IQ25" i="71"/>
  <c r="E260" i="15"/>
  <c r="J624" i="15"/>
  <c r="DR22" i="71"/>
  <c r="GC33" i="71"/>
  <c r="HM5" i="71"/>
  <c r="E636" i="15"/>
  <c r="CB11" i="71"/>
  <c r="FN14" i="71"/>
  <c r="J904" i="15"/>
  <c r="U59" i="14" a="1"/>
  <c r="U59" i="14" s="1"/>
  <c r="F57" i="14" a="1"/>
  <c r="F57" i="14" s="1"/>
  <c r="BE9" i="69"/>
  <c r="GF34" i="71"/>
  <c r="AX15" i="71"/>
  <c r="E455" i="15"/>
  <c r="BJ24" i="71"/>
  <c r="HJ17" i="71"/>
  <c r="F50" i="23"/>
  <c r="P50" i="23" s="1"/>
  <c r="Z50" i="23" s="1"/>
  <c r="V202" i="13" a="1"/>
  <c r="V202" i="13" s="1"/>
  <c r="J960" i="15"/>
  <c r="E915" i="15"/>
  <c r="E817" i="15"/>
  <c r="S58" i="14" a="1"/>
  <c r="S58" i="14" s="1"/>
  <c r="AB94" i="72"/>
  <c r="JF6" i="71"/>
  <c r="J768" i="15"/>
  <c r="E684" i="15"/>
  <c r="J642" i="15"/>
  <c r="E767" i="15"/>
  <c r="J891" i="15"/>
  <c r="E345" i="15"/>
  <c r="E927" i="15"/>
  <c r="JX10" i="71"/>
  <c r="AX17" i="71"/>
  <c r="GX13" i="71"/>
  <c r="BP21" i="71"/>
  <c r="BJ22" i="71"/>
  <c r="N68" i="9"/>
  <c r="I57" i="23" a="1"/>
  <c r="I57" i="23" s="1"/>
  <c r="I35" i="23" s="1"/>
  <c r="EA23" i="71"/>
  <c r="DO18" i="71"/>
  <c r="CQ4" i="71"/>
  <c r="EY34" i="71"/>
  <c r="CT28" i="71"/>
  <c r="BJ23" i="71"/>
  <c r="AL21" i="71"/>
  <c r="AO12" i="71"/>
  <c r="BH38" i="71"/>
  <c r="JU29" i="71"/>
  <c r="A57" i="13"/>
  <c r="H55" i="4"/>
  <c r="AY778" i="13" s="1"/>
  <c r="BT81" i="4"/>
  <c r="I72" i="4"/>
  <c r="HD22" i="71" s="1"/>
  <c r="A61" i="4"/>
  <c r="AE94" i="72"/>
  <c r="K81" i="4"/>
  <c r="BT72" i="4"/>
  <c r="I61" i="4"/>
  <c r="FW12" i="71" s="1"/>
  <c r="M58" i="4"/>
  <c r="I81" i="4"/>
  <c r="IE17" i="71" s="1"/>
  <c r="BA72" i="4"/>
  <c r="M72" i="4"/>
  <c r="A72" i="4"/>
  <c r="BT57" i="4"/>
  <c r="K72" i="4"/>
  <c r="AT72" i="4" s="1"/>
  <c r="AV674" i="13" s="1"/>
  <c r="K57" i="4"/>
  <c r="A59" i="4"/>
  <c r="I57" i="4"/>
  <c r="FK9" i="71" s="1"/>
  <c r="Z94" i="69"/>
  <c r="I59" i="4"/>
  <c r="FQ27" i="71" s="1"/>
  <c r="M57" i="4"/>
  <c r="Z94" i="72"/>
  <c r="BA59" i="4"/>
  <c r="A57" i="4"/>
  <c r="M61" i="4"/>
  <c r="A94" i="4"/>
  <c r="M59" i="4"/>
  <c r="M81" i="4"/>
  <c r="BA57" i="4"/>
  <c r="BA61" i="4"/>
  <c r="V94" i="69"/>
  <c r="BT59" i="4"/>
  <c r="A81" i="4"/>
  <c r="K61" i="4"/>
  <c r="AT61" i="4" s="1"/>
  <c r="AV663" i="13" s="1"/>
  <c r="K59" i="4"/>
  <c r="BA81" i="4"/>
  <c r="BT61" i="4"/>
  <c r="C25" i="1"/>
  <c r="A1269" i="13"/>
  <c r="AX1170" i="13"/>
  <c r="AX165" i="13"/>
  <c r="A265" i="13"/>
  <c r="CX3" i="4"/>
  <c r="CA25" i="4" a="1"/>
  <c r="CA25" i="4" s="1"/>
  <c r="BY25" i="4" s="1" a="1"/>
  <c r="BY25" i="4" s="1"/>
  <c r="BZ25" i="4" a="1"/>
  <c r="BZ25" i="4" s="1"/>
  <c r="H13" i="9"/>
  <c r="I13" i="9"/>
  <c r="CW54" i="4"/>
  <c r="CX54" i="4" s="1"/>
  <c r="AY54" i="4"/>
  <c r="AD54" i="4"/>
  <c r="A1210" i="13"/>
  <c r="AX1111" i="13"/>
  <c r="AX1184" i="13"/>
  <c r="A1283" i="13"/>
  <c r="I67" i="9"/>
  <c r="H67" i="9"/>
  <c r="A1274" i="13"/>
  <c r="AX1175" i="13"/>
  <c r="DG47" i="4"/>
  <c r="BZ44" i="4" a="1"/>
  <c r="BZ44" i="4" s="1"/>
  <c r="CA44" i="4" a="1"/>
  <c r="CA44" i="4" s="1"/>
  <c r="BY44" i="4" s="1" a="1"/>
  <c r="BY44" i="4" s="1"/>
  <c r="I69" i="4"/>
  <c r="GU32" i="71" s="1"/>
  <c r="BB14" i="4" a="1"/>
  <c r="BB14" i="4" s="1"/>
  <c r="BC14" i="4" s="1"/>
  <c r="AV116" i="13" s="1"/>
  <c r="B14" i="4"/>
  <c r="J526" i="15"/>
  <c r="J585" i="15"/>
  <c r="C14" i="1"/>
  <c r="A1205" i="13"/>
  <c r="AX1106" i="13"/>
  <c r="I82" i="4"/>
  <c r="IH26" i="71" s="1"/>
  <c r="C82" i="1"/>
  <c r="J4" i="69"/>
  <c r="A4" i="69"/>
  <c r="L4" i="69"/>
  <c r="N4" i="69" a="1"/>
  <c r="N4" i="69" s="1"/>
  <c r="Y4" i="69"/>
  <c r="AA4" i="69"/>
  <c r="M4" i="69"/>
  <c r="P4" i="69"/>
  <c r="T4" i="69"/>
  <c r="AB4" i="69" a="1"/>
  <c r="AB4" i="69" s="1"/>
  <c r="W4" i="69"/>
  <c r="Q4" i="69"/>
  <c r="AR4" i="69"/>
  <c r="BU4" i="69"/>
  <c r="BC4" i="69"/>
  <c r="AS4" i="69"/>
  <c r="Z4" i="69"/>
  <c r="V4" i="69"/>
  <c r="AC4" i="69"/>
  <c r="BB4" i="69"/>
  <c r="K4" i="69" a="1"/>
  <c r="K4" i="69" s="1"/>
  <c r="K66" i="4"/>
  <c r="AT66" i="4" s="1"/>
  <c r="AV668" i="13" s="1"/>
  <c r="I68" i="9"/>
  <c r="BZ64" i="4" a="1"/>
  <c r="BZ64" i="4" s="1"/>
  <c r="CA64" i="4" a="1"/>
  <c r="CA64" i="4" s="1"/>
  <c r="BY64" i="4" s="1" a="1"/>
  <c r="BY64" i="4" s="1"/>
  <c r="K70" i="4"/>
  <c r="AT70" i="4" s="1"/>
  <c r="AV672" i="13" s="1"/>
  <c r="BZ50" i="4" a="1"/>
  <c r="BZ50" i="4" s="1"/>
  <c r="CA50" i="4" a="1"/>
  <c r="CA50" i="4" s="1"/>
  <c r="BY50" i="4" s="1" a="1"/>
  <c r="BY50" i="4" s="1"/>
  <c r="Z102" i="72" s="1"/>
  <c r="AT34" i="4"/>
  <c r="AV636" i="13" s="1"/>
  <c r="I84" i="4"/>
  <c r="H21" i="9"/>
  <c r="I21" i="9"/>
  <c r="M88" i="4"/>
  <c r="E43" i="4"/>
  <c r="DG43" i="4"/>
  <c r="K80" i="4"/>
  <c r="AT80" i="4" s="1"/>
  <c r="AV682" i="13" s="1"/>
  <c r="I94" i="9"/>
  <c r="H94" i="9"/>
  <c r="E37" i="71"/>
  <c r="AX1132" i="13"/>
  <c r="A1231" i="13"/>
  <c r="M73" i="4"/>
  <c r="C73" i="1"/>
  <c r="AX779" i="13"/>
  <c r="AV779" i="13"/>
  <c r="AY779" i="13"/>
  <c r="F10" i="4"/>
  <c r="C95" i="1"/>
  <c r="BT85" i="4"/>
  <c r="Z1834" i="13"/>
  <c r="B1834" i="13" s="1" a="1"/>
  <c r="B1834" i="13" s="1"/>
  <c r="M78" i="4"/>
  <c r="I93" i="4"/>
  <c r="JO31" i="71" s="1"/>
  <c r="AX150" i="13"/>
  <c r="A250" i="13"/>
  <c r="BB16" i="4" a="1"/>
  <c r="BB16" i="4" s="1"/>
  <c r="BC16" i="4" s="1"/>
  <c r="AV118" i="13" s="1"/>
  <c r="B16" i="4"/>
  <c r="J553" i="15"/>
  <c r="J545" i="15"/>
  <c r="BZ16" i="4" a="1"/>
  <c r="BZ16" i="4" s="1"/>
  <c r="CA16" i="4" a="1"/>
  <c r="CA16" i="4" s="1"/>
  <c r="BY16" i="4" s="1" a="1"/>
  <c r="BY16" i="4" s="1"/>
  <c r="V96" i="69"/>
  <c r="C48" i="1"/>
  <c r="BT68" i="4"/>
  <c r="AX119" i="13"/>
  <c r="A219" i="13"/>
  <c r="A220" i="13"/>
  <c r="AX120" i="13"/>
  <c r="K76" i="4"/>
  <c r="CI9" i="72"/>
  <c r="BC9" i="72" a="1"/>
  <c r="BC9" i="72" s="1"/>
  <c r="F11" i="15"/>
  <c r="FN32" i="71"/>
  <c r="E896" i="15"/>
  <c r="FT18" i="71"/>
  <c r="GX28" i="71"/>
  <c r="IB33" i="71"/>
  <c r="JC22" i="71"/>
  <c r="GC10" i="71"/>
  <c r="JF4" i="71"/>
  <c r="J499" i="15"/>
  <c r="S9" i="69"/>
  <c r="E791" i="15"/>
  <c r="JR6" i="71"/>
  <c r="IZ21" i="71"/>
  <c r="J917" i="15"/>
  <c r="IB12" i="71"/>
  <c r="FH6" i="71"/>
  <c r="EG24" i="71"/>
  <c r="J912" i="15"/>
  <c r="E583" i="15"/>
  <c r="BJ18" i="71"/>
  <c r="E494" i="15"/>
  <c r="W65" i="22"/>
  <c r="Y65" i="22" s="1"/>
  <c r="GU21" i="71"/>
  <c r="JX9" i="71"/>
  <c r="J554" i="15"/>
  <c r="BL95" i="72"/>
  <c r="M81" i="9"/>
  <c r="E96" i="15"/>
  <c r="JC20" i="71"/>
  <c r="JI5" i="71"/>
  <c r="JR18" i="71"/>
  <c r="J849" i="15"/>
  <c r="JF13" i="71"/>
  <c r="E907" i="15"/>
  <c r="BG14" i="71"/>
  <c r="CB5" i="71"/>
  <c r="AQ95" i="72"/>
  <c r="E45" i="15"/>
  <c r="JI30" i="71"/>
  <c r="J881" i="15"/>
  <c r="IB36" i="71"/>
  <c r="E102" i="15"/>
  <c r="JF36" i="71"/>
  <c r="T59" i="23" a="1"/>
  <c r="T59" i="23" s="1"/>
  <c r="L9" i="69"/>
  <c r="HN38" i="71"/>
  <c r="JI33" i="71"/>
  <c r="EJ19" i="71"/>
  <c r="E778" i="15"/>
  <c r="E711" i="15"/>
  <c r="E783" i="15"/>
  <c r="U2" i="14"/>
  <c r="E70" i="15"/>
  <c r="FN12" i="71"/>
  <c r="J652" i="15"/>
  <c r="FZ27" i="71"/>
  <c r="E823" i="15"/>
  <c r="Z1498" i="13"/>
  <c r="J481" i="15"/>
  <c r="JI13" i="71"/>
  <c r="JO26" i="71"/>
  <c r="EV29" i="71"/>
  <c r="FB20" i="71"/>
  <c r="FO38" i="71"/>
  <c r="IZ33" i="71"/>
  <c r="DR14" i="71"/>
  <c r="J568" i="15"/>
  <c r="AK10" i="72" a="1"/>
  <c r="AK10" i="72" s="1"/>
  <c r="HM19" i="71"/>
  <c r="J930" i="15"/>
  <c r="HG32" i="71"/>
  <c r="E801" i="15"/>
  <c r="E749" i="15"/>
  <c r="GX21" i="71"/>
  <c r="J556" i="15"/>
  <c r="IB25" i="71"/>
  <c r="J908" i="15"/>
  <c r="J971" i="15"/>
  <c r="E858" i="15"/>
  <c r="IB35" i="71"/>
  <c r="E701" i="15"/>
  <c r="M47" i="9"/>
  <c r="A96" i="72"/>
  <c r="J740" i="15"/>
  <c r="J769" i="15"/>
  <c r="E316" i="15"/>
  <c r="W33" i="22"/>
  <c r="Y33" i="22" s="1"/>
  <c r="JC12" i="71"/>
  <c r="J598" i="15"/>
  <c r="E738" i="15"/>
  <c r="GI9" i="71"/>
  <c r="E200" i="15"/>
  <c r="E347" i="15"/>
  <c r="FN34" i="71"/>
  <c r="E999" i="15"/>
  <c r="J826" i="15"/>
  <c r="J779" i="15"/>
  <c r="J978" i="15"/>
  <c r="E954" i="15"/>
  <c r="J818" i="15"/>
  <c r="X58" i="23" a="1"/>
  <c r="X58" i="23" s="1"/>
  <c r="X36" i="23" s="1"/>
  <c r="E785" i="15"/>
  <c r="AU7" i="71"/>
  <c r="EY8" i="71"/>
  <c r="AC23" i="71"/>
  <c r="CW25" i="71"/>
  <c r="W58" i="23" a="1"/>
  <c r="W58" i="23" s="1"/>
  <c r="W36" i="23" s="1"/>
  <c r="E932" i="15"/>
  <c r="JC7" i="71"/>
  <c r="M14" i="9"/>
  <c r="E154" i="15"/>
  <c r="CN7" i="71"/>
  <c r="CQ15" i="71"/>
  <c r="J594" i="15"/>
  <c r="AU13" i="71"/>
  <c r="J669" i="15"/>
  <c r="EP18" i="71"/>
  <c r="GC34" i="71"/>
  <c r="J623" i="15"/>
  <c r="CQ17" i="71"/>
  <c r="AV505" i="13"/>
  <c r="DX3" i="4"/>
  <c r="BM3" i="4"/>
  <c r="A96" i="4"/>
  <c r="A1262" i="13"/>
  <c r="AX1163" i="13"/>
  <c r="F3" i="72"/>
  <c r="F3" i="69"/>
  <c r="AX764" i="13"/>
  <c r="AV764" i="13"/>
  <c r="AY764" i="13"/>
  <c r="C74" i="1"/>
  <c r="AT25" i="4"/>
  <c r="AV627" i="13" s="1"/>
  <c r="I3" i="72"/>
  <c r="I3" i="69"/>
  <c r="I93" i="9"/>
  <c r="AX1122" i="13"/>
  <c r="A1221" i="13"/>
  <c r="AX126" i="13"/>
  <c r="A226" i="13"/>
  <c r="BT56" i="4"/>
  <c r="A86" i="4"/>
  <c r="Z1829" i="13"/>
  <c r="B1829" i="13" s="1" a="1"/>
  <c r="B1829" i="13" s="1"/>
  <c r="A1244" i="13"/>
  <c r="AX1145" i="13"/>
  <c r="AX726" i="13"/>
  <c r="AV726" i="13"/>
  <c r="S27" i="4" s="1"/>
  <c r="AY726" i="13"/>
  <c r="CA28" i="4" a="1"/>
  <c r="CA28" i="4" s="1"/>
  <c r="BY28" i="4" s="1" a="1"/>
  <c r="BY28" i="4" s="1"/>
  <c r="BZ28" i="4" a="1"/>
  <c r="BZ28" i="4" s="1"/>
  <c r="BT63" i="4"/>
  <c r="CA63" i="4" a="1"/>
  <c r="CA63" i="4" s="1"/>
  <c r="BY63" i="4" s="1" a="1"/>
  <c r="BY63" i="4" s="1"/>
  <c r="BZ63" i="4" a="1"/>
  <c r="BZ63" i="4" s="1"/>
  <c r="AT35" i="4"/>
  <c r="AV637" i="13" s="1"/>
  <c r="K83" i="4"/>
  <c r="Z1850" i="13"/>
  <c r="B1850" i="13" s="1" a="1"/>
  <c r="B1850" i="13" s="1"/>
  <c r="B13" i="4"/>
  <c r="E13" i="4" s="1"/>
  <c r="BB13" i="4" a="1"/>
  <c r="BB13" i="4" s="1"/>
  <c r="BC13" i="4" s="1"/>
  <c r="AV115" i="13" s="1"/>
  <c r="J640" i="15"/>
  <c r="BA79" i="4"/>
  <c r="CA91" i="4" a="1"/>
  <c r="CA91" i="4" s="1"/>
  <c r="BY91" i="4" s="1" a="1"/>
  <c r="BY91" i="4" s="1"/>
  <c r="BZ91" i="4" a="1"/>
  <c r="BZ91" i="4" s="1"/>
  <c r="C75" i="1"/>
  <c r="K56" i="4"/>
  <c r="AT56" i="4" s="1"/>
  <c r="AV658" i="13" s="1"/>
  <c r="BZ56" i="4" a="1"/>
  <c r="BZ56" i="4" s="1"/>
  <c r="CA56" i="4" a="1"/>
  <c r="CA56" i="4" s="1"/>
  <c r="BY56" i="4" s="1" a="1"/>
  <c r="BY56" i="4" s="1"/>
  <c r="Z1879" i="13"/>
  <c r="B1879" i="13" s="1" a="1"/>
  <c r="B1879" i="13" s="1"/>
  <c r="AD40" i="4"/>
  <c r="AY40" i="4"/>
  <c r="CW40" i="4"/>
  <c r="CX40" i="4" s="1"/>
  <c r="BZ11" i="4" a="1"/>
  <c r="BZ11" i="4" s="1"/>
  <c r="CA11" i="4" a="1"/>
  <c r="CA11" i="4" s="1"/>
  <c r="BY11" i="4" s="1" a="1"/>
  <c r="BY11" i="4" s="1"/>
  <c r="BA86" i="4"/>
  <c r="BZ24" i="4" a="1"/>
  <c r="BZ24" i="4" s="1"/>
  <c r="CA24" i="4" a="1"/>
  <c r="CA24" i="4" s="1"/>
  <c r="BY24" i="4" s="1" a="1"/>
  <c r="BY24" i="4" s="1"/>
  <c r="Z1863" i="13"/>
  <c r="B1863" i="13" s="1" a="1"/>
  <c r="B1863" i="13" s="1"/>
  <c r="I79" i="9"/>
  <c r="H79" i="9"/>
  <c r="AX748" i="13"/>
  <c r="AV748" i="13"/>
  <c r="AY748" i="13"/>
  <c r="A1222" i="13"/>
  <c r="AX1123" i="13"/>
  <c r="DG52" i="4"/>
  <c r="AY28" i="4"/>
  <c r="AD28" i="4"/>
  <c r="CW28" i="4"/>
  <c r="CX28" i="4" s="1"/>
  <c r="AT28" i="4"/>
  <c r="AV630" i="13" s="1"/>
  <c r="A213" i="13"/>
  <c r="AX113" i="13"/>
  <c r="BA63" i="4"/>
  <c r="A1271" i="13"/>
  <c r="AX1172" i="13"/>
  <c r="CA31" i="4" a="1"/>
  <c r="CA31" i="4" s="1"/>
  <c r="BY31" i="4" s="1" a="1"/>
  <c r="BY31" i="4" s="1"/>
  <c r="BZ31" i="4" a="1"/>
  <c r="BZ31" i="4" s="1"/>
  <c r="AT44" i="4"/>
  <c r="AV646" i="13" s="1"/>
  <c r="M69" i="4"/>
  <c r="I83" i="4"/>
  <c r="AV759" i="13"/>
  <c r="AY729" i="13"/>
  <c r="AV729" i="13"/>
  <c r="AX729" i="13"/>
  <c r="BB41" i="4" a="1"/>
  <c r="BB41" i="4" s="1"/>
  <c r="BC41" i="4" s="1"/>
  <c r="AV143" i="13" s="1"/>
  <c r="B41" i="4"/>
  <c r="E312" i="15" s="1"/>
  <c r="CA13" i="4" a="1"/>
  <c r="CA13" i="4" s="1"/>
  <c r="BY13" i="4" s="1" a="1"/>
  <c r="BY13" i="4" s="1"/>
  <c r="BZ13" i="4" a="1"/>
  <c r="BZ13" i="4" s="1"/>
  <c r="AX767" i="13"/>
  <c r="AV767" i="13"/>
  <c r="S68" i="4" s="1"/>
  <c r="BZ87" i="4" a="1"/>
  <c r="BZ87" i="4" s="1"/>
  <c r="CA87" i="4" a="1"/>
  <c r="CA87" i="4" s="1"/>
  <c r="BY87" i="4" s="1" a="1"/>
  <c r="BY87" i="4" s="1"/>
  <c r="H51" i="9"/>
  <c r="I51" i="9"/>
  <c r="AT14" i="4"/>
  <c r="AV616" i="13" s="1"/>
  <c r="Z1862" i="13"/>
  <c r="B1862" i="13" s="1" a="1"/>
  <c r="B1862" i="13" s="1"/>
  <c r="I79" i="4"/>
  <c r="HY34" i="71" s="1"/>
  <c r="AX731" i="13"/>
  <c r="AV731" i="13"/>
  <c r="AY731" i="13"/>
  <c r="K82" i="4"/>
  <c r="Z1880" i="13" s="1"/>
  <c r="B1880" i="13" s="1" a="1"/>
  <c r="B1880" i="13" s="1"/>
  <c r="M66" i="4"/>
  <c r="A1246" i="13"/>
  <c r="AX1147" i="13"/>
  <c r="AT8" i="4"/>
  <c r="AV610" i="13" s="1"/>
  <c r="C70" i="1"/>
  <c r="DG53" i="4"/>
  <c r="E53" i="4"/>
  <c r="AX772" i="13"/>
  <c r="AV772" i="13"/>
  <c r="C50" i="1"/>
  <c r="AX754" i="13"/>
  <c r="AV754" i="13"/>
  <c r="S55" i="4" s="1"/>
  <c r="AY754" i="13"/>
  <c r="C67" i="1"/>
  <c r="M84" i="4"/>
  <c r="C19" i="1"/>
  <c r="BB19" i="4" a="1"/>
  <c r="BB19" i="4" s="1"/>
  <c r="BC19" i="4" s="1"/>
  <c r="AV121" i="13" s="1"/>
  <c r="B19" i="4"/>
  <c r="E19" i="4" s="1"/>
  <c r="J569" i="15"/>
  <c r="J651" i="15"/>
  <c r="J653" i="15"/>
  <c r="J634" i="15"/>
  <c r="K88" i="4"/>
  <c r="AT88" i="4" s="1"/>
  <c r="AV690" i="13" s="1"/>
  <c r="C43" i="1"/>
  <c r="BA80" i="4"/>
  <c r="I82" i="9"/>
  <c r="H82" i="9"/>
  <c r="Z1818" i="13"/>
  <c r="B1818" i="13" s="1" a="1"/>
  <c r="B1818" i="13" s="1"/>
  <c r="AY36" i="4"/>
  <c r="AD36" i="4"/>
  <c r="CW36" i="4"/>
  <c r="CX36" i="4" s="1"/>
  <c r="H40" i="9"/>
  <c r="I40" i="9"/>
  <c r="K73" i="4"/>
  <c r="BZ73" i="4" a="1"/>
  <c r="BZ73" i="4" s="1"/>
  <c r="CA73" i="4" a="1"/>
  <c r="CA73" i="4" s="1"/>
  <c r="BY73" i="4" s="1" a="1"/>
  <c r="BY73" i="4" s="1"/>
  <c r="A253" i="13"/>
  <c r="AX153" i="13"/>
  <c r="E22" i="4"/>
  <c r="BE22" i="4" s="1"/>
  <c r="DG22" i="4"/>
  <c r="C20" i="1"/>
  <c r="A229" i="13"/>
  <c r="AX129" i="13"/>
  <c r="A85" i="4"/>
  <c r="C15" i="1"/>
  <c r="Z1888" i="13"/>
  <c r="B1888" i="13" s="1" a="1"/>
  <c r="B1888" i="13" s="1"/>
  <c r="AX733" i="13"/>
  <c r="AV733" i="13"/>
  <c r="AY733" i="13"/>
  <c r="Z1830" i="13"/>
  <c r="B1830" i="13" s="1" a="1"/>
  <c r="B1830" i="13" s="1"/>
  <c r="AX109" i="13"/>
  <c r="A209" i="13"/>
  <c r="AX746" i="13"/>
  <c r="AV746" i="13"/>
  <c r="AY746" i="13"/>
  <c r="M93" i="4"/>
  <c r="AX740" i="13"/>
  <c r="AV740" i="13"/>
  <c r="AY740" i="13"/>
  <c r="C27" i="1"/>
  <c r="B37" i="4"/>
  <c r="E37" i="4" s="1"/>
  <c r="BB37" i="4" a="1"/>
  <c r="BB37" i="4" s="1"/>
  <c r="BC37" i="4" s="1"/>
  <c r="AV139" i="13" s="1"/>
  <c r="E16" i="4"/>
  <c r="I20" i="9"/>
  <c r="H20" i="9"/>
  <c r="B45" i="4"/>
  <c r="E83" i="15" s="1"/>
  <c r="BB45" i="4" a="1"/>
  <c r="BB45" i="4" s="1"/>
  <c r="BC45" i="4" s="1"/>
  <c r="AV147" i="13" s="1"/>
  <c r="A1286" i="13"/>
  <c r="AX1187" i="13"/>
  <c r="AX794" i="13"/>
  <c r="AY794" i="13"/>
  <c r="AV794" i="13"/>
  <c r="C39" i="1"/>
  <c r="C96" i="1"/>
  <c r="K68" i="4"/>
  <c r="AX717" i="13"/>
  <c r="AV717" i="13"/>
  <c r="AY717" i="13"/>
  <c r="BT76" i="4"/>
  <c r="Y94" i="72"/>
  <c r="E857" i="15"/>
  <c r="IW26" i="71"/>
  <c r="GX18" i="71"/>
  <c r="E798" i="15"/>
  <c r="JC27" i="71"/>
  <c r="E761" i="15"/>
  <c r="HA35" i="71"/>
  <c r="IH32" i="71"/>
  <c r="J927" i="15"/>
  <c r="FQ26" i="71"/>
  <c r="BJ5" i="71"/>
  <c r="N94" i="72" a="1"/>
  <c r="N94" i="72" s="1"/>
  <c r="IQ35" i="71"/>
  <c r="HV26" i="71"/>
  <c r="J851" i="15"/>
  <c r="HJ24" i="71"/>
  <c r="E772" i="15"/>
  <c r="E567" i="15"/>
  <c r="EJ4" i="71"/>
  <c r="GX23" i="71"/>
  <c r="M87" i="9"/>
  <c r="BB96" i="69"/>
  <c r="B9" i="69"/>
  <c r="N80" i="9"/>
  <c r="HG36" i="71"/>
  <c r="J861" i="15"/>
  <c r="E846" i="15"/>
  <c r="JC6" i="71"/>
  <c r="GF20" i="71"/>
  <c r="E806" i="15"/>
  <c r="FK8" i="71"/>
  <c r="DL23" i="71"/>
  <c r="AC96" i="72"/>
  <c r="AE9" i="69" a="1"/>
  <c r="AE9" i="69" s="1"/>
  <c r="AP9" i="69" s="1" a="1"/>
  <c r="AP9" i="69" s="1"/>
  <c r="E964" i="15"/>
  <c r="H17" i="7" a="1"/>
  <c r="H17" i="7" s="1"/>
  <c r="FZ19" i="71"/>
  <c r="J732" i="15"/>
  <c r="GL18" i="71"/>
  <c r="HG22" i="71"/>
  <c r="J921" i="15"/>
  <c r="E538" i="15"/>
  <c r="BV9" i="71"/>
  <c r="BD25" i="71"/>
  <c r="A95" i="69"/>
  <c r="E688" i="15"/>
  <c r="HJ18" i="71"/>
  <c r="J828" i="15"/>
  <c r="E866" i="15"/>
  <c r="GF13" i="71"/>
  <c r="IT4" i="71"/>
  <c r="IT24" i="71"/>
  <c r="BC95" i="69"/>
  <c r="M9" i="72"/>
  <c r="IB29" i="71"/>
  <c r="IW8" i="71"/>
  <c r="FH19" i="71"/>
  <c r="J946" i="15"/>
  <c r="J736" i="15"/>
  <c r="M40" i="9"/>
  <c r="E788" i="15"/>
  <c r="J817" i="15"/>
  <c r="JU24" i="71"/>
  <c r="GU16" i="71"/>
  <c r="JF21" i="71"/>
  <c r="M58" i="9"/>
  <c r="J794" i="15"/>
  <c r="S10" i="4"/>
  <c r="S12" i="4"/>
  <c r="IZ14" i="71"/>
  <c r="HJ7" i="71"/>
  <c r="JL20" i="71"/>
  <c r="GI5" i="71"/>
  <c r="JX36" i="71"/>
  <c r="Z58" i="23" a="1"/>
  <c r="Z58" i="23" s="1"/>
  <c r="Z36" i="23" s="1"/>
  <c r="FH36" i="71"/>
  <c r="N95" i="9"/>
  <c r="GC28" i="71"/>
  <c r="IT17" i="71"/>
  <c r="EP30" i="71"/>
  <c r="J533" i="15"/>
  <c r="AB96" i="72"/>
  <c r="AS95" i="69"/>
  <c r="JI28" i="71"/>
  <c r="M15" i="9"/>
  <c r="J926" i="15"/>
  <c r="FT36" i="71"/>
  <c r="HY5" i="71"/>
  <c r="I16" i="15" a="1"/>
  <c r="I16" i="15" s="1"/>
  <c r="E880" i="15"/>
  <c r="CK31" i="71"/>
  <c r="BV24" i="71"/>
  <c r="M9" i="69"/>
  <c r="J883" i="15"/>
  <c r="HA29" i="71"/>
  <c r="J833" i="15"/>
  <c r="FT25" i="71"/>
  <c r="JC25" i="71"/>
  <c r="J935" i="15"/>
  <c r="IZ11" i="71"/>
  <c r="IT10" i="71"/>
  <c r="Y94" i="69"/>
  <c r="J815" i="15"/>
  <c r="F16" i="15"/>
  <c r="J890" i="15"/>
  <c r="JC29" i="71"/>
  <c r="IB16" i="71"/>
  <c r="GU35" i="71"/>
  <c r="JO30" i="71"/>
  <c r="FH26" i="71"/>
  <c r="P95" i="69"/>
  <c r="JI26" i="71"/>
  <c r="J986" i="15"/>
  <c r="HD24" i="71"/>
  <c r="E959" i="15"/>
  <c r="HS26" i="71"/>
  <c r="H21" i="7" a="1"/>
  <c r="H21" i="7" s="1"/>
  <c r="IK6" i="71"/>
  <c r="J990" i="15"/>
  <c r="J994" i="15"/>
  <c r="AL25" i="71"/>
  <c r="JL31" i="71"/>
  <c r="AV1588" i="13"/>
  <c r="AV1687" i="13" s="1"/>
  <c r="HA36" i="71"/>
  <c r="EJ17" i="71"/>
  <c r="HM9" i="71"/>
  <c r="N97" i="9"/>
  <c r="JC8" i="71"/>
  <c r="HD25" i="71"/>
  <c r="EJ7" i="71"/>
  <c r="P57" i="14" a="1"/>
  <c r="P57" i="14" s="1"/>
  <c r="JO25" i="71"/>
  <c r="J803" i="15"/>
  <c r="E929" i="15"/>
  <c r="CE6" i="71"/>
  <c r="E914" i="15"/>
  <c r="F45" i="23"/>
  <c r="P45" i="23" s="1"/>
  <c r="Z45" i="23" s="1"/>
  <c r="CN13" i="71"/>
  <c r="E182" i="15"/>
  <c r="HV22" i="71"/>
  <c r="IB15" i="71"/>
  <c r="IN10" i="71"/>
  <c r="CB25" i="71"/>
  <c r="CT26" i="71"/>
  <c r="DI29" i="71"/>
  <c r="CB12" i="71"/>
  <c r="J660" i="15"/>
  <c r="IZ8" i="71"/>
  <c r="BM30" i="71"/>
  <c r="IT14" i="71"/>
  <c r="HG4" i="71"/>
  <c r="AX725" i="13"/>
  <c r="AY725" i="13"/>
  <c r="AV725" i="13"/>
  <c r="C33" i="1"/>
  <c r="BZ52" i="4" a="1"/>
  <c r="BZ52" i="4" s="1"/>
  <c r="CA52" i="4" a="1"/>
  <c r="CA52" i="4" s="1"/>
  <c r="BY52" i="4" s="1" a="1"/>
  <c r="BY52" i="4" s="1"/>
  <c r="BM9" i="4"/>
  <c r="DX9" i="4"/>
  <c r="AV511" i="13"/>
  <c r="H35" i="9"/>
  <c r="I35" i="9"/>
  <c r="AX1159" i="13"/>
  <c r="A1258" i="13"/>
  <c r="Z1861" i="13"/>
  <c r="B1861" i="13" s="1" a="1"/>
  <c r="B1861" i="13" s="1"/>
  <c r="AV605" i="13"/>
  <c r="J3" i="72"/>
  <c r="J3" i="69"/>
  <c r="AX107" i="13"/>
  <c r="A207" i="13"/>
  <c r="I77" i="9"/>
  <c r="H77" i="9"/>
  <c r="BA56" i="4"/>
  <c r="I58" i="9"/>
  <c r="H58" i="9"/>
  <c r="Z1855" i="13"/>
  <c r="B1855" i="13" s="1" a="1"/>
  <c r="B1855" i="13" s="1"/>
  <c r="I42" i="9"/>
  <c r="H42" i="9"/>
  <c r="BT74" i="4"/>
  <c r="CA74" i="4" a="1"/>
  <c r="CA74" i="4" s="1"/>
  <c r="BY74" i="4" s="1" a="1"/>
  <c r="BY74" i="4" s="1"/>
  <c r="BZ74" i="4" a="1"/>
  <c r="BZ74" i="4" s="1"/>
  <c r="I56" i="9"/>
  <c r="H56" i="9"/>
  <c r="C24" i="1"/>
  <c r="C77" i="1"/>
  <c r="Z1845" i="13"/>
  <c r="B1845" i="13" s="1" a="1"/>
  <c r="B1845" i="13" s="1"/>
  <c r="AY741" i="13"/>
  <c r="AV741" i="13"/>
  <c r="AX741" i="13"/>
  <c r="C28" i="1"/>
  <c r="C62" i="1"/>
  <c r="A63" i="4"/>
  <c r="AX775" i="13"/>
  <c r="AV775" i="13"/>
  <c r="AY775" i="13"/>
  <c r="BB35" i="4" a="1"/>
  <c r="BB35" i="4" s="1"/>
  <c r="BC35" i="4" s="1"/>
  <c r="AV137" i="13" s="1"/>
  <c r="B35" i="4"/>
  <c r="E206" i="15" s="1"/>
  <c r="AX115" i="13"/>
  <c r="A215" i="13"/>
  <c r="AX787" i="13"/>
  <c r="AY787" i="13"/>
  <c r="AV787" i="13"/>
  <c r="AX715" i="13"/>
  <c r="AV715" i="13"/>
  <c r="S16" i="4" s="1"/>
  <c r="AY715" i="13"/>
  <c r="C31" i="1"/>
  <c r="C47" i="1"/>
  <c r="C69" i="1"/>
  <c r="A83" i="4"/>
  <c r="AY759" i="13"/>
  <c r="AT41" i="4"/>
  <c r="AV643" i="13" s="1"/>
  <c r="AD38" i="71"/>
  <c r="AD12" i="4"/>
  <c r="CW12" i="4"/>
  <c r="CX12" i="4" s="1"/>
  <c r="CY12" i="4"/>
  <c r="CZ12" i="4" s="1"/>
  <c r="AY12" i="4"/>
  <c r="AC14" i="71"/>
  <c r="AC27" i="71"/>
  <c r="AC35" i="71"/>
  <c r="AC6" i="71"/>
  <c r="AC24" i="71"/>
  <c r="AC28" i="71"/>
  <c r="AC30" i="71"/>
  <c r="AC36" i="71"/>
  <c r="AC11" i="71"/>
  <c r="AC12" i="71"/>
  <c r="AC13" i="71"/>
  <c r="AC21" i="71"/>
  <c r="AC7" i="71"/>
  <c r="AC19" i="71"/>
  <c r="AC26" i="71"/>
  <c r="AC4" i="71"/>
  <c r="AC33" i="71"/>
  <c r="AC9" i="71"/>
  <c r="AC20" i="71"/>
  <c r="AC16" i="71"/>
  <c r="AC17" i="71"/>
  <c r="AC22" i="71"/>
  <c r="AC18" i="71"/>
  <c r="AC8" i="71"/>
  <c r="AC5" i="71"/>
  <c r="AC15" i="71"/>
  <c r="AC29" i="71"/>
  <c r="AC34" i="71"/>
  <c r="AC10" i="71"/>
  <c r="AT13" i="4"/>
  <c r="Z1864" i="13"/>
  <c r="B1864" i="13" s="1" a="1"/>
  <c r="B1864" i="13" s="1"/>
  <c r="C87" i="1"/>
  <c r="A266" i="13"/>
  <c r="AX166" i="13"/>
  <c r="A79" i="4"/>
  <c r="A82" i="4"/>
  <c r="Z1867" i="13"/>
  <c r="B1867" i="13" s="1" a="1"/>
  <c r="B1867" i="13" s="1"/>
  <c r="AX1139" i="13"/>
  <c r="A1238" i="13"/>
  <c r="A66" i="4"/>
  <c r="J550" i="15" s="1"/>
  <c r="Q31" i="71"/>
  <c r="AD8" i="4"/>
  <c r="CW8" i="4"/>
  <c r="CX8" i="4" s="1"/>
  <c r="AY8" i="4"/>
  <c r="Q17" i="71"/>
  <c r="R38" i="71"/>
  <c r="Q21" i="71"/>
  <c r="Q29" i="71"/>
  <c r="Q25" i="71"/>
  <c r="Q12" i="71"/>
  <c r="Q27" i="71"/>
  <c r="Q35" i="71"/>
  <c r="Q26" i="71"/>
  <c r="Q28" i="71"/>
  <c r="Q7" i="71"/>
  <c r="Q30" i="71"/>
  <c r="Q6" i="71"/>
  <c r="Q23" i="71"/>
  <c r="Q8" i="71"/>
  <c r="Q4" i="71"/>
  <c r="Q16" i="71"/>
  <c r="Q19" i="71"/>
  <c r="Q24" i="71"/>
  <c r="Q5" i="71"/>
  <c r="Q18" i="71"/>
  <c r="Q11" i="71"/>
  <c r="Q15" i="71"/>
  <c r="Q36" i="71"/>
  <c r="Q10" i="71"/>
  <c r="Q33" i="71"/>
  <c r="Q20" i="71"/>
  <c r="Q9" i="71"/>
  <c r="Q14" i="71"/>
  <c r="Q22" i="71"/>
  <c r="C30" i="1"/>
  <c r="CA30" i="4" a="1"/>
  <c r="CA30" i="4" s="1"/>
  <c r="BY30" i="4" s="1" a="1"/>
  <c r="BY30" i="4" s="1"/>
  <c r="BZ30" i="4" a="1"/>
  <c r="BZ30" i="4" s="1"/>
  <c r="A228" i="13"/>
  <c r="AX128" i="13"/>
  <c r="H55" i="9"/>
  <c r="I55" i="9"/>
  <c r="AX1169" i="13"/>
  <c r="A1268" i="13"/>
  <c r="AT50" i="4"/>
  <c r="AV652" i="13" s="1"/>
  <c r="C34" i="1"/>
  <c r="K84" i="4"/>
  <c r="AT84" i="4" s="1"/>
  <c r="AV686" i="13" s="1"/>
  <c r="DG10" i="4"/>
  <c r="E10" i="4"/>
  <c r="BU10" i="4" s="1"/>
  <c r="E371" i="15"/>
  <c r="E208" i="15"/>
  <c r="E49" i="15"/>
  <c r="E565" i="15"/>
  <c r="CA71" i="4" a="1"/>
  <c r="CA71" i="4" s="1"/>
  <c r="BY71" i="4" s="1" a="1"/>
  <c r="BY71" i="4" s="1"/>
  <c r="BZ71" i="4" a="1"/>
  <c r="BZ71" i="4" s="1"/>
  <c r="BT88" i="4"/>
  <c r="Z1848" i="13"/>
  <c r="B1848" i="13" s="1" a="1"/>
  <c r="B1848" i="13" s="1"/>
  <c r="M80" i="4"/>
  <c r="Z1832" i="13"/>
  <c r="B1832" i="13" s="1" a="1"/>
  <c r="B1832" i="13" s="1"/>
  <c r="A1282" i="13"/>
  <c r="AX1183" i="13"/>
  <c r="BT73" i="4"/>
  <c r="C90" i="1"/>
  <c r="AT32" i="4"/>
  <c r="AV634" i="13" s="1"/>
  <c r="A1277" i="13"/>
  <c r="AX1178" i="13"/>
  <c r="AQ4" i="4"/>
  <c r="H9" i="9"/>
  <c r="I9" i="9"/>
  <c r="AM10" i="4"/>
  <c r="C85" i="1"/>
  <c r="AX175" i="13"/>
  <c r="A275" i="13"/>
  <c r="C51" i="1"/>
  <c r="BT93" i="4"/>
  <c r="B27" i="4"/>
  <c r="E52" i="15" s="1"/>
  <c r="BB27" i="4" a="1"/>
  <c r="BB27" i="4" s="1"/>
  <c r="BC27" i="4" s="1"/>
  <c r="AV129" i="13" s="1"/>
  <c r="C45" i="1"/>
  <c r="AD39" i="4"/>
  <c r="AY39" i="4"/>
  <c r="CW39" i="4"/>
  <c r="CX39" i="4" s="1"/>
  <c r="H9" i="27"/>
  <c r="H10" i="27" s="1"/>
  <c r="H8" i="27"/>
  <c r="AF93" i="27"/>
  <c r="AK27" i="27"/>
  <c r="AJ90" i="27"/>
  <c r="AE69" i="27"/>
  <c r="AF60" i="27"/>
  <c r="AK30" i="27"/>
  <c r="AJ64" i="27"/>
  <c r="AK22" i="27"/>
  <c r="AE81" i="27"/>
  <c r="AI66" i="27"/>
  <c r="AI53" i="27"/>
  <c r="AJ67" i="27"/>
  <c r="AE56" i="27"/>
  <c r="AE75" i="27"/>
  <c r="AJ57" i="27"/>
  <c r="AJ59" i="27"/>
  <c r="AE68" i="27"/>
  <c r="AE71" i="27"/>
  <c r="AE67" i="27"/>
  <c r="AI49" i="27"/>
  <c r="AF59" i="27"/>
  <c r="AE51" i="27"/>
  <c r="AF44" i="27"/>
  <c r="AF83" i="27"/>
  <c r="AK41" i="27"/>
  <c r="AJ80" i="27"/>
  <c r="AJ88" i="27"/>
  <c r="AJ78" i="27"/>
  <c r="AI67" i="27"/>
  <c r="AK36" i="27"/>
  <c r="AE86" i="27"/>
  <c r="AF71" i="27"/>
  <c r="AF75" i="27"/>
  <c r="AF80" i="27"/>
  <c r="AK34" i="27"/>
  <c r="AE85" i="27"/>
  <c r="AI61" i="27"/>
  <c r="AJ82" i="27"/>
  <c r="AI73" i="27"/>
  <c r="AJ93" i="27"/>
  <c r="AI64" i="27"/>
  <c r="AE59" i="27"/>
  <c r="AF70" i="27"/>
  <c r="AK40" i="27"/>
  <c r="AE94" i="27"/>
  <c r="AI95" i="27"/>
  <c r="AF55" i="27"/>
  <c r="AF58" i="27"/>
  <c r="AE80" i="27"/>
  <c r="AI68" i="27"/>
  <c r="AI76" i="27"/>
  <c r="AJ70" i="27"/>
  <c r="AE57" i="27"/>
  <c r="AE73" i="27"/>
  <c r="AF94" i="27"/>
  <c r="AK28" i="27"/>
  <c r="AF96" i="27"/>
  <c r="AJ56" i="27"/>
  <c r="AE97" i="27"/>
  <c r="AI81" i="27"/>
  <c r="AF97" i="27"/>
  <c r="AE77" i="27"/>
  <c r="AI97" i="27"/>
  <c r="AJ51" i="27"/>
  <c r="AF85" i="27"/>
  <c r="AE98" i="27"/>
  <c r="AF87" i="27"/>
  <c r="AF84" i="27"/>
  <c r="AF98" i="27"/>
  <c r="AJ85" i="27"/>
  <c r="AF62" i="27"/>
  <c r="AJ94" i="27"/>
  <c r="AE45" i="27"/>
  <c r="AI94" i="27"/>
  <c r="AE70" i="27"/>
  <c r="AE65" i="27"/>
  <c r="AE60" i="27"/>
  <c r="AK26" i="27"/>
  <c r="AE61" i="27"/>
  <c r="AE66" i="27"/>
  <c r="AF50" i="27"/>
  <c r="AI59" i="27"/>
  <c r="AK31" i="27"/>
  <c r="AF78" i="27"/>
  <c r="AF66" i="27"/>
  <c r="AE88" i="27"/>
  <c r="AJ49" i="27"/>
  <c r="AE52" i="27"/>
  <c r="Q20" i="27"/>
  <c r="AJ71" i="27"/>
  <c r="AK29" i="27"/>
  <c r="AE78" i="27"/>
  <c r="AJ53" i="27"/>
  <c r="AJ89" i="27"/>
  <c r="AI63" i="27"/>
  <c r="AF79" i="27"/>
  <c r="D16" i="27"/>
  <c r="AJ77" i="27"/>
  <c r="AF65" i="27"/>
  <c r="AJ76" i="27"/>
  <c r="AJ69" i="27"/>
  <c r="AF76" i="27"/>
  <c r="AE63" i="27"/>
  <c r="AI96" i="27"/>
  <c r="AJ99" i="27"/>
  <c r="AF69" i="27"/>
  <c r="AI54" i="27"/>
  <c r="AI88" i="27"/>
  <c r="AI99" i="27"/>
  <c r="AE54" i="27"/>
  <c r="AF99" i="27"/>
  <c r="AF51" i="27"/>
  <c r="AI74" i="27"/>
  <c r="AI75" i="27"/>
  <c r="AE62" i="27"/>
  <c r="AE46" i="27"/>
  <c r="AI57" i="27"/>
  <c r="AI50" i="27"/>
  <c r="AJ91" i="27"/>
  <c r="AF52" i="27"/>
  <c r="AI65" i="27"/>
  <c r="AE47" i="27"/>
  <c r="AJ65" i="27"/>
  <c r="AI46" i="27"/>
  <c r="AF46" i="27"/>
  <c r="AJ95" i="27"/>
  <c r="AJ81" i="27"/>
  <c r="AI62" i="27"/>
  <c r="AE96" i="27"/>
  <c r="AF74" i="27"/>
  <c r="AJ75" i="27"/>
  <c r="AK38" i="27"/>
  <c r="AE89" i="27"/>
  <c r="AJ87" i="27"/>
  <c r="AJ54" i="27"/>
  <c r="AK37" i="27"/>
  <c r="AJ63" i="27"/>
  <c r="AE76" i="27"/>
  <c r="AC19" i="27"/>
  <c r="AI56" i="27"/>
  <c r="AF81" i="27"/>
  <c r="AF43" i="27"/>
  <c r="AF82" i="27"/>
  <c r="AI52" i="27"/>
  <c r="AJ96" i="27"/>
  <c r="AE72" i="27"/>
  <c r="AI71" i="27"/>
  <c r="AK42" i="27"/>
  <c r="AJ61" i="27"/>
  <c r="AF86" i="27"/>
  <c r="AJ60" i="27"/>
  <c r="AF56" i="27"/>
  <c r="AI91" i="27"/>
  <c r="AF72" i="27"/>
  <c r="AF64" i="27"/>
  <c r="AI87" i="27"/>
  <c r="AI78" i="27"/>
  <c r="AF57" i="27"/>
  <c r="AE95" i="27"/>
  <c r="AI86" i="27"/>
  <c r="AK24" i="27"/>
  <c r="AE50" i="27"/>
  <c r="AI83" i="27"/>
  <c r="AK32" i="27"/>
  <c r="AF89" i="27"/>
  <c r="AJ58" i="27"/>
  <c r="B19" i="27" a="1"/>
  <c r="B19" i="27" s="1"/>
  <c r="AE64" i="27"/>
  <c r="AJ50" i="27"/>
  <c r="AI80" i="27"/>
  <c r="AE53" i="27"/>
  <c r="AI47" i="27"/>
  <c r="AF61" i="27"/>
  <c r="AF53" i="27"/>
  <c r="AK35" i="27"/>
  <c r="AJ86" i="27"/>
  <c r="AJ46" i="27"/>
  <c r="AF45" i="27"/>
  <c r="AF54" i="27"/>
  <c r="AJ52" i="27"/>
  <c r="AJ72" i="27"/>
  <c r="AI79" i="27"/>
  <c r="AI89" i="27"/>
  <c r="AI93" i="27"/>
  <c r="AI58" i="27"/>
  <c r="AE49" i="27"/>
  <c r="AF95" i="27"/>
  <c r="AF88" i="27"/>
  <c r="AJ48" i="27"/>
  <c r="AE58" i="27"/>
  <c r="AF92" i="27"/>
  <c r="AI92" i="27"/>
  <c r="AI98" i="27"/>
  <c r="AI82" i="27"/>
  <c r="AJ79" i="27"/>
  <c r="AE84" i="27"/>
  <c r="AE87" i="27"/>
  <c r="AF77" i="27"/>
  <c r="AI55" i="27"/>
  <c r="AF91" i="27"/>
  <c r="AJ47" i="27"/>
  <c r="AE99" i="27"/>
  <c r="AE92" i="27"/>
  <c r="AF48" i="27"/>
  <c r="AJ83" i="27"/>
  <c r="AF63" i="27"/>
  <c r="AI48" i="27"/>
  <c r="AE90" i="27"/>
  <c r="AI85" i="27"/>
  <c r="AJ73" i="27"/>
  <c r="AJ68" i="27"/>
  <c r="AJ97" i="27"/>
  <c r="AF67" i="27"/>
  <c r="AJ66" i="27"/>
  <c r="AK39" i="27"/>
  <c r="AK23" i="27"/>
  <c r="AJ74" i="27"/>
  <c r="AJ98" i="27"/>
  <c r="AI60" i="27"/>
  <c r="AF73" i="27"/>
  <c r="AK33" i="27"/>
  <c r="AI90" i="27"/>
  <c r="AE91" i="27"/>
  <c r="AJ55" i="27"/>
  <c r="AI77" i="27"/>
  <c r="AI69" i="27"/>
  <c r="AE74" i="27"/>
  <c r="AI51" i="27"/>
  <c r="AE82" i="27"/>
  <c r="AF49" i="27"/>
  <c r="AJ92" i="27"/>
  <c r="AE48" i="27"/>
  <c r="AJ84" i="27"/>
  <c r="AE43" i="27"/>
  <c r="AF90" i="27"/>
  <c r="AI72" i="27"/>
  <c r="AE83" i="27"/>
  <c r="AI45" i="27"/>
  <c r="AI84" i="27"/>
  <c r="AF68" i="27"/>
  <c r="AJ45" i="27"/>
  <c r="AJ62" i="27"/>
  <c r="AI70" i="27"/>
  <c r="AK25" i="27"/>
  <c r="AE55" i="27"/>
  <c r="AF47" i="27"/>
  <c r="AE93" i="27"/>
  <c r="AE79" i="27"/>
  <c r="AE44" i="27"/>
  <c r="I38" i="27"/>
  <c r="I58" i="27"/>
  <c r="AI35" i="27"/>
  <c r="AE35" i="27"/>
  <c r="AF32" i="27"/>
  <c r="AJ31" i="27"/>
  <c r="B15" i="27" a="1"/>
  <c r="B15" i="27" s="1"/>
  <c r="AE36" i="27"/>
  <c r="AJ26" i="27"/>
  <c r="AE39" i="27"/>
  <c r="AE28" i="27"/>
  <c r="I33" i="27"/>
  <c r="I53" i="27"/>
  <c r="AJ40" i="27"/>
  <c r="AI22" i="27"/>
  <c r="AI40" i="27"/>
  <c r="AJ38" i="27"/>
  <c r="AF31" i="27"/>
  <c r="AE22" i="27"/>
  <c r="I59" i="27"/>
  <c r="I36" i="27"/>
  <c r="AF30" i="27"/>
  <c r="AF39" i="27"/>
  <c r="AE24" i="27"/>
  <c r="AJ28" i="27"/>
  <c r="AJ34" i="27"/>
  <c r="AE33" i="27"/>
  <c r="G15" i="27" a="1"/>
  <c r="G15" i="27" s="1"/>
  <c r="G14" i="27" s="1"/>
  <c r="AF29" i="27"/>
  <c r="AI43" i="27"/>
  <c r="AF36" i="27"/>
  <c r="I42" i="27"/>
  <c r="I27" i="27"/>
  <c r="I46" i="27"/>
  <c r="AE37" i="27"/>
  <c r="E18" i="27"/>
  <c r="I11" i="27" s="1"/>
  <c r="AJ30" i="27"/>
  <c r="AE26" i="27"/>
  <c r="AJ39" i="27"/>
  <c r="AJ25" i="27"/>
  <c r="AE41" i="27"/>
  <c r="I37" i="27"/>
  <c r="I61" i="27"/>
  <c r="I55" i="27"/>
  <c r="AF25" i="27"/>
  <c r="A16" i="27" a="1"/>
  <c r="A16" i="27" s="1"/>
  <c r="AI24" i="27"/>
  <c r="AE34" i="27"/>
  <c r="AI37" i="27"/>
  <c r="AF28" i="27"/>
  <c r="AI42" i="27"/>
  <c r="AF23" i="27"/>
  <c r="I24" i="27"/>
  <c r="I40" i="27"/>
  <c r="I31" i="27"/>
  <c r="AF41" i="27"/>
  <c r="AI27" i="27"/>
  <c r="G16" i="27" a="1"/>
  <c r="G16" i="27" s="1"/>
  <c r="AI33" i="27"/>
  <c r="AI31" i="27"/>
  <c r="AI32" i="27"/>
  <c r="AF42" i="27"/>
  <c r="AI23" i="27"/>
  <c r="AJ36" i="27"/>
  <c r="AI36" i="27"/>
  <c r="AE30" i="27"/>
  <c r="AI30" i="27"/>
  <c r="I30" i="27"/>
  <c r="I50" i="27"/>
  <c r="I35" i="27"/>
  <c r="I60" i="27"/>
  <c r="AI44" i="27"/>
  <c r="AJ44" i="27"/>
  <c r="AI38" i="27"/>
  <c r="AJ24" i="27"/>
  <c r="AE38" i="27"/>
  <c r="AJ23" i="27"/>
  <c r="AJ37" i="27"/>
  <c r="AF40" i="27"/>
  <c r="I25" i="27"/>
  <c r="I41" i="27"/>
  <c r="I56" i="27"/>
  <c r="I26" i="27"/>
  <c r="AE25" i="27"/>
  <c r="AJ22" i="27"/>
  <c r="AE29" i="27"/>
  <c r="AF37" i="27"/>
  <c r="I47" i="27"/>
  <c r="I28" i="27"/>
  <c r="I44" i="27"/>
  <c r="I48" i="27"/>
  <c r="AF22" i="27"/>
  <c r="AI39" i="27"/>
  <c r="AJ35" i="27"/>
  <c r="B16" i="27" a="1"/>
  <c r="B16" i="27" s="1"/>
  <c r="AF26" i="27"/>
  <c r="AJ42" i="27"/>
  <c r="AJ27" i="27"/>
  <c r="AJ41" i="27"/>
  <c r="I34" i="27"/>
  <c r="I54" i="27"/>
  <c r="I43" i="27"/>
  <c r="I39" i="27"/>
  <c r="AF38" i="27"/>
  <c r="AI25" i="27"/>
  <c r="AJ43" i="27"/>
  <c r="AF35" i="27"/>
  <c r="AF27" i="27"/>
  <c r="AE27" i="27"/>
  <c r="AE32" i="27"/>
  <c r="I21" i="27"/>
  <c r="I29" i="27"/>
  <c r="I49" i="27"/>
  <c r="I57" i="27"/>
  <c r="I45" i="27"/>
  <c r="I22" i="27"/>
  <c r="AF34" i="27"/>
  <c r="AI28" i="27"/>
  <c r="AI41" i="27"/>
  <c r="AF33" i="27"/>
  <c r="AE40" i="27"/>
  <c r="AJ33" i="27"/>
  <c r="AI29" i="27"/>
  <c r="AJ29" i="27"/>
  <c r="AI26" i="27"/>
  <c r="A15" i="27" a="1"/>
  <c r="A15" i="27" s="1"/>
  <c r="AE23" i="27"/>
  <c r="I51" i="27"/>
  <c r="I32" i="27"/>
  <c r="I23" i="27"/>
  <c r="AF24" i="27"/>
  <c r="AE42" i="27"/>
  <c r="AE31" i="27"/>
  <c r="AJ32" i="27"/>
  <c r="AI34" i="27"/>
  <c r="I31" i="9"/>
  <c r="H31" i="9"/>
  <c r="BB48" i="4" a="1"/>
  <c r="BB48" i="4" s="1"/>
  <c r="BC48" i="4" s="1"/>
  <c r="AV150" i="13" s="1"/>
  <c r="B48" i="4"/>
  <c r="I68" i="4"/>
  <c r="GR27" i="71" s="1"/>
  <c r="A76" i="4"/>
  <c r="AX123" i="13"/>
  <c r="A223" i="13"/>
  <c r="J920" i="15"/>
  <c r="FZ8" i="71"/>
  <c r="GI12" i="71"/>
  <c r="M84" i="9"/>
  <c r="E909" i="15"/>
  <c r="HS28" i="71"/>
  <c r="IB34" i="71"/>
  <c r="JF20" i="71"/>
  <c r="J704" i="15"/>
  <c r="JX13" i="71"/>
  <c r="JF35" i="71"/>
  <c r="J888" i="15"/>
  <c r="GA38" i="71"/>
  <c r="AM95" i="72"/>
  <c r="GV38" i="71"/>
  <c r="E781" i="15"/>
  <c r="GX9" i="71"/>
  <c r="J865" i="15"/>
  <c r="JC33" i="71"/>
  <c r="W62" i="22"/>
  <c r="Y62" i="22" s="1"/>
  <c r="E311" i="15"/>
  <c r="HA33" i="71"/>
  <c r="J762" i="15"/>
  <c r="IK31" i="71"/>
  <c r="AL16" i="71"/>
  <c r="Z1894" i="13"/>
  <c r="B1894" i="13" s="1" a="1"/>
  <c r="B1894" i="13" s="1"/>
  <c r="E839" i="15"/>
  <c r="E812" i="15"/>
  <c r="JO29" i="71"/>
  <c r="J705" i="15"/>
  <c r="FW11" i="71"/>
  <c r="JU18" i="71"/>
  <c r="JL32" i="71"/>
  <c r="JL23" i="71"/>
  <c r="M96" i="9"/>
  <c r="CW34" i="71"/>
  <c r="HV36" i="71"/>
  <c r="N96" i="69" a="1"/>
  <c r="N96" i="69" s="1"/>
  <c r="J782" i="15"/>
  <c r="E676" i="15"/>
  <c r="HS22" i="71"/>
  <c r="E410" i="15"/>
  <c r="J837" i="15"/>
  <c r="HM30" i="71"/>
  <c r="JC19" i="71"/>
  <c r="JU20" i="71"/>
  <c r="IZ16" i="71"/>
  <c r="M66" i="9"/>
  <c r="M53" i="9"/>
  <c r="IT7" i="71"/>
  <c r="DR6" i="71"/>
  <c r="IB21" i="71"/>
  <c r="T9" i="69"/>
  <c r="E871" i="15"/>
  <c r="I14" i="15" a="1"/>
  <c r="I14" i="15" s="1"/>
  <c r="GU23" i="71"/>
  <c r="F5" i="15"/>
  <c r="M72" i="9"/>
  <c r="HA15" i="71"/>
  <c r="JF25" i="71"/>
  <c r="IT31" i="71"/>
  <c r="GC4" i="71"/>
  <c r="AL9" i="71"/>
  <c r="BL94" i="72"/>
  <c r="J862" i="15"/>
  <c r="E770" i="15"/>
  <c r="JU10" i="71"/>
  <c r="N83" i="9"/>
  <c r="FH16" i="71"/>
  <c r="N22" i="9"/>
  <c r="HD34" i="71"/>
  <c r="E950" i="15"/>
  <c r="E721" i="15"/>
  <c r="FZ6" i="71"/>
  <c r="J847" i="15"/>
  <c r="E211" i="15"/>
  <c r="A94" i="72"/>
  <c r="HJ31" i="71"/>
  <c r="JF18" i="71"/>
  <c r="W53" i="22"/>
  <c r="Y53" i="22" s="1"/>
  <c r="IN8" i="71"/>
  <c r="J793" i="15"/>
  <c r="J884" i="15"/>
  <c r="EA16" i="71"/>
  <c r="CB34" i="71"/>
  <c r="A96" i="69"/>
  <c r="Q94" i="69"/>
  <c r="E947" i="15"/>
  <c r="IN5" i="71"/>
  <c r="J963" i="15"/>
  <c r="GL13" i="71"/>
  <c r="E942" i="15"/>
  <c r="IB9" i="71"/>
  <c r="J521" i="15"/>
  <c r="DI34" i="71"/>
  <c r="CW29" i="71"/>
  <c r="BE10" i="69"/>
  <c r="JP38" i="71"/>
  <c r="EJ27" i="71"/>
  <c r="J804" i="15"/>
  <c r="HM10" i="71"/>
  <c r="HM24" i="71"/>
  <c r="J56" i="23" a="1"/>
  <c r="J56" i="23" s="1"/>
  <c r="FH18" i="71"/>
  <c r="EJ5" i="71"/>
  <c r="IQ6" i="71"/>
  <c r="GU17" i="71"/>
  <c r="GU36" i="71"/>
  <c r="IN22" i="71"/>
  <c r="IN19" i="71"/>
  <c r="AV797" i="13"/>
  <c r="BN9" i="72"/>
  <c r="E824" i="15"/>
  <c r="J975" i="15"/>
  <c r="IK12" i="71"/>
  <c r="GX19" i="71"/>
  <c r="GX22" i="71"/>
  <c r="GR17" i="71"/>
  <c r="FH12" i="71"/>
  <c r="J611" i="15"/>
  <c r="AS94" i="69"/>
  <c r="JO6" i="71"/>
  <c r="E821" i="15"/>
  <c r="HD33" i="71"/>
  <c r="HA11" i="71"/>
  <c r="F12" i="15"/>
  <c r="HV23" i="71"/>
  <c r="E551" i="15"/>
  <c r="CZ34" i="71"/>
  <c r="AO94" i="72"/>
  <c r="J886" i="15"/>
  <c r="GL10" i="71"/>
  <c r="E739" i="15"/>
  <c r="E717" i="15"/>
  <c r="JR17" i="71"/>
  <c r="JO16" i="71"/>
  <c r="IQ30" i="71"/>
  <c r="GX15" i="71"/>
  <c r="AC32" i="71"/>
  <c r="IZ22" i="71"/>
  <c r="IZ12" i="71"/>
  <c r="DO16" i="71"/>
  <c r="BD13" i="71"/>
  <c r="J496" i="15"/>
  <c r="K25" i="71"/>
  <c r="FB11" i="71"/>
  <c r="IT35" i="71"/>
  <c r="J953" i="15"/>
  <c r="F47" i="14"/>
  <c r="P47" i="14" s="1"/>
  <c r="Z47" i="14" s="1"/>
  <c r="GL27" i="71"/>
  <c r="BD20" i="71"/>
  <c r="BS28" i="71"/>
  <c r="M42" i="9"/>
  <c r="DF16" i="71"/>
  <c r="GU31" i="71"/>
  <c r="J527" i="15"/>
  <c r="K77" i="4"/>
  <c r="AT77" i="4" s="1"/>
  <c r="AV679" i="13" s="1"/>
  <c r="A227" i="13"/>
  <c r="AX127" i="13"/>
  <c r="BG3" i="69"/>
  <c r="R3" i="69"/>
  <c r="BD3" i="69"/>
  <c r="BQ3" i="69" a="1"/>
  <c r="BQ3" i="69" s="1"/>
  <c r="BP3" i="69"/>
  <c r="BO3" i="69" s="1"/>
  <c r="BR3" i="69" s="1"/>
  <c r="BH3" i="69"/>
  <c r="L3" i="69"/>
  <c r="AY3" i="69" a="1"/>
  <c r="AY3" i="69" s="1"/>
  <c r="BV3" i="69"/>
  <c r="BE3" i="69"/>
  <c r="AV1398" i="13"/>
  <c r="AE3" i="69" a="1"/>
  <c r="AE3" i="69" s="1"/>
  <c r="E3" i="69"/>
  <c r="A263" i="13"/>
  <c r="AX163" i="13"/>
  <c r="AY25" i="4"/>
  <c r="AD25" i="4"/>
  <c r="CW25" i="4"/>
  <c r="CX25" i="4" s="1"/>
  <c r="A56" i="4"/>
  <c r="A1278" i="13"/>
  <c r="AX1179" i="13"/>
  <c r="C58" i="1"/>
  <c r="AX763" i="13"/>
  <c r="AY763" i="13"/>
  <c r="AV763" i="13"/>
  <c r="BB11" i="4" a="1"/>
  <c r="BB11" i="4" s="1"/>
  <c r="BC11" i="4" s="1"/>
  <c r="AV113" i="13" s="1"/>
  <c r="B11" i="4"/>
  <c r="M74" i="4"/>
  <c r="AX1133" i="13"/>
  <c r="A1232" i="13"/>
  <c r="AX1138" i="13"/>
  <c r="A1237" i="13"/>
  <c r="B28" i="4"/>
  <c r="BB28" i="4" a="1"/>
  <c r="BB28" i="4" s="1"/>
  <c r="BC28" i="4" s="1"/>
  <c r="AV130" i="13" s="1"/>
  <c r="C46" i="1"/>
  <c r="M65" i="4"/>
  <c r="CA47" i="4" a="1"/>
  <c r="CA47" i="4" s="1"/>
  <c r="BY47" i="4" s="1" a="1"/>
  <c r="BY47" i="4" s="1"/>
  <c r="BZ47" i="4" a="1"/>
  <c r="BZ47" i="4" s="1"/>
  <c r="E44" i="4"/>
  <c r="M83" i="4"/>
  <c r="AX130" i="13"/>
  <c r="A230" i="13"/>
  <c r="DG41" i="4"/>
  <c r="E41" i="4"/>
  <c r="BA95" i="4"/>
  <c r="A268" i="13"/>
  <c r="AX168" i="13"/>
  <c r="BZ49" i="4" a="1"/>
  <c r="BZ49" i="4" s="1"/>
  <c r="CA49" i="4" a="1"/>
  <c r="CA49" i="4" s="1"/>
  <c r="BY49" i="4" s="1" a="1"/>
  <c r="BY49" i="4" s="1"/>
  <c r="I16" i="9"/>
  <c r="H16" i="9"/>
  <c r="BT79" i="4"/>
  <c r="AX1128" i="13"/>
  <c r="A1227" i="13"/>
  <c r="AD26" i="4"/>
  <c r="AY26" i="4"/>
  <c r="CW26" i="4"/>
  <c r="CX26" i="4" s="1"/>
  <c r="BT82" i="4"/>
  <c r="AX1167" i="13"/>
  <c r="A1266" i="13"/>
  <c r="A271" i="13"/>
  <c r="AX171" i="13"/>
  <c r="AX784" i="13"/>
  <c r="AV784" i="13"/>
  <c r="AY784" i="13"/>
  <c r="Z1839" i="13"/>
  <c r="B1839" i="13" s="1" a="1"/>
  <c r="B1839" i="13" s="1"/>
  <c r="BT66" i="4"/>
  <c r="Z1877" i="13"/>
  <c r="B1877" i="13" s="1" a="1"/>
  <c r="B1877" i="13" s="1"/>
  <c r="CY30" i="4"/>
  <c r="CZ30" i="4" s="1"/>
  <c r="AY30" i="4"/>
  <c r="CW30" i="4"/>
  <c r="CX30" i="4" s="1"/>
  <c r="AD30" i="4"/>
  <c r="I72" i="9"/>
  <c r="H72" i="9"/>
  <c r="A286" i="13"/>
  <c r="AX186" i="13"/>
  <c r="AX1186" i="13"/>
  <c r="A1285" i="13"/>
  <c r="AX789" i="13"/>
  <c r="AY789" i="13"/>
  <c r="AV789" i="13"/>
  <c r="A255" i="13"/>
  <c r="AX155" i="13"/>
  <c r="CA19" i="4" a="1"/>
  <c r="CA19" i="4" s="1"/>
  <c r="BY19" i="4" s="1" a="1"/>
  <c r="BY19" i="4" s="1"/>
  <c r="BZ19" i="4" a="1"/>
  <c r="BZ19" i="4" s="1"/>
  <c r="M10" i="72"/>
  <c r="AV112" i="13"/>
  <c r="I73" i="9"/>
  <c r="H73" i="9"/>
  <c r="A240" i="13"/>
  <c r="AX140" i="13"/>
  <c r="A80" i="4"/>
  <c r="BA92" i="4"/>
  <c r="B36" i="4"/>
  <c r="BB36" i="4" a="1"/>
  <c r="BB36" i="4" s="1"/>
  <c r="BC36" i="4" s="1"/>
  <c r="AV138" i="13" s="1"/>
  <c r="BB38" i="4" a="1"/>
  <c r="BB38" i="4" s="1"/>
  <c r="BC38" i="4" s="1"/>
  <c r="AV140" i="13" s="1"/>
  <c r="B38" i="4"/>
  <c r="E658" i="15" s="1"/>
  <c r="A73" i="4"/>
  <c r="A90" i="4"/>
  <c r="E6" i="4"/>
  <c r="BE6" i="4" s="1"/>
  <c r="BE10" i="4"/>
  <c r="BA13" i="71"/>
  <c r="CW20" i="4"/>
  <c r="CX20" i="4" s="1"/>
  <c r="AD20" i="4"/>
  <c r="AY20" i="4"/>
  <c r="BA8" i="71"/>
  <c r="BA15" i="71"/>
  <c r="BA16" i="71"/>
  <c r="BB38" i="71"/>
  <c r="BA12" i="71"/>
  <c r="BA23" i="71"/>
  <c r="BA24" i="71"/>
  <c r="BA4" i="71"/>
  <c r="BA34" i="71"/>
  <c r="BA7" i="71"/>
  <c r="BA33" i="71"/>
  <c r="BA28" i="71"/>
  <c r="BA21" i="71"/>
  <c r="BA20" i="71"/>
  <c r="BA31" i="71"/>
  <c r="BA35" i="71"/>
  <c r="BA19" i="71"/>
  <c r="BA10" i="71"/>
  <c r="BA22" i="71"/>
  <c r="BA9" i="71"/>
  <c r="BA25" i="71"/>
  <c r="BA32" i="71"/>
  <c r="BA6" i="71"/>
  <c r="BA26" i="71"/>
  <c r="BA11" i="71"/>
  <c r="BA14" i="71"/>
  <c r="BB15" i="4" a="1"/>
  <c r="BB15" i="4" s="1"/>
  <c r="BC15" i="4" s="1"/>
  <c r="AV117" i="13" s="1"/>
  <c r="B15" i="4"/>
  <c r="J522" i="15"/>
  <c r="AX1171" i="13"/>
  <c r="A1270" i="13"/>
  <c r="AY708" i="13"/>
  <c r="AV708" i="13"/>
  <c r="S7" i="4" s="1"/>
  <c r="AX708" i="13"/>
  <c r="Z1843" i="13"/>
  <c r="B1843" i="13" s="1" a="1"/>
  <c r="B1843" i="13" s="1"/>
  <c r="BZ93" i="4" a="1"/>
  <c r="BZ93" i="4" s="1"/>
  <c r="CA93" i="4" a="1"/>
  <c r="CA93" i="4" s="1"/>
  <c r="BY93" i="4" s="1" a="1"/>
  <c r="BY93" i="4" s="1"/>
  <c r="A241" i="13"/>
  <c r="AX141" i="13"/>
  <c r="DG9" i="4"/>
  <c r="E9" i="4"/>
  <c r="E338" i="15"/>
  <c r="E575" i="15"/>
  <c r="E663" i="15"/>
  <c r="E563" i="15"/>
  <c r="E353" i="15"/>
  <c r="E50" i="15"/>
  <c r="E179" i="15"/>
  <c r="I29" i="9"/>
  <c r="H29" i="9"/>
  <c r="C37" i="1"/>
  <c r="A1212" i="13"/>
  <c r="AX1113" i="13"/>
  <c r="C18" i="1"/>
  <c r="B39" i="4"/>
  <c r="CY39" i="4" s="1"/>
  <c r="CZ39" i="4" s="1"/>
  <c r="BB39" i="4" a="1"/>
  <c r="BB39" i="4" s="1"/>
  <c r="BC39" i="4" s="1"/>
  <c r="AV141" i="13" s="1"/>
  <c r="I70" i="9"/>
  <c r="AX1115" i="13"/>
  <c r="A1214" i="13"/>
  <c r="I76" i="4"/>
  <c r="A58" i="4"/>
  <c r="L95" i="69"/>
  <c r="M79" i="9"/>
  <c r="EJ13" i="71"/>
  <c r="JU9" i="71"/>
  <c r="IE19" i="71"/>
  <c r="IN32" i="71"/>
  <c r="GO30" i="71"/>
  <c r="HG29" i="71"/>
  <c r="HS13" i="71"/>
  <c r="IQ9" i="71"/>
  <c r="E974" i="15"/>
  <c r="M70" i="9"/>
  <c r="FH23" i="71"/>
  <c r="H59" i="23" a="1"/>
  <c r="H59" i="23" s="1"/>
  <c r="AJ1197" i="13" a="1"/>
  <c r="AJ1197" i="13" s="1"/>
  <c r="P96" i="72"/>
  <c r="FT11" i="71"/>
  <c r="GO9" i="71"/>
  <c r="JI24" i="71"/>
  <c r="HG23" i="71"/>
  <c r="FW23" i="71"/>
  <c r="V53" i="22"/>
  <c r="FK5" i="71"/>
  <c r="FT26" i="71"/>
  <c r="N82" i="9"/>
  <c r="FZ29" i="71"/>
  <c r="E861" i="15"/>
  <c r="J738" i="15"/>
  <c r="DF13" i="71"/>
  <c r="U9" i="69" a="1"/>
  <c r="U9" i="69" s="1"/>
  <c r="E836" i="15"/>
  <c r="E759" i="15"/>
  <c r="IN11" i="71"/>
  <c r="E590" i="15"/>
  <c r="HV16" i="71"/>
  <c r="J753" i="15"/>
  <c r="GO34" i="71"/>
  <c r="IN25" i="71"/>
  <c r="Y58" i="14" a="1"/>
  <c r="Y58" i="14" s="1"/>
  <c r="E984" i="15"/>
  <c r="FH17" i="71"/>
  <c r="E890" i="15"/>
  <c r="J667" i="15"/>
  <c r="J987" i="15"/>
  <c r="HJ20" i="71"/>
  <c r="J964" i="15"/>
  <c r="JF9" i="71"/>
  <c r="V33" i="22"/>
  <c r="HA9" i="71"/>
  <c r="AI10" i="71"/>
  <c r="IE11" i="71"/>
  <c r="Y96" i="72"/>
  <c r="JO17" i="71"/>
  <c r="J950" i="15"/>
  <c r="GX8" i="71"/>
  <c r="N33" i="9"/>
  <c r="E484" i="15"/>
  <c r="JO5" i="71"/>
  <c r="FB18" i="71"/>
  <c r="EG6" i="71"/>
  <c r="AB95" i="69" a="1"/>
  <c r="AB95" i="69" s="1"/>
  <c r="IT18" i="71"/>
  <c r="HA28" i="71"/>
  <c r="E753" i="15"/>
  <c r="JA38" i="71"/>
  <c r="J857" i="15"/>
  <c r="J546" i="15"/>
  <c r="IB14" i="71"/>
  <c r="E598" i="15"/>
  <c r="JC4" i="71"/>
  <c r="HY26" i="71"/>
  <c r="N65" i="9"/>
  <c r="E404" i="15"/>
  <c r="N57" i="23" a="1"/>
  <c r="N57" i="23" s="1"/>
  <c r="N35" i="23" s="1"/>
  <c r="J997" i="15"/>
  <c r="J972" i="15"/>
  <c r="E48" i="15"/>
  <c r="J962" i="15"/>
  <c r="N78" i="9"/>
  <c r="K59" i="23" a="1"/>
  <c r="K59" i="23" s="1"/>
  <c r="FW7" i="71"/>
  <c r="IH18" i="71"/>
  <c r="BV21" i="71"/>
  <c r="E63" i="15"/>
  <c r="W95" i="69"/>
  <c r="Y95" i="69"/>
  <c r="P94" i="72"/>
  <c r="JF16" i="71"/>
  <c r="FK13" i="71"/>
  <c r="HS30" i="71"/>
  <c r="E868" i="15"/>
  <c r="J778" i="15"/>
  <c r="JI9" i="71"/>
  <c r="GI35" i="71"/>
  <c r="JX7" i="71"/>
  <c r="ES13" i="71"/>
  <c r="BA30" i="71"/>
  <c r="Q96" i="72"/>
  <c r="IW9" i="71"/>
  <c r="J806" i="15"/>
  <c r="E291" i="15"/>
  <c r="FZ11" i="71"/>
  <c r="N98" i="9"/>
  <c r="HD30" i="71"/>
  <c r="E862" i="15"/>
  <c r="J745" i="15"/>
  <c r="DL20" i="71"/>
  <c r="J929" i="15"/>
  <c r="N36" i="9"/>
  <c r="HP11" i="71"/>
  <c r="JL24" i="71"/>
  <c r="E46" i="15"/>
  <c r="Z1500" i="13"/>
  <c r="HS24" i="71"/>
  <c r="N79" i="9"/>
  <c r="J961" i="15"/>
  <c r="J504" i="15"/>
  <c r="AB95" i="72"/>
  <c r="AK9" i="72" a="1"/>
  <c r="AK9" i="72" s="1"/>
  <c r="GX4" i="71"/>
  <c r="J860" i="15"/>
  <c r="IB6" i="71"/>
  <c r="E899" i="15"/>
  <c r="HA14" i="71"/>
  <c r="JO32" i="71"/>
  <c r="FH31" i="71"/>
  <c r="BS6" i="71"/>
  <c r="EJ8" i="71"/>
  <c r="BS10" i="69"/>
  <c r="Q94" i="72"/>
  <c r="FN13" i="71"/>
  <c r="HJ4" i="71"/>
  <c r="HA22" i="71"/>
  <c r="GO21" i="71"/>
  <c r="E904" i="15"/>
  <c r="J720" i="15"/>
  <c r="HG26" i="71"/>
  <c r="GL21" i="71"/>
  <c r="I202" i="13" a="1"/>
  <c r="I202" i="13" s="1"/>
  <c r="JI16" i="71"/>
  <c r="J557" i="15"/>
  <c r="J649" i="15"/>
  <c r="JO9" i="71"/>
  <c r="V65" i="22"/>
  <c r="J551" i="15"/>
  <c r="DX24" i="71"/>
  <c r="AX10" i="71"/>
  <c r="AU12" i="71"/>
  <c r="DR12" i="71"/>
  <c r="BG23" i="71"/>
  <c r="E755" i="15"/>
  <c r="J57" i="14" a="1"/>
  <c r="J57" i="14" s="1"/>
  <c r="GF30" i="71"/>
  <c r="U202" i="13" a="1"/>
  <c r="U202" i="13" s="1"/>
  <c r="HS27" i="71"/>
  <c r="FK16" i="71"/>
  <c r="IZ35" i="71"/>
  <c r="N96" i="9"/>
  <c r="GL36" i="71"/>
  <c r="AI22" i="71"/>
  <c r="CE28" i="71"/>
  <c r="DI16" i="71"/>
  <c r="BZ5" i="4" a="1"/>
  <c r="BZ5" i="4" s="1"/>
  <c r="CA5" i="4" a="1"/>
  <c r="CA5" i="4" s="1"/>
  <c r="BY5" i="4" s="1" a="1"/>
  <c r="BY5" i="4" s="1"/>
  <c r="C61" i="1"/>
  <c r="AX1189" i="13"/>
  <c r="A1288" i="13"/>
  <c r="BZ17" i="4" a="1"/>
  <c r="BZ17" i="4" s="1"/>
  <c r="CA17" i="4" a="1"/>
  <c r="CA17" i="4" s="1"/>
  <c r="BY17" i="4" s="1" a="1"/>
  <c r="BY17" i="4" s="1"/>
  <c r="C57" i="1"/>
  <c r="C72" i="1"/>
  <c r="AX777" i="13"/>
  <c r="AV777" i="13"/>
  <c r="AY777" i="13"/>
  <c r="BP40" i="4"/>
  <c r="G40" i="4"/>
  <c r="G31" i="4"/>
  <c r="BP31" i="4"/>
  <c r="G41" i="4"/>
  <c r="BP41" i="4"/>
  <c r="BP82" i="4"/>
  <c r="G82" i="4"/>
  <c r="BP43" i="4"/>
  <c r="G43" i="4"/>
  <c r="BP36" i="4"/>
  <c r="G36" i="4"/>
  <c r="G7" i="4"/>
  <c r="BP7" i="4"/>
  <c r="G42" i="4"/>
  <c r="DA42" i="4" s="1"/>
  <c r="DB42" i="4" s="1"/>
  <c r="BP42" i="4"/>
  <c r="BP72" i="4"/>
  <c r="G72" i="4"/>
  <c r="BP81" i="4"/>
  <c r="G81" i="4"/>
  <c r="C5" i="1"/>
  <c r="AX1131" i="13"/>
  <c r="A1230" i="13"/>
  <c r="Z1873" i="13"/>
  <c r="B1873" i="13" s="1" a="1"/>
  <c r="B1873" i="13" s="1"/>
  <c r="CA59" i="4" a="1"/>
  <c r="CA59" i="4" s="1"/>
  <c r="BY59" i="4" s="1" a="1"/>
  <c r="BY59" i="4" s="1"/>
  <c r="BZ59" i="4" a="1"/>
  <c r="BZ59" i="4" s="1"/>
  <c r="V58" i="72"/>
  <c r="X58" i="69"/>
  <c r="G83" i="4"/>
  <c r="BP83" i="4"/>
  <c r="G13" i="4"/>
  <c r="BP13" i="4"/>
  <c r="BX71" i="4"/>
  <c r="BX37" i="4"/>
  <c r="BP5" i="4"/>
  <c r="G5" i="4"/>
  <c r="J573" i="15"/>
  <c r="B5" i="4"/>
  <c r="CY5" i="4" s="1"/>
  <c r="CZ5" i="4" s="1"/>
  <c r="BB5" i="4" a="1"/>
  <c r="BB5" i="4" s="1"/>
  <c r="BC5" i="4" s="1"/>
  <c r="AX135" i="13"/>
  <c r="A235" i="13"/>
  <c r="C42" i="1"/>
  <c r="C59" i="1"/>
  <c r="BP56" i="4"/>
  <c r="G56" i="4"/>
  <c r="BX77" i="4"/>
  <c r="G50" i="4"/>
  <c r="BP50" i="4"/>
  <c r="BX93" i="4"/>
  <c r="BP39" i="4"/>
  <c r="G39" i="4"/>
  <c r="BP76" i="4"/>
  <c r="G76" i="4"/>
  <c r="AX792" i="13"/>
  <c r="AV792" i="13"/>
  <c r="AY792" i="13"/>
  <c r="H44" i="9"/>
  <c r="I44" i="9"/>
  <c r="AX776" i="13"/>
  <c r="AV776" i="13"/>
  <c r="AY776" i="13"/>
  <c r="CA57" i="4" a="1"/>
  <c r="CA57" i="4" s="1"/>
  <c r="BY57" i="4" s="1" a="1"/>
  <c r="BY57" i="4" s="1"/>
  <c r="BZ57" i="4" a="1"/>
  <c r="BZ57" i="4" s="1"/>
  <c r="AX1174" i="13"/>
  <c r="A1273" i="13"/>
  <c r="BP52" i="4"/>
  <c r="G52" i="4"/>
  <c r="BX83" i="4"/>
  <c r="G34" i="4"/>
  <c r="BP34" i="4"/>
  <c r="BP73" i="4"/>
  <c r="G73" i="4"/>
  <c r="G32" i="4"/>
  <c r="BP32" i="4"/>
  <c r="BP89" i="4"/>
  <c r="G89" i="4"/>
  <c r="BX45" i="4"/>
  <c r="BX59" i="4"/>
  <c r="H19" i="9"/>
  <c r="I19" i="9"/>
  <c r="CA72" i="4" a="1"/>
  <c r="CA72" i="4" s="1"/>
  <c r="BY72" i="4" s="1" a="1"/>
  <c r="BY72" i="4" s="1"/>
  <c r="BZ72" i="4" a="1"/>
  <c r="BZ72" i="4" s="1"/>
  <c r="BX75" i="4"/>
  <c r="BP75" i="4"/>
  <c r="G75" i="4"/>
  <c r="BX56" i="4"/>
  <c r="BP74" i="4"/>
  <c r="G74" i="4"/>
  <c r="BP54" i="4"/>
  <c r="G54" i="4"/>
  <c r="G62" i="4"/>
  <c r="BP62" i="4"/>
  <c r="G65" i="4"/>
  <c r="BP65" i="4"/>
  <c r="BP92" i="4"/>
  <c r="G92" i="4"/>
  <c r="BP68" i="4"/>
  <c r="G68" i="4"/>
  <c r="BX61" i="4"/>
  <c r="I74" i="9"/>
  <c r="H74" i="9"/>
  <c r="Z1874" i="13"/>
  <c r="B1874" i="13" s="1" a="1"/>
  <c r="B1874" i="13" s="1"/>
  <c r="BP11" i="4"/>
  <c r="G11" i="4"/>
  <c r="BP86" i="4"/>
  <c r="G86" i="4"/>
  <c r="G14" i="4"/>
  <c r="BP14" i="4"/>
  <c r="BP8" i="4"/>
  <c r="G8" i="4"/>
  <c r="CY8" i="4" s="1"/>
  <c r="CZ8" i="4" s="1"/>
  <c r="G30" i="4"/>
  <c r="DA30" i="4" s="1"/>
  <c r="DB30" i="4" s="1"/>
  <c r="BP30" i="4"/>
  <c r="BP70" i="4"/>
  <c r="G70" i="4"/>
  <c r="BP71" i="4"/>
  <c r="G71" i="4"/>
  <c r="BX92" i="4"/>
  <c r="BP20" i="4"/>
  <c r="G20" i="4"/>
  <c r="CY20" i="4" s="1"/>
  <c r="CZ20" i="4" s="1"/>
  <c r="G85" i="4"/>
  <c r="BP85" i="4"/>
  <c r="BP51" i="4"/>
  <c r="G51" i="4"/>
  <c r="G57" i="4"/>
  <c r="W89" i="22" s="1"/>
  <c r="Y89" i="22" s="1"/>
  <c r="BP57" i="4"/>
  <c r="BB17" i="4" a="1"/>
  <c r="BB17" i="4" s="1"/>
  <c r="BC17" i="4" s="1"/>
  <c r="AV119" i="13" s="1"/>
  <c r="B17" i="4"/>
  <c r="CY17" i="4" s="1"/>
  <c r="CZ17" i="4" s="1"/>
  <c r="CA81" i="4" a="1"/>
  <c r="CA81" i="4" s="1"/>
  <c r="BY81" i="4" s="1" a="1"/>
  <c r="BY81" i="4" s="1"/>
  <c r="BZ81" i="4" a="1"/>
  <c r="BZ81" i="4" s="1"/>
  <c r="A278" i="13"/>
  <c r="AX178" i="13"/>
  <c r="BX40" i="4"/>
  <c r="BP46" i="4"/>
  <c r="G46" i="4"/>
  <c r="BX44" i="4"/>
  <c r="G69" i="4"/>
  <c r="BP69" i="4"/>
  <c r="BX49" i="4"/>
  <c r="G53" i="4"/>
  <c r="BP53" i="4"/>
  <c r="BP67" i="4"/>
  <c r="G67" i="4"/>
  <c r="BP84" i="4"/>
  <c r="G84" i="4"/>
  <c r="G93" i="4"/>
  <c r="BP93" i="4"/>
  <c r="BP16" i="4"/>
  <c r="G16" i="4"/>
  <c r="BP45" i="4"/>
  <c r="G45" i="4"/>
  <c r="G17" i="4"/>
  <c r="BP17" i="4"/>
  <c r="BX81" i="4"/>
  <c r="H35" i="71"/>
  <c r="H37" i="71" s="1"/>
  <c r="AD5" i="4"/>
  <c r="AY5" i="4"/>
  <c r="CW5" i="4"/>
  <c r="Z1831" i="13"/>
  <c r="B1831" i="13" s="1" a="1"/>
  <c r="B1831" i="13" s="1"/>
  <c r="AX734" i="13"/>
  <c r="AV734" i="13"/>
  <c r="AY734" i="13"/>
  <c r="CA42" i="4" a="1"/>
  <c r="CA42" i="4" s="1"/>
  <c r="BY42" i="4" s="1" a="1"/>
  <c r="BY42" i="4" s="1"/>
  <c r="BZ42" i="4" a="1"/>
  <c r="BZ42" i="4" s="1"/>
  <c r="AR12" i="71"/>
  <c r="AY17" i="4"/>
  <c r="AD17" i="4"/>
  <c r="CW17" i="4"/>
  <c r="CX17" i="4" s="1"/>
  <c r="A1272" i="13"/>
  <c r="AX1173" i="13"/>
  <c r="G91" i="4"/>
  <c r="BP91" i="4"/>
  <c r="BX62" i="4"/>
  <c r="G47" i="4"/>
  <c r="BP47" i="4"/>
  <c r="BP79" i="4"/>
  <c r="G79" i="4"/>
  <c r="BP26" i="4"/>
  <c r="G26" i="4"/>
  <c r="BX82" i="4"/>
  <c r="BP64" i="4"/>
  <c r="G64" i="4"/>
  <c r="G6" i="4"/>
  <c r="BP6" i="4"/>
  <c r="BP22" i="4"/>
  <c r="G22" i="4"/>
  <c r="BX39" i="4"/>
  <c r="CA61" i="4" a="1"/>
  <c r="CA61" i="4" s="1"/>
  <c r="BY61" i="4" s="1" a="1"/>
  <c r="BY61" i="4" s="1"/>
  <c r="BZ61" i="4" a="1"/>
  <c r="BZ61" i="4" s="1"/>
  <c r="Z1889" i="13"/>
  <c r="B1889" i="13" s="1" a="1"/>
  <c r="B1889" i="13" s="1"/>
  <c r="DG42" i="4"/>
  <c r="I83" i="9"/>
  <c r="H83" i="9"/>
  <c r="G33" i="4"/>
  <c r="BP33" i="4"/>
  <c r="G24" i="4"/>
  <c r="BP24" i="4"/>
  <c r="G77" i="4"/>
  <c r="BP77" i="4"/>
  <c r="BX65" i="4"/>
  <c r="BX64" i="4"/>
  <c r="BP19" i="4"/>
  <c r="G19" i="4"/>
  <c r="BX36" i="4"/>
  <c r="BP90" i="4"/>
  <c r="G90" i="4"/>
  <c r="BP15" i="4"/>
  <c r="G15" i="4"/>
  <c r="G29" i="4"/>
  <c r="BP29" i="4"/>
  <c r="BP61" i="4"/>
  <c r="G61" i="4"/>
  <c r="W93" i="22" s="1"/>
  <c r="Y93" i="22" s="1"/>
  <c r="BP59" i="4"/>
  <c r="G59" i="4"/>
  <c r="W91" i="22" s="1"/>
  <c r="Y91" i="22" s="1"/>
  <c r="H7" i="9"/>
  <c r="I7" i="9"/>
  <c r="A293" i="13"/>
  <c r="AX193" i="13"/>
  <c r="CW42" i="4"/>
  <c r="CX42" i="4" s="1"/>
  <c r="AY42" i="4"/>
  <c r="AD42" i="4"/>
  <c r="BX25" i="4"/>
  <c r="BX86" i="4"/>
  <c r="BX52" i="4"/>
  <c r="BP63" i="4"/>
  <c r="G63" i="4"/>
  <c r="BP12" i="4"/>
  <c r="G12" i="4"/>
  <c r="G87" i="4"/>
  <c r="BP87" i="4"/>
  <c r="BP49" i="4"/>
  <c r="G49" i="4"/>
  <c r="BX26" i="4"/>
  <c r="G66" i="4"/>
  <c r="BP66" i="4"/>
  <c r="G38" i="4"/>
  <c r="BP38" i="4"/>
  <c r="G27" i="4"/>
  <c r="BP27" i="4"/>
  <c r="BP18" i="4"/>
  <c r="G18" i="4"/>
  <c r="BP21" i="4"/>
  <c r="G21" i="4"/>
  <c r="BX5" i="4"/>
  <c r="H63" i="9"/>
  <c r="I63" i="9"/>
  <c r="C17" i="1"/>
  <c r="A277" i="13"/>
  <c r="AX177" i="13"/>
  <c r="C81" i="1"/>
  <c r="I61" i="9"/>
  <c r="H61" i="9"/>
  <c r="G25" i="4"/>
  <c r="DA25" i="4" s="1"/>
  <c r="DB25" i="4" s="1"/>
  <c r="BP25" i="4"/>
  <c r="BX74" i="4"/>
  <c r="BX46" i="4"/>
  <c r="BP44" i="4"/>
  <c r="G44" i="4"/>
  <c r="BX69" i="4"/>
  <c r="BX12" i="4"/>
  <c r="BX30" i="4"/>
  <c r="BX84" i="4"/>
  <c r="BX38" i="4"/>
  <c r="BX7" i="4"/>
  <c r="BX15" i="4"/>
  <c r="BX18" i="4"/>
  <c r="BX21" i="4"/>
  <c r="G48" i="4"/>
  <c r="BP48" i="4"/>
  <c r="BX48" i="4"/>
  <c r="Z1609" i="13"/>
  <c r="T17" i="4"/>
  <c r="S17" i="4"/>
  <c r="B42" i="4"/>
  <c r="BB42" i="4" a="1"/>
  <c r="BB42" i="4" s="1"/>
  <c r="BC42" i="4" s="1"/>
  <c r="AV144" i="13" s="1"/>
  <c r="I59" i="9"/>
  <c r="H59" i="9"/>
  <c r="BX11" i="4"/>
  <c r="G28" i="4"/>
  <c r="BP28" i="4"/>
  <c r="BP35" i="4"/>
  <c r="G35" i="4"/>
  <c r="BX50" i="4"/>
  <c r="G88" i="4"/>
  <c r="BP88" i="4"/>
  <c r="BP80" i="4"/>
  <c r="G80" i="4"/>
  <c r="BX80" i="4"/>
  <c r="BX73" i="4"/>
  <c r="BX90" i="4"/>
  <c r="BX22" i="4"/>
  <c r="BP78" i="4"/>
  <c r="G78" i="4"/>
  <c r="BP37" i="4"/>
  <c r="G37" i="4"/>
  <c r="AK23" i="4" a="1"/>
  <c r="AJ23" i="4" a="1"/>
  <c r="BL51" i="4" a="1"/>
  <c r="BJ51" i="4" a="1"/>
  <c r="DH51" i="4" a="1"/>
  <c r="BK51" i="4" a="1"/>
  <c r="DH33" i="4" a="1"/>
  <c r="BJ33" i="4" a="1"/>
  <c r="BK33" i="4" a="1"/>
  <c r="BL33" i="4" a="1"/>
  <c r="BL26" i="4" a="1"/>
  <c r="BK26" i="4" a="1"/>
  <c r="BJ26" i="4" a="1"/>
  <c r="DH26" i="4" a="1"/>
  <c r="DH44" i="4" a="1"/>
  <c r="BJ44" i="4" a="1"/>
  <c r="BK44" i="4" a="1"/>
  <c r="BL44" i="4" a="1"/>
  <c r="B60" i="1" a="1"/>
  <c r="DH43" i="4" a="1"/>
  <c r="BK43" i="4" a="1"/>
  <c r="BL43" i="4" a="1"/>
  <c r="BJ43" i="4" a="1"/>
  <c r="BK32" i="4" a="1"/>
  <c r="BL32" i="4" a="1"/>
  <c r="BJ32" i="4" a="1"/>
  <c r="DH32" i="4" a="1"/>
  <c r="BJ50" i="4" a="1"/>
  <c r="BL50" i="4" a="1"/>
  <c r="BK50" i="4" a="1"/>
  <c r="DH50" i="4" a="1"/>
  <c r="BK8" i="4" a="1"/>
  <c r="DH8" i="4" a="1"/>
  <c r="BJ8" i="4" a="1"/>
  <c r="BL8" i="4" a="1"/>
  <c r="BJ16" i="4" a="1"/>
  <c r="BL16" i="4" a="1"/>
  <c r="BK16" i="4" a="1"/>
  <c r="DH16" i="4" a="1"/>
  <c r="BJ27" i="4" a="1"/>
  <c r="DH27" i="4" a="1"/>
  <c r="BK27" i="4" a="1"/>
  <c r="BL27" i="4" a="1"/>
  <c r="DH18" i="4" a="1"/>
  <c r="BJ18" i="4" a="1"/>
  <c r="BK18" i="4" a="1"/>
  <c r="BL18" i="4" a="1"/>
  <c r="DH34" i="4" a="1"/>
  <c r="BJ34" i="4" a="1"/>
  <c r="BK34" i="4" a="1"/>
  <c r="BL34" i="4" a="1"/>
  <c r="CJ55" i="4"/>
  <c r="CI55" i="4" s="1" a="1"/>
  <c r="CP55" i="4" a="1"/>
  <c r="AN55" i="4" a="1"/>
  <c r="CG55" i="4" a="1"/>
  <c r="BQ55" i="4" a="1"/>
  <c r="CS55" i="4"/>
  <c r="AF55" i="4" a="1"/>
  <c r="CC55" i="4" a="1"/>
  <c r="CD55" i="4" a="1"/>
  <c r="CK55" i="4" a="1"/>
  <c r="CV55" i="4"/>
  <c r="AC55" i="4" a="1"/>
  <c r="CM55" i="4" a="1"/>
  <c r="CN55" i="4" a="1"/>
  <c r="CL55" i="4" a="1"/>
  <c r="CO55" i="4" a="1"/>
  <c r="CH55" i="4" a="1"/>
  <c r="AL55" i="4" a="1"/>
  <c r="CE55" i="4" a="1"/>
  <c r="CF55" i="4" a="1"/>
  <c r="BO55" i="4" a="1"/>
  <c r="BL37" i="4" a="1"/>
  <c r="DH37" i="4" a="1"/>
  <c r="BK37" i="4" a="1"/>
  <c r="BJ37" i="4" a="1"/>
  <c r="BL12" i="4" a="1"/>
  <c r="BK12" i="4" a="1"/>
  <c r="DH12" i="4" a="1"/>
  <c r="BJ12" i="4" a="1"/>
  <c r="BJ53" i="4" a="1"/>
  <c r="DH53" i="4" a="1"/>
  <c r="BK53" i="4" a="1"/>
  <c r="BL53" i="4" a="1"/>
  <c r="BK47" i="4" a="1"/>
  <c r="BJ47" i="4" a="1"/>
  <c r="DH47" i="4" a="1"/>
  <c r="BL47" i="4" a="1"/>
  <c r="BK14" i="4" a="1"/>
  <c r="BL14" i="4" a="1"/>
  <c r="DH14" i="4" a="1"/>
  <c r="BJ14" i="4" a="1"/>
  <c r="AO23" i="4" a="1"/>
  <c r="AP23" i="4" a="1"/>
  <c r="BK30" i="4" a="1"/>
  <c r="BJ30" i="4" a="1"/>
  <c r="BL30" i="4" a="1"/>
  <c r="DH30" i="4" a="1"/>
  <c r="BJ54" i="4" a="1"/>
  <c r="BK54" i="4" a="1"/>
  <c r="DH54" i="4" a="1"/>
  <c r="BL54" i="4" a="1"/>
  <c r="AP60" i="4" a="1"/>
  <c r="AO60" i="4" a="1"/>
  <c r="AJ60" i="4" a="1"/>
  <c r="AK60" i="4" a="1"/>
  <c r="BK52" i="4" a="1"/>
  <c r="BJ52" i="4" a="1"/>
  <c r="DH52" i="4" a="1"/>
  <c r="BL52" i="4" a="1"/>
  <c r="BK41" i="4" a="1"/>
  <c r="DH41" i="4" a="1"/>
  <c r="BL41" i="4" a="1"/>
  <c r="BJ41" i="4" a="1"/>
  <c r="BJ24" i="4" a="1"/>
  <c r="BL24" i="4" a="1"/>
  <c r="DH24" i="4" a="1"/>
  <c r="BK24" i="4" a="1"/>
  <c r="AH23" i="4" a="1"/>
  <c r="AG23" i="4" a="1"/>
  <c r="BL25" i="4" a="1"/>
  <c r="BJ25" i="4" a="1"/>
  <c r="DH25" i="4" a="1"/>
  <c r="BK25" i="4" a="1"/>
  <c r="BJ6" i="4" a="1"/>
  <c r="BL6" i="4" a="1"/>
  <c r="BK6" i="4" a="1"/>
  <c r="DH6" i="4" a="1"/>
  <c r="BK19" i="4" a="1"/>
  <c r="BJ19" i="4" a="1"/>
  <c r="DH19" i="4" a="1"/>
  <c r="BL19" i="4" a="1"/>
  <c r="BJ45" i="4" a="1"/>
  <c r="BK45" i="4" a="1"/>
  <c r="BL45" i="4" a="1"/>
  <c r="DH45" i="4" a="1"/>
  <c r="AA23" i="4" a="1"/>
  <c r="AB23" i="4" a="1"/>
  <c r="BJ35" i="4" a="1"/>
  <c r="BL35" i="4" a="1"/>
  <c r="BK35" i="4" a="1"/>
  <c r="DH35" i="4" a="1"/>
  <c r="DH29" i="4" a="1"/>
  <c r="BK29" i="4" a="1"/>
  <c r="BJ29" i="4" a="1"/>
  <c r="BL29" i="4" a="1"/>
  <c r="BK21" i="4" a="1"/>
  <c r="BL21" i="4" a="1"/>
  <c r="BJ21" i="4" a="1"/>
  <c r="DH21" i="4" a="1"/>
  <c r="BJ28" i="4" a="1"/>
  <c r="DH28" i="4" a="1"/>
  <c r="BL28" i="4" a="1"/>
  <c r="BK28" i="4" a="1"/>
  <c r="BJ39" i="4" a="1"/>
  <c r="BK39" i="4" a="1"/>
  <c r="DH39" i="4" a="1"/>
  <c r="BL39" i="4" a="1"/>
  <c r="AA60" i="4" a="1"/>
  <c r="AB60" i="4" a="1"/>
  <c r="BJ40" i="4" a="1"/>
  <c r="BK40" i="4" a="1"/>
  <c r="BL40" i="4" a="1"/>
  <c r="DH40" i="4" a="1"/>
  <c r="BL46" i="4" a="1"/>
  <c r="BK46" i="4" a="1"/>
  <c r="BJ46" i="4" a="1"/>
  <c r="DH46" i="4" a="1"/>
  <c r="DH20" i="4" a="1"/>
  <c r="BL20" i="4" a="1"/>
  <c r="BJ20" i="4" a="1"/>
  <c r="BK20" i="4" a="1"/>
  <c r="BL22" i="4" a="1"/>
  <c r="BJ22" i="4" a="1"/>
  <c r="BK22" i="4" a="1"/>
  <c r="DH22" i="4" a="1"/>
  <c r="BL31" i="4" a="1"/>
  <c r="BK31" i="4" a="1"/>
  <c r="BJ31" i="4" a="1"/>
  <c r="DH31" i="4" a="1"/>
  <c r="AG60" i="4" a="1"/>
  <c r="AH60" i="4" a="1"/>
  <c r="B23" i="1" a="1"/>
  <c r="BL49" i="4" a="1"/>
  <c r="BJ49" i="4" a="1"/>
  <c r="BK49" i="4" a="1"/>
  <c r="DH49" i="4" a="1"/>
  <c r="BL7" i="4" a="1"/>
  <c r="BK7" i="4" a="1"/>
  <c r="DH7" i="4" a="1"/>
  <c r="BJ7" i="4" a="1"/>
  <c r="BK13" i="4" a="1"/>
  <c r="BL13" i="4" a="1"/>
  <c r="DH13" i="4" a="1"/>
  <c r="BJ13" i="4" a="1"/>
  <c r="CI14" i="4" a="1"/>
  <c r="CI91" i="4" a="1"/>
  <c r="CI36" i="4" a="1"/>
  <c r="CI84" i="4" a="1"/>
  <c r="CI19" i="4" a="1"/>
  <c r="CI48" i="4" a="1"/>
  <c r="CI86" i="4" a="1"/>
  <c r="DH36" i="4" a="1"/>
  <c r="BJ36" i="4" a="1"/>
  <c r="BK36" i="4" a="1"/>
  <c r="BL36" i="4" a="1"/>
  <c r="CI52" i="4" a="1"/>
  <c r="CI93" i="4" a="1"/>
  <c r="CI40" i="4" a="1"/>
  <c r="BJ5" i="4" a="1"/>
  <c r="DH5" i="4" a="1"/>
  <c r="BL5" i="4" a="1"/>
  <c r="BK5" i="4" a="1"/>
  <c r="DH38" i="4" a="1"/>
  <c r="BJ38" i="4" a="1"/>
  <c r="BK38" i="4" a="1"/>
  <c r="BL38" i="4" a="1"/>
  <c r="CI51" i="4" a="1"/>
  <c r="CI63" i="4" a="1"/>
  <c r="CI41" i="4" a="1"/>
  <c r="CI15" i="4" a="1"/>
  <c r="BK48" i="4" a="1"/>
  <c r="DH48" i="4" a="1"/>
  <c r="BL48" i="4" a="1"/>
  <c r="BJ48" i="4" a="1"/>
  <c r="CI37" i="4" a="1"/>
  <c r="CI45" i="4" a="1"/>
  <c r="CI29" i="4" a="1"/>
  <c r="CI12" i="4" a="1"/>
  <c r="BK42" i="4" a="1"/>
  <c r="DH42" i="4" a="1"/>
  <c r="BJ42" i="4" a="1"/>
  <c r="BL42" i="4" a="1"/>
  <c r="CI88" i="4" a="1"/>
  <c r="CI32" i="4" a="1"/>
  <c r="DH17" i="4" a="1"/>
  <c r="BL17" i="4" a="1"/>
  <c r="BJ17" i="4" a="1"/>
  <c r="BK17" i="4" a="1"/>
  <c r="BK11" i="4" a="1"/>
  <c r="BJ11" i="4" a="1"/>
  <c r="BL11" i="4" a="1"/>
  <c r="DH11" i="4" a="1"/>
  <c r="BJ15" i="4" a="1"/>
  <c r="BL15" i="4" a="1"/>
  <c r="BK15" i="4" a="1"/>
  <c r="DH15" i="4" a="1"/>
  <c r="CI56" i="4" a="1"/>
  <c r="CI75" i="4" a="1"/>
  <c r="CR55" i="4" a="1"/>
  <c r="CQ55" i="4" a="1"/>
  <c r="CT55" i="4" a="1"/>
  <c r="CU55" i="4" a="1"/>
  <c r="AK10" i="69" l="1" a="1"/>
  <c r="AK10" i="69" s="1"/>
  <c r="AX10" i="69" a="1"/>
  <c r="AX10" i="69" s="1"/>
  <c r="AQ10" i="69" a="1"/>
  <c r="AQ10" i="69" s="1"/>
  <c r="BM3" i="69" a="1"/>
  <c r="BM3" i="69" s="1"/>
  <c r="BI9" i="72" a="1"/>
  <c r="BI9" i="72" s="1"/>
  <c r="HY13" i="71"/>
  <c r="IH15" i="71"/>
  <c r="IE25" i="71"/>
  <c r="DG45" i="4"/>
  <c r="AT68" i="4"/>
  <c r="AV670" i="13" s="1"/>
  <c r="IE23" i="71"/>
  <c r="GU20" i="71"/>
  <c r="AT81" i="4"/>
  <c r="AV683" i="13" s="1"/>
  <c r="GU18" i="71"/>
  <c r="AT91" i="4"/>
  <c r="AV693" i="13" s="1"/>
  <c r="GR34" i="71"/>
  <c r="HY9" i="71"/>
  <c r="E630" i="15"/>
  <c r="E622" i="15"/>
  <c r="AI53" i="4"/>
  <c r="AV1349" i="13" s="1"/>
  <c r="IE28" i="71"/>
  <c r="IE34" i="71"/>
  <c r="GO7" i="71"/>
  <c r="E668" i="15"/>
  <c r="E138" i="15"/>
  <c r="HY36" i="71"/>
  <c r="HY17" i="71"/>
  <c r="E559" i="15"/>
  <c r="JO20" i="71"/>
  <c r="AT82" i="4"/>
  <c r="AV684" i="13" s="1"/>
  <c r="DG13" i="4"/>
  <c r="IE14" i="71"/>
  <c r="BE21" i="4"/>
  <c r="GS38" i="71"/>
  <c r="IH30" i="71"/>
  <c r="FQ36" i="71"/>
  <c r="HV13" i="71"/>
  <c r="FQ24" i="71"/>
  <c r="N21" i="9"/>
  <c r="JM38" i="71"/>
  <c r="GI16" i="71"/>
  <c r="E614" i="15"/>
  <c r="E398" i="15"/>
  <c r="GR30" i="71"/>
  <c r="IH8" i="71"/>
  <c r="HD23" i="71"/>
  <c r="IH5" i="71"/>
  <c r="E520" i="15"/>
  <c r="HV24" i="71"/>
  <c r="IE20" i="71"/>
  <c r="Z1893" i="13"/>
  <c r="B1893" i="13" s="1" a="1"/>
  <c r="B1893" i="13" s="1"/>
  <c r="AI40" i="4"/>
  <c r="AV1336" i="13" s="1"/>
  <c r="FQ8" i="71"/>
  <c r="AT59" i="4"/>
  <c r="AV661" i="13" s="1"/>
  <c r="GF22" i="71"/>
  <c r="E997" i="15"/>
  <c r="HA24" i="71"/>
  <c r="AT62" i="4"/>
  <c r="AV664" i="13" s="1"/>
  <c r="IE18" i="71"/>
  <c r="BJ19" i="71"/>
  <c r="AZ9" i="72" a="1"/>
  <c r="AZ9" i="72" s="1"/>
  <c r="HY18" i="71"/>
  <c r="HY23" i="71"/>
  <c r="HY24" i="71"/>
  <c r="J487" i="15"/>
  <c r="E696" i="15"/>
  <c r="E417" i="15"/>
  <c r="AI46" i="4"/>
  <c r="AV1342" i="13" s="1"/>
  <c r="BA10" i="69" a="1"/>
  <c r="BA10" i="69" s="1"/>
  <c r="S4" i="69"/>
  <c r="G4" i="69"/>
  <c r="AJ9" i="72" a="1"/>
  <c r="AJ9" i="72" s="1"/>
  <c r="AX9" i="72" a="1"/>
  <c r="AX9" i="72" s="1"/>
  <c r="BG3" i="72" a="1"/>
  <c r="BG3" i="72" s="1"/>
  <c r="AO10" i="69" a="1"/>
  <c r="AO10" i="69" s="1"/>
  <c r="AH10" i="69" a="1"/>
  <c r="AH10" i="69" s="1"/>
  <c r="AI10" i="69" a="1"/>
  <c r="AI10" i="69" s="1"/>
  <c r="AZ10" i="69" a="1"/>
  <c r="AZ10" i="69" s="1"/>
  <c r="BN10" i="69" a="1"/>
  <c r="BN10" i="69" s="1"/>
  <c r="BG9" i="72" a="1"/>
  <c r="BG9" i="72" s="1"/>
  <c r="BQ94" i="72"/>
  <c r="BJ9" i="72" a="1"/>
  <c r="BJ9" i="72" s="1"/>
  <c r="BH4" i="69"/>
  <c r="G4" i="72"/>
  <c r="AR9" i="72" a="1"/>
  <c r="AR9" i="72" s="1"/>
  <c r="AF4" i="72" a="1"/>
  <c r="AF4" i="72" s="1"/>
  <c r="BJ4" i="72" s="1" a="1"/>
  <c r="BJ4" i="72" s="1"/>
  <c r="BS10" i="4"/>
  <c r="O10" i="69" s="1"/>
  <c r="BH94" i="72" a="1"/>
  <c r="BH94" i="72" s="1"/>
  <c r="U16" i="27" a="1"/>
  <c r="U16" i="27" s="1"/>
  <c r="BH4" i="72" a="1"/>
  <c r="BH4" i="72" s="1"/>
  <c r="BP4" i="69"/>
  <c r="BO9" i="72"/>
  <c r="AY4" i="69" a="1"/>
  <c r="AY4" i="69" s="1"/>
  <c r="BQ4" i="72"/>
  <c r="DC30" i="4" a="1"/>
  <c r="DC30" i="4" s="1"/>
  <c r="S4" i="72"/>
  <c r="BX4" i="72"/>
  <c r="CA4" i="72" s="1"/>
  <c r="BS4" i="69"/>
  <c r="AY3" i="72" a="1"/>
  <c r="AY3" i="72" s="1"/>
  <c r="E4" i="69"/>
  <c r="B4" i="72"/>
  <c r="BM10" i="69" a="1"/>
  <c r="BM10" i="69" s="1"/>
  <c r="BX60" i="4"/>
  <c r="CU55" i="4"/>
  <c r="CT55" i="4"/>
  <c r="CQ55" i="4"/>
  <c r="CR55" i="4"/>
  <c r="CI75" i="4"/>
  <c r="CI56" i="4"/>
  <c r="DH15" i="4"/>
  <c r="BK15" i="4"/>
  <c r="BL15" i="4"/>
  <c r="L15" i="4" s="1"/>
  <c r="CB15" i="4" s="1"/>
  <c r="BJ15" i="4"/>
  <c r="DH11" i="4"/>
  <c r="BL11" i="4"/>
  <c r="BJ11" i="4"/>
  <c r="BK11" i="4"/>
  <c r="BK17" i="4"/>
  <c r="BJ17" i="4"/>
  <c r="BL17" i="4"/>
  <c r="L17" i="4" s="1"/>
  <c r="CB17" i="4" s="1"/>
  <c r="DH17" i="4"/>
  <c r="CI32" i="4"/>
  <c r="CI88" i="4"/>
  <c r="BL42" i="4"/>
  <c r="L42" i="4" s="1"/>
  <c r="CB42" i="4" s="1"/>
  <c r="BJ42" i="4"/>
  <c r="DH42" i="4"/>
  <c r="BK42" i="4"/>
  <c r="CI12" i="4"/>
  <c r="CI29" i="4"/>
  <c r="CI45" i="4"/>
  <c r="CI37" i="4"/>
  <c r="BJ48" i="4"/>
  <c r="BL48" i="4"/>
  <c r="DH48" i="4"/>
  <c r="BK48" i="4"/>
  <c r="CI15" i="4"/>
  <c r="CI41" i="4"/>
  <c r="CI63" i="4"/>
  <c r="CI51" i="4"/>
  <c r="BL38" i="4"/>
  <c r="BK38" i="4"/>
  <c r="BJ38" i="4"/>
  <c r="DH38" i="4"/>
  <c r="BK5" i="4"/>
  <c r="BL5" i="4"/>
  <c r="DH5" i="4"/>
  <c r="BJ5" i="4"/>
  <c r="CI40" i="4"/>
  <c r="CI93" i="4"/>
  <c r="CI52" i="4"/>
  <c r="BL36" i="4"/>
  <c r="BK36" i="4"/>
  <c r="BJ36" i="4"/>
  <c r="DH36" i="4"/>
  <c r="CI86" i="4"/>
  <c r="CI48" i="4"/>
  <c r="CI19" i="4"/>
  <c r="CI84" i="4"/>
  <c r="CI36" i="4"/>
  <c r="CI91" i="4"/>
  <c r="CI14" i="4"/>
  <c r="BJ13" i="4"/>
  <c r="BG13" i="4" s="1"/>
  <c r="DH13" i="4"/>
  <c r="BL13" i="4"/>
  <c r="BK13" i="4"/>
  <c r="BJ7" i="4"/>
  <c r="DH7" i="4"/>
  <c r="BK7" i="4"/>
  <c r="BL7" i="4"/>
  <c r="DH49" i="4"/>
  <c r="BK49" i="4"/>
  <c r="BJ49" i="4"/>
  <c r="BG49" i="4" s="1"/>
  <c r="BL49" i="4"/>
  <c r="L49" i="4" s="1"/>
  <c r="CB49" i="4" s="1"/>
  <c r="B23" i="1"/>
  <c r="AH60" i="4"/>
  <c r="AG60" i="4"/>
  <c r="DH31" i="4"/>
  <c r="BJ31" i="4"/>
  <c r="BK31" i="4"/>
  <c r="BL31" i="4"/>
  <c r="DH22" i="4"/>
  <c r="BK22" i="4"/>
  <c r="BJ22" i="4"/>
  <c r="BG22" i="4" s="1"/>
  <c r="BL22" i="4"/>
  <c r="L22" i="4" s="1"/>
  <c r="BK20" i="4"/>
  <c r="BJ20" i="4"/>
  <c r="BG20" i="4" s="1"/>
  <c r="BL20" i="4"/>
  <c r="DH20" i="4"/>
  <c r="DH46" i="4"/>
  <c r="BJ46" i="4"/>
  <c r="BG46" i="4" s="1"/>
  <c r="BK46" i="4"/>
  <c r="BL46" i="4"/>
  <c r="DH40" i="4"/>
  <c r="BL40" i="4"/>
  <c r="BK40" i="4"/>
  <c r="BJ40" i="4"/>
  <c r="BG40" i="4" s="1"/>
  <c r="AB60" i="4"/>
  <c r="AA60" i="4"/>
  <c r="DD60" i="4" s="1"/>
  <c r="BL39" i="4"/>
  <c r="DH39" i="4"/>
  <c r="BK39" i="4"/>
  <c r="BJ39" i="4"/>
  <c r="BK28" i="4"/>
  <c r="BL28" i="4"/>
  <c r="DH28" i="4"/>
  <c r="BJ28" i="4"/>
  <c r="DH21" i="4"/>
  <c r="BJ21" i="4"/>
  <c r="BG21" i="4" s="1"/>
  <c r="BL21" i="4"/>
  <c r="L21" i="4" s="1"/>
  <c r="CB21" i="4" s="1"/>
  <c r="BK21" i="4"/>
  <c r="BL29" i="4"/>
  <c r="L29" i="4" s="1"/>
  <c r="CB29" i="4" s="1"/>
  <c r="BJ29" i="4"/>
  <c r="BK29" i="4"/>
  <c r="DH29" i="4"/>
  <c r="DH35" i="4"/>
  <c r="BK35" i="4"/>
  <c r="BL35" i="4"/>
  <c r="BJ35" i="4"/>
  <c r="AB23" i="4"/>
  <c r="AA23" i="4"/>
  <c r="DD23" i="4" s="1"/>
  <c r="DH45" i="4"/>
  <c r="BL45" i="4"/>
  <c r="BK45" i="4"/>
  <c r="BJ45" i="4"/>
  <c r="BL19" i="4"/>
  <c r="DH19" i="4"/>
  <c r="BJ19" i="4"/>
  <c r="BG19" i="4" s="1"/>
  <c r="BK19" i="4"/>
  <c r="DH6" i="4"/>
  <c r="BK6" i="4"/>
  <c r="BL6" i="4"/>
  <c r="BJ6" i="4"/>
  <c r="BG6" i="4" s="1"/>
  <c r="BK25" i="4"/>
  <c r="DH25" i="4"/>
  <c r="BJ25" i="4"/>
  <c r="BL25" i="4"/>
  <c r="AG23" i="4"/>
  <c r="AH23" i="4"/>
  <c r="BK24" i="4"/>
  <c r="DH24" i="4"/>
  <c r="BL24" i="4"/>
  <c r="BJ24" i="4"/>
  <c r="BG24" i="4" s="1"/>
  <c r="BJ41" i="4"/>
  <c r="BG41" i="4" s="1"/>
  <c r="BL41" i="4"/>
  <c r="DH41" i="4"/>
  <c r="BK41" i="4"/>
  <c r="BL52" i="4"/>
  <c r="DH52" i="4"/>
  <c r="BJ52" i="4"/>
  <c r="BK52" i="4"/>
  <c r="AK60" i="4"/>
  <c r="AJ60" i="4"/>
  <c r="AO60" i="4"/>
  <c r="AP60" i="4"/>
  <c r="BL54" i="4"/>
  <c r="DH54" i="4"/>
  <c r="BK54" i="4"/>
  <c r="BJ54" i="4"/>
  <c r="DH30" i="4"/>
  <c r="BL30" i="4"/>
  <c r="BJ30" i="4"/>
  <c r="BG30" i="4" s="1"/>
  <c r="BK30" i="4"/>
  <c r="AP23" i="4"/>
  <c r="AO23" i="4"/>
  <c r="BJ14" i="4"/>
  <c r="DH14" i="4"/>
  <c r="BL14" i="4"/>
  <c r="BK14" i="4"/>
  <c r="BL47" i="4"/>
  <c r="DH47" i="4"/>
  <c r="BJ47" i="4"/>
  <c r="BK47" i="4"/>
  <c r="BL53" i="4"/>
  <c r="BK53" i="4"/>
  <c r="DH53" i="4"/>
  <c r="BJ53" i="4"/>
  <c r="BG53" i="4" s="1"/>
  <c r="BJ12" i="4"/>
  <c r="BG12" i="4" s="1"/>
  <c r="DH12" i="4"/>
  <c r="BK12" i="4"/>
  <c r="BL12" i="4"/>
  <c r="L12" i="4" s="1"/>
  <c r="CB12" i="4" s="1"/>
  <c r="BJ37" i="4"/>
  <c r="BG37" i="4" s="1"/>
  <c r="BK37" i="4"/>
  <c r="DH37" i="4"/>
  <c r="BL37" i="4"/>
  <c r="L37" i="4" s="1"/>
  <c r="CB37" i="4" s="1"/>
  <c r="BO55" i="4"/>
  <c r="CF55" i="4"/>
  <c r="CE55" i="4"/>
  <c r="B46" i="14" s="1"/>
  <c r="AL55" i="4"/>
  <c r="CH55" i="4"/>
  <c r="B48" i="14" s="1"/>
  <c r="CO55" i="4"/>
  <c r="CL55" i="4"/>
  <c r="CN55" i="4"/>
  <c r="CM55" i="4"/>
  <c r="B47" i="23" s="1"/>
  <c r="AC55" i="4"/>
  <c r="CV97" i="4"/>
  <c r="CK55" i="4"/>
  <c r="CD55" i="4"/>
  <c r="CC55" i="4"/>
  <c r="AF55" i="4"/>
  <c r="BQ55" i="4"/>
  <c r="BQ97" i="4" s="1"/>
  <c r="CG55" i="4"/>
  <c r="AN55" i="4"/>
  <c r="CP55" i="4"/>
  <c r="B49" i="14" s="1"/>
  <c r="CI55" i="4"/>
  <c r="BL34" i="4"/>
  <c r="L34" i="4" s="1"/>
  <c r="CB34" i="4" s="1"/>
  <c r="BK34" i="4"/>
  <c r="BJ34" i="4"/>
  <c r="DH34" i="4"/>
  <c r="BL18" i="4"/>
  <c r="BK18" i="4"/>
  <c r="BJ18" i="4"/>
  <c r="BG18" i="4" s="1"/>
  <c r="DH18" i="4"/>
  <c r="BL27" i="4"/>
  <c r="L27" i="4" s="1"/>
  <c r="CB27" i="4" s="1"/>
  <c r="BK27" i="4"/>
  <c r="DH27" i="4"/>
  <c r="BJ27" i="4"/>
  <c r="DH16" i="4"/>
  <c r="BK16" i="4"/>
  <c r="BL16" i="4"/>
  <c r="BJ16" i="4"/>
  <c r="BG16" i="4" s="1"/>
  <c r="BL8" i="4"/>
  <c r="BJ8" i="4"/>
  <c r="DH8" i="4"/>
  <c r="BK8" i="4"/>
  <c r="DH50" i="4"/>
  <c r="BK50" i="4"/>
  <c r="BL50" i="4"/>
  <c r="BJ50" i="4"/>
  <c r="DH32" i="4"/>
  <c r="BJ32" i="4"/>
  <c r="BL32" i="4"/>
  <c r="BK32" i="4"/>
  <c r="BJ43" i="4"/>
  <c r="BG43" i="4" s="1"/>
  <c r="BL43" i="4"/>
  <c r="BK43" i="4"/>
  <c r="DH43" i="4"/>
  <c r="B60" i="1"/>
  <c r="BL44" i="4"/>
  <c r="BK44" i="4"/>
  <c r="BJ44" i="4"/>
  <c r="BG44" i="4" s="1"/>
  <c r="DH44" i="4"/>
  <c r="DH26" i="4"/>
  <c r="BJ26" i="4"/>
  <c r="BK26" i="4"/>
  <c r="BL26" i="4"/>
  <c r="L26" i="4" s="1"/>
  <c r="BL33" i="4"/>
  <c r="L33" i="4" s="1"/>
  <c r="CB33" i="4" s="1"/>
  <c r="BK33" i="4"/>
  <c r="BJ33" i="4"/>
  <c r="BG33" i="4" s="1"/>
  <c r="DH33" i="4"/>
  <c r="BK51" i="4"/>
  <c r="DH51" i="4"/>
  <c r="BJ51" i="4"/>
  <c r="BG51" i="4" s="1"/>
  <c r="BL51" i="4"/>
  <c r="L51" i="4" s="1"/>
  <c r="CB51" i="4" s="1"/>
  <c r="AJ23" i="4"/>
  <c r="AK23" i="4"/>
  <c r="AV69" i="13"/>
  <c r="Z1363" i="13"/>
  <c r="AZ67" i="4"/>
  <c r="AX67" i="4"/>
  <c r="B80" i="4"/>
  <c r="BB80" i="4" a="1"/>
  <c r="BB80" i="4" s="1"/>
  <c r="BC80" i="4" s="1"/>
  <c r="AV182" i="13" s="1"/>
  <c r="DC25" i="4" a="1"/>
  <c r="DC25" i="4" s="1"/>
  <c r="I10" i="72"/>
  <c r="I10" i="69"/>
  <c r="AZ75" i="4"/>
  <c r="AV77" i="13"/>
  <c r="AX75" i="4"/>
  <c r="Z1371" i="13"/>
  <c r="BD95" i="69"/>
  <c r="BG95" i="69"/>
  <c r="BP95" i="69"/>
  <c r="BQ95" i="69" a="1"/>
  <c r="BQ95" i="69" s="1"/>
  <c r="E95" i="69"/>
  <c r="BU9" i="4"/>
  <c r="BE9" i="4"/>
  <c r="BI9" i="4"/>
  <c r="Z1376" i="13"/>
  <c r="AV82" i="13"/>
  <c r="AX80" i="4"/>
  <c r="AZ80" i="4"/>
  <c r="F80" i="4"/>
  <c r="AQ80" i="4"/>
  <c r="AV382" i="13" s="1"/>
  <c r="AV23" i="13"/>
  <c r="AX21" i="4"/>
  <c r="F21" i="4"/>
  <c r="Z1317" i="13"/>
  <c r="AZ21" i="4"/>
  <c r="AQ21" i="4"/>
  <c r="AV323" i="13" s="1"/>
  <c r="V30" i="22"/>
  <c r="W30" i="22"/>
  <c r="Y30" i="22" s="1"/>
  <c r="DA21" i="4"/>
  <c r="DB21" i="4" s="1"/>
  <c r="DC21" i="4" a="1"/>
  <c r="DC21" i="4" s="1"/>
  <c r="AX61" i="4"/>
  <c r="Z1357" i="13"/>
  <c r="AZ61" i="4"/>
  <c r="AV63" i="13"/>
  <c r="AX1272" i="13"/>
  <c r="A1371" i="13"/>
  <c r="AZ92" i="4"/>
  <c r="AV94" i="13"/>
  <c r="Z1388" i="13"/>
  <c r="AX92" i="4"/>
  <c r="Z1352" i="13"/>
  <c r="AZ56" i="4"/>
  <c r="AV58" i="13"/>
  <c r="AX56" i="4"/>
  <c r="AX1230" i="13"/>
  <c r="A1329" i="13"/>
  <c r="A1311" i="13"/>
  <c r="AX1212" i="13"/>
  <c r="E117" i="15"/>
  <c r="E522" i="15"/>
  <c r="E325" i="15"/>
  <c r="E124" i="15"/>
  <c r="E317" i="15"/>
  <c r="E15" i="4"/>
  <c r="BU15" i="4" s="1"/>
  <c r="DG15" i="4"/>
  <c r="BE44" i="4"/>
  <c r="BU44" i="4"/>
  <c r="E129" i="15"/>
  <c r="E576" i="15"/>
  <c r="DG11" i="4"/>
  <c r="E11" i="4"/>
  <c r="BU11" i="4" s="1"/>
  <c r="AX227" i="13"/>
  <c r="A327" i="13"/>
  <c r="AX327" i="13" s="1"/>
  <c r="BU19" i="4"/>
  <c r="AV19" i="13"/>
  <c r="Z1313" i="13"/>
  <c r="AX17" i="4"/>
  <c r="AZ17" i="4"/>
  <c r="F17" i="4"/>
  <c r="AQ17" i="4"/>
  <c r="AV319" i="13" s="1"/>
  <c r="V68" i="22"/>
  <c r="W68" i="22"/>
  <c r="Y68" i="22" s="1"/>
  <c r="AV13" i="13"/>
  <c r="AX11" i="4"/>
  <c r="Z1307" i="13"/>
  <c r="F11" i="4"/>
  <c r="AZ11" i="4"/>
  <c r="AQ11" i="4"/>
  <c r="AV313" i="13" s="1"/>
  <c r="W20" i="22"/>
  <c r="Y20" i="22" s="1"/>
  <c r="V20" i="22"/>
  <c r="CY11" i="4"/>
  <c r="CZ11" i="4" s="1"/>
  <c r="DC11" i="4" a="1"/>
  <c r="DC11" i="4" s="1"/>
  <c r="AX81" i="4"/>
  <c r="AV83" i="13"/>
  <c r="AZ81" i="4"/>
  <c r="Z1377" i="13"/>
  <c r="Z1378" i="13"/>
  <c r="AZ82" i="4"/>
  <c r="AX82" i="4"/>
  <c r="AV84" i="13"/>
  <c r="BK10" i="69"/>
  <c r="BT10" i="72"/>
  <c r="O10" i="72"/>
  <c r="AX240" i="13"/>
  <c r="A340" i="13"/>
  <c r="AX340" i="13" s="1"/>
  <c r="A1384" i="13"/>
  <c r="AX1285" i="13"/>
  <c r="BE16" i="4"/>
  <c r="BU16" i="4"/>
  <c r="AX71" i="4"/>
  <c r="Z1367" i="13"/>
  <c r="AV73" i="13"/>
  <c r="AZ71" i="4"/>
  <c r="AV20" i="13"/>
  <c r="AZ18" i="4"/>
  <c r="F18" i="4"/>
  <c r="Z1314" i="13"/>
  <c r="AX18" i="4"/>
  <c r="AQ18" i="4"/>
  <c r="AV320" i="13" s="1"/>
  <c r="V26" i="22"/>
  <c r="W26" i="22"/>
  <c r="Y26" i="22" s="1"/>
  <c r="DC18" i="4" a="1"/>
  <c r="DC18" i="4" s="1"/>
  <c r="DA18" i="4"/>
  <c r="DB18" i="4" s="1"/>
  <c r="AZ87" i="4"/>
  <c r="Z1383" i="13"/>
  <c r="AV89" i="13"/>
  <c r="AX87" i="4"/>
  <c r="Z1373" i="13"/>
  <c r="AZ77" i="4"/>
  <c r="AV79" i="13"/>
  <c r="AX77" i="4"/>
  <c r="DC26" i="4" a="1"/>
  <c r="DC26" i="4" s="1"/>
  <c r="F26" i="4"/>
  <c r="AX26" i="4"/>
  <c r="AZ26" i="4"/>
  <c r="AV28" i="13"/>
  <c r="Z1322" i="13"/>
  <c r="AQ26" i="4"/>
  <c r="AV328" i="13" s="1"/>
  <c r="W41" i="22"/>
  <c r="Y41" i="22" s="1"/>
  <c r="V41" i="22"/>
  <c r="DC17" i="4" a="1"/>
  <c r="DC17" i="4" s="1"/>
  <c r="W36" i="22"/>
  <c r="Y36" i="22" s="1"/>
  <c r="AV55" i="13"/>
  <c r="AZ53" i="4"/>
  <c r="F53" i="4"/>
  <c r="AX53" i="4"/>
  <c r="Z1349" i="13"/>
  <c r="AQ53" i="4"/>
  <c r="AV355" i="13" s="1"/>
  <c r="CY53" i="4"/>
  <c r="CZ53" i="4" s="1"/>
  <c r="V36" i="22"/>
  <c r="DC53" i="4" a="1"/>
  <c r="DC53" i="4" s="1"/>
  <c r="E144" i="15"/>
  <c r="E156" i="15"/>
  <c r="E386" i="15"/>
  <c r="E485" i="15"/>
  <c r="E47" i="15"/>
  <c r="E134" i="15"/>
  <c r="E370" i="15"/>
  <c r="AZ32" i="4"/>
  <c r="F32" i="4"/>
  <c r="AV34" i="13"/>
  <c r="Z1328" i="13"/>
  <c r="AX32" i="4"/>
  <c r="AQ32" i="4"/>
  <c r="AV334" i="13" s="1"/>
  <c r="DA32" i="4"/>
  <c r="DB32" i="4" s="1"/>
  <c r="DC32" i="4" a="1"/>
  <c r="DC32" i="4" s="1"/>
  <c r="V50" i="22"/>
  <c r="W50" i="22"/>
  <c r="Y50" i="22" s="1"/>
  <c r="AX76" i="4"/>
  <c r="AZ76" i="4"/>
  <c r="Z1372" i="13"/>
  <c r="AV78" i="13"/>
  <c r="F404" i="15" a="1"/>
  <c r="F404" i="15" s="1"/>
  <c r="AX241" i="13"/>
  <c r="A341" i="13"/>
  <c r="AX341" i="13" s="1"/>
  <c r="CY26" i="4"/>
  <c r="CZ26" i="4" s="1"/>
  <c r="BT9" i="69"/>
  <c r="BF9" i="69"/>
  <c r="BS9" i="69"/>
  <c r="BM9" i="69" a="1"/>
  <c r="BM9" i="69" s="1"/>
  <c r="AV306" i="13"/>
  <c r="U4" i="72" a="1"/>
  <c r="U4" i="72" s="1"/>
  <c r="U4" i="69" a="1"/>
  <c r="U4" i="69" s="1"/>
  <c r="AR3" i="4"/>
  <c r="AS3" i="4"/>
  <c r="AY505" i="13"/>
  <c r="Z1361" i="13"/>
  <c r="AZ65" i="4"/>
  <c r="AX65" i="4"/>
  <c r="AV67" i="13"/>
  <c r="Z1369" i="13"/>
  <c r="AX73" i="4"/>
  <c r="AZ73" i="4"/>
  <c r="AV75" i="13"/>
  <c r="BP96" i="72"/>
  <c r="AS96" i="72" a="1"/>
  <c r="AS96" i="72" s="1"/>
  <c r="AL96" i="72" a="1"/>
  <c r="AL96" i="72" s="1"/>
  <c r="AU96" i="72" a="1"/>
  <c r="AU96" i="72" s="1"/>
  <c r="AW96" i="72"/>
  <c r="R96" i="72"/>
  <c r="AT96" i="72" a="1"/>
  <c r="AT96" i="72" s="1"/>
  <c r="BY96" i="72"/>
  <c r="BZ96" i="72" a="1"/>
  <c r="BZ96" i="72" s="1"/>
  <c r="E96" i="72"/>
  <c r="B58" i="4"/>
  <c r="BB58" i="4" a="1"/>
  <c r="BB58" i="4" s="1"/>
  <c r="BC58" i="4" s="1"/>
  <c r="AV160" i="13" s="1"/>
  <c r="BU6" i="4"/>
  <c r="BU37" i="4"/>
  <c r="AV90" i="13"/>
  <c r="AZ88" i="4"/>
  <c r="Z1384" i="13"/>
  <c r="AX88" i="4"/>
  <c r="E321" i="15"/>
  <c r="E313" i="15"/>
  <c r="E423" i="15"/>
  <c r="E508" i="15"/>
  <c r="E354" i="15"/>
  <c r="E537" i="15"/>
  <c r="E442" i="15"/>
  <c r="E172" i="15"/>
  <c r="E409" i="15"/>
  <c r="E293" i="15"/>
  <c r="E373" i="15"/>
  <c r="E286" i="15"/>
  <c r="E374" i="15"/>
  <c r="E682" i="15"/>
  <c r="E571" i="15"/>
  <c r="E237" i="15"/>
  <c r="E231" i="15"/>
  <c r="AZ12" i="4"/>
  <c r="Z1308" i="13"/>
  <c r="AV14" i="13"/>
  <c r="F12" i="4"/>
  <c r="AX12" i="4"/>
  <c r="AQ12" i="4"/>
  <c r="AV314" i="13" s="1"/>
  <c r="V21" i="22"/>
  <c r="W21" i="22"/>
  <c r="Y21" i="22" s="1"/>
  <c r="DA12" i="4"/>
  <c r="DB12" i="4" s="1"/>
  <c r="DC12" i="4" a="1"/>
  <c r="DC12" i="4" s="1"/>
  <c r="AX293" i="13"/>
  <c r="A393" i="13"/>
  <c r="AX393" i="13" s="1"/>
  <c r="W43" i="22"/>
  <c r="Y43" i="22" s="1"/>
  <c r="AX29" i="4"/>
  <c r="AZ29" i="4"/>
  <c r="Z1325" i="13"/>
  <c r="AV31" i="13"/>
  <c r="F29" i="4"/>
  <c r="AQ29" i="4"/>
  <c r="AV331" i="13" s="1"/>
  <c r="DC29" i="4" a="1"/>
  <c r="DC29" i="4" s="1"/>
  <c r="CY29" i="4"/>
  <c r="CZ29" i="4" s="1"/>
  <c r="V43" i="22"/>
  <c r="AZ45" i="4"/>
  <c r="F45" i="4"/>
  <c r="Z1341" i="13"/>
  <c r="AV47" i="13"/>
  <c r="AX45" i="4"/>
  <c r="AQ45" i="4"/>
  <c r="AV347" i="13" s="1"/>
  <c r="CY45" i="4"/>
  <c r="CZ45" i="4" s="1"/>
  <c r="DC45" i="4" a="1"/>
  <c r="DC45" i="4" s="1"/>
  <c r="V66" i="22"/>
  <c r="W66" i="22"/>
  <c r="Y66" i="22" s="1"/>
  <c r="Z1366" i="13"/>
  <c r="AV72" i="13"/>
  <c r="AZ70" i="4"/>
  <c r="AX70" i="4"/>
  <c r="AZ72" i="4"/>
  <c r="AV74" i="13"/>
  <c r="Z1368" i="13"/>
  <c r="AX72" i="4"/>
  <c r="AZ37" i="4"/>
  <c r="Z1333" i="13"/>
  <c r="AV39" i="13"/>
  <c r="AX37" i="4"/>
  <c r="F37" i="4"/>
  <c r="AQ37" i="4"/>
  <c r="AV339" i="13" s="1"/>
  <c r="V56" i="22"/>
  <c r="W56" i="22"/>
  <c r="Y56" i="22" s="1"/>
  <c r="DC37" i="4" a="1"/>
  <c r="DC37" i="4" s="1"/>
  <c r="CY37" i="4"/>
  <c r="CZ37" i="4" s="1"/>
  <c r="AY76" i="4"/>
  <c r="CW76" i="4"/>
  <c r="CX76" i="4" s="1"/>
  <c r="DD76" i="4"/>
  <c r="AD76" i="4"/>
  <c r="HP34" i="71"/>
  <c r="HP18" i="71"/>
  <c r="HP35" i="71"/>
  <c r="HP36" i="71"/>
  <c r="HP4" i="71"/>
  <c r="B90" i="4"/>
  <c r="BB90" i="4" a="1"/>
  <c r="BB90" i="4" s="1"/>
  <c r="BC90" i="4" s="1"/>
  <c r="AV192" i="13" s="1"/>
  <c r="AX286" i="13"/>
  <c r="A386" i="13"/>
  <c r="AX386" i="13" s="1"/>
  <c r="E218" i="15"/>
  <c r="CY48" i="4"/>
  <c r="CZ48" i="4" s="1"/>
  <c r="DG48" i="4"/>
  <c r="E48" i="4"/>
  <c r="BU48" i="4" s="1"/>
  <c r="AE20" i="27"/>
  <c r="A1376" i="13"/>
  <c r="AX1277" i="13"/>
  <c r="BB86" i="4" a="1"/>
  <c r="BB86" i="4" s="1"/>
  <c r="BC86" i="4" s="1"/>
  <c r="AV188" i="13" s="1"/>
  <c r="B86" i="4"/>
  <c r="BQ96" i="72"/>
  <c r="AX1273" i="13"/>
  <c r="A1372" i="13"/>
  <c r="AX1288" i="13"/>
  <c r="A1387" i="13"/>
  <c r="Z1331" i="13"/>
  <c r="AX35" i="4"/>
  <c r="F35" i="4"/>
  <c r="AV37" i="13"/>
  <c r="AZ35" i="4"/>
  <c r="L35" i="4"/>
  <c r="CB35" i="4" s="1"/>
  <c r="AQ35" i="4"/>
  <c r="AV337" i="13" s="1"/>
  <c r="DC35" i="4" a="1"/>
  <c r="DC35" i="4" s="1"/>
  <c r="DA35" i="4"/>
  <c r="DB35" i="4" s="1"/>
  <c r="W37" i="22"/>
  <c r="Y37" i="22" s="1"/>
  <c r="V37" i="22"/>
  <c r="AX1214" i="13"/>
  <c r="A1313" i="13"/>
  <c r="AX263" i="13"/>
  <c r="A363" i="13"/>
  <c r="AX363" i="13" s="1"/>
  <c r="CY49" i="4"/>
  <c r="CZ49" i="4" s="1"/>
  <c r="AZ49" i="4"/>
  <c r="AX49" i="4"/>
  <c r="F49" i="4"/>
  <c r="AV51" i="13"/>
  <c r="Z1345" i="13"/>
  <c r="AQ49" i="4"/>
  <c r="AV351" i="13" s="1"/>
  <c r="W72" i="22"/>
  <c r="Y72" i="22" s="1"/>
  <c r="DC49" i="4" a="1"/>
  <c r="DC49" i="4" s="1"/>
  <c r="V72" i="22"/>
  <c r="AX15" i="4"/>
  <c r="Z1311" i="13"/>
  <c r="AZ15" i="4"/>
  <c r="AV17" i="13"/>
  <c r="F15" i="4"/>
  <c r="AQ15" i="4"/>
  <c r="AV317" i="13" s="1"/>
  <c r="V25" i="22"/>
  <c r="W25" i="22"/>
  <c r="Y25" i="22" s="1"/>
  <c r="CY15" i="4"/>
  <c r="CZ15" i="4" s="1"/>
  <c r="DC15" i="4" a="1"/>
  <c r="DC15" i="4" s="1"/>
  <c r="W39" i="22"/>
  <c r="Y39" i="22" s="1"/>
  <c r="Z1320" i="13"/>
  <c r="AZ24" i="4"/>
  <c r="F24" i="4"/>
  <c r="AX24" i="4"/>
  <c r="AV26" i="13"/>
  <c r="L24" i="4"/>
  <c r="CB24" i="4" s="1"/>
  <c r="AQ24" i="4"/>
  <c r="AV326" i="13" s="1"/>
  <c r="V39" i="22"/>
  <c r="DC24" i="4" a="1"/>
  <c r="DC24" i="4" s="1"/>
  <c r="CY24" i="4"/>
  <c r="CZ24" i="4" s="1"/>
  <c r="E5" i="4"/>
  <c r="AZ79" i="4"/>
  <c r="Z1375" i="13"/>
  <c r="AX79" i="4"/>
  <c r="AV81" i="13"/>
  <c r="DA17" i="4"/>
  <c r="DB17" i="4" s="1"/>
  <c r="F39" i="4"/>
  <c r="AZ39" i="4"/>
  <c r="AX39" i="4"/>
  <c r="Z1335" i="13"/>
  <c r="AV41" i="13"/>
  <c r="L39" i="4"/>
  <c r="CB39" i="4" s="1"/>
  <c r="AQ39" i="4"/>
  <c r="AV341" i="13" s="1"/>
  <c r="DA39" i="4"/>
  <c r="DB39" i="4" s="1"/>
  <c r="W55" i="22"/>
  <c r="Y55" i="22" s="1"/>
  <c r="V55" i="22"/>
  <c r="DC39" i="4" a="1"/>
  <c r="DC39" i="4" s="1"/>
  <c r="AX235" i="13"/>
  <c r="A335" i="13"/>
  <c r="AX335" i="13" s="1"/>
  <c r="F13" i="4"/>
  <c r="AV15" i="13"/>
  <c r="Z1309" i="13"/>
  <c r="AZ13" i="4"/>
  <c r="AX13" i="4"/>
  <c r="L13" i="4"/>
  <c r="CB13" i="4" s="1"/>
  <c r="AQ13" i="4"/>
  <c r="AV315" i="13" s="1"/>
  <c r="W24" i="22"/>
  <c r="Y24" i="22" s="1"/>
  <c r="V24" i="22"/>
  <c r="DC13" i="4" a="1"/>
  <c r="DC13" i="4" s="1"/>
  <c r="CY13" i="4"/>
  <c r="CZ13" i="4" s="1"/>
  <c r="AV43" i="13"/>
  <c r="AX41" i="4"/>
  <c r="F41" i="4"/>
  <c r="Z1337" i="13"/>
  <c r="AZ41" i="4"/>
  <c r="AQ41" i="4"/>
  <c r="AV343" i="13" s="1"/>
  <c r="W59" i="22"/>
  <c r="Y59" i="22" s="1"/>
  <c r="DC41" i="4" a="1"/>
  <c r="DC41" i="4" s="1"/>
  <c r="CY41" i="4"/>
  <c r="CZ41" i="4" s="1"/>
  <c r="V59" i="22"/>
  <c r="Z1323" i="13"/>
  <c r="AZ27" i="4"/>
  <c r="AV29" i="13"/>
  <c r="AX27" i="4"/>
  <c r="F27" i="4"/>
  <c r="AQ27" i="4"/>
  <c r="AV329" i="13" s="1"/>
  <c r="V42" i="22"/>
  <c r="DC27" i="4" a="1"/>
  <c r="DC27" i="4" s="1"/>
  <c r="DA27" i="4"/>
  <c r="DB27" i="4" s="1"/>
  <c r="W42" i="22"/>
  <c r="Y42" i="22" s="1"/>
  <c r="CY27" i="4"/>
  <c r="CZ27" i="4" s="1"/>
  <c r="AX63" i="4"/>
  <c r="Z1359" i="13"/>
  <c r="AZ63" i="4"/>
  <c r="AV65" i="13"/>
  <c r="DG17" i="4"/>
  <c r="DG5" i="4"/>
  <c r="DC5" i="4" a="1"/>
  <c r="DC5" i="4" s="1"/>
  <c r="AZ16" i="4"/>
  <c r="AX16" i="4"/>
  <c r="Z1312" i="13"/>
  <c r="AV18" i="13"/>
  <c r="F16" i="4"/>
  <c r="L16" i="4"/>
  <c r="CB16" i="4" s="1"/>
  <c r="AQ16" i="4"/>
  <c r="AV318" i="13" s="1"/>
  <c r="V13" i="22"/>
  <c r="W13" i="22"/>
  <c r="Y13" i="22" s="1"/>
  <c r="DA16" i="4"/>
  <c r="DB16" i="4" s="1"/>
  <c r="DC16" i="4" a="1"/>
  <c r="DC16" i="4" s="1"/>
  <c r="CY16" i="4"/>
  <c r="CZ16" i="4" s="1"/>
  <c r="AZ69" i="4"/>
  <c r="Z1365" i="13"/>
  <c r="AX69" i="4"/>
  <c r="AV71" i="13"/>
  <c r="AZ57" i="4"/>
  <c r="AX57" i="4"/>
  <c r="AV59" i="13"/>
  <c r="Z1353" i="13"/>
  <c r="AV64" i="13"/>
  <c r="AZ62" i="4"/>
  <c r="Z1358" i="13"/>
  <c r="AX62" i="4"/>
  <c r="AZ78" i="4"/>
  <c r="Z1374" i="13"/>
  <c r="AX78" i="4"/>
  <c r="AV80" i="13"/>
  <c r="E17" i="4"/>
  <c r="BU17" i="4" s="1"/>
  <c r="AV92" i="13"/>
  <c r="Z1386" i="13"/>
  <c r="AZ90" i="4"/>
  <c r="AX90" i="4"/>
  <c r="F90" i="4"/>
  <c r="AQ90" i="4"/>
  <c r="AV392" i="13" s="1"/>
  <c r="AX33" i="4"/>
  <c r="AV35" i="13"/>
  <c r="Z1329" i="13"/>
  <c r="AZ33" i="4"/>
  <c r="F33" i="4"/>
  <c r="AQ33" i="4"/>
  <c r="AV335" i="13" s="1"/>
  <c r="W49" i="22"/>
  <c r="Y49" i="22" s="1"/>
  <c r="S2" i="14"/>
  <c r="W1" i="14"/>
  <c r="CY33" i="4"/>
  <c r="CZ33" i="4" s="1"/>
  <c r="DC33" i="4" a="1"/>
  <c r="DC33" i="4" s="1"/>
  <c r="V49" i="22"/>
  <c r="AX51" i="4"/>
  <c r="AZ51" i="4"/>
  <c r="Z1347" i="13"/>
  <c r="AV53" i="13"/>
  <c r="F51" i="4"/>
  <c r="AQ51" i="4"/>
  <c r="AV353" i="13" s="1"/>
  <c r="CY51" i="4"/>
  <c r="CZ51" i="4" s="1"/>
  <c r="DC51" i="4" a="1"/>
  <c r="DC51" i="4" s="1"/>
  <c r="W71" i="22"/>
  <c r="Y71" i="22" s="1"/>
  <c r="V71" i="22"/>
  <c r="F30" i="4"/>
  <c r="AV32" i="13"/>
  <c r="AZ30" i="4"/>
  <c r="AX30" i="4"/>
  <c r="Z1326" i="13"/>
  <c r="L30" i="4"/>
  <c r="CB30" i="4" s="1"/>
  <c r="AQ30" i="4"/>
  <c r="AV332" i="13" s="1"/>
  <c r="W47" i="22"/>
  <c r="Y47" i="22" s="1"/>
  <c r="V47" i="22"/>
  <c r="DA54" i="4"/>
  <c r="DB54" i="4" s="1"/>
  <c r="AV56" i="13"/>
  <c r="AZ54" i="4"/>
  <c r="F54" i="4"/>
  <c r="AX54" i="4"/>
  <c r="Z1350" i="13"/>
  <c r="L54" i="4"/>
  <c r="CB54" i="4" s="1"/>
  <c r="AQ54" i="4"/>
  <c r="AV356" i="13" s="1"/>
  <c r="V75" i="22"/>
  <c r="W75" i="22"/>
  <c r="DC54" i="4" a="1"/>
  <c r="DC54" i="4" s="1"/>
  <c r="DA34" i="4"/>
  <c r="DB34" i="4" s="1"/>
  <c r="Z1330" i="13"/>
  <c r="AV36" i="13"/>
  <c r="AX34" i="4"/>
  <c r="AZ34" i="4"/>
  <c r="F34" i="4"/>
  <c r="AQ34" i="4"/>
  <c r="AV336" i="13" s="1"/>
  <c r="V48" i="22"/>
  <c r="W48" i="22"/>
  <c r="Y48" i="22" s="1"/>
  <c r="CY34" i="4"/>
  <c r="CZ34" i="4" s="1"/>
  <c r="DC34" i="4" a="1"/>
  <c r="DC34" i="4" s="1"/>
  <c r="AV107" i="13"/>
  <c r="AV85" i="13"/>
  <c r="AX83" i="4"/>
  <c r="Z1379" i="13"/>
  <c r="AZ83" i="4"/>
  <c r="AZ42" i="4"/>
  <c r="F42" i="4"/>
  <c r="AV44" i="13"/>
  <c r="AX42" i="4"/>
  <c r="Z1338" i="13"/>
  <c r="AQ42" i="4"/>
  <c r="AV344" i="13" s="1"/>
  <c r="V60" i="22"/>
  <c r="W60" i="22"/>
  <c r="Y60" i="22" s="1"/>
  <c r="V45" i="22"/>
  <c r="F31" i="4"/>
  <c r="AZ31" i="4"/>
  <c r="AX31" i="4"/>
  <c r="AV33" i="13"/>
  <c r="Z1327" i="13"/>
  <c r="L31" i="4"/>
  <c r="CB31" i="4" s="1"/>
  <c r="AQ31" i="4"/>
  <c r="AV333" i="13" s="1"/>
  <c r="CY31" i="4"/>
  <c r="CZ31" i="4" s="1"/>
  <c r="W45" i="22"/>
  <c r="Y45" i="22" s="1"/>
  <c r="DC31" i="4" a="1"/>
  <c r="DC31" i="4" s="1"/>
  <c r="CI94" i="72"/>
  <c r="E38" i="4"/>
  <c r="BU38" i="4" s="1"/>
  <c r="DG38" i="4"/>
  <c r="E203" i="15"/>
  <c r="E382" i="15"/>
  <c r="E406" i="15"/>
  <c r="E549" i="15"/>
  <c r="F43" i="4"/>
  <c r="Z1339" i="13"/>
  <c r="AZ43" i="4"/>
  <c r="AX43" i="4"/>
  <c r="AV45" i="13"/>
  <c r="AQ43" i="4"/>
  <c r="AV345" i="13" s="1"/>
  <c r="V61" i="22"/>
  <c r="W61" i="22"/>
  <c r="Y61" i="22" s="1"/>
  <c r="DA43" i="4"/>
  <c r="DB43" i="4" s="1"/>
  <c r="DC43" i="4" a="1"/>
  <c r="DC43" i="4" s="1"/>
  <c r="E149" i="15"/>
  <c r="E369" i="15"/>
  <c r="E232" i="15"/>
  <c r="E235" i="15"/>
  <c r="E573" i="15"/>
  <c r="E572" i="15"/>
  <c r="M571" i="15" s="1" a="1"/>
  <c r="M571" i="15" s="1"/>
  <c r="E564" i="15"/>
  <c r="E104" i="15"/>
  <c r="BB58" i="69"/>
  <c r="AB58" i="69" a="1"/>
  <c r="AB58" i="69" s="1"/>
  <c r="Q58" i="69"/>
  <c r="A58" i="69"/>
  <c r="AS58" i="69"/>
  <c r="BU58" i="69"/>
  <c r="AA58" i="69"/>
  <c r="N58" i="69" a="1"/>
  <c r="N58" i="69" s="1"/>
  <c r="Z58" i="69"/>
  <c r="V58" i="69"/>
  <c r="Y58" i="69"/>
  <c r="AC58" i="69"/>
  <c r="L58" i="69"/>
  <c r="P58" i="69"/>
  <c r="BC58" i="69"/>
  <c r="W58" i="69"/>
  <c r="BQ58" i="69" s="1" a="1"/>
  <c r="BQ58" i="69" s="1"/>
  <c r="AV42" i="13"/>
  <c r="Z1336" i="13"/>
  <c r="AZ40" i="4"/>
  <c r="F40" i="4"/>
  <c r="BS40" i="4" s="1"/>
  <c r="AX40" i="4"/>
  <c r="AQ40" i="4"/>
  <c r="AV342" i="13" s="1"/>
  <c r="V57" i="22"/>
  <c r="DC40" i="4" a="1"/>
  <c r="DC40" i="4" s="1"/>
  <c r="CY40" i="4"/>
  <c r="CZ40" i="4" s="1"/>
  <c r="W57" i="22"/>
  <c r="Y57" i="22" s="1"/>
  <c r="HQ38" i="71"/>
  <c r="DC20" i="4" a="1"/>
  <c r="DC20" i="4" s="1"/>
  <c r="BE41" i="4"/>
  <c r="BU41" i="4"/>
  <c r="A1336" i="13"/>
  <c r="AX1237" i="13"/>
  <c r="AX1278" i="13"/>
  <c r="A1377" i="13"/>
  <c r="BN3" i="69" a="1"/>
  <c r="BN3" i="69" s="1"/>
  <c r="AU3" i="69" a="1"/>
  <c r="AU3" i="69" s="1"/>
  <c r="AK3" i="69" a="1"/>
  <c r="AK3" i="69" s="1"/>
  <c r="AH3" i="69" a="1"/>
  <c r="AH3" i="69" s="1"/>
  <c r="AQ3" i="69" a="1"/>
  <c r="AQ3" i="69" s="1"/>
  <c r="AN3" i="69" a="1"/>
  <c r="AN3" i="69" s="1"/>
  <c r="AG3" i="69" a="1"/>
  <c r="AG3" i="69" s="1"/>
  <c r="AF3" i="69" a="1"/>
  <c r="AF3" i="69" s="1"/>
  <c r="AW3" i="69" a="1"/>
  <c r="AW3" i="69" s="1"/>
  <c r="AZ3" i="69" a="1"/>
  <c r="AZ3" i="69" s="1"/>
  <c r="AI3" i="69" a="1"/>
  <c r="AI3" i="69" s="1"/>
  <c r="BA3" i="69" a="1"/>
  <c r="BA3" i="69" s="1"/>
  <c r="AV3" i="69" a="1"/>
  <c r="AV3" i="69" s="1"/>
  <c r="AO3" i="69" a="1"/>
  <c r="AO3" i="69" s="1"/>
  <c r="AX3" i="69" a="1"/>
  <c r="AX3" i="69" s="1"/>
  <c r="AP3" i="69" a="1"/>
  <c r="AP3" i="69" s="1"/>
  <c r="AN10" i="69" a="1"/>
  <c r="AN10" i="69" s="1"/>
  <c r="AG10" i="69" a="1"/>
  <c r="AG10" i="69" s="1"/>
  <c r="A366" i="13"/>
  <c r="AX366" i="13" s="1"/>
  <c r="AX266" i="13"/>
  <c r="AV24" i="13"/>
  <c r="F22" i="4"/>
  <c r="AX22" i="4"/>
  <c r="Z1318" i="13"/>
  <c r="AZ22" i="4"/>
  <c r="AQ22" i="4"/>
  <c r="AV324" i="13" s="1"/>
  <c r="W34" i="22"/>
  <c r="Y34" i="22" s="1"/>
  <c r="V34" i="22"/>
  <c r="DC22" i="4" a="1"/>
  <c r="DC22" i="4" s="1"/>
  <c r="DA22" i="4"/>
  <c r="DB22" i="4" s="1"/>
  <c r="DA47" i="4"/>
  <c r="DB47" i="4" s="1"/>
  <c r="F47" i="4"/>
  <c r="AZ47" i="4"/>
  <c r="AX47" i="4"/>
  <c r="AV49" i="13"/>
  <c r="Z1343" i="13"/>
  <c r="L47" i="4"/>
  <c r="CB47" i="4" s="1"/>
  <c r="AQ47" i="4"/>
  <c r="AV349" i="13" s="1"/>
  <c r="DC47" i="4" a="1"/>
  <c r="DC47" i="4" s="1"/>
  <c r="CY47" i="4"/>
  <c r="CZ47" i="4" s="1"/>
  <c r="V69" i="22"/>
  <c r="W69" i="22"/>
  <c r="Y69" i="22" s="1"/>
  <c r="CX5" i="4"/>
  <c r="W64" i="22"/>
  <c r="Y64" i="22" s="1"/>
  <c r="Z1342" i="13"/>
  <c r="F46" i="4"/>
  <c r="AV48" i="13"/>
  <c r="AZ46" i="4"/>
  <c r="AX46" i="4"/>
  <c r="AQ46" i="4"/>
  <c r="AV348" i="13" s="1"/>
  <c r="V64" i="22"/>
  <c r="DC46" i="4" a="1"/>
  <c r="DC46" i="4" s="1"/>
  <c r="CY46" i="4"/>
  <c r="CZ46" i="4" s="1"/>
  <c r="F8" i="4"/>
  <c r="AZ8" i="4"/>
  <c r="AV10" i="13"/>
  <c r="Z1304" i="13"/>
  <c r="AX8" i="4"/>
  <c r="L8" i="4"/>
  <c r="CB8" i="4" s="1"/>
  <c r="AQ8" i="4"/>
  <c r="AV310" i="13" s="1"/>
  <c r="V18" i="22"/>
  <c r="W18" i="22"/>
  <c r="Y18" i="22" s="1"/>
  <c r="H11" i="7" a="1"/>
  <c r="H11" i="7" s="1"/>
  <c r="DC8" i="4" a="1"/>
  <c r="DC8" i="4" s="1"/>
  <c r="AX28" i="4"/>
  <c r="F28" i="4"/>
  <c r="Z1324" i="13"/>
  <c r="AZ28" i="4"/>
  <c r="AV30" i="13"/>
  <c r="L28" i="4"/>
  <c r="CB28" i="4" s="1"/>
  <c r="AQ28" i="4"/>
  <c r="AV330" i="13" s="1"/>
  <c r="CY28" i="4"/>
  <c r="CZ28" i="4" s="1"/>
  <c r="DC28" i="4" a="1"/>
  <c r="DC28" i="4" s="1"/>
  <c r="DA28" i="4"/>
  <c r="DB28" i="4" s="1"/>
  <c r="AX93" i="4"/>
  <c r="AV95" i="13"/>
  <c r="Z1389" i="13"/>
  <c r="AZ93" i="4"/>
  <c r="AX74" i="4"/>
  <c r="AZ74" i="4"/>
  <c r="Z1370" i="13"/>
  <c r="AV76" i="13"/>
  <c r="AZ52" i="4"/>
  <c r="Z1348" i="13"/>
  <c r="AV54" i="13"/>
  <c r="AX52" i="4"/>
  <c r="F52" i="4"/>
  <c r="L52" i="4"/>
  <c r="CB52" i="4" s="1"/>
  <c r="AQ52" i="4"/>
  <c r="AV354" i="13" s="1"/>
  <c r="DC52" i="4" a="1"/>
  <c r="DC52" i="4" s="1"/>
  <c r="V74" i="22"/>
  <c r="W74" i="22"/>
  <c r="Y74" i="22" s="1"/>
  <c r="CY52" i="4"/>
  <c r="CZ52" i="4" s="1"/>
  <c r="AX50" i="4"/>
  <c r="AV52" i="13"/>
  <c r="F50" i="4"/>
  <c r="Z1346" i="13"/>
  <c r="AZ50" i="4"/>
  <c r="AQ50" i="4"/>
  <c r="AV352" i="13" s="1"/>
  <c r="CY50" i="4"/>
  <c r="CZ50" i="4" s="1"/>
  <c r="W73" i="22"/>
  <c r="Y73" i="22" s="1"/>
  <c r="V73" i="22"/>
  <c r="DC50" i="4" a="1"/>
  <c r="DC50" i="4" s="1"/>
  <c r="Z58" i="72"/>
  <c r="X58" i="72"/>
  <c r="AA58" i="72" a="1"/>
  <c r="AA58" i="72" s="1"/>
  <c r="AQ58" i="72"/>
  <c r="AN58" i="72"/>
  <c r="AG58" i="72"/>
  <c r="A58" i="72"/>
  <c r="Y58" i="72"/>
  <c r="L58" i="72"/>
  <c r="AB58" i="72"/>
  <c r="BB58" i="72"/>
  <c r="BK58" i="72"/>
  <c r="N58" i="72" a="1"/>
  <c r="N58" i="72" s="1"/>
  <c r="AO58" i="72"/>
  <c r="BL58" i="72"/>
  <c r="Q58" i="72"/>
  <c r="AC58" i="72"/>
  <c r="AE58" i="72"/>
  <c r="W58" i="72"/>
  <c r="P58" i="72"/>
  <c r="AX7" i="4"/>
  <c r="AZ7" i="4"/>
  <c r="Z1303" i="13"/>
  <c r="AV9" i="13"/>
  <c r="F7" i="4"/>
  <c r="L7" i="4"/>
  <c r="CB7" i="4" s="1"/>
  <c r="AQ7" i="4"/>
  <c r="AV309" i="13" s="1"/>
  <c r="V28" i="22"/>
  <c r="W28" i="22"/>
  <c r="Y28" i="22" s="1"/>
  <c r="DC7" i="4" a="1"/>
  <c r="DC7" i="4" s="1"/>
  <c r="DA7" i="4"/>
  <c r="DB7" i="4" s="1"/>
  <c r="F663" i="15" a="1"/>
  <c r="F663" i="15" s="1"/>
  <c r="AX271" i="13"/>
  <c r="A371" i="13"/>
  <c r="AX371" i="13" s="1"/>
  <c r="BB56" i="4" a="1"/>
  <c r="BB56" i="4" s="1"/>
  <c r="BC56" i="4" s="1"/>
  <c r="AV158" i="13" s="1"/>
  <c r="B56" i="4"/>
  <c r="AT73" i="4"/>
  <c r="AV675" i="13" s="1"/>
  <c r="Z1871" i="13"/>
  <c r="B1871" i="13" s="1" a="1"/>
  <c r="B1871" i="13" s="1"/>
  <c r="A377" i="13"/>
  <c r="AX377" i="13" s="1"/>
  <c r="AX277" i="13"/>
  <c r="AV68" i="13"/>
  <c r="AZ66" i="4"/>
  <c r="AX66" i="4"/>
  <c r="Z1362" i="13"/>
  <c r="E243" i="15"/>
  <c r="E297" i="15"/>
  <c r="E395" i="15"/>
  <c r="E496" i="15"/>
  <c r="E157" i="15"/>
  <c r="E454" i="15"/>
  <c r="E36" i="4"/>
  <c r="BU36" i="4" s="1"/>
  <c r="E449" i="15"/>
  <c r="DG36" i="4"/>
  <c r="E534" i="15"/>
  <c r="E606" i="15"/>
  <c r="E657" i="15"/>
  <c r="E337" i="15"/>
  <c r="E674" i="15"/>
  <c r="E127" i="15"/>
  <c r="AX255" i="13"/>
  <c r="A355" i="13"/>
  <c r="AX355" i="13" s="1"/>
  <c r="AX1266" i="13"/>
  <c r="A1365" i="13"/>
  <c r="A330" i="13"/>
  <c r="AX330" i="13" s="1"/>
  <c r="AX230" i="13"/>
  <c r="AX1232" i="13"/>
  <c r="A1331" i="13"/>
  <c r="AV66" i="13"/>
  <c r="AX64" i="4"/>
  <c r="AZ64" i="4"/>
  <c r="Z1360" i="13"/>
  <c r="A378" i="13"/>
  <c r="AX378" i="13" s="1"/>
  <c r="AX278" i="13"/>
  <c r="Z1382" i="13"/>
  <c r="AZ86" i="4"/>
  <c r="AV88" i="13"/>
  <c r="AX86" i="4"/>
  <c r="F86" i="4"/>
  <c r="AQ86" i="4"/>
  <c r="AV388" i="13" s="1"/>
  <c r="AZ89" i="4"/>
  <c r="AV91" i="13"/>
  <c r="AX89" i="4"/>
  <c r="Z1385" i="13"/>
  <c r="AZ25" i="4"/>
  <c r="F25" i="4"/>
  <c r="Z1321" i="13"/>
  <c r="AV27" i="13"/>
  <c r="AX25" i="4"/>
  <c r="L25" i="4"/>
  <c r="AQ25" i="4"/>
  <c r="AV327" i="13" s="1"/>
  <c r="W40" i="22"/>
  <c r="Y40" i="22" s="1"/>
  <c r="V40" i="22"/>
  <c r="F44" i="4"/>
  <c r="Z1340" i="13"/>
  <c r="AX44" i="4"/>
  <c r="AZ44" i="4"/>
  <c r="AV46" i="13"/>
  <c r="L44" i="4"/>
  <c r="CB44" i="4" s="1"/>
  <c r="AQ44" i="4"/>
  <c r="AV346" i="13" s="1"/>
  <c r="V63" i="22"/>
  <c r="W63" i="22"/>
  <c r="Y63" i="22" s="1"/>
  <c r="CY44" i="4"/>
  <c r="CZ44" i="4" s="1"/>
  <c r="DA44" i="4"/>
  <c r="DB44" i="4" s="1"/>
  <c r="DC44" i="4" a="1"/>
  <c r="DC44" i="4" s="1"/>
  <c r="CY38" i="4"/>
  <c r="CZ38" i="4" s="1"/>
  <c r="F38" i="4"/>
  <c r="Z1334" i="13"/>
  <c r="AV40" i="13"/>
  <c r="AX38" i="4"/>
  <c r="AZ38" i="4"/>
  <c r="L38" i="4"/>
  <c r="CB38" i="4" s="1"/>
  <c r="AQ38" i="4"/>
  <c r="AV340" i="13" s="1"/>
  <c r="V54" i="22"/>
  <c r="W54" i="22"/>
  <c r="Y54" i="22" s="1"/>
  <c r="DC38" i="4" a="1"/>
  <c r="DC38" i="4" s="1"/>
  <c r="AV50" i="13"/>
  <c r="F48" i="4"/>
  <c r="AZ48" i="4"/>
  <c r="AX48" i="4"/>
  <c r="Z1344" i="13"/>
  <c r="L48" i="4"/>
  <c r="CB48" i="4" s="1"/>
  <c r="AQ48" i="4"/>
  <c r="AV350" i="13" s="1"/>
  <c r="V70" i="22"/>
  <c r="DA48" i="4"/>
  <c r="DB48" i="4" s="1"/>
  <c r="W70" i="22"/>
  <c r="Y70" i="22" s="1"/>
  <c r="DC48" i="4" a="1"/>
  <c r="DC48" i="4" s="1"/>
  <c r="CY42" i="4"/>
  <c r="CZ42" i="4" s="1"/>
  <c r="F19" i="4"/>
  <c r="AZ19" i="4"/>
  <c r="AX19" i="4"/>
  <c r="Z1315" i="13"/>
  <c r="AV21" i="13"/>
  <c r="AQ19" i="4"/>
  <c r="AV321" i="13" s="1"/>
  <c r="W27" i="22"/>
  <c r="Y27" i="22" s="1"/>
  <c r="V27" i="22"/>
  <c r="CY19" i="4"/>
  <c r="CZ19" i="4" s="1"/>
  <c r="DC19" i="4" a="1"/>
  <c r="DC19" i="4" s="1"/>
  <c r="DA19" i="4"/>
  <c r="DB19" i="4" s="1"/>
  <c r="AX84" i="4"/>
  <c r="AV86" i="13"/>
  <c r="Z1380" i="13"/>
  <c r="AZ84" i="4"/>
  <c r="AZ85" i="4"/>
  <c r="Z1381" i="13"/>
  <c r="AX85" i="4"/>
  <c r="AV87" i="13"/>
  <c r="Z1332" i="13"/>
  <c r="AZ36" i="4"/>
  <c r="F36" i="4"/>
  <c r="AX36" i="4"/>
  <c r="AV38" i="13"/>
  <c r="L36" i="4"/>
  <c r="CB36" i="4" s="1"/>
  <c r="AQ36" i="4"/>
  <c r="AV338" i="13" s="1"/>
  <c r="CY36" i="4"/>
  <c r="CZ36" i="4" s="1"/>
  <c r="W52" i="22"/>
  <c r="Y52" i="22" s="1"/>
  <c r="DC36" i="4" a="1"/>
  <c r="DC36" i="4" s="1"/>
  <c r="V52" i="22"/>
  <c r="DC42" i="4" a="1"/>
  <c r="DC42" i="4" s="1"/>
  <c r="AX59" i="4"/>
  <c r="Z1355" i="13"/>
  <c r="AZ59" i="4"/>
  <c r="AV61" i="13"/>
  <c r="E42" i="4"/>
  <c r="BU42" i="4" s="1"/>
  <c r="AZ6" i="4"/>
  <c r="F6" i="4"/>
  <c r="AX6" i="4"/>
  <c r="Z1302" i="13"/>
  <c r="AV8" i="13"/>
  <c r="AQ6" i="4"/>
  <c r="AV308" i="13" s="1"/>
  <c r="V16" i="22"/>
  <c r="W16" i="22"/>
  <c r="Y16" i="22" s="1"/>
  <c r="DC6" i="4" a="1"/>
  <c r="DC6" i="4" s="1"/>
  <c r="CY6" i="4"/>
  <c r="CZ6" i="4" s="1"/>
  <c r="AZ91" i="4"/>
  <c r="AV93" i="13"/>
  <c r="Z1387" i="13"/>
  <c r="AX91" i="4"/>
  <c r="AZ20" i="4"/>
  <c r="F20" i="4"/>
  <c r="Z1316" i="13"/>
  <c r="AX20" i="4"/>
  <c r="AV22" i="13"/>
  <c r="AQ20" i="4"/>
  <c r="AV322" i="13" s="1"/>
  <c r="V29" i="22"/>
  <c r="W29" i="22"/>
  <c r="Y29" i="22" s="1"/>
  <c r="DA20" i="4"/>
  <c r="DB20" i="4" s="1"/>
  <c r="AZ14" i="4"/>
  <c r="Z1310" i="13"/>
  <c r="AX14" i="4"/>
  <c r="F14" i="4"/>
  <c r="AV16" i="13"/>
  <c r="L14" i="4"/>
  <c r="CB14" i="4" s="1"/>
  <c r="AQ14" i="4"/>
  <c r="AV316" i="13" s="1"/>
  <c r="W23" i="22"/>
  <c r="Y23" i="22" s="1"/>
  <c r="V23" i="22"/>
  <c r="DC14" i="4" a="1"/>
  <c r="DC14" i="4" s="1"/>
  <c r="CY14" i="4"/>
  <c r="CZ14" i="4" s="1"/>
  <c r="AV70" i="13"/>
  <c r="AZ68" i="4"/>
  <c r="AX68" i="4"/>
  <c r="Z1364" i="13"/>
  <c r="DA5" i="4"/>
  <c r="DB5" i="4" s="1"/>
  <c r="AV7" i="13"/>
  <c r="Z1301" i="13"/>
  <c r="AX5" i="4"/>
  <c r="AZ5" i="4"/>
  <c r="F5" i="4"/>
  <c r="W15" i="22"/>
  <c r="Y15" i="22" s="1"/>
  <c r="AQ5" i="4"/>
  <c r="AV307" i="13" s="1"/>
  <c r="V15" i="22"/>
  <c r="CY25" i="4"/>
  <c r="CZ25" i="4" s="1"/>
  <c r="AT3" i="69" a="1"/>
  <c r="AT3" i="69" s="1"/>
  <c r="AV615" i="13"/>
  <c r="H70" i="9"/>
  <c r="BB73" i="4" a="1"/>
  <c r="BB73" i="4" s="1"/>
  <c r="BC73" i="4" s="1"/>
  <c r="AV175" i="13" s="1"/>
  <c r="B73" i="4"/>
  <c r="AQ73" i="4" s="1"/>
  <c r="AV375" i="13" s="1"/>
  <c r="AX223" i="13"/>
  <c r="A323" i="13"/>
  <c r="AX323" i="13" s="1"/>
  <c r="BU22" i="4"/>
  <c r="AX1246" i="13"/>
  <c r="A1345" i="13"/>
  <c r="AY83" i="4"/>
  <c r="AD83" i="4"/>
  <c r="DD83" i="4"/>
  <c r="CW83" i="4"/>
  <c r="CX83" i="4" s="1"/>
  <c r="Z1870" i="13"/>
  <c r="B1870" i="13" s="1" a="1"/>
  <c r="B1870" i="13" s="1"/>
  <c r="E483" i="15"/>
  <c r="E388" i="15"/>
  <c r="E640" i="15"/>
  <c r="E323" i="15"/>
  <c r="E315" i="15"/>
  <c r="E65" i="15"/>
  <c r="E274" i="15"/>
  <c r="AX1244" i="13"/>
  <c r="A1343" i="13"/>
  <c r="AX1221" i="13"/>
  <c r="A1320" i="13"/>
  <c r="A1361" i="13"/>
  <c r="AX1262" i="13"/>
  <c r="GR26" i="71"/>
  <c r="GI6" i="71"/>
  <c r="GO11" i="71"/>
  <c r="IE10" i="71"/>
  <c r="GO29" i="71"/>
  <c r="IN31" i="71"/>
  <c r="M33" i="9"/>
  <c r="E943" i="15"/>
  <c r="Z1866" i="13"/>
  <c r="B1866" i="13" s="1" a="1"/>
  <c r="B1866" i="13" s="1"/>
  <c r="BE43" i="4"/>
  <c r="BU43" i="4"/>
  <c r="AE4" i="69" a="1"/>
  <c r="AE4" i="69" s="1"/>
  <c r="AP4" i="69" s="1" a="1"/>
  <c r="AP4" i="69" s="1"/>
  <c r="BQ4" i="69" a="1"/>
  <c r="BQ4" i="69" s="1"/>
  <c r="BD4" i="69"/>
  <c r="BG4" i="69"/>
  <c r="BM4" i="69" a="1"/>
  <c r="BM4" i="69" s="1"/>
  <c r="BT4" i="69"/>
  <c r="R4" i="69"/>
  <c r="AD81" i="4"/>
  <c r="AY81" i="4"/>
  <c r="DA81" i="4"/>
  <c r="DB81" i="4" s="1"/>
  <c r="DD81" i="4"/>
  <c r="CW81" i="4"/>
  <c r="CX81" i="4" s="1"/>
  <c r="N51" i="9"/>
  <c r="FN11" i="71"/>
  <c r="IH31" i="71"/>
  <c r="N35" i="9"/>
  <c r="HY21" i="71"/>
  <c r="EJ28" i="71"/>
  <c r="HA19" i="71"/>
  <c r="N62" i="9"/>
  <c r="L613" i="15" a="1"/>
  <c r="L613" i="15" s="1"/>
  <c r="GC6" i="71"/>
  <c r="AT93" i="4"/>
  <c r="AV695" i="13" s="1"/>
  <c r="E91" i="15"/>
  <c r="E147" i="15"/>
  <c r="E226" i="15"/>
  <c r="E195" i="15"/>
  <c r="E112" i="15"/>
  <c r="E142" i="15"/>
  <c r="N615" i="15" a="1"/>
  <c r="N615" i="15" s="1"/>
  <c r="AY770" i="13"/>
  <c r="IB4" i="71"/>
  <c r="J980" i="15"/>
  <c r="E189" i="15"/>
  <c r="IT15" i="71"/>
  <c r="AB96" i="69" a="1"/>
  <c r="AB96" i="69" s="1"/>
  <c r="JO14" i="71"/>
  <c r="M56" i="9"/>
  <c r="J792" i="15"/>
  <c r="IN30" i="71"/>
  <c r="E888" i="15"/>
  <c r="E723" i="15"/>
  <c r="BU51" i="4"/>
  <c r="AD86" i="4"/>
  <c r="AY86" i="4"/>
  <c r="DA86" i="4"/>
  <c r="DB86" i="4" s="1"/>
  <c r="DD86" i="4"/>
  <c r="CW86" i="4"/>
  <c r="CX86" i="4" s="1"/>
  <c r="CY86" i="4"/>
  <c r="CZ86" i="4" s="1"/>
  <c r="HM25" i="71"/>
  <c r="N94" i="69" a="1"/>
  <c r="N94" i="69" s="1"/>
  <c r="J767" i="15"/>
  <c r="M76" i="9"/>
  <c r="JX8" i="71"/>
  <c r="JU11" i="71"/>
  <c r="M615" i="15" a="1"/>
  <c r="M615" i="15" s="1"/>
  <c r="GR21" i="71"/>
  <c r="HS5" i="71"/>
  <c r="AV793" i="13"/>
  <c r="AT71" i="4"/>
  <c r="AV673" i="13" s="1"/>
  <c r="E589" i="15"/>
  <c r="AO130" i="72"/>
  <c r="GI25" i="71"/>
  <c r="E733" i="15"/>
  <c r="GI7" i="71"/>
  <c r="HS20" i="71"/>
  <c r="IZ18" i="71"/>
  <c r="E810" i="15"/>
  <c r="AP96" i="72"/>
  <c r="FZ32" i="71"/>
  <c r="E918" i="15"/>
  <c r="JU26" i="71"/>
  <c r="Z1857" i="13"/>
  <c r="B1857" i="13" s="1" a="1"/>
  <c r="B1857" i="13" s="1"/>
  <c r="AV769" i="13"/>
  <c r="A1302" i="13"/>
  <c r="AX1203" i="13"/>
  <c r="AY77" i="4"/>
  <c r="DD77" i="4"/>
  <c r="CW77" i="4"/>
  <c r="CX77" i="4" s="1"/>
  <c r="AD77" i="4"/>
  <c r="E987" i="15"/>
  <c r="AS96" i="69"/>
  <c r="W11" i="22"/>
  <c r="Y11" i="22" s="1"/>
  <c r="GF12" i="71"/>
  <c r="J841" i="15"/>
  <c r="E922" i="15"/>
  <c r="E982" i="15"/>
  <c r="W44" i="22"/>
  <c r="Y44" i="22" s="1"/>
  <c r="N23" i="9"/>
  <c r="H22" i="7" a="1"/>
  <c r="H22" i="7" s="1"/>
  <c r="IE32" i="71"/>
  <c r="FH10" i="71"/>
  <c r="H87" i="9"/>
  <c r="AX252" i="13"/>
  <c r="A352" i="13"/>
  <c r="AX352" i="13" s="1"/>
  <c r="AV771" i="13"/>
  <c r="AX233" i="13"/>
  <c r="A333" i="13"/>
  <c r="AX333" i="13" s="1"/>
  <c r="IZ26" i="71"/>
  <c r="FW27" i="71"/>
  <c r="J875" i="15"/>
  <c r="GF32" i="71"/>
  <c r="IK32" i="71"/>
  <c r="GI24" i="71"/>
  <c r="E743" i="15"/>
  <c r="GU4" i="71"/>
  <c r="AP95" i="72"/>
  <c r="J827" i="15"/>
  <c r="IB20" i="71"/>
  <c r="JU31" i="71"/>
  <c r="A1316" i="13"/>
  <c r="AX1217" i="13"/>
  <c r="HV31" i="71"/>
  <c r="BB95" i="69"/>
  <c r="JU12" i="71"/>
  <c r="M37" i="9"/>
  <c r="IE7" i="71"/>
  <c r="E744" i="15"/>
  <c r="AQ96" i="72"/>
  <c r="J989" i="15"/>
  <c r="E913" i="15"/>
  <c r="FK17" i="71"/>
  <c r="N49" i="9"/>
  <c r="CW80" i="4"/>
  <c r="CX80" i="4" s="1"/>
  <c r="AD80" i="4"/>
  <c r="AY80" i="4"/>
  <c r="DD80" i="4"/>
  <c r="CY80" i="4"/>
  <c r="CZ80" i="4" s="1"/>
  <c r="DC80" i="4" a="1"/>
  <c r="DC80" i="4" s="1"/>
  <c r="AX761" i="13"/>
  <c r="AV761" i="13"/>
  <c r="AY761" i="13"/>
  <c r="AX125" i="13"/>
  <c r="DF50" i="4" s="1" a="1"/>
  <c r="DF50" i="4" s="1"/>
  <c r="A225" i="13"/>
  <c r="A383" i="13"/>
  <c r="AX383" i="13" s="1"/>
  <c r="AX283" i="13"/>
  <c r="JF26" i="71"/>
  <c r="IC38" i="71"/>
  <c r="J737" i="15"/>
  <c r="E851" i="15"/>
  <c r="HM36" i="71"/>
  <c r="E832" i="15"/>
  <c r="J842" i="15"/>
  <c r="E86" i="15"/>
  <c r="E401" i="15"/>
  <c r="C53" i="23"/>
  <c r="B53" i="23"/>
  <c r="F51" i="23"/>
  <c r="AG1" i="23"/>
  <c r="B51" i="14"/>
  <c r="O1" i="14" s="1"/>
  <c r="B52" i="23"/>
  <c r="C52" i="23"/>
  <c r="JI27" i="71"/>
  <c r="EJ33" i="71"/>
  <c r="AY795" i="13"/>
  <c r="J991" i="15"/>
  <c r="IE5" i="71"/>
  <c r="E837" i="15"/>
  <c r="E346" i="15"/>
  <c r="IH13" i="71"/>
  <c r="FZ35" i="71"/>
  <c r="HA31" i="71"/>
  <c r="GF21" i="71"/>
  <c r="E795" i="15"/>
  <c r="E372" i="15"/>
  <c r="J724" i="15"/>
  <c r="IW15" i="71"/>
  <c r="J680" i="15"/>
  <c r="J770" i="15"/>
  <c r="JU35" i="71"/>
  <c r="J796" i="15"/>
  <c r="N48" i="9"/>
  <c r="E649" i="15"/>
  <c r="JX27" i="71"/>
  <c r="E876" i="15"/>
  <c r="JC5" i="71"/>
  <c r="GI15" i="71"/>
  <c r="I4" i="15" a="1"/>
  <c r="I4" i="15" s="1"/>
  <c r="GF33" i="71"/>
  <c r="JO18" i="71"/>
  <c r="IZ20" i="71"/>
  <c r="GU9" i="71"/>
  <c r="D58" i="23"/>
  <c r="E58" i="23" s="1"/>
  <c r="F36" i="23"/>
  <c r="B36" i="23" s="1"/>
  <c r="C58" i="23"/>
  <c r="B58" i="23"/>
  <c r="GC9" i="71"/>
  <c r="HD13" i="71"/>
  <c r="JO8" i="71"/>
  <c r="FW8" i="71"/>
  <c r="E257" i="15"/>
  <c r="V12" i="22"/>
  <c r="FT32" i="71"/>
  <c r="FN18" i="71"/>
  <c r="HP26" i="71"/>
  <c r="N34" i="9"/>
  <c r="J518" i="15"/>
  <c r="E760" i="15"/>
  <c r="J671" i="15"/>
  <c r="HM15" i="71"/>
  <c r="HD32" i="71"/>
  <c r="IE27" i="71"/>
  <c r="M32" i="9"/>
  <c r="M75" i="9"/>
  <c r="J798" i="15"/>
  <c r="FQ11" i="71"/>
  <c r="HA4" i="71"/>
  <c r="IW32" i="71"/>
  <c r="M89" i="9"/>
  <c r="J863" i="15"/>
  <c r="GR16" i="71"/>
  <c r="E849" i="15"/>
  <c r="FZ13" i="71"/>
  <c r="I13" i="15" a="1"/>
  <c r="I13" i="15" s="1"/>
  <c r="FH35" i="71"/>
  <c r="IN12" i="71"/>
  <c r="AA95" i="72" a="1"/>
  <c r="AA95" i="72" s="1"/>
  <c r="JR16" i="71"/>
  <c r="AO126" i="72"/>
  <c r="IK34" i="71"/>
  <c r="E95" i="15"/>
  <c r="JU17" i="71"/>
  <c r="GG38" i="71"/>
  <c r="E804" i="15"/>
  <c r="GF23" i="71"/>
  <c r="JL18" i="71"/>
  <c r="HP33" i="71"/>
  <c r="GX17" i="71"/>
  <c r="E245" i="15"/>
  <c r="E786" i="15"/>
  <c r="J599" i="15"/>
  <c r="HJ8" i="71"/>
  <c r="E215" i="15"/>
  <c r="N31" i="9"/>
  <c r="IW6" i="71"/>
  <c r="GO6" i="71"/>
  <c r="C23" i="1"/>
  <c r="J801" i="15"/>
  <c r="HV27" i="71"/>
  <c r="N29" i="9"/>
  <c r="M39" i="9"/>
  <c r="EJ25" i="71"/>
  <c r="AO95" i="72"/>
  <c r="AV1489" i="13"/>
  <c r="BB94" i="72"/>
  <c r="JR10" i="71"/>
  <c r="E828" i="15"/>
  <c r="M51" i="9"/>
  <c r="JC26" i="71"/>
  <c r="E611" i="15"/>
  <c r="E54" i="4"/>
  <c r="BU54" i="4" s="1"/>
  <c r="BF9" i="72" a="1"/>
  <c r="BF9" i="72" s="1"/>
  <c r="AM54" i="4"/>
  <c r="I54" i="69" s="1"/>
  <c r="AM80" i="4"/>
  <c r="I80" i="72" s="1"/>
  <c r="Z16" i="4"/>
  <c r="AV1213" i="13" s="1"/>
  <c r="AE7" i="4"/>
  <c r="F7" i="69" s="1"/>
  <c r="AI32" i="4"/>
  <c r="AV1328" i="13" s="1"/>
  <c r="AI26" i="4"/>
  <c r="AV1322" i="13" s="1"/>
  <c r="Z28" i="4"/>
  <c r="AV1225" i="13" s="1"/>
  <c r="Z19" i="4"/>
  <c r="AV1216" i="13" s="1"/>
  <c r="AI22" i="4"/>
  <c r="AV1318" i="13" s="1"/>
  <c r="AE19" i="4"/>
  <c r="F19" i="69" s="1"/>
  <c r="AM31" i="4"/>
  <c r="I31" i="72" s="1"/>
  <c r="AI28" i="4"/>
  <c r="AV1324" i="13" s="1"/>
  <c r="AM21" i="4"/>
  <c r="I21" i="69" s="1"/>
  <c r="Z21" i="4"/>
  <c r="AV1218" i="13" s="1"/>
  <c r="AE6" i="4"/>
  <c r="F6" i="72" s="1"/>
  <c r="X59" i="69"/>
  <c r="V59" i="72"/>
  <c r="AI80" i="4"/>
  <c r="AV1376" i="13" s="1"/>
  <c r="AM14" i="4"/>
  <c r="I14" i="72" s="1"/>
  <c r="AI25" i="4"/>
  <c r="AV1321" i="13" s="1"/>
  <c r="X46" i="69"/>
  <c r="V46" i="72"/>
  <c r="X69" i="69"/>
  <c r="V69" i="72"/>
  <c r="V43" i="72"/>
  <c r="X43" i="69"/>
  <c r="V80" i="72"/>
  <c r="X80" i="69"/>
  <c r="V88" i="72"/>
  <c r="X88" i="69"/>
  <c r="BM4" i="4"/>
  <c r="BH4" i="4"/>
  <c r="AV1102" i="13" s="1"/>
  <c r="BS4" i="4"/>
  <c r="L4" i="4"/>
  <c r="X35" i="69"/>
  <c r="V35" i="72"/>
  <c r="X36" i="69"/>
  <c r="V36" i="72"/>
  <c r="AX268" i="13"/>
  <c r="A368" i="13"/>
  <c r="AX368" i="13" s="1"/>
  <c r="A375" i="13"/>
  <c r="AX375" i="13" s="1"/>
  <c r="AX275" i="13"/>
  <c r="B82" i="4"/>
  <c r="BB82" i="4" a="1"/>
  <c r="BB82" i="4" s="1"/>
  <c r="BC82" i="4" s="1"/>
  <c r="AV184" i="13" s="1"/>
  <c r="A315" i="13"/>
  <c r="AX315" i="13" s="1"/>
  <c r="AX215" i="13"/>
  <c r="BM94" i="72"/>
  <c r="BP94" i="72"/>
  <c r="AL94" i="72" a="1"/>
  <c r="AL94" i="72" s="1"/>
  <c r="AW94" i="72"/>
  <c r="AT94" i="72" a="1"/>
  <c r="AT94" i="72" s="1"/>
  <c r="AS94" i="72" a="1"/>
  <c r="AS94" i="72" s="1"/>
  <c r="AU94" i="72" a="1"/>
  <c r="AU94" i="72" s="1"/>
  <c r="R94" i="72"/>
  <c r="BY94" i="72"/>
  <c r="BZ94" i="72" a="1"/>
  <c r="BZ94" i="72" s="1"/>
  <c r="E94" i="72"/>
  <c r="A1370" i="13"/>
  <c r="AX1271" i="13"/>
  <c r="BB96" i="4" a="1"/>
  <c r="BB96" i="4" s="1"/>
  <c r="BC96" i="4" s="1"/>
  <c r="T96" i="72" s="1"/>
  <c r="B96" i="4"/>
  <c r="HY20" i="71"/>
  <c r="AX250" i="13"/>
  <c r="A350" i="13"/>
  <c r="AX350" i="13" s="1"/>
  <c r="AX265" i="13"/>
  <c r="A365" i="13"/>
  <c r="AX365" i="13" s="1"/>
  <c r="B81" i="4"/>
  <c r="BB81" i="4" a="1"/>
  <c r="BB81" i="4" s="1"/>
  <c r="BC81" i="4" s="1"/>
  <c r="AV183" i="13" s="1"/>
  <c r="J947" i="15"/>
  <c r="IQ11" i="71"/>
  <c r="EJ6" i="71"/>
  <c r="N25" i="9"/>
  <c r="J691" i="15"/>
  <c r="IN14" i="71"/>
  <c r="JX22" i="71"/>
  <c r="EJ12" i="71"/>
  <c r="GL28" i="71"/>
  <c r="GC30" i="71"/>
  <c r="B68" i="4"/>
  <c r="F68" i="4" s="1"/>
  <c r="BB68" i="4" a="1"/>
  <c r="BB68" i="4" s="1"/>
  <c r="BC68" i="4" s="1"/>
  <c r="AV170" i="13" s="1"/>
  <c r="AX1276" i="13"/>
  <c r="A1375" i="13"/>
  <c r="AV770" i="13"/>
  <c r="S71" i="4" s="1"/>
  <c r="BU49" i="4"/>
  <c r="FH28" i="71"/>
  <c r="J820" i="15"/>
  <c r="JR23" i="71"/>
  <c r="GO14" i="71"/>
  <c r="AV1589" i="13"/>
  <c r="AV1688" i="13" s="1"/>
  <c r="J959" i="15"/>
  <c r="HP25" i="71"/>
  <c r="GL19" i="71"/>
  <c r="E859" i="15"/>
  <c r="J502" i="15"/>
  <c r="J725" i="15"/>
  <c r="AY760" i="13"/>
  <c r="AX1245" i="13"/>
  <c r="A1344" i="13"/>
  <c r="AX1287" i="13"/>
  <c r="A1386" i="13"/>
  <c r="DG7" i="4"/>
  <c r="BE12" i="4"/>
  <c r="BU12" i="4"/>
  <c r="A1342" i="13"/>
  <c r="AX1243" i="13"/>
  <c r="FT29" i="71"/>
  <c r="AV796" i="13"/>
  <c r="GC31" i="71"/>
  <c r="M46" i="9"/>
  <c r="IW12" i="71"/>
  <c r="I7" i="15" a="1"/>
  <c r="I7" i="15" s="1"/>
  <c r="IH4" i="71"/>
  <c r="I6" i="15" a="1"/>
  <c r="I6" i="15" s="1"/>
  <c r="B84" i="4"/>
  <c r="F84" i="4" s="1"/>
  <c r="BB84" i="4" a="1"/>
  <c r="BB84" i="4" s="1"/>
  <c r="BC84" i="4" s="1"/>
  <c r="AV186" i="13" s="1"/>
  <c r="BB87" i="4" a="1"/>
  <c r="BB87" i="4" s="1"/>
  <c r="BC87" i="4" s="1"/>
  <c r="AV189" i="13" s="1"/>
  <c r="B87" i="4"/>
  <c r="DG31" i="4"/>
  <c r="AX276" i="13"/>
  <c r="A376" i="13"/>
  <c r="AX376" i="13" s="1"/>
  <c r="HS35" i="71"/>
  <c r="E989" i="15"/>
  <c r="GP38" i="71"/>
  <c r="FH34" i="71"/>
  <c r="HV12" i="71"/>
  <c r="E919" i="15"/>
  <c r="FZ28" i="71"/>
  <c r="IH24" i="71"/>
  <c r="JL4" i="71"/>
  <c r="HJ9" i="71"/>
  <c r="HP29" i="71"/>
  <c r="A1333" i="13"/>
  <c r="AX1234" i="13"/>
  <c r="BE46" i="4"/>
  <c r="BU46" i="4"/>
  <c r="IK8" i="71"/>
  <c r="E125" i="15"/>
  <c r="E766" i="15"/>
  <c r="FT9" i="71"/>
  <c r="IW35" i="71"/>
  <c r="HA26" i="71"/>
  <c r="JX17" i="71"/>
  <c r="AB94" i="69" a="1"/>
  <c r="AB94" i="69" s="1"/>
  <c r="E886" i="15"/>
  <c r="E870" i="15"/>
  <c r="M12" i="9"/>
  <c r="H75" i="9"/>
  <c r="AY771" i="13"/>
  <c r="GX10" i="71"/>
  <c r="E827" i="15"/>
  <c r="E769" i="15"/>
  <c r="HV29" i="71"/>
  <c r="L94" i="69"/>
  <c r="J819" i="15"/>
  <c r="E165" i="15"/>
  <c r="HD7" i="71"/>
  <c r="J992" i="15"/>
  <c r="JU36" i="71"/>
  <c r="E202" i="15"/>
  <c r="E892" i="15"/>
  <c r="E108" i="15"/>
  <c r="E66" i="15"/>
  <c r="BE19" i="4"/>
  <c r="AX1216" i="13"/>
  <c r="A1315" i="13"/>
  <c r="E8" i="4"/>
  <c r="BU8" i="4" s="1"/>
  <c r="E736" i="15"/>
  <c r="H19" i="7" a="1"/>
  <c r="H19" i="7" s="1"/>
  <c r="E754" i="15"/>
  <c r="E709" i="15"/>
  <c r="J500" i="15"/>
  <c r="J954" i="15"/>
  <c r="GO13" i="71"/>
  <c r="FH24" i="71"/>
  <c r="E419" i="15"/>
  <c r="A369" i="13"/>
  <c r="AX369" i="13" s="1"/>
  <c r="AX269" i="13"/>
  <c r="AX1223" i="13"/>
  <c r="A1322" i="13"/>
  <c r="DG26" i="4"/>
  <c r="BW3" i="72" a="1"/>
  <c r="BW3" i="72" s="1"/>
  <c r="BI3" i="72" a="1"/>
  <c r="BI3" i="72" s="1"/>
  <c r="BF3" i="72" a="1"/>
  <c r="BF3" i="72" s="1"/>
  <c r="BD3" i="72" a="1"/>
  <c r="BD3" i="72" s="1"/>
  <c r="AH3" i="72" a="1"/>
  <c r="AH3" i="72" s="1"/>
  <c r="AJ3" i="72" a="1"/>
  <c r="AJ3" i="72" s="1"/>
  <c r="AX3" i="72" a="1"/>
  <c r="AX3" i="72" s="1"/>
  <c r="AZ3" i="72" a="1"/>
  <c r="AZ3" i="72" s="1"/>
  <c r="BJ3" i="72" a="1"/>
  <c r="BJ3" i="72" s="1"/>
  <c r="BE3" i="72" a="1"/>
  <c r="BE3" i="72" s="1"/>
  <c r="AR3" i="72" a="1"/>
  <c r="AR3" i="72" s="1"/>
  <c r="J973" i="15"/>
  <c r="HJ15" i="71"/>
  <c r="JI6" i="71"/>
  <c r="E938" i="15"/>
  <c r="N69" i="9"/>
  <c r="E726" i="15"/>
  <c r="K613" i="15" a="1"/>
  <c r="K613" i="15" s="1"/>
  <c r="N613" i="15" a="1"/>
  <c r="N613" i="15" s="1"/>
  <c r="M25" i="9"/>
  <c r="FT5" i="71"/>
  <c r="J823" i="15"/>
  <c r="JX33" i="71"/>
  <c r="JR13" i="71"/>
  <c r="E665" i="15"/>
  <c r="J731" i="15"/>
  <c r="IN15" i="71"/>
  <c r="E949" i="15"/>
  <c r="FT17" i="71"/>
  <c r="JL34" i="71"/>
  <c r="FZ5" i="71"/>
  <c r="GX26" i="71"/>
  <c r="JR28" i="71"/>
  <c r="FN5" i="71"/>
  <c r="HA32" i="71"/>
  <c r="E840" i="15"/>
  <c r="E764" i="15"/>
  <c r="J905" i="15"/>
  <c r="GC16" i="71"/>
  <c r="FH4" i="71"/>
  <c r="IN13" i="71"/>
  <c r="Z1892" i="13"/>
  <c r="B1892" i="13" s="1" a="1"/>
  <c r="B1892" i="13" s="1"/>
  <c r="E756" i="15"/>
  <c r="J965" i="15"/>
  <c r="HJ32" i="71"/>
  <c r="J970" i="15"/>
  <c r="J503" i="15"/>
  <c r="GI29" i="71"/>
  <c r="J911" i="15"/>
  <c r="HP17" i="71"/>
  <c r="N89" i="9"/>
  <c r="P89" i="9" s="1"/>
  <c r="HP9" i="71"/>
  <c r="E973" i="15"/>
  <c r="E897" i="15"/>
  <c r="HV15" i="71"/>
  <c r="J985" i="15"/>
  <c r="FZ18" i="71"/>
  <c r="HS34" i="71"/>
  <c r="HP28" i="71"/>
  <c r="GO12" i="71"/>
  <c r="E879" i="15"/>
  <c r="W35" i="22"/>
  <c r="Y35" i="22" s="1"/>
  <c r="J854" i="15"/>
  <c r="FN22" i="71"/>
  <c r="J856" i="15"/>
  <c r="HG35" i="71"/>
  <c r="J511" i="15"/>
  <c r="E921" i="15"/>
  <c r="JR22" i="71"/>
  <c r="FK6" i="71"/>
  <c r="E686" i="15"/>
  <c r="IQ29" i="71"/>
  <c r="FW28" i="71"/>
  <c r="FH29" i="71"/>
  <c r="J797" i="15"/>
  <c r="AO96" i="72"/>
  <c r="N57" i="9"/>
  <c r="JX6" i="71"/>
  <c r="HS17" i="71"/>
  <c r="FW14" i="71"/>
  <c r="E617" i="15"/>
  <c r="L615" i="15" s="1" a="1"/>
  <c r="L615" i="15" s="1"/>
  <c r="E803" i="15"/>
  <c r="J974" i="15"/>
  <c r="AO129" i="72"/>
  <c r="N92" i="9"/>
  <c r="EJ32" i="71"/>
  <c r="GR8" i="71"/>
  <c r="HA18" i="71"/>
  <c r="E196" i="15"/>
  <c r="EJ9" i="71"/>
  <c r="HM13" i="71"/>
  <c r="JO4" i="71"/>
  <c r="J877" i="15"/>
  <c r="HJ29" i="71"/>
  <c r="J692" i="15"/>
  <c r="J968" i="15"/>
  <c r="HJ12" i="71"/>
  <c r="HJ26" i="71"/>
  <c r="J942" i="15"/>
  <c r="E796" i="15"/>
  <c r="Z1872" i="13"/>
  <c r="B1872" i="13" s="1" a="1"/>
  <c r="B1872" i="13" s="1"/>
  <c r="HJ10" i="71"/>
  <c r="HD28" i="71"/>
  <c r="J846" i="15"/>
  <c r="A94" i="69"/>
  <c r="FK14" i="71"/>
  <c r="HY6" i="71"/>
  <c r="HH38" i="71"/>
  <c r="BC96" i="69"/>
  <c r="W9" i="22"/>
  <c r="Y9" i="22" s="1"/>
  <c r="GI18" i="71"/>
  <c r="W94" i="69"/>
  <c r="AX234" i="13"/>
  <c r="A334" i="13"/>
  <c r="AX334" i="13" s="1"/>
  <c r="CY7" i="4"/>
  <c r="CZ7" i="4" s="1"/>
  <c r="AT90" i="4"/>
  <c r="AV692" i="13" s="1"/>
  <c r="H69" i="9"/>
  <c r="H66" i="9"/>
  <c r="AV765" i="13"/>
  <c r="E597" i="15"/>
  <c r="BB75" i="4" a="1"/>
  <c r="BB75" i="4" s="1"/>
  <c r="BC75" i="4" s="1"/>
  <c r="AV177" i="13" s="1"/>
  <c r="B75" i="4"/>
  <c r="E680" i="15" s="1"/>
  <c r="E465" i="15"/>
  <c r="AW10" i="69" a="1"/>
  <c r="AW10" i="69" s="1"/>
  <c r="AE44" i="4"/>
  <c r="F44" i="72" s="1"/>
  <c r="AE41" i="4"/>
  <c r="F41" i="69" s="1"/>
  <c r="AM17" i="4"/>
  <c r="I17" i="69" s="1"/>
  <c r="AM25" i="4"/>
  <c r="I25" i="72" s="1"/>
  <c r="AE26" i="4"/>
  <c r="F26" i="72" s="1"/>
  <c r="AI12" i="4"/>
  <c r="AV1308" i="13" s="1"/>
  <c r="AM56" i="4"/>
  <c r="I56" i="72" s="1"/>
  <c r="AE12" i="4"/>
  <c r="F12" i="69" s="1"/>
  <c r="V42" i="72"/>
  <c r="X42" i="69"/>
  <c r="Z26" i="4"/>
  <c r="AV1223" i="13" s="1"/>
  <c r="Z31" i="4"/>
  <c r="AV1228" i="13" s="1"/>
  <c r="AE33" i="4"/>
  <c r="F33" i="72" s="1"/>
  <c r="V45" i="72"/>
  <c r="X45" i="69"/>
  <c r="V47" i="72"/>
  <c r="X47" i="69"/>
  <c r="V19" i="72"/>
  <c r="X19" i="69"/>
  <c r="X66" i="69"/>
  <c r="V66" i="72"/>
  <c r="V12" i="72"/>
  <c r="X12" i="69"/>
  <c r="BG4" i="4"/>
  <c r="X86" i="69"/>
  <c r="V86" i="72"/>
  <c r="X92" i="69"/>
  <c r="V92" i="72"/>
  <c r="A1369" i="13"/>
  <c r="AX1270" i="13"/>
  <c r="A1326" i="13"/>
  <c r="AX1227" i="13"/>
  <c r="E28" i="4"/>
  <c r="B76" i="4"/>
  <c r="CY76" i="4" s="1"/>
  <c r="CZ76" i="4" s="1"/>
  <c r="BB76" i="4" a="1"/>
  <c r="BB76" i="4" s="1"/>
  <c r="BC76" i="4" s="1"/>
  <c r="AV178" i="13" s="1"/>
  <c r="A1381" i="13"/>
  <c r="AX1282" i="13"/>
  <c r="F208" i="15" a="1"/>
  <c r="F208" i="15" s="1"/>
  <c r="BB79" i="4" a="1"/>
  <c r="BB79" i="4" s="1"/>
  <c r="BC79" i="4" s="1"/>
  <c r="AV181" i="13" s="1"/>
  <c r="B79" i="4"/>
  <c r="F79" i="4" s="1"/>
  <c r="AX1286" i="13"/>
  <c r="A1385" i="13"/>
  <c r="AX253" i="13"/>
  <c r="A353" i="13"/>
  <c r="AX353" i="13" s="1"/>
  <c r="AY772" i="13"/>
  <c r="AY767" i="13"/>
  <c r="H60" i="9"/>
  <c r="AT83" i="4"/>
  <c r="AV685" i="13" s="1"/>
  <c r="H93" i="9"/>
  <c r="W88" i="22"/>
  <c r="FQ32" i="71"/>
  <c r="E889" i="15"/>
  <c r="IZ32" i="71"/>
  <c r="GF4" i="71"/>
  <c r="JC31" i="71"/>
  <c r="J952" i="15"/>
  <c r="HY15" i="71"/>
  <c r="IH25" i="71"/>
  <c r="FH21" i="71"/>
  <c r="JI4" i="71"/>
  <c r="J839" i="15"/>
  <c r="H68" i="9"/>
  <c r="BE4" i="69"/>
  <c r="BF4" i="69"/>
  <c r="CW82" i="4"/>
  <c r="CX82" i="4" s="1"/>
  <c r="AY82" i="4"/>
  <c r="DD82" i="4"/>
  <c r="AD82" i="4"/>
  <c r="CY82" i="4"/>
  <c r="CZ82" i="4" s="1"/>
  <c r="DD59" i="4"/>
  <c r="AD59" i="4"/>
  <c r="CW59" i="4"/>
  <c r="CX59" i="4" s="1"/>
  <c r="AY59" i="4"/>
  <c r="AD61" i="4"/>
  <c r="CW61" i="4"/>
  <c r="CX61" i="4" s="1"/>
  <c r="AY61" i="4"/>
  <c r="DD61" i="4"/>
  <c r="JR29" i="71"/>
  <c r="IH12" i="71"/>
  <c r="J715" i="15"/>
  <c r="GF5" i="71"/>
  <c r="J898" i="15"/>
  <c r="JF33" i="71"/>
  <c r="FN10" i="71"/>
  <c r="AM94" i="72"/>
  <c r="E808" i="15"/>
  <c r="E941" i="15"/>
  <c r="JL22" i="71"/>
  <c r="F702" i="15" a="1"/>
  <c r="F702" i="15" s="1"/>
  <c r="M91" i="9"/>
  <c r="E407" i="15"/>
  <c r="E223" i="15"/>
  <c r="E643" i="15"/>
  <c r="E491" i="15"/>
  <c r="E250" i="15"/>
  <c r="E174" i="15"/>
  <c r="E299" i="15"/>
  <c r="E540" i="15"/>
  <c r="E699" i="15"/>
  <c r="E488" i="15"/>
  <c r="E440" i="15"/>
  <c r="E103" i="15"/>
  <c r="E290" i="15"/>
  <c r="E335" i="15"/>
  <c r="E476" i="15"/>
  <c r="E247" i="15"/>
  <c r="A390" i="13"/>
  <c r="AX390" i="13" s="1"/>
  <c r="AX290" i="13"/>
  <c r="FH11" i="71"/>
  <c r="JU30" i="71"/>
  <c r="HS19" i="71"/>
  <c r="F673" i="15" a="1"/>
  <c r="F673" i="15" s="1"/>
  <c r="GR23" i="71"/>
  <c r="JC35" i="71"/>
  <c r="HY16" i="71"/>
  <c r="E740" i="15"/>
  <c r="JO12" i="71"/>
  <c r="GL8" i="71"/>
  <c r="AY10" i="72" a="1"/>
  <c r="AY10" i="72" s="1"/>
  <c r="HS8" i="71"/>
  <c r="GX24" i="71"/>
  <c r="M93" i="9"/>
  <c r="AV760" i="13"/>
  <c r="DG21" i="4"/>
  <c r="A1325" i="13"/>
  <c r="AX1226" i="13"/>
  <c r="E7" i="4"/>
  <c r="BU7" i="4" s="1"/>
  <c r="A1334" i="13"/>
  <c r="AX1235" i="13"/>
  <c r="A1383" i="13"/>
  <c r="AX1284" i="13"/>
  <c r="JX28" i="71"/>
  <c r="E779" i="15"/>
  <c r="F4" i="15"/>
  <c r="GF27" i="71"/>
  <c r="E800" i="15"/>
  <c r="E198" i="15"/>
  <c r="JO7" i="71"/>
  <c r="FT12" i="71"/>
  <c r="HY19" i="71"/>
  <c r="E848" i="15"/>
  <c r="FQ35" i="71"/>
  <c r="AG96" i="72"/>
  <c r="M73" i="9"/>
  <c r="AX282" i="13"/>
  <c r="A382" i="13"/>
  <c r="AX382" i="13" s="1"/>
  <c r="AV783" i="13"/>
  <c r="A1308" i="13"/>
  <c r="AX1209" i="13"/>
  <c r="A1324" i="13"/>
  <c r="AX1225" i="13"/>
  <c r="H65" i="9"/>
  <c r="J773" i="15"/>
  <c r="HP31" i="71"/>
  <c r="M41" i="9"/>
  <c r="FT10" i="71"/>
  <c r="M44" i="9"/>
  <c r="W51" i="22"/>
  <c r="Y51" i="22" s="1"/>
  <c r="JF14" i="71"/>
  <c r="FK32" i="71"/>
  <c r="H16" i="7" a="1"/>
  <c r="H16" i="7" s="1"/>
  <c r="AV774" i="13"/>
  <c r="A394" i="13"/>
  <c r="AX394" i="13" s="1"/>
  <c r="AX294" i="13"/>
  <c r="AD62" i="4"/>
  <c r="DD62" i="4"/>
  <c r="AY62" i="4"/>
  <c r="CW62" i="4"/>
  <c r="CX62" i="4" s="1"/>
  <c r="BU24" i="4"/>
  <c r="BU33" i="4"/>
  <c r="J868" i="15"/>
  <c r="GF14" i="71"/>
  <c r="FT31" i="71"/>
  <c r="IZ29" i="71"/>
  <c r="J805" i="15"/>
  <c r="N52" i="9"/>
  <c r="FN35" i="71"/>
  <c r="E547" i="15"/>
  <c r="HV32" i="71"/>
  <c r="J943" i="15"/>
  <c r="Q95" i="69"/>
  <c r="AY95" i="69" s="1" a="1"/>
  <c r="AY95" i="69" s="1"/>
  <c r="E863" i="15"/>
  <c r="N96" i="72" a="1"/>
  <c r="N96" i="72" s="1"/>
  <c r="JC14" i="71"/>
  <c r="E917" i="15"/>
  <c r="BB77" i="4" a="1"/>
  <c r="BB77" i="4" s="1"/>
  <c r="BC77" i="4" s="1"/>
  <c r="AV179" i="13" s="1"/>
  <c r="B77" i="4"/>
  <c r="F77" i="4" s="1"/>
  <c r="A348" i="13"/>
  <c r="AX348" i="13" s="1"/>
  <c r="AX248" i="13"/>
  <c r="F632" i="15" a="1"/>
  <c r="F632" i="15" s="1"/>
  <c r="V67" i="22"/>
  <c r="JU32" i="71"/>
  <c r="HY25" i="71"/>
  <c r="GU33" i="71"/>
  <c r="J555" i="15"/>
  <c r="FQ12" i="71"/>
  <c r="FN21" i="71"/>
  <c r="I3" i="15" a="1"/>
  <c r="I3" i="15" s="1"/>
  <c r="GU22" i="71"/>
  <c r="IK16" i="71"/>
  <c r="JR7" i="71"/>
  <c r="A318" i="13"/>
  <c r="AX318" i="13" s="1"/>
  <c r="AX218" i="13"/>
  <c r="AY781" i="13"/>
  <c r="DG19" i="4"/>
  <c r="AY768" i="13"/>
  <c r="BO3" i="72"/>
  <c r="CB3" i="72"/>
  <c r="F368" i="15" a="1"/>
  <c r="F368" i="15" s="1"/>
  <c r="HS15" i="71"/>
  <c r="E931" i="15"/>
  <c r="GR33" i="71"/>
  <c r="HV14" i="71"/>
  <c r="J661" i="15"/>
  <c r="N653" i="15" s="1" a="1"/>
  <c r="N653" i="15" s="1"/>
  <c r="E822" i="15"/>
  <c r="F3" i="15"/>
  <c r="J808" i="15"/>
  <c r="FK35" i="71"/>
  <c r="J777" i="15"/>
  <c r="FW26" i="71"/>
  <c r="IK19" i="71"/>
  <c r="HV20" i="71"/>
  <c r="AV786" i="13"/>
  <c r="BI3" i="4"/>
  <c r="BU3" i="4"/>
  <c r="BE3" i="4"/>
  <c r="AX274" i="13"/>
  <c r="A374" i="13"/>
  <c r="AX374" i="13" s="1"/>
  <c r="IQ8" i="71"/>
  <c r="N72" i="9"/>
  <c r="P72" i="9" s="1"/>
  <c r="HY31" i="71"/>
  <c r="HG16" i="71"/>
  <c r="FK19" i="71"/>
  <c r="J531" i="15"/>
  <c r="HA8" i="71"/>
  <c r="J714" i="15"/>
  <c r="E877" i="15"/>
  <c r="E264" i="15"/>
  <c r="GF11" i="71"/>
  <c r="JC11" i="71"/>
  <c r="FK28" i="71"/>
  <c r="J774" i="15"/>
  <c r="HG27" i="71"/>
  <c r="HD14" i="71"/>
  <c r="IB18" i="71"/>
  <c r="EJ36" i="71"/>
  <c r="IT36" i="71"/>
  <c r="JX19" i="71"/>
  <c r="GX27" i="71"/>
  <c r="E895" i="15"/>
  <c r="J864" i="15"/>
  <c r="GX20" i="71"/>
  <c r="W31" i="22"/>
  <c r="Y31" i="22" s="1"/>
  <c r="J505" i="15"/>
  <c r="M52" i="9"/>
  <c r="V58" i="22"/>
  <c r="E642" i="15"/>
  <c r="J479" i="15"/>
  <c r="E331" i="15"/>
  <c r="FZ4" i="71"/>
  <c r="J822" i="15"/>
  <c r="HD26" i="71"/>
  <c r="GI26" i="71"/>
  <c r="E878" i="15"/>
  <c r="E184" i="15"/>
  <c r="E926" i="15"/>
  <c r="HJ23" i="71"/>
  <c r="JR19" i="71"/>
  <c r="EJ21" i="71"/>
  <c r="M24" i="9"/>
  <c r="IT8" i="71"/>
  <c r="IE9" i="71"/>
  <c r="FH15" i="71"/>
  <c r="FT8" i="71"/>
  <c r="FQ15" i="71"/>
  <c r="J604" i="15"/>
  <c r="IE22" i="71"/>
  <c r="HG8" i="71"/>
  <c r="IB32" i="71"/>
  <c r="N55" i="9"/>
  <c r="E937" i="15"/>
  <c r="JX24" i="71"/>
  <c r="JR8" i="71"/>
  <c r="FR38" i="71"/>
  <c r="IQ15" i="71"/>
  <c r="E708" i="15"/>
  <c r="JL35" i="71"/>
  <c r="IN35" i="71"/>
  <c r="GF18" i="71"/>
  <c r="IE21" i="71"/>
  <c r="HD8" i="71"/>
  <c r="E561" i="15"/>
  <c r="IZ17" i="71"/>
  <c r="JU19" i="71"/>
  <c r="IW23" i="71"/>
  <c r="E746" i="15"/>
  <c r="HV7" i="71"/>
  <c r="JC34" i="71"/>
  <c r="HM12" i="71"/>
  <c r="GO10" i="71"/>
  <c r="GR31" i="71"/>
  <c r="N93" i="9"/>
  <c r="FN7" i="71"/>
  <c r="JX21" i="71"/>
  <c r="E213" i="15"/>
  <c r="E737" i="15"/>
  <c r="J878" i="15"/>
  <c r="IK15" i="71"/>
  <c r="IH16" i="71"/>
  <c r="IQ32" i="71"/>
  <c r="IQ23" i="71"/>
  <c r="FW21" i="71"/>
  <c r="IH9" i="71"/>
  <c r="HA34" i="71"/>
  <c r="P96" i="69"/>
  <c r="AG94" i="72"/>
  <c r="JL9" i="71"/>
  <c r="FH27" i="71"/>
  <c r="GU14" i="71"/>
  <c r="J786" i="15"/>
  <c r="IZ10" i="71"/>
  <c r="J909" i="15"/>
  <c r="GC7" i="71"/>
  <c r="N81" i="9"/>
  <c r="P81" i="9" s="1"/>
  <c r="L96" i="69"/>
  <c r="AY95" i="4"/>
  <c r="AD95" i="4"/>
  <c r="CW95" i="4"/>
  <c r="CX95" i="4" s="1"/>
  <c r="DD95" i="4"/>
  <c r="BA95" i="72" s="1"/>
  <c r="DA73" i="4"/>
  <c r="DB73" i="4" s="1"/>
  <c r="AD73" i="4"/>
  <c r="DD73" i="4"/>
  <c r="AY73" i="4"/>
  <c r="CW73" i="4"/>
  <c r="CX73" i="4" s="1"/>
  <c r="CY73" i="4"/>
  <c r="CZ73" i="4" s="1"/>
  <c r="DC73" i="4" a="1"/>
  <c r="DC73" i="4" s="1"/>
  <c r="AY765" i="13"/>
  <c r="AQ58" i="4"/>
  <c r="AV360" i="13" s="1"/>
  <c r="A1350" i="13"/>
  <c r="AX1251" i="13"/>
  <c r="A1338" i="13"/>
  <c r="AX1239" i="13"/>
  <c r="AI29" i="4"/>
  <c r="AV1325" i="13" s="1"/>
  <c r="AI19" i="4"/>
  <c r="AV1315" i="13" s="1"/>
  <c r="AE8" i="4"/>
  <c r="F8" i="69" s="1"/>
  <c r="AM43" i="4"/>
  <c r="I43" i="72" s="1"/>
  <c r="AE56" i="4"/>
  <c r="F56" i="69" s="1"/>
  <c r="Z68" i="4"/>
  <c r="AV1265" i="13" s="1"/>
  <c r="AE16" i="4"/>
  <c r="F16" i="72" s="1"/>
  <c r="AI54" i="4"/>
  <c r="AV1350" i="13" s="1"/>
  <c r="AI48" i="4"/>
  <c r="AV1344" i="13" s="1"/>
  <c r="AI11" i="4"/>
  <c r="AV1307" i="13" s="1"/>
  <c r="DD70" i="4"/>
  <c r="AM35" i="4"/>
  <c r="I35" i="69" s="1"/>
  <c r="AE84" i="4"/>
  <c r="F84" i="72" s="1"/>
  <c r="AM49" i="4"/>
  <c r="I49" i="72" s="1"/>
  <c r="AM28" i="4"/>
  <c r="I28" i="69" s="1"/>
  <c r="AI51" i="4"/>
  <c r="AV1347" i="13" s="1"/>
  <c r="AM51" i="4"/>
  <c r="I51" i="69" s="1"/>
  <c r="AI42" i="4"/>
  <c r="AV1338" i="13" s="1"/>
  <c r="Z43" i="4"/>
  <c r="AV1240" i="13" s="1"/>
  <c r="Z14" i="4"/>
  <c r="AV1211" i="13" s="1"/>
  <c r="AM24" i="4"/>
  <c r="I24" i="69" s="1"/>
  <c r="AM36" i="4"/>
  <c r="I36" i="69" s="1"/>
  <c r="X51" i="69"/>
  <c r="V51" i="72"/>
  <c r="X31" i="69"/>
  <c r="V31" i="72"/>
  <c r="V67" i="72"/>
  <c r="X67" i="69"/>
  <c r="V63" i="72"/>
  <c r="X63" i="69"/>
  <c r="X56" i="69"/>
  <c r="V56" i="72"/>
  <c r="BP60" i="4"/>
  <c r="G60" i="4"/>
  <c r="DA60" i="4" s="1"/>
  <c r="DB60" i="4" s="1"/>
  <c r="DD68" i="4"/>
  <c r="AD68" i="4"/>
  <c r="AY68" i="4"/>
  <c r="CW68" i="4"/>
  <c r="CX68" i="4" s="1"/>
  <c r="CY68" i="4"/>
  <c r="CZ68" i="4" s="1"/>
  <c r="DC68" i="4" a="1"/>
  <c r="DC68" i="4" s="1"/>
  <c r="AF20" i="27"/>
  <c r="AE21" i="27" s="1"/>
  <c r="AF21" i="27"/>
  <c r="U20" i="27" a="1"/>
  <c r="Z20" i="27"/>
  <c r="AX228" i="13"/>
  <c r="A328" i="13"/>
  <c r="AX328" i="13" s="1"/>
  <c r="E461" i="15"/>
  <c r="E135" i="15"/>
  <c r="BN3" i="4"/>
  <c r="BI3" i="69"/>
  <c r="BR3" i="72"/>
  <c r="AY93" i="4"/>
  <c r="DD93" i="4"/>
  <c r="CW93" i="4"/>
  <c r="CX93" i="4" s="1"/>
  <c r="AD93" i="4"/>
  <c r="IT30" i="71"/>
  <c r="IE4" i="71"/>
  <c r="N7" i="9"/>
  <c r="JI32" i="71"/>
  <c r="IH23" i="71"/>
  <c r="E170" i="15"/>
  <c r="GU13" i="71"/>
  <c r="A1303" i="13"/>
  <c r="AX1204" i="13"/>
  <c r="AX1289" i="13"/>
  <c r="A1388" i="13"/>
  <c r="A373" i="13"/>
  <c r="AX373" i="13" s="1"/>
  <c r="AX273" i="13"/>
  <c r="B64" i="4"/>
  <c r="E294" i="15" s="1"/>
  <c r="BB64" i="4" a="1"/>
  <c r="BB64" i="4" s="1"/>
  <c r="BC64" i="4" s="1"/>
  <c r="AV166" i="13" s="1"/>
  <c r="AK4" i="72" a="1"/>
  <c r="AK4" i="72" s="1"/>
  <c r="HP21" i="71"/>
  <c r="IQ12" i="71"/>
  <c r="FT19" i="71"/>
  <c r="GY38" i="71"/>
  <c r="J788" i="15"/>
  <c r="E923" i="15"/>
  <c r="J892" i="15"/>
  <c r="FW35" i="71"/>
  <c r="IH11" i="71"/>
  <c r="N53" i="9"/>
  <c r="N88" i="9"/>
  <c r="BU21" i="4"/>
  <c r="Z1890" i="13"/>
  <c r="B1890" i="13" s="1" a="1"/>
  <c r="B1890" i="13" s="1"/>
  <c r="JL6" i="71"/>
  <c r="J976" i="15"/>
  <c r="IB23" i="71"/>
  <c r="GF9" i="71"/>
  <c r="E97" i="15"/>
  <c r="E884" i="15"/>
  <c r="HV8" i="71"/>
  <c r="J903" i="15"/>
  <c r="A308" i="13"/>
  <c r="AX308" i="13" s="1"/>
  <c r="AX208" i="13"/>
  <c r="AY783" i="13"/>
  <c r="AX1263" i="13"/>
  <c r="A1362" i="13"/>
  <c r="A1310" i="13"/>
  <c r="AX1211" i="13"/>
  <c r="D58" i="14"/>
  <c r="C58" i="14"/>
  <c r="B58" i="14"/>
  <c r="FK20" i="71"/>
  <c r="J902" i="15"/>
  <c r="N95" i="69" a="1"/>
  <c r="N95" i="69" s="1"/>
  <c r="H97" i="9"/>
  <c r="GL4" i="71"/>
  <c r="HM4" i="71"/>
  <c r="F535" i="15" a="1"/>
  <c r="F535" i="15" s="1"/>
  <c r="FT30" i="71"/>
  <c r="Q96" i="69"/>
  <c r="JC23" i="71"/>
  <c r="FQ21" i="71"/>
  <c r="DG27" i="4"/>
  <c r="AY774" i="13"/>
  <c r="AY71" i="4"/>
  <c r="DD71" i="4"/>
  <c r="AD71" i="4"/>
  <c r="CW71" i="4"/>
  <c r="CX71" i="4" s="1"/>
  <c r="H88" i="9"/>
  <c r="AY782" i="13"/>
  <c r="GC32" i="71"/>
  <c r="E757" i="15"/>
  <c r="E114" i="15"/>
  <c r="J810" i="15"/>
  <c r="FQ20" i="71"/>
  <c r="M11" i="9"/>
  <c r="P11" i="9" s="1"/>
  <c r="E469" i="15"/>
  <c r="E944" i="15"/>
  <c r="N11" i="9"/>
  <c r="A1364" i="13"/>
  <c r="AX1265" i="13"/>
  <c r="A351" i="13"/>
  <c r="AX351" i="13" s="1"/>
  <c r="AX251" i="13"/>
  <c r="N9" i="9"/>
  <c r="E233" i="15"/>
  <c r="HJ6" i="71"/>
  <c r="E956" i="15"/>
  <c r="E490" i="15"/>
  <c r="IN27" i="71"/>
  <c r="M38" i="9"/>
  <c r="EJ20" i="71"/>
  <c r="JF8" i="71"/>
  <c r="FK15" i="71"/>
  <c r="IB17" i="71"/>
  <c r="HG21" i="71"/>
  <c r="AV781" i="13"/>
  <c r="A336" i="13"/>
  <c r="AX336" i="13" s="1"/>
  <c r="AX236" i="13"/>
  <c r="AV768" i="13"/>
  <c r="FT27" i="71"/>
  <c r="AY60" i="4"/>
  <c r="AD60" i="4"/>
  <c r="CW60" i="4"/>
  <c r="CX60" i="4" s="1"/>
  <c r="BS3" i="69"/>
  <c r="BF3" i="69"/>
  <c r="FW15" i="71"/>
  <c r="HV25" i="71"/>
  <c r="E898" i="15"/>
  <c r="E240" i="15"/>
  <c r="J785" i="15"/>
  <c r="M625" i="15" a="1"/>
  <c r="M625" i="15" s="1"/>
  <c r="E979" i="15"/>
  <c r="E991" i="15"/>
  <c r="E811" i="15"/>
  <c r="E906" i="15"/>
  <c r="GO23" i="71"/>
  <c r="GC35" i="71"/>
  <c r="AY786" i="13"/>
  <c r="A1257" i="13"/>
  <c r="AX1158" i="13"/>
  <c r="H89" i="9"/>
  <c r="GF10" i="71"/>
  <c r="E719" i="15"/>
  <c r="J951" i="15"/>
  <c r="HM27" i="71"/>
  <c r="J799" i="15"/>
  <c r="J843" i="15"/>
  <c r="FK4" i="71"/>
  <c r="J873" i="15"/>
  <c r="E631" i="15"/>
  <c r="F629" i="15" s="1" a="1"/>
  <c r="F629" i="15" s="1"/>
  <c r="F396" i="15" a="1"/>
  <c r="F396" i="15" s="1"/>
  <c r="E725" i="15"/>
  <c r="GR24" i="71"/>
  <c r="J802" i="15"/>
  <c r="IF38" i="71"/>
  <c r="E672" i="15"/>
  <c r="IK10" i="71"/>
  <c r="JO24" i="71"/>
  <c r="JX11" i="71"/>
  <c r="IQ7" i="71"/>
  <c r="N71" i="9"/>
  <c r="E875" i="15"/>
  <c r="N15" i="9"/>
  <c r="P15" i="9" s="1"/>
  <c r="F7" i="15"/>
  <c r="V32" i="22"/>
  <c r="E351" i="15"/>
  <c r="E350" i="15"/>
  <c r="FN19" i="71"/>
  <c r="E55" i="15"/>
  <c r="E478" i="15"/>
  <c r="FT20" i="71"/>
  <c r="E389" i="15"/>
  <c r="M29" i="9"/>
  <c r="EJ11" i="71"/>
  <c r="J750" i="15"/>
  <c r="J813" i="15"/>
  <c r="H24" i="7" a="1"/>
  <c r="H24" i="7" s="1"/>
  <c r="GF7" i="71"/>
  <c r="FZ16" i="71"/>
  <c r="E829" i="15"/>
  <c r="GR19" i="71"/>
  <c r="E881" i="15"/>
  <c r="GO26" i="71"/>
  <c r="M94" i="9"/>
  <c r="E864" i="15"/>
  <c r="AO125" i="72"/>
  <c r="E568" i="15"/>
  <c r="E972" i="15"/>
  <c r="E975" i="15"/>
  <c r="JU7" i="71"/>
  <c r="IK5" i="71"/>
  <c r="J751" i="15"/>
  <c r="H23" i="7" a="1"/>
  <c r="H23" i="7" s="1"/>
  <c r="GC25" i="71"/>
  <c r="FN26" i="71"/>
  <c r="IZ7" i="71"/>
  <c r="FH22" i="71"/>
  <c r="J717" i="15"/>
  <c r="J945" i="15"/>
  <c r="HD10" i="71"/>
  <c r="J587" i="15"/>
  <c r="HT38" i="71"/>
  <c r="J592" i="15"/>
  <c r="E953" i="15"/>
  <c r="HM22" i="71"/>
  <c r="FZ15" i="71"/>
  <c r="AO128" i="72"/>
  <c r="J713" i="15"/>
  <c r="HP13" i="71"/>
  <c r="GU24" i="71"/>
  <c r="E554" i="15"/>
  <c r="IT29" i="71"/>
  <c r="M82" i="9"/>
  <c r="N77" i="9"/>
  <c r="JX29" i="71"/>
  <c r="HM14" i="71"/>
  <c r="FW13" i="71"/>
  <c r="JR35" i="71"/>
  <c r="J506" i="15"/>
  <c r="M10" i="9"/>
  <c r="GI30" i="71"/>
  <c r="HV21" i="71"/>
  <c r="V62" i="22"/>
  <c r="E695" i="15"/>
  <c r="E945" i="15"/>
  <c r="J859" i="15"/>
  <c r="E831" i="15"/>
  <c r="J727" i="15"/>
  <c r="N27" i="9"/>
  <c r="IZ28" i="71"/>
  <c r="IE33" i="71"/>
  <c r="B62" i="4"/>
  <c r="BB62" i="4" a="1"/>
  <c r="BB62" i="4" s="1"/>
  <c r="BC62" i="4" s="1"/>
  <c r="AV164" i="13" s="1"/>
  <c r="N50" i="9"/>
  <c r="J983" i="15"/>
  <c r="IK25" i="71"/>
  <c r="HG34" i="71"/>
  <c r="HP16" i="71"/>
  <c r="J482" i="15"/>
  <c r="E194" i="15"/>
  <c r="HV28" i="71"/>
  <c r="E715" i="15"/>
  <c r="JL21" i="71"/>
  <c r="EJ23" i="71"/>
  <c r="A370" i="13"/>
  <c r="AX370" i="13" s="1"/>
  <c r="AX270" i="13"/>
  <c r="AX1236" i="13"/>
  <c r="A1335" i="13"/>
  <c r="A392" i="13"/>
  <c r="AX392" i="13" s="1"/>
  <c r="AX292" i="13"/>
  <c r="H64" i="9"/>
  <c r="HM20" i="71"/>
  <c r="CW75" i="4"/>
  <c r="CX75" i="4" s="1"/>
  <c r="AY75" i="4"/>
  <c r="AD75" i="4"/>
  <c r="DD75" i="4"/>
  <c r="DC75" i="4" a="1"/>
  <c r="DC75" i="4" s="1"/>
  <c r="CY75" i="4"/>
  <c r="CZ75" i="4" s="1"/>
  <c r="AI31" i="4"/>
  <c r="AV1327" i="13" s="1"/>
  <c r="Z42" i="4"/>
  <c r="AV1239" i="13" s="1"/>
  <c r="AE90" i="4"/>
  <c r="F90" i="69" s="1"/>
  <c r="AE30" i="4"/>
  <c r="F30" i="72" s="1"/>
  <c r="AI90" i="4"/>
  <c r="AV1386" i="13" s="1"/>
  <c r="AE13" i="4"/>
  <c r="F13" i="72" s="1"/>
  <c r="AI77" i="4"/>
  <c r="AV1373" i="13" s="1"/>
  <c r="AE32" i="4"/>
  <c r="F32" i="72" s="1"/>
  <c r="AM42" i="4"/>
  <c r="I42" i="69" s="1"/>
  <c r="AI14" i="4"/>
  <c r="AV1310" i="13" s="1"/>
  <c r="AE35" i="4"/>
  <c r="F35" i="72" s="1"/>
  <c r="Z84" i="4"/>
  <c r="AV1281" i="13" s="1"/>
  <c r="AM64" i="4"/>
  <c r="I64" i="69" s="1"/>
  <c r="AE46" i="4"/>
  <c r="F46" i="69" s="1"/>
  <c r="Z75" i="4"/>
  <c r="AV1272" i="13" s="1"/>
  <c r="AI17" i="4"/>
  <c r="AV1313" i="13" s="1"/>
  <c r="AE51" i="4"/>
  <c r="F51" i="69" s="1"/>
  <c r="X72" i="69"/>
  <c r="V72" i="72"/>
  <c r="X85" i="69"/>
  <c r="V85" i="72"/>
  <c r="X62" i="69"/>
  <c r="V62" i="72"/>
  <c r="X50" i="69"/>
  <c r="V50" i="72"/>
  <c r="X52" i="69"/>
  <c r="V52" i="72"/>
  <c r="V68" i="72"/>
  <c r="X68" i="69"/>
  <c r="V76" i="72"/>
  <c r="X76" i="69"/>
  <c r="V54" i="72"/>
  <c r="X54" i="69"/>
  <c r="A1357" i="13"/>
  <c r="AX1258" i="13"/>
  <c r="BN9" i="69" a="1"/>
  <c r="BN9" i="69" s="1"/>
  <c r="AQ9" i="69" a="1"/>
  <c r="AQ9" i="69" s="1"/>
  <c r="AW9" i="69" a="1"/>
  <c r="AW9" i="69" s="1"/>
  <c r="AO9" i="69" a="1"/>
  <c r="AO9" i="69" s="1"/>
  <c r="AH9" i="69" a="1"/>
  <c r="AH9" i="69" s="1"/>
  <c r="AZ9" i="69" a="1"/>
  <c r="AZ9" i="69" s="1"/>
  <c r="BA9" i="69" a="1"/>
  <c r="BA9" i="69" s="1"/>
  <c r="AU9" i="69" a="1"/>
  <c r="AU9" i="69" s="1"/>
  <c r="AN9" i="69" a="1"/>
  <c r="AN9" i="69" s="1"/>
  <c r="AI9" i="69" a="1"/>
  <c r="AI9" i="69" s="1"/>
  <c r="AK9" i="69" a="1"/>
  <c r="AK9" i="69" s="1"/>
  <c r="AV9" i="69" a="1"/>
  <c r="AV9" i="69" s="1"/>
  <c r="AF9" i="69" a="1"/>
  <c r="AF9" i="69" s="1"/>
  <c r="AG9" i="69" a="1"/>
  <c r="AG9" i="69" s="1"/>
  <c r="AX9" i="69" a="1"/>
  <c r="AX9" i="69" s="1"/>
  <c r="E420" i="15"/>
  <c r="E653" i="15"/>
  <c r="E651" i="15"/>
  <c r="E569" i="15"/>
  <c r="E634" i="15"/>
  <c r="E656" i="15"/>
  <c r="BE53" i="4"/>
  <c r="BU53" i="4"/>
  <c r="A313" i="13"/>
  <c r="AX313" i="13" s="1"/>
  <c r="AX213" i="13"/>
  <c r="AX1222" i="13"/>
  <c r="A1321" i="13"/>
  <c r="F70" i="15" a="1"/>
  <c r="F70" i="15" s="1"/>
  <c r="AY84" i="4"/>
  <c r="DD84" i="4"/>
  <c r="CW84" i="4"/>
  <c r="CX84" i="4" s="1"/>
  <c r="AD84" i="4"/>
  <c r="DC84" i="4" a="1"/>
  <c r="DC84" i="4" s="1"/>
  <c r="DA84" i="4"/>
  <c r="DB84" i="4" s="1"/>
  <c r="CY84" i="4"/>
  <c r="CZ84" i="4" s="1"/>
  <c r="AX1205" i="13"/>
  <c r="A1304" i="13"/>
  <c r="A1373" i="13"/>
  <c r="AX1274" i="13"/>
  <c r="AX1269" i="13"/>
  <c r="A1368" i="13"/>
  <c r="DA57" i="4"/>
  <c r="DB57" i="4" s="1"/>
  <c r="AY57" i="4"/>
  <c r="DD57" i="4"/>
  <c r="AD57" i="4"/>
  <c r="CW57" i="4"/>
  <c r="CX57" i="4" s="1"/>
  <c r="B78" i="4"/>
  <c r="Z78" i="4" s="1"/>
  <c r="AV1275" i="13" s="1"/>
  <c r="BB78" i="4" a="1"/>
  <c r="BB78" i="4" s="1"/>
  <c r="BC78" i="4" s="1"/>
  <c r="AV180" i="13" s="1"/>
  <c r="A359" i="13"/>
  <c r="AX359" i="13" s="1"/>
  <c r="AX259" i="13"/>
  <c r="IW27" i="71"/>
  <c r="GL24" i="71"/>
  <c r="J944" i="15"/>
  <c r="J966" i="15"/>
  <c r="N8" i="9"/>
  <c r="E813" i="15"/>
  <c r="J759" i="15"/>
  <c r="J969" i="15"/>
  <c r="HY12" i="71"/>
  <c r="CE94" i="72" a="1"/>
  <c r="CE94" i="72" s="1"/>
  <c r="E977" i="15"/>
  <c r="N95" i="72" a="1"/>
  <c r="N95" i="72" s="1"/>
  <c r="IB26" i="71"/>
  <c r="BE18" i="4"/>
  <c r="BU18" i="4"/>
  <c r="AX238" i="13"/>
  <c r="A338" i="13"/>
  <c r="AX338" i="13" s="1"/>
  <c r="AX221" i="13"/>
  <c r="A321" i="13"/>
  <c r="AX321" i="13" s="1"/>
  <c r="AX216" i="13"/>
  <c r="A316" i="13"/>
  <c r="AX316" i="13" s="1"/>
  <c r="N37" i="9"/>
  <c r="P37" i="9" s="1"/>
  <c r="GU30" i="71"/>
  <c r="JR21" i="71"/>
  <c r="N20" i="9"/>
  <c r="E980" i="15"/>
  <c r="W94" i="72"/>
  <c r="CG94" i="72" s="1" a="1"/>
  <c r="CG94" i="72" s="1"/>
  <c r="HJ35" i="71"/>
  <c r="GO32" i="71"/>
  <c r="IN20" i="71"/>
  <c r="E330" i="15"/>
  <c r="GL5" i="71"/>
  <c r="AX1354" i="13"/>
  <c r="A1453" i="13"/>
  <c r="EJ10" i="71"/>
  <c r="FW25" i="71"/>
  <c r="IE36" i="71"/>
  <c r="E850" i="15"/>
  <c r="J913" i="15"/>
  <c r="M34" i="9"/>
  <c r="E780" i="15"/>
  <c r="JO10" i="71"/>
  <c r="IB28" i="71"/>
  <c r="E27" i="4"/>
  <c r="BU27" i="4" s="1"/>
  <c r="Z1878" i="13"/>
  <c r="B1878" i="13" s="1" a="1"/>
  <c r="B1878" i="13" s="1"/>
  <c r="AV788" i="13"/>
  <c r="S89" i="4" s="1"/>
  <c r="AV782" i="13"/>
  <c r="J949" i="15"/>
  <c r="N43" i="9"/>
  <c r="W10" i="22"/>
  <c r="Y10" i="22" s="1"/>
  <c r="FN30" i="71"/>
  <c r="IB31" i="71"/>
  <c r="W96" i="69"/>
  <c r="FQ22" i="71"/>
  <c r="E718" i="15"/>
  <c r="M64" i="9"/>
  <c r="J979" i="15"/>
  <c r="IQ10" i="71"/>
  <c r="F209" i="15" a="1"/>
  <c r="F209" i="15" s="1"/>
  <c r="E29" i="4"/>
  <c r="BU29" i="4" s="1"/>
  <c r="Z1869" i="13"/>
  <c r="B1869" i="13" s="1" a="1"/>
  <c r="B1869" i="13" s="1"/>
  <c r="H81" i="9"/>
  <c r="AX279" i="13"/>
  <c r="A379" i="13"/>
  <c r="AX379" i="13" s="1"/>
  <c r="E782" i="15"/>
  <c r="FH13" i="71"/>
  <c r="IB7" i="71"/>
  <c r="HG19" i="71"/>
  <c r="E799" i="15"/>
  <c r="F15" i="15"/>
  <c r="J719" i="15"/>
  <c r="E787" i="15"/>
  <c r="HM18" i="71"/>
  <c r="HP20" i="71"/>
  <c r="C56" i="23"/>
  <c r="C54" i="23"/>
  <c r="B56" i="23"/>
  <c r="D56" i="23"/>
  <c r="H80" i="9"/>
  <c r="E32" i="4"/>
  <c r="F4" i="72"/>
  <c r="F4" i="69"/>
  <c r="H86" i="9"/>
  <c r="H62" i="9"/>
  <c r="I62" i="9"/>
  <c r="Z1885" i="13"/>
  <c r="B1885" i="13" s="1" a="1"/>
  <c r="B1885" i="13" s="1"/>
  <c r="FN15" i="71"/>
  <c r="FT33" i="71"/>
  <c r="JJ38" i="71"/>
  <c r="JL29" i="71"/>
  <c r="HY33" i="71"/>
  <c r="J703" i="15"/>
  <c r="E908" i="15"/>
  <c r="JL36" i="71"/>
  <c r="J996" i="15"/>
  <c r="DG6" i="4"/>
  <c r="E137" i="15"/>
  <c r="E128" i="15"/>
  <c r="E150" i="15"/>
  <c r="E85" i="15"/>
  <c r="E183" i="15"/>
  <c r="E436" i="15"/>
  <c r="E107" i="15"/>
  <c r="E249" i="15"/>
  <c r="E356" i="15"/>
  <c r="E105" i="15"/>
  <c r="E376" i="15"/>
  <c r="F375" i="15" s="1" a="1"/>
  <c r="F375" i="15" s="1"/>
  <c r="E308" i="15"/>
  <c r="F307" i="15" s="1" a="1"/>
  <c r="F307" i="15" s="1"/>
  <c r="E166" i="15"/>
  <c r="E267" i="15"/>
  <c r="E532" i="15"/>
  <c r="A262" i="13"/>
  <c r="AX162" i="13"/>
  <c r="E31" i="4"/>
  <c r="BU31" i="4" s="1"/>
  <c r="E448" i="15"/>
  <c r="HA13" i="71"/>
  <c r="JR5" i="71"/>
  <c r="E474" i="15"/>
  <c r="HP30" i="71"/>
  <c r="J925" i="15"/>
  <c r="J993" i="15"/>
  <c r="HD15" i="71"/>
  <c r="JU4" i="71"/>
  <c r="J728" i="15"/>
  <c r="FQ31" i="71"/>
  <c r="J967" i="15"/>
  <c r="GF19" i="71"/>
  <c r="IB10" i="71"/>
  <c r="J734" i="15"/>
  <c r="E707" i="15"/>
  <c r="E242" i="15"/>
  <c r="FT6" i="71"/>
  <c r="J749" i="15"/>
  <c r="E300" i="15"/>
  <c r="J748" i="15"/>
  <c r="IK18" i="71"/>
  <c r="JC17" i="71"/>
  <c r="J999" i="15"/>
  <c r="E201" i="15"/>
  <c r="IB13" i="71"/>
  <c r="E305" i="15"/>
  <c r="E620" i="15"/>
  <c r="JR12" i="71"/>
  <c r="GU12" i="71"/>
  <c r="HG13" i="71"/>
  <c r="FT15" i="71"/>
  <c r="IQ18" i="71"/>
  <c r="GL29" i="71"/>
  <c r="M6" i="9"/>
  <c r="HJ19" i="71"/>
  <c r="HM16" i="71"/>
  <c r="HV4" i="71"/>
  <c r="JO28" i="71"/>
  <c r="E722" i="15"/>
  <c r="EJ35" i="71"/>
  <c r="FW6" i="71"/>
  <c r="JX18" i="71"/>
  <c r="E730" i="15"/>
  <c r="IZ19" i="71"/>
  <c r="JU21" i="71"/>
  <c r="E838" i="15"/>
  <c r="IO38" i="71"/>
  <c r="J787" i="15"/>
  <c r="E188" i="15"/>
  <c r="M86" i="9"/>
  <c r="GC20" i="71"/>
  <c r="GL16" i="71"/>
  <c r="J982" i="15"/>
  <c r="J984" i="15"/>
  <c r="FZ34" i="71"/>
  <c r="N87" i="9"/>
  <c r="P87" i="9" s="1"/>
  <c r="E219" i="15"/>
  <c r="M83" i="9"/>
  <c r="P83" i="9" s="1"/>
  <c r="FK7" i="71"/>
  <c r="N16" i="9"/>
  <c r="GU29" i="71"/>
  <c r="HS32" i="71"/>
  <c r="N42" i="9"/>
  <c r="GF25" i="71"/>
  <c r="I11" i="15" a="1"/>
  <c r="I11" i="15" s="1"/>
  <c r="E847" i="15"/>
  <c r="FH30" i="71"/>
  <c r="J894" i="15"/>
  <c r="GR18" i="71"/>
  <c r="JI19" i="71"/>
  <c r="E910" i="15"/>
  <c r="FT35" i="71"/>
  <c r="FL38" i="71"/>
  <c r="W12" i="22"/>
  <c r="Y12" i="22" s="1"/>
  <c r="HM23" i="71"/>
  <c r="IK26" i="71"/>
  <c r="N40" i="9"/>
  <c r="FZ33" i="71"/>
  <c r="IN36" i="71"/>
  <c r="E244" i="15"/>
  <c r="FU38" i="71"/>
  <c r="FK29" i="71"/>
  <c r="JR15" i="71"/>
  <c r="J924" i="15"/>
  <c r="HV9" i="71"/>
  <c r="E635" i="15"/>
  <c r="M78" i="9"/>
  <c r="FZ10" i="71"/>
  <c r="JL16" i="71"/>
  <c r="I25" i="9"/>
  <c r="H25" i="9"/>
  <c r="IN16" i="71"/>
  <c r="AV1490" i="13"/>
  <c r="N5" i="9"/>
  <c r="JX32" i="71"/>
  <c r="J939" i="15"/>
  <c r="E515" i="15"/>
  <c r="JF12" i="71"/>
  <c r="F238" i="15" a="1"/>
  <c r="F238" i="15" s="1"/>
  <c r="H98" i="9"/>
  <c r="M20" i="9"/>
  <c r="GF28" i="71"/>
  <c r="IU38" i="71"/>
  <c r="E34" i="4"/>
  <c r="BU34" i="4" s="1"/>
  <c r="AY762" i="13"/>
  <c r="AM39" i="4"/>
  <c r="I39" i="72" s="1"/>
  <c r="AM34" i="4"/>
  <c r="I34" i="69" s="1"/>
  <c r="AE28" i="4"/>
  <c r="F28" i="69" s="1"/>
  <c r="AM16" i="4"/>
  <c r="I16" i="72" s="1"/>
  <c r="AM33" i="4"/>
  <c r="I33" i="72" s="1"/>
  <c r="Z37" i="4"/>
  <c r="AV1234" i="13" s="1"/>
  <c r="Z41" i="4"/>
  <c r="AV1238" i="13" s="1"/>
  <c r="AE50" i="4"/>
  <c r="F50" i="69" s="1"/>
  <c r="Z40" i="4"/>
  <c r="AV1237" i="13" s="1"/>
  <c r="AM5" i="4"/>
  <c r="Z30" i="4"/>
  <c r="AV1227" i="13" s="1"/>
  <c r="AM68" i="4"/>
  <c r="I68" i="72" s="1"/>
  <c r="Z20" i="4"/>
  <c r="AV1217" i="13" s="1"/>
  <c r="AM77" i="4"/>
  <c r="I77" i="69" s="1"/>
  <c r="AE82" i="4"/>
  <c r="F82" i="72" s="1"/>
  <c r="Z62" i="4"/>
  <c r="AV1259" i="13" s="1"/>
  <c r="AI33" i="4"/>
  <c r="AE42" i="4"/>
  <c r="F42" i="69" s="1"/>
  <c r="AI43" i="4"/>
  <c r="AV1339" i="13" s="1"/>
  <c r="AI44" i="4"/>
  <c r="AV1340" i="13" s="1"/>
  <c r="AM19" i="4"/>
  <c r="I19" i="72" s="1"/>
  <c r="Z35" i="4"/>
  <c r="AV1232" i="13" s="1"/>
  <c r="X57" i="69"/>
  <c r="V57" i="72"/>
  <c r="V90" i="72"/>
  <c r="X90" i="69"/>
  <c r="X28" i="69"/>
  <c r="V28" i="72"/>
  <c r="V70" i="72"/>
  <c r="X70" i="69"/>
  <c r="X53" i="69"/>
  <c r="V53" i="72"/>
  <c r="V22" i="72"/>
  <c r="X22" i="69"/>
  <c r="V71" i="72"/>
  <c r="X71" i="69"/>
  <c r="A1330" i="13"/>
  <c r="AX1231" i="13"/>
  <c r="BB59" i="4" a="1"/>
  <c r="BB59" i="4" s="1"/>
  <c r="BC59" i="4" s="1"/>
  <c r="AV161" i="13" s="1"/>
  <c r="B59" i="4"/>
  <c r="Z59" i="4" s="1"/>
  <c r="AV1256" i="13" s="1"/>
  <c r="BO4" i="72"/>
  <c r="BN4" i="72"/>
  <c r="AX254" i="13"/>
  <c r="A354" i="13"/>
  <c r="AX354" i="13" s="1"/>
  <c r="E177" i="15"/>
  <c r="GX12" i="71"/>
  <c r="E120" i="15"/>
  <c r="A395" i="13"/>
  <c r="AX395" i="13" s="1"/>
  <c r="AX295" i="13"/>
  <c r="A1498" i="13"/>
  <c r="AV1399" i="13"/>
  <c r="AX1399" i="13"/>
  <c r="Z1503" i="13"/>
  <c r="A1374" i="13"/>
  <c r="AX1275" i="13"/>
  <c r="IW20" i="71"/>
  <c r="IZ9" i="71"/>
  <c r="J955" i="15"/>
  <c r="J783" i="15"/>
  <c r="J957" i="15"/>
  <c r="IE35" i="71"/>
  <c r="AC95" i="69"/>
  <c r="IZ13" i="71"/>
  <c r="FK10" i="71"/>
  <c r="E948" i="15"/>
  <c r="IH29" i="71"/>
  <c r="BB93" i="4" a="1"/>
  <c r="BB93" i="4" s="1"/>
  <c r="BC93" i="4" s="1"/>
  <c r="AV195" i="13" s="1"/>
  <c r="B93" i="4"/>
  <c r="AQ93" i="4" s="1"/>
  <c r="AV395" i="13" s="1"/>
  <c r="Z1882" i="13"/>
  <c r="B1882" i="13" s="1" a="1"/>
  <c r="B1882" i="13" s="1"/>
  <c r="A388" i="13"/>
  <c r="AX388" i="13" s="1"/>
  <c r="AX288" i="13"/>
  <c r="HS31" i="71"/>
  <c r="FK26" i="71"/>
  <c r="HD19" i="71"/>
  <c r="J825" i="15"/>
  <c r="J937" i="15"/>
  <c r="J791" i="15"/>
  <c r="IK22" i="71"/>
  <c r="GX5" i="71"/>
  <c r="E996" i="15"/>
  <c r="IT22" i="71"/>
  <c r="DD89" i="4"/>
  <c r="AY89" i="4"/>
  <c r="CW89" i="4"/>
  <c r="CX89" i="4" s="1"/>
  <c r="AD89" i="4"/>
  <c r="AY90" i="4"/>
  <c r="CW90" i="4"/>
  <c r="CX90" i="4" s="1"/>
  <c r="AD90" i="4"/>
  <c r="DD90" i="4"/>
  <c r="CY90" i="4"/>
  <c r="CZ90" i="4" s="1"/>
  <c r="DC90" i="4" a="1"/>
  <c r="DC90" i="4" s="1"/>
  <c r="AY788" i="13"/>
  <c r="AT86" i="4"/>
  <c r="AV688" i="13" s="1"/>
  <c r="E841" i="15"/>
  <c r="JI21" i="71"/>
  <c r="GI36" i="71"/>
  <c r="E988" i="15"/>
  <c r="HV17" i="71"/>
  <c r="EJ31" i="71"/>
  <c r="IZ27" i="71"/>
  <c r="JO35" i="71"/>
  <c r="JR31" i="71"/>
  <c r="J752" i="15"/>
  <c r="GU6" i="71"/>
  <c r="Z1891" i="13"/>
  <c r="B1891" i="13" s="1" a="1"/>
  <c r="B1891" i="13" s="1"/>
  <c r="H76" i="9"/>
  <c r="AD74" i="4"/>
  <c r="DA74" i="4"/>
  <c r="DB74" i="4" s="1"/>
  <c r="AY74" i="4"/>
  <c r="DD74" i="4"/>
  <c r="CW74" i="4"/>
  <c r="CX74" i="4" s="1"/>
  <c r="HM21" i="71"/>
  <c r="IW16" i="71"/>
  <c r="E610" i="15"/>
  <c r="HJ27" i="71"/>
  <c r="FN16" i="71"/>
  <c r="N14" i="9"/>
  <c r="P14" i="9" s="1"/>
  <c r="M13" i="9"/>
  <c r="E958" i="15"/>
  <c r="J552" i="15"/>
  <c r="Z1876" i="13"/>
  <c r="B1876" i="13" s="1" a="1"/>
  <c r="B1876" i="13" s="1"/>
  <c r="AT92" i="4"/>
  <c r="AV694" i="13" s="1"/>
  <c r="CA60" i="4" a="1"/>
  <c r="CA60" i="4" s="1"/>
  <c r="BY60" i="4" s="1" a="1"/>
  <c r="BY60" i="4" s="1"/>
  <c r="BZ60" i="4" a="1"/>
  <c r="BZ60" i="4" s="1"/>
  <c r="AD94" i="4"/>
  <c r="DD94" i="4"/>
  <c r="AR94" i="69" s="1"/>
  <c r="CW94" i="4"/>
  <c r="CX94" i="4" s="1"/>
  <c r="AY94" i="4"/>
  <c r="AV506" i="13"/>
  <c r="DX4" i="4"/>
  <c r="BI4" i="4"/>
  <c r="J800" i="15"/>
  <c r="FT16" i="71"/>
  <c r="JI11" i="71"/>
  <c r="HV34" i="71"/>
  <c r="HS7" i="71"/>
  <c r="JI8" i="71"/>
  <c r="J709" i="15"/>
  <c r="HP23" i="71"/>
  <c r="HG18" i="71"/>
  <c r="GL26" i="71"/>
  <c r="E322" i="15"/>
  <c r="W96" i="72"/>
  <c r="AK96" i="72" s="1" a="1"/>
  <c r="AK96" i="72" s="1"/>
  <c r="JO22" i="71"/>
  <c r="DG39" i="4"/>
  <c r="CY21" i="4"/>
  <c r="CZ21" i="4" s="1"/>
  <c r="Z1858" i="13"/>
  <c r="B1858" i="13" s="1" a="1"/>
  <c r="B1858" i="13" s="1"/>
  <c r="CW66" i="4"/>
  <c r="CX66" i="4" s="1"/>
  <c r="AY66" i="4"/>
  <c r="DD66" i="4"/>
  <c r="AD66" i="4"/>
  <c r="CW87" i="4"/>
  <c r="CX87" i="4" s="1"/>
  <c r="DD87" i="4"/>
  <c r="AD87" i="4"/>
  <c r="DA87" i="4"/>
  <c r="DB87" i="4" s="1"/>
  <c r="CY87" i="4"/>
  <c r="CZ87" i="4" s="1"/>
  <c r="AY87" i="4"/>
  <c r="F358" i="15" a="1"/>
  <c r="F358" i="15" s="1"/>
  <c r="N90" i="9"/>
  <c r="JI35" i="71"/>
  <c r="E994" i="15"/>
  <c r="E439" i="15"/>
  <c r="E912" i="15"/>
  <c r="IQ21" i="71"/>
  <c r="IQ27" i="71"/>
  <c r="J670" i="15"/>
  <c r="M665" i="15" s="1" a="1"/>
  <c r="M665" i="15" s="1"/>
  <c r="E900" i="15"/>
  <c r="FW5" i="71"/>
  <c r="JR11" i="71"/>
  <c r="E118" i="15"/>
  <c r="E685" i="15"/>
  <c r="E911" i="15"/>
  <c r="J995" i="15"/>
  <c r="IW13" i="71"/>
  <c r="JL27" i="71"/>
  <c r="N63" i="9"/>
  <c r="F623" i="15" a="1"/>
  <c r="F623" i="15" s="1"/>
  <c r="E336" i="15"/>
  <c r="IW10" i="71"/>
  <c r="HJ14" i="71"/>
  <c r="B57" i="23"/>
  <c r="D57" i="23"/>
  <c r="F35" i="23"/>
  <c r="B35" i="23" s="1"/>
  <c r="E332" i="15"/>
  <c r="IX38" i="71"/>
  <c r="IW19" i="71"/>
  <c r="M5" i="9"/>
  <c r="HY14" i="71"/>
  <c r="GF29" i="71"/>
  <c r="GI13" i="71"/>
  <c r="GO15" i="71"/>
  <c r="HP14" i="71"/>
  <c r="GC12" i="71"/>
  <c r="E845" i="15"/>
  <c r="GU15" i="71"/>
  <c r="JR4" i="71"/>
  <c r="GU8" i="71"/>
  <c r="JL33" i="71"/>
  <c r="HM26" i="71"/>
  <c r="IT34" i="71"/>
  <c r="JC24" i="71"/>
  <c r="GC27" i="71"/>
  <c r="IZ15" i="71"/>
  <c r="J757" i="15"/>
  <c r="N64" i="9"/>
  <c r="J755" i="15"/>
  <c r="JL19" i="71"/>
  <c r="J879" i="15"/>
  <c r="GO19" i="71"/>
  <c r="GL32" i="71"/>
  <c r="E716" i="15"/>
  <c r="E660" i="15"/>
  <c r="E122" i="15"/>
  <c r="GX16" i="71"/>
  <c r="E794" i="15"/>
  <c r="E951" i="15"/>
  <c r="IQ14" i="71"/>
  <c r="E720" i="15"/>
  <c r="FQ5" i="71"/>
  <c r="FQ29" i="71"/>
  <c r="E807" i="15"/>
  <c r="J934" i="15"/>
  <c r="JL30" i="71"/>
  <c r="F464" i="15" a="1"/>
  <c r="F464" i="15" s="1"/>
  <c r="M21" i="9"/>
  <c r="P21" i="9" s="1"/>
  <c r="E962" i="15"/>
  <c r="N32" i="9"/>
  <c r="P32" i="9" s="1"/>
  <c r="FW36" i="71"/>
  <c r="II38" i="71"/>
  <c r="E647" i="15"/>
  <c r="IK21" i="71"/>
  <c r="IZ36" i="71"/>
  <c r="J834" i="15"/>
  <c r="J931" i="15"/>
  <c r="FQ30" i="71"/>
  <c r="IW17" i="71"/>
  <c r="J608" i="15"/>
  <c r="JF28" i="71"/>
  <c r="E306" i="15"/>
  <c r="FK18" i="71"/>
  <c r="HS29" i="71"/>
  <c r="HY10" i="71"/>
  <c r="M77" i="9"/>
  <c r="J746" i="15"/>
  <c r="GR14" i="71"/>
  <c r="FN24" i="71"/>
  <c r="IH33" i="71"/>
  <c r="W32" i="22"/>
  <c r="Y32" i="22" s="1"/>
  <c r="E168" i="15"/>
  <c r="B54" i="23"/>
  <c r="E774" i="15"/>
  <c r="F14" i="15"/>
  <c r="JC16" i="71"/>
  <c r="JI22" i="71"/>
  <c r="N19" i="9"/>
  <c r="M59" i="9"/>
  <c r="GR5" i="71"/>
  <c r="P44" i="23"/>
  <c r="F38" i="23"/>
  <c r="BB23" i="4" a="1"/>
  <c r="BB23" i="4" s="1"/>
  <c r="BC23" i="4" s="1"/>
  <c r="AV125" i="13" s="1"/>
  <c r="B23" i="4"/>
  <c r="E158" i="15"/>
  <c r="E968" i="15"/>
  <c r="FH14" i="71"/>
  <c r="N39" i="9"/>
  <c r="M35" i="9"/>
  <c r="FZ25" i="71"/>
  <c r="IE8" i="71"/>
  <c r="JF27" i="71"/>
  <c r="IQ20" i="71"/>
  <c r="FW18" i="71"/>
  <c r="J889" i="15"/>
  <c r="IQ16" i="71"/>
  <c r="A1341" i="13"/>
  <c r="AX1242" i="13"/>
  <c r="Z1886" i="13"/>
  <c r="B1886" i="13" s="1" a="1"/>
  <c r="B1886" i="13" s="1"/>
  <c r="A389" i="13"/>
  <c r="AX389" i="13" s="1"/>
  <c r="AX289" i="13"/>
  <c r="CY35" i="4"/>
  <c r="CZ35" i="4" s="1"/>
  <c r="DG24" i="4"/>
  <c r="AV762" i="13"/>
  <c r="Z32" i="4"/>
  <c r="AV1229" i="13" s="1"/>
  <c r="Z49" i="4"/>
  <c r="AV1246" i="13" s="1"/>
  <c r="AM6" i="4"/>
  <c r="I6" i="72" s="1"/>
  <c r="AE88" i="4"/>
  <c r="F88" i="69" s="1"/>
  <c r="AE48" i="4"/>
  <c r="F48" i="69" s="1"/>
  <c r="AE73" i="4"/>
  <c r="F73" i="72" s="1"/>
  <c r="AI64" i="4"/>
  <c r="AV1360" i="13" s="1"/>
  <c r="Z47" i="4"/>
  <c r="AV1244" i="13" s="1"/>
  <c r="AI45" i="4"/>
  <c r="AV1341" i="13" s="1"/>
  <c r="AM32" i="4"/>
  <c r="I32" i="72" s="1"/>
  <c r="AI62" i="4"/>
  <c r="AV1358" i="13" s="1"/>
  <c r="Z17" i="4"/>
  <c r="AV1214" i="13" s="1"/>
  <c r="AI86" i="4"/>
  <c r="AV1382" i="13" s="1"/>
  <c r="AE43" i="4"/>
  <c r="F43" i="69" s="1"/>
  <c r="AI87" i="4"/>
  <c r="AV1383" i="13" s="1"/>
  <c r="AM22" i="4"/>
  <c r="I22" i="69" s="1"/>
  <c r="Z51" i="4"/>
  <c r="AV1248" i="13" s="1"/>
  <c r="AM76" i="4"/>
  <c r="I76" i="69" s="1"/>
  <c r="Z15" i="4"/>
  <c r="AV1212" i="13" s="1"/>
  <c r="AI41" i="4"/>
  <c r="AV1337" i="13" s="1"/>
  <c r="AE24" i="4"/>
  <c r="F24" i="72" s="1"/>
  <c r="AI84" i="4"/>
  <c r="AV1380" i="13" s="1"/>
  <c r="AE62" i="4"/>
  <c r="F62" i="72" s="1"/>
  <c r="V61" i="72"/>
  <c r="X61" i="69"/>
  <c r="X77" i="69"/>
  <c r="V77" i="72"/>
  <c r="X75" i="69"/>
  <c r="V75" i="72"/>
  <c r="X8" i="69"/>
  <c r="V8" i="72"/>
  <c r="V32" i="72"/>
  <c r="X32" i="69"/>
  <c r="V84" i="72"/>
  <c r="X84" i="69"/>
  <c r="G23" i="4"/>
  <c r="BP23" i="4"/>
  <c r="E45" i="4"/>
  <c r="F538" i="15" a="1"/>
  <c r="F538" i="15" s="1"/>
  <c r="B85" i="4"/>
  <c r="AQ85" i="4" s="1"/>
  <c r="AV387" i="13" s="1"/>
  <c r="BB85" i="4" a="1"/>
  <c r="BB85" i="4" s="1"/>
  <c r="BC85" i="4" s="1"/>
  <c r="AV187" i="13" s="1"/>
  <c r="CW79" i="4"/>
  <c r="CX79" i="4" s="1"/>
  <c r="AY79" i="4"/>
  <c r="DD79" i="4"/>
  <c r="AD79" i="4"/>
  <c r="DA79" i="4"/>
  <c r="DB79" i="4" s="1"/>
  <c r="CY79" i="4"/>
  <c r="CZ79" i="4" s="1"/>
  <c r="DC79" i="4" a="1"/>
  <c r="DC79" i="4" s="1"/>
  <c r="E285" i="15"/>
  <c r="DG28" i="4"/>
  <c r="M598" i="15" a="1"/>
  <c r="M598" i="15" s="1"/>
  <c r="K598" i="15" a="1"/>
  <c r="K598" i="15" s="1"/>
  <c r="AT76" i="4"/>
  <c r="AV678" i="13" s="1"/>
  <c r="B4" i="69"/>
  <c r="AT57" i="4"/>
  <c r="AV659" i="13" s="1"/>
  <c r="B61" i="4"/>
  <c r="Z61" i="4" s="1"/>
  <c r="AV1258" i="13" s="1"/>
  <c r="BB61" i="4" a="1"/>
  <c r="BB61" i="4" s="1"/>
  <c r="BC61" i="4" s="1"/>
  <c r="AV163" i="13" s="1"/>
  <c r="JF32" i="71"/>
  <c r="M9" i="9"/>
  <c r="P9" i="9" s="1"/>
  <c r="FN23" i="71"/>
  <c r="N84" i="9"/>
  <c r="AV1590" i="13"/>
  <c r="AV1689" i="13" s="1"/>
  <c r="HV18" i="71"/>
  <c r="EJ14" i="71"/>
  <c r="E970" i="15"/>
  <c r="HY4" i="71"/>
  <c r="AT9" i="69" a="1"/>
  <c r="AT9" i="69" s="1"/>
  <c r="AV790" i="13"/>
  <c r="AV785" i="13"/>
  <c r="HP5" i="71"/>
  <c r="JR26" i="71"/>
  <c r="HJ22" i="71"/>
  <c r="J706" i="15"/>
  <c r="FN28" i="71"/>
  <c r="E768" i="15"/>
  <c r="GF17" i="71"/>
  <c r="J858" i="15"/>
  <c r="IH22" i="71"/>
  <c r="IT32" i="71"/>
  <c r="DD88" i="4"/>
  <c r="CW88" i="4"/>
  <c r="CX88" i="4" s="1"/>
  <c r="CY88" i="4"/>
  <c r="CZ88" i="4" s="1"/>
  <c r="AD88" i="4"/>
  <c r="AY88" i="4"/>
  <c r="Z1875" i="13"/>
  <c r="B1875" i="13" s="1" a="1"/>
  <c r="B1875" i="13" s="1"/>
  <c r="IQ31" i="71"/>
  <c r="FW29" i="71"/>
  <c r="IT23" i="71"/>
  <c r="E289" i="15"/>
  <c r="JR34" i="71"/>
  <c r="IK4" i="71"/>
  <c r="J814" i="15"/>
  <c r="E940" i="15"/>
  <c r="M55" i="9"/>
  <c r="Y96" i="69"/>
  <c r="FT24" i="71"/>
  <c r="BU20" i="4"/>
  <c r="Z1865" i="13"/>
  <c r="B1865" i="13" s="1" a="1"/>
  <c r="B1865" i="13" s="1"/>
  <c r="IW21" i="71"/>
  <c r="N54" i="9"/>
  <c r="GR22" i="71"/>
  <c r="A95" i="72"/>
  <c r="V44" i="22"/>
  <c r="IK29" i="71"/>
  <c r="J650" i="15"/>
  <c r="L646" i="15" s="1" a="1"/>
  <c r="L646" i="15" s="1"/>
  <c r="IN18" i="71"/>
  <c r="J776" i="15"/>
  <c r="AT78" i="4"/>
  <c r="AV680" i="13" s="1"/>
  <c r="A358" i="13"/>
  <c r="AX358" i="13" s="1"/>
  <c r="AX258" i="13"/>
  <c r="AY758" i="13"/>
  <c r="J871" i="15"/>
  <c r="HG10" i="71"/>
  <c r="J772" i="15"/>
  <c r="JC9" i="71"/>
  <c r="E790" i="15"/>
  <c r="M22" i="9"/>
  <c r="JF23" i="71"/>
  <c r="IW31" i="71"/>
  <c r="HM8" i="71"/>
  <c r="FN31" i="71"/>
  <c r="HM6" i="71"/>
  <c r="JC36" i="71"/>
  <c r="BK96" i="72"/>
  <c r="P95" i="72"/>
  <c r="H91" i="9"/>
  <c r="AX222" i="13"/>
  <c r="A322" i="13"/>
  <c r="AX322" i="13" s="1"/>
  <c r="AX1279" i="13"/>
  <c r="A1378" i="13"/>
  <c r="AX210" i="13"/>
  <c r="A310" i="13"/>
  <c r="AX310" i="13" s="1"/>
  <c r="AT74" i="4"/>
  <c r="AV676" i="13" s="1"/>
  <c r="E52" i="4"/>
  <c r="E89" i="15"/>
  <c r="JI25" i="71"/>
  <c r="HM32" i="71"/>
  <c r="JF17" i="71"/>
  <c r="E793" i="15"/>
  <c r="GF16" i="71"/>
  <c r="J679" i="15"/>
  <c r="HD20" i="71"/>
  <c r="JU15" i="71"/>
  <c r="Y95" i="72"/>
  <c r="A339" i="13"/>
  <c r="AX339" i="13" s="1"/>
  <c r="AX239" i="13"/>
  <c r="Z1860" i="13"/>
  <c r="B1860" i="13" s="1" a="1"/>
  <c r="B1860" i="13" s="1"/>
  <c r="IW25" i="71"/>
  <c r="GU10" i="71"/>
  <c r="E771" i="15"/>
  <c r="FZ17" i="71"/>
  <c r="EJ18" i="71"/>
  <c r="FZ24" i="71"/>
  <c r="GR13" i="71"/>
  <c r="N26" i="9"/>
  <c r="J932" i="15"/>
  <c r="GO20" i="71"/>
  <c r="V10" i="22"/>
  <c r="AC94" i="69"/>
  <c r="E39" i="4"/>
  <c r="H95" i="9"/>
  <c r="AX1219" i="13"/>
  <c r="A1318" i="13"/>
  <c r="DG50" i="4"/>
  <c r="A1220" i="13"/>
  <c r="AX1121" i="13"/>
  <c r="A1358" i="13"/>
  <c r="AX1259" i="13"/>
  <c r="HP12" i="71"/>
  <c r="JC30" i="71"/>
  <c r="N85" i="9"/>
  <c r="E654" i="15"/>
  <c r="FW30" i="71"/>
  <c r="IT19" i="71"/>
  <c r="E348" i="15"/>
  <c r="HG15" i="71"/>
  <c r="FH25" i="71"/>
  <c r="FZ22" i="71"/>
  <c r="IT28" i="71"/>
  <c r="GI11" i="71"/>
  <c r="J508" i="15"/>
  <c r="GR15" i="71"/>
  <c r="GX6" i="71"/>
  <c r="E468" i="15"/>
  <c r="J735" i="15"/>
  <c r="E874" i="15"/>
  <c r="JU13" i="71"/>
  <c r="GI28" i="71"/>
  <c r="GI8" i="71"/>
  <c r="HD27" i="71"/>
  <c r="GI19" i="71"/>
  <c r="C36" i="23"/>
  <c r="GO35" i="71"/>
  <c r="GC21" i="71"/>
  <c r="E364" i="15"/>
  <c r="IZ5" i="71"/>
  <c r="I8" i="15" a="1"/>
  <c r="I8" i="15" s="1"/>
  <c r="M549" i="15" a="1"/>
  <c r="M549" i="15" s="1"/>
  <c r="K549" i="15" a="1"/>
  <c r="K549" i="15" s="1"/>
  <c r="N549" i="15" a="1"/>
  <c r="N549" i="15" s="1"/>
  <c r="GF8" i="71"/>
  <c r="J850" i="15"/>
  <c r="IT6" i="71"/>
  <c r="J958" i="15"/>
  <c r="IN26" i="71"/>
  <c r="J678" i="15"/>
  <c r="JC10" i="71"/>
  <c r="JI34" i="71"/>
  <c r="J707" i="15"/>
  <c r="JL17" i="71"/>
  <c r="GF15" i="71"/>
  <c r="FW24" i="71"/>
  <c r="FQ14" i="71"/>
  <c r="JX14" i="71"/>
  <c r="E495" i="15"/>
  <c r="HP15" i="71"/>
  <c r="HP32" i="71"/>
  <c r="E613" i="15"/>
  <c r="JR33" i="71"/>
  <c r="E732" i="15"/>
  <c r="V35" i="22"/>
  <c r="HG30" i="71"/>
  <c r="HD12" i="71"/>
  <c r="N12" i="9"/>
  <c r="E295" i="15"/>
  <c r="E867" i="15"/>
  <c r="E109" i="15"/>
  <c r="IH34" i="71"/>
  <c r="E98" i="15"/>
  <c r="J852" i="15"/>
  <c r="M48" i="9"/>
  <c r="E514" i="15"/>
  <c r="HJ13" i="71"/>
  <c r="FZ20" i="71"/>
  <c r="E517" i="15"/>
  <c r="E641" i="15"/>
  <c r="JO15" i="71"/>
  <c r="J490" i="15"/>
  <c r="M480" i="15" s="1" a="1"/>
  <c r="M480" i="15" s="1"/>
  <c r="IN17" i="71"/>
  <c r="FK21" i="71"/>
  <c r="E830" i="15"/>
  <c r="HV19" i="71"/>
  <c r="FQ28" i="71"/>
  <c r="IZ25" i="71"/>
  <c r="E402" i="15"/>
  <c r="GR11" i="71"/>
  <c r="JO33" i="71"/>
  <c r="FQ16" i="71"/>
  <c r="FW17" i="71"/>
  <c r="HJ33" i="71"/>
  <c r="E995" i="15"/>
  <c r="M49" i="9"/>
  <c r="JL28" i="71"/>
  <c r="IK7" i="71"/>
  <c r="E594" i="15"/>
  <c r="N47" i="9"/>
  <c r="E963" i="15"/>
  <c r="K625" i="15" a="1"/>
  <c r="K625" i="15" s="1"/>
  <c r="N625" i="15" a="1"/>
  <c r="N625" i="15" s="1"/>
  <c r="E256" i="15"/>
  <c r="AY757" i="13"/>
  <c r="FK34" i="71"/>
  <c r="E710" i="15"/>
  <c r="IH28" i="71"/>
  <c r="IW33" i="71"/>
  <c r="L95" i="72"/>
  <c r="IW4" i="71"/>
  <c r="FZ12" i="71"/>
  <c r="HZ38" i="71"/>
  <c r="E853" i="15"/>
  <c r="JF11" i="71"/>
  <c r="GO27" i="71"/>
  <c r="JO11" i="71"/>
  <c r="IT20" i="71"/>
  <c r="E873" i="15"/>
  <c r="A1363" i="13"/>
  <c r="AX1264" i="13"/>
  <c r="AM90" i="4"/>
  <c r="I90" i="69" s="1"/>
  <c r="AI34" i="4"/>
  <c r="AV1330" i="13" s="1"/>
  <c r="Z87" i="4"/>
  <c r="AV1284" i="13" s="1"/>
  <c r="AE25" i="4"/>
  <c r="F25" i="72" s="1"/>
  <c r="AI71" i="4"/>
  <c r="AV1367" i="13" s="1"/>
  <c r="V81" i="72"/>
  <c r="X81" i="69"/>
  <c r="AE29" i="4"/>
  <c r="F29" i="69" s="1"/>
  <c r="AI88" i="4"/>
  <c r="AV1384" i="13" s="1"/>
  <c r="AI76" i="4"/>
  <c r="AV1372" i="13" s="1"/>
  <c r="AE40" i="4"/>
  <c r="F40" i="69" s="1"/>
  <c r="AI18" i="4"/>
  <c r="AV1314" i="13" s="1"/>
  <c r="Z7" i="4"/>
  <c r="AV1204" i="13" s="1"/>
  <c r="Z50" i="4"/>
  <c r="AV1247" i="13" s="1"/>
  <c r="AM12" i="4"/>
  <c r="I12" i="72" s="1"/>
  <c r="Z5" i="4"/>
  <c r="AV1202" i="13" s="1"/>
  <c r="AM7" i="4"/>
  <c r="I7" i="69" s="1"/>
  <c r="AM50" i="4"/>
  <c r="I50" i="69" s="1"/>
  <c r="Z24" i="4"/>
  <c r="AV1221" i="13" s="1"/>
  <c r="AE81" i="4"/>
  <c r="F81" i="72" s="1"/>
  <c r="AE5" i="4"/>
  <c r="AE31" i="4"/>
  <c r="F31" i="69" s="1"/>
  <c r="AE20" i="4"/>
  <c r="F20" i="69" s="1"/>
  <c r="AE54" i="4"/>
  <c r="F54" i="69" s="1"/>
  <c r="Z76" i="4"/>
  <c r="AV1273" i="13" s="1"/>
  <c r="V18" i="72"/>
  <c r="X18" i="69"/>
  <c r="BG10" i="4"/>
  <c r="V24" i="72"/>
  <c r="X24" i="69"/>
  <c r="X74" i="69"/>
  <c r="V74" i="72"/>
  <c r="X11" i="69"/>
  <c r="V11" i="72"/>
  <c r="X64" i="69"/>
  <c r="V64" i="72"/>
  <c r="V13" i="72"/>
  <c r="X13" i="69"/>
  <c r="L623" i="15" a="1"/>
  <c r="L623" i="15" s="1"/>
  <c r="K623" i="15" a="1"/>
  <c r="K623" i="15" s="1"/>
  <c r="M623" i="15" a="1"/>
  <c r="M623" i="15" s="1"/>
  <c r="N623" i="15" a="1"/>
  <c r="N623" i="15" s="1"/>
  <c r="N526" i="15" a="1"/>
  <c r="N526" i="15" s="1"/>
  <c r="K526" i="15" a="1"/>
  <c r="K526" i="15" s="1"/>
  <c r="M526" i="15" a="1"/>
  <c r="M526" i="15" s="1"/>
  <c r="AX1283" i="13"/>
  <c r="A1382" i="13"/>
  <c r="CW72" i="4"/>
  <c r="CX72" i="4" s="1"/>
  <c r="AY72" i="4"/>
  <c r="AD72" i="4"/>
  <c r="GR29" i="71"/>
  <c r="J610" i="15"/>
  <c r="C57" i="14"/>
  <c r="D57" i="14"/>
  <c r="B57" i="14"/>
  <c r="IN6" i="71"/>
  <c r="HD16" i="71"/>
  <c r="E752" i="15"/>
  <c r="AY790" i="13"/>
  <c r="BB88" i="4" a="1"/>
  <c r="BB88" i="4" s="1"/>
  <c r="BC88" i="4" s="1"/>
  <c r="AV190" i="13" s="1"/>
  <c r="B88" i="4"/>
  <c r="AM88" i="4" s="1"/>
  <c r="AY785" i="13"/>
  <c r="AX232" i="13"/>
  <c r="A332" i="13"/>
  <c r="AX332" i="13" s="1"/>
  <c r="W94" i="22"/>
  <c r="Y94" i="22" s="1"/>
  <c r="CY54" i="4"/>
  <c r="CZ54" i="4" s="1"/>
  <c r="E802" i="15"/>
  <c r="GO22" i="71"/>
  <c r="BE10" i="72" a="1"/>
  <c r="BE10" i="72" s="1"/>
  <c r="AX10" i="72" a="1"/>
  <c r="AX10" i="72" s="1"/>
  <c r="AJ10" i="72" a="1"/>
  <c r="AJ10" i="72" s="1"/>
  <c r="AZ10" i="72" a="1"/>
  <c r="AZ10" i="72" s="1"/>
  <c r="AR10" i="72" a="1"/>
  <c r="AR10" i="72" s="1"/>
  <c r="BI10" i="72" a="1"/>
  <c r="BI10" i="72" s="1"/>
  <c r="AH10" i="72" a="1"/>
  <c r="AH10" i="72" s="1"/>
  <c r="BD10" i="72" a="1"/>
  <c r="BD10" i="72" s="1"/>
  <c r="BF10" i="72" a="1"/>
  <c r="BF10" i="72" s="1"/>
  <c r="BJ10" i="72" a="1"/>
  <c r="BJ10" i="72" s="1"/>
  <c r="BG10" i="72" a="1"/>
  <c r="BG10" i="72" s="1"/>
  <c r="E236" i="15"/>
  <c r="M28" i="9"/>
  <c r="EJ22" i="71"/>
  <c r="J918" i="15"/>
  <c r="FK36" i="71"/>
  <c r="IW34" i="71"/>
  <c r="HS6" i="71"/>
  <c r="GO36" i="71"/>
  <c r="M88" i="9"/>
  <c r="FQ34" i="71"/>
  <c r="L94" i="72"/>
  <c r="B71" i="4"/>
  <c r="AM71" i="4" s="1"/>
  <c r="BB71" i="4" a="1"/>
  <c r="BB71" i="4" s="1"/>
  <c r="BC71" i="4" s="1"/>
  <c r="AV173" i="13" s="1"/>
  <c r="E67" i="15"/>
  <c r="AX1267" i="13"/>
  <c r="A1366" i="13"/>
  <c r="IZ34" i="71"/>
  <c r="GF31" i="71"/>
  <c r="GO33" i="71"/>
  <c r="IK9" i="71"/>
  <c r="HS12" i="71"/>
  <c r="J838" i="15"/>
  <c r="HG25" i="71"/>
  <c r="IT5" i="71"/>
  <c r="HS16" i="71"/>
  <c r="E462" i="15"/>
  <c r="J829" i="15"/>
  <c r="IW11" i="71"/>
  <c r="N620" i="15" a="1"/>
  <c r="N620" i="15" s="1"/>
  <c r="AY58" i="4"/>
  <c r="DC58" i="4" a="1"/>
  <c r="DC58" i="4" s="1"/>
  <c r="AD58" i="4"/>
  <c r="CW58" i="4"/>
  <c r="CX58" i="4" s="1"/>
  <c r="DD58" i="4"/>
  <c r="BA58" i="72" s="1"/>
  <c r="CY58" i="4"/>
  <c r="CZ58" i="4" s="1"/>
  <c r="K37" i="71"/>
  <c r="A381" i="13"/>
  <c r="AX381" i="13" s="1"/>
  <c r="AX281" i="13"/>
  <c r="H84" i="9"/>
  <c r="IE24" i="71"/>
  <c r="JR25" i="71"/>
  <c r="HM33" i="71"/>
  <c r="GF26" i="71"/>
  <c r="JR14" i="71"/>
  <c r="E190" i="15"/>
  <c r="Z1501" i="13"/>
  <c r="HM35" i="71"/>
  <c r="AX1290" i="13"/>
  <c r="A1389" i="13"/>
  <c r="CW85" i="4"/>
  <c r="CX85" i="4" s="1"/>
  <c r="DA85" i="4"/>
  <c r="DB85" i="4" s="1"/>
  <c r="AY85" i="4"/>
  <c r="DD85" i="4"/>
  <c r="AD85" i="4"/>
  <c r="CY85" i="4"/>
  <c r="CZ85" i="4" s="1"/>
  <c r="B67" i="4"/>
  <c r="DC67" i="4" s="1" a="1"/>
  <c r="DC67" i="4" s="1"/>
  <c r="BB67" i="4" a="1"/>
  <c r="BB67" i="4" s="1"/>
  <c r="BC67" i="4" s="1"/>
  <c r="AV169" i="13" s="1"/>
  <c r="AX214" i="13"/>
  <c r="A314" i="13"/>
  <c r="AX314" i="13" s="1"/>
  <c r="A1348" i="13"/>
  <c r="AX1249" i="13"/>
  <c r="AV758" i="13"/>
  <c r="B95" i="4"/>
  <c r="BB95" i="4" a="1"/>
  <c r="BB95" i="4" s="1"/>
  <c r="BC95" i="4" s="1"/>
  <c r="M95" i="69" s="1"/>
  <c r="W77" i="22"/>
  <c r="Y77" i="22" s="1"/>
  <c r="JL15" i="71"/>
  <c r="HA10" i="71"/>
  <c r="N73" i="9"/>
  <c r="HS18" i="71"/>
  <c r="JR9" i="71"/>
  <c r="IK30" i="71"/>
  <c r="E966" i="15"/>
  <c r="J758" i="15"/>
  <c r="H78" i="9"/>
  <c r="AT67" i="4"/>
  <c r="AV669" i="13" s="1"/>
  <c r="AX1260" i="13"/>
  <c r="A1359" i="13"/>
  <c r="AX264" i="13"/>
  <c r="A364" i="13"/>
  <c r="AX364" i="13" s="1"/>
  <c r="C35" i="23"/>
  <c r="FQ4" i="71"/>
  <c r="HY22" i="71"/>
  <c r="IK27" i="71"/>
  <c r="E502" i="15"/>
  <c r="M90" i="9"/>
  <c r="HD31" i="71"/>
  <c r="J96" i="72"/>
  <c r="F6" i="15"/>
  <c r="HD9" i="71"/>
  <c r="N75" i="9"/>
  <c r="P75" i="9" s="1"/>
  <c r="JO27" i="71"/>
  <c r="E246" i="15"/>
  <c r="IH17" i="71"/>
  <c r="BE37" i="4"/>
  <c r="X37" i="4" s="1"/>
  <c r="AX1248" i="13"/>
  <c r="A1347" i="13"/>
  <c r="A1349" i="13"/>
  <c r="AX1250" i="13"/>
  <c r="AT60" i="4"/>
  <c r="AV662" i="13" s="1"/>
  <c r="A343" i="13"/>
  <c r="AX343" i="13" s="1"/>
  <c r="AX243" i="13"/>
  <c r="N76" i="9"/>
  <c r="P76" i="9" s="1"/>
  <c r="FN4" i="71"/>
  <c r="M65" i="9"/>
  <c r="GL6" i="71"/>
  <c r="HJ36" i="71"/>
  <c r="L96" i="72"/>
  <c r="GU26" i="71"/>
  <c r="J780" i="15"/>
  <c r="E470" i="15"/>
  <c r="GO18" i="71"/>
  <c r="IH35" i="71"/>
  <c r="HD36" i="71"/>
  <c r="Z1887" i="13"/>
  <c r="B1887" i="13" s="1" a="1"/>
  <c r="B1887" i="13" s="1"/>
  <c r="E50" i="4"/>
  <c r="BU50" i="4" s="1"/>
  <c r="AX724" i="13"/>
  <c r="AV724" i="13"/>
  <c r="AY724" i="13"/>
  <c r="W95" i="22"/>
  <c r="Y95" i="22" s="1"/>
  <c r="JO21" i="71"/>
  <c r="V11" i="22"/>
  <c r="HA25" i="71"/>
  <c r="E447" i="15"/>
  <c r="J831" i="15"/>
  <c r="EJ30" i="71"/>
  <c r="GC13" i="71"/>
  <c r="FW19" i="71"/>
  <c r="J756" i="15"/>
  <c r="M45" i="9"/>
  <c r="J761" i="15"/>
  <c r="JI15" i="71"/>
  <c r="JI23" i="71"/>
  <c r="M8" i="9"/>
  <c r="GR35" i="71"/>
  <c r="GO5" i="71"/>
  <c r="E584" i="15"/>
  <c r="JF10" i="71"/>
  <c r="JX23" i="71"/>
  <c r="IH19" i="71"/>
  <c r="J765" i="15"/>
  <c r="GR9" i="71"/>
  <c r="JY38" i="71"/>
  <c r="M71" i="9"/>
  <c r="E543" i="15"/>
  <c r="EJ16" i="71"/>
  <c r="JO19" i="71"/>
  <c r="JC15" i="71"/>
  <c r="E714" i="15"/>
  <c r="M69" i="9"/>
  <c r="FW9" i="71"/>
  <c r="E425" i="15"/>
  <c r="IE26" i="71"/>
  <c r="E805" i="15"/>
  <c r="J835" i="15"/>
  <c r="J775" i="15"/>
  <c r="IT25" i="71"/>
  <c r="J899" i="15"/>
  <c r="GC14" i="71"/>
  <c r="E424" i="15"/>
  <c r="GM38" i="71"/>
  <c r="IT16" i="71"/>
  <c r="E952" i="15"/>
  <c r="E961" i="15"/>
  <c r="GL25" i="71"/>
  <c r="E819" i="15"/>
  <c r="FK31" i="71"/>
  <c r="GI10" i="71"/>
  <c r="HE38" i="71"/>
  <c r="GL9" i="71"/>
  <c r="FT22" i="71"/>
  <c r="H20" i="7" a="1"/>
  <c r="H20" i="7" s="1"/>
  <c r="J956" i="15"/>
  <c r="E216" i="15"/>
  <c r="HD6" i="71"/>
  <c r="JX31" i="71"/>
  <c r="E825" i="15"/>
  <c r="GO4" i="71"/>
  <c r="FT4" i="71"/>
  <c r="J941" i="15"/>
  <c r="E724" i="15"/>
  <c r="JI36" i="71"/>
  <c r="FZ21" i="71"/>
  <c r="FQ7" i="71"/>
  <c r="M80" i="9"/>
  <c r="P80" i="9" s="1"/>
  <c r="E145" i="15"/>
  <c r="HP19" i="71"/>
  <c r="FN27" i="71"/>
  <c r="E983" i="15"/>
  <c r="GL34" i="71"/>
  <c r="GL35" i="71"/>
  <c r="IQ26" i="71"/>
  <c r="HV35" i="71"/>
  <c r="FT21" i="71"/>
  <c r="GL15" i="71"/>
  <c r="JU33" i="71"/>
  <c r="J548" i="15"/>
  <c r="E843" i="15"/>
  <c r="FW20" i="71"/>
  <c r="JR30" i="71"/>
  <c r="V46" i="22"/>
  <c r="GI32" i="71"/>
  <c r="GX36" i="71"/>
  <c r="JF31" i="71"/>
  <c r="J721" i="15"/>
  <c r="E789" i="15"/>
  <c r="IK24" i="71"/>
  <c r="HA20" i="71"/>
  <c r="JI29" i="71"/>
  <c r="J848" i="15"/>
  <c r="J747" i="15"/>
  <c r="JX4" i="71"/>
  <c r="FN17" i="71"/>
  <c r="FQ25" i="71"/>
  <c r="E762" i="15"/>
  <c r="HG9" i="71"/>
  <c r="E408" i="15"/>
  <c r="IE29" i="71"/>
  <c r="JX34" i="71"/>
  <c r="DG23" i="4"/>
  <c r="E23" i="4"/>
  <c r="AV757" i="13"/>
  <c r="AO124" i="72"/>
  <c r="JR27" i="71"/>
  <c r="J712" i="15"/>
  <c r="HP8" i="71"/>
  <c r="N61" i="9"/>
  <c r="J729" i="15"/>
  <c r="P94" i="69"/>
  <c r="GF35" i="71"/>
  <c r="J882" i="15"/>
  <c r="GX7" i="71"/>
  <c r="JU27" i="71"/>
  <c r="JR32" i="71"/>
  <c r="BK94" i="72"/>
  <c r="GX29" i="71"/>
  <c r="JF15" i="71"/>
  <c r="N37" i="71"/>
  <c r="AV778" i="13"/>
  <c r="CW56" i="4"/>
  <c r="CX56" i="4" s="1"/>
  <c r="AY56" i="4"/>
  <c r="AD56" i="4"/>
  <c r="DD56" i="4"/>
  <c r="DA56" i="4"/>
  <c r="DB56" i="4" s="1"/>
  <c r="CY56" i="4"/>
  <c r="CZ56" i="4" s="1"/>
  <c r="DC56" i="4" a="1"/>
  <c r="DC56" i="4" s="1"/>
  <c r="AX267" i="13"/>
  <c r="A367" i="13"/>
  <c r="AX367" i="13" s="1"/>
  <c r="JF29" i="71"/>
  <c r="AE59" i="4"/>
  <c r="F59" i="69" s="1"/>
  <c r="AE18" i="4"/>
  <c r="F18" i="72" s="1"/>
  <c r="Z52" i="4"/>
  <c r="AV1249" i="13" s="1"/>
  <c r="AM37" i="4"/>
  <c r="I37" i="69" s="1"/>
  <c r="AI6" i="4"/>
  <c r="AV1302" i="13" s="1"/>
  <c r="X17" i="69"/>
  <c r="V17" i="72"/>
  <c r="Z8" i="4"/>
  <c r="AV1205" i="13" s="1"/>
  <c r="AM44" i="4"/>
  <c r="I44" i="69" s="1"/>
  <c r="AI37" i="4"/>
  <c r="AV1333" i="13" s="1"/>
  <c r="AM8" i="4"/>
  <c r="I8" i="69" s="1"/>
  <c r="AE63" i="4"/>
  <c r="F63" i="69" s="1"/>
  <c r="AE75" i="4"/>
  <c r="F75" i="69" s="1"/>
  <c r="AM38" i="4"/>
  <c r="I38" i="69" s="1"/>
  <c r="AE87" i="4"/>
  <c r="F87" i="69" s="1"/>
  <c r="AM52" i="4"/>
  <c r="I52" i="72" s="1"/>
  <c r="Z18" i="4"/>
  <c r="AV1215" i="13" s="1"/>
  <c r="Z34" i="4"/>
  <c r="AV1231" i="13" s="1"/>
  <c r="AM86" i="4"/>
  <c r="I86" i="69" s="1"/>
  <c r="Z79" i="4"/>
  <c r="AV1276" i="13" s="1"/>
  <c r="AE15" i="4"/>
  <c r="F15" i="72" s="1"/>
  <c r="AE64" i="4"/>
  <c r="F64" i="72" s="1"/>
  <c r="Z29" i="4"/>
  <c r="AV1226" i="13" s="1"/>
  <c r="AM84" i="4"/>
  <c r="I84" i="69" s="1"/>
  <c r="Z53" i="4"/>
  <c r="AV1250" i="13" s="1"/>
  <c r="V37" i="72"/>
  <c r="X37" i="69"/>
  <c r="BH10" i="4"/>
  <c r="AV1108" i="13" s="1"/>
  <c r="X10" i="4"/>
  <c r="L10" i="4"/>
  <c r="X33" i="69"/>
  <c r="V33" i="72"/>
  <c r="X48" i="69"/>
  <c r="V48" i="72"/>
  <c r="V29" i="72"/>
  <c r="X29" i="69"/>
  <c r="X40" i="69"/>
  <c r="V40" i="72"/>
  <c r="X26" i="69"/>
  <c r="V26" i="72"/>
  <c r="X83" i="69"/>
  <c r="V83" i="72"/>
  <c r="AI20" i="27"/>
  <c r="AH20" i="27" s="1"/>
  <c r="B63" i="4"/>
  <c r="BB63" i="4" a="1"/>
  <c r="BB63" i="4" s="1"/>
  <c r="BC63" i="4" s="1"/>
  <c r="AV165" i="13" s="1"/>
  <c r="AS9" i="4"/>
  <c r="AR9" i="4"/>
  <c r="AS11" i="4"/>
  <c r="AY511" i="13"/>
  <c r="AR11" i="4"/>
  <c r="GR32" i="71"/>
  <c r="A329" i="13"/>
  <c r="AX329" i="13" s="1"/>
  <c r="AX229" i="13"/>
  <c r="IK33" i="71"/>
  <c r="AX220" i="13"/>
  <c r="A320" i="13"/>
  <c r="AX320" i="13" s="1"/>
  <c r="AV512" i="13"/>
  <c r="DX10" i="4"/>
  <c r="BM10" i="4"/>
  <c r="BI10" i="4"/>
  <c r="BO4" i="69"/>
  <c r="BR4" i="69" s="1"/>
  <c r="E585" i="15"/>
  <c r="E526" i="15"/>
  <c r="L526" i="15" s="1" a="1"/>
  <c r="L526" i="15" s="1"/>
  <c r="E155" i="15"/>
  <c r="E74" i="15"/>
  <c r="E51" i="15"/>
  <c r="E106" i="15"/>
  <c r="E272" i="15"/>
  <c r="E199" i="15"/>
  <c r="E387" i="15"/>
  <c r="B94" i="4"/>
  <c r="BB94" i="4" a="1"/>
  <c r="BB94" i="4" s="1"/>
  <c r="BC94" i="4" s="1"/>
  <c r="T94" i="72" s="1"/>
  <c r="JL8" i="71"/>
  <c r="JU8" i="71"/>
  <c r="M26" i="9"/>
  <c r="GI4" i="71"/>
  <c r="E885" i="15"/>
  <c r="GI20" i="71"/>
  <c r="GC19" i="71"/>
  <c r="FN20" i="71"/>
  <c r="W46" i="22"/>
  <c r="Y46" i="22" s="1"/>
  <c r="CG4" i="72" a="1"/>
  <c r="CG4" i="72" s="1"/>
  <c r="CF4" i="72" a="1"/>
  <c r="CF4" i="72" s="1"/>
  <c r="AH4" i="72" s="1" a="1"/>
  <c r="AH4" i="72" s="1"/>
  <c r="E4" i="72"/>
  <c r="AT79" i="4"/>
  <c r="AV681" i="13" s="1"/>
  <c r="A346" i="13"/>
  <c r="AX346" i="13" s="1"/>
  <c r="AX246" i="13"/>
  <c r="JX20" i="71"/>
  <c r="AG95" i="72"/>
  <c r="BC10" i="72" a="1"/>
  <c r="BC10" i="72" s="1"/>
  <c r="JR36" i="71"/>
  <c r="JF5" i="71"/>
  <c r="V31" i="22"/>
  <c r="IH21" i="71"/>
  <c r="L669" i="15" a="1"/>
  <c r="L669" i="15" s="1"/>
  <c r="F669" i="15" a="1"/>
  <c r="F669" i="15" s="1"/>
  <c r="E992" i="15"/>
  <c r="AC94" i="72"/>
  <c r="GO25" i="71"/>
  <c r="L664" i="15" a="1"/>
  <c r="L664" i="15" s="1"/>
  <c r="F664" i="15" a="1"/>
  <c r="F664" i="15" s="1"/>
  <c r="N6" i="9"/>
  <c r="P6" i="9" s="1"/>
  <c r="GL23" i="71"/>
  <c r="A1317" i="13"/>
  <c r="AX1218" i="13"/>
  <c r="AV766" i="13"/>
  <c r="J716" i="15"/>
  <c r="E171" i="15"/>
  <c r="GI14" i="71"/>
  <c r="N18" i="9"/>
  <c r="HA6" i="71"/>
  <c r="E255" i="15"/>
  <c r="HY30" i="71"/>
  <c r="GR4" i="71"/>
  <c r="AC96" i="69"/>
  <c r="FN9" i="71"/>
  <c r="HS14" i="71"/>
  <c r="E852" i="15"/>
  <c r="E758" i="15"/>
  <c r="HV5" i="71"/>
  <c r="DA78" i="4"/>
  <c r="DB78" i="4" s="1"/>
  <c r="AY78" i="4"/>
  <c r="CW78" i="4"/>
  <c r="CX78" i="4" s="1"/>
  <c r="AD78" i="4"/>
  <c r="DD78" i="4"/>
  <c r="DC78" i="4" a="1"/>
  <c r="DC78" i="4" s="1"/>
  <c r="CY78" i="4"/>
  <c r="CZ78" i="4" s="1"/>
  <c r="AV312" i="13"/>
  <c r="U10" i="72" a="1"/>
  <c r="U10" i="72" s="1"/>
  <c r="U10" i="69" a="1"/>
  <c r="U10" i="69" s="1"/>
  <c r="CW64" i="4"/>
  <c r="CX64" i="4" s="1"/>
  <c r="AD64" i="4"/>
  <c r="DD64" i="4"/>
  <c r="DA64" i="4"/>
  <c r="DB64" i="4" s="1"/>
  <c r="CY64" i="4"/>
  <c r="CZ64" i="4" s="1"/>
  <c r="DC64" i="4" a="1"/>
  <c r="DC64" i="4" s="1"/>
  <c r="AY64" i="4"/>
  <c r="AT69" i="4"/>
  <c r="AV671" i="13" s="1"/>
  <c r="E901" i="15"/>
  <c r="J832" i="15"/>
  <c r="JX30" i="71"/>
  <c r="W67" i="22"/>
  <c r="Y67" i="22" s="1"/>
  <c r="HM7" i="71"/>
  <c r="GU5" i="71"/>
  <c r="E955" i="15"/>
  <c r="M27" i="9"/>
  <c r="E902" i="15"/>
  <c r="GL14" i="71"/>
  <c r="F441" i="15" a="1"/>
  <c r="F441" i="15" s="1"/>
  <c r="BB95" i="72"/>
  <c r="Z1883" i="13"/>
  <c r="B1883" i="13" s="1" a="1"/>
  <c r="B1883" i="13" s="1"/>
  <c r="H85" i="9"/>
  <c r="IN7" i="71"/>
  <c r="JL13" i="71"/>
  <c r="N86" i="9"/>
  <c r="P86" i="9" s="1"/>
  <c r="EJ24" i="71"/>
  <c r="J922" i="15"/>
  <c r="GI21" i="71"/>
  <c r="GO31" i="71"/>
  <c r="BB89" i="4" a="1"/>
  <c r="BB89" i="4" s="1"/>
  <c r="BC89" i="4" s="1"/>
  <c r="AV191" i="13" s="1"/>
  <c r="B89" i="4"/>
  <c r="CY89" i="4" s="1"/>
  <c r="CZ89" i="4" s="1"/>
  <c r="A324" i="13"/>
  <c r="AX324" i="13" s="1"/>
  <c r="AX224" i="13"/>
  <c r="CW70" i="4"/>
  <c r="CX70" i="4" s="1"/>
  <c r="AD70" i="4"/>
  <c r="AY70" i="4"/>
  <c r="CY70" i="4"/>
  <c r="CZ70" i="4" s="1"/>
  <c r="DC70" i="4" a="1"/>
  <c r="DC70" i="4" s="1"/>
  <c r="AX1280" i="13"/>
  <c r="A1379" i="13"/>
  <c r="E47" i="4"/>
  <c r="AX1208" i="13"/>
  <c r="A1307" i="13"/>
  <c r="AX1253" i="13"/>
  <c r="A1352" i="13"/>
  <c r="GU34" i="71"/>
  <c r="M16" i="9"/>
  <c r="JU22" i="71"/>
  <c r="E978" i="15"/>
  <c r="HJ16" i="71"/>
  <c r="IE30" i="71"/>
  <c r="E865" i="15"/>
  <c r="J885" i="15"/>
  <c r="M7" i="9"/>
  <c r="GL33" i="71"/>
  <c r="IK13" i="71"/>
  <c r="A1332" i="13"/>
  <c r="AX1233" i="13"/>
  <c r="B60" i="4"/>
  <c r="CY60" i="4" s="1"/>
  <c r="CZ60" i="4" s="1"/>
  <c r="BB60" i="4" a="1"/>
  <c r="BB60" i="4" s="1"/>
  <c r="BC60" i="4" s="1"/>
  <c r="AV162" i="13" s="1"/>
  <c r="Z1881" i="13"/>
  <c r="B1881" i="13" s="1" a="1"/>
  <c r="B1881" i="13" s="1"/>
  <c r="AX1254" i="13"/>
  <c r="A1353" i="13"/>
  <c r="GL17" i="71"/>
  <c r="E883" i="15"/>
  <c r="GC29" i="71"/>
  <c r="N59" i="9"/>
  <c r="P59" i="9" s="1"/>
  <c r="E933" i="15"/>
  <c r="FK22" i="71"/>
  <c r="FT23" i="71"/>
  <c r="E882" i="15"/>
  <c r="GX14" i="71"/>
  <c r="HP7" i="71"/>
  <c r="E872" i="15"/>
  <c r="EJ15" i="71"/>
  <c r="AX1229" i="13"/>
  <c r="A1328" i="13"/>
  <c r="AX284" i="13"/>
  <c r="A384" i="13"/>
  <c r="AX384" i="13" s="1"/>
  <c r="Z1884" i="13"/>
  <c r="B1884" i="13" s="1" a="1"/>
  <c r="B1884" i="13" s="1"/>
  <c r="A344" i="13"/>
  <c r="AX344" i="13" s="1"/>
  <c r="AX244" i="13"/>
  <c r="GL31" i="71"/>
  <c r="HP27" i="71"/>
  <c r="F398" i="15" a="1"/>
  <c r="F398" i="15" s="1"/>
  <c r="JG38" i="71"/>
  <c r="HJ5" i="71"/>
  <c r="M63" i="9"/>
  <c r="H96" i="9"/>
  <c r="J743" i="15"/>
  <c r="HG20" i="71"/>
  <c r="E248" i="15"/>
  <c r="IZ30" i="71"/>
  <c r="FQ19" i="71"/>
  <c r="M478" i="15" a="1"/>
  <c r="M478" i="15" s="1"/>
  <c r="K478" i="15" a="1"/>
  <c r="K478" i="15" s="1"/>
  <c r="L478" i="15" a="1"/>
  <c r="L478" i="15" s="1"/>
  <c r="M17" i="9"/>
  <c r="E659" i="15"/>
  <c r="IW28" i="71"/>
  <c r="Z1499" i="13"/>
  <c r="IT13" i="71"/>
  <c r="FZ31" i="71"/>
  <c r="I9" i="15" a="1"/>
  <c r="I9" i="15" s="1"/>
  <c r="E887" i="15"/>
  <c r="Z1497" i="13"/>
  <c r="I1702" i="13" s="1"/>
  <c r="J730" i="15"/>
  <c r="GC11" i="71"/>
  <c r="FQ17" i="71"/>
  <c r="E713" i="15"/>
  <c r="J874" i="15"/>
  <c r="IK36" i="71"/>
  <c r="IQ36" i="71"/>
  <c r="V76" i="22"/>
  <c r="E586" i="15"/>
  <c r="E472" i="15"/>
  <c r="J900" i="15"/>
  <c r="E648" i="15"/>
  <c r="FH32" i="71"/>
  <c r="J764" i="15"/>
  <c r="IB11" i="71"/>
  <c r="J812" i="15"/>
  <c r="E703" i="15"/>
  <c r="E750" i="15"/>
  <c r="JX16" i="71"/>
  <c r="N571" i="15" a="1"/>
  <c r="N571" i="15" s="1"/>
  <c r="L571" i="15" a="1"/>
  <c r="L571" i="15" s="1"/>
  <c r="JO23" i="71"/>
  <c r="HG7" i="71"/>
  <c r="E903" i="15"/>
  <c r="GO28" i="71"/>
  <c r="E304" i="15"/>
  <c r="JL5" i="71"/>
  <c r="E397" i="15"/>
  <c r="FW22" i="71"/>
  <c r="N44" i="9"/>
  <c r="P44" i="9" s="1"/>
  <c r="JI31" i="71"/>
  <c r="J836" i="15"/>
  <c r="J821" i="15"/>
  <c r="E53" i="15"/>
  <c r="JU28" i="71"/>
  <c r="JU16" i="71"/>
  <c r="IQ34" i="71"/>
  <c r="FH8" i="71"/>
  <c r="GO16" i="71"/>
  <c r="J893" i="15"/>
  <c r="E936" i="15"/>
  <c r="IQ19" i="71"/>
  <c r="JC13" i="71"/>
  <c r="GX30" i="71"/>
  <c r="E193" i="15"/>
  <c r="E258" i="15"/>
  <c r="E939" i="15"/>
  <c r="J809" i="15"/>
  <c r="E809" i="15"/>
  <c r="HM28" i="71"/>
  <c r="E609" i="15"/>
  <c r="BH95" i="69"/>
  <c r="HD4" i="71"/>
  <c r="FW10" i="71"/>
  <c r="GI17" i="71"/>
  <c r="E191" i="15"/>
  <c r="FW32" i="71"/>
  <c r="N38" i="9"/>
  <c r="P38" i="9" s="1"/>
  <c r="M97" i="9"/>
  <c r="P97" i="9" s="1"/>
  <c r="FZ36" i="71"/>
  <c r="N91" i="9"/>
  <c r="P91" i="9" s="1"/>
  <c r="JF34" i="71"/>
  <c r="J901" i="15"/>
  <c r="GL20" i="71"/>
  <c r="E729" i="15"/>
  <c r="JC32" i="71"/>
  <c r="FN6" i="71"/>
  <c r="JI14" i="71"/>
  <c r="F9" i="15"/>
  <c r="BZ23" i="4" a="1"/>
  <c r="BZ23" i="4" s="1"/>
  <c r="CA23" i="4" a="1"/>
  <c r="CA23" i="4" s="1"/>
  <c r="BY23" i="4" s="1" a="1"/>
  <c r="BY23" i="4" s="1"/>
  <c r="E500" i="15"/>
  <c r="E466" i="15"/>
  <c r="M18" i="9"/>
  <c r="AY796" i="13"/>
  <c r="IB22" i="71"/>
  <c r="HG24" i="71"/>
  <c r="IQ22" i="71"/>
  <c r="AM96" i="72"/>
  <c r="HS9" i="71"/>
  <c r="E969" i="15"/>
  <c r="BE25" i="4"/>
  <c r="AE53" i="4"/>
  <c r="F53" i="72" s="1"/>
  <c r="AI24" i="4"/>
  <c r="AV1320" i="13" s="1"/>
  <c r="AI27" i="4"/>
  <c r="AV1323" i="13" s="1"/>
  <c r="AE39" i="4"/>
  <c r="F39" i="72" s="1"/>
  <c r="AI15" i="4"/>
  <c r="AV1311" i="13" s="1"/>
  <c r="AI21" i="4"/>
  <c r="AV1317" i="13" s="1"/>
  <c r="AE47" i="4"/>
  <c r="F47" i="69" s="1"/>
  <c r="DD72" i="4"/>
  <c r="AE14" i="4"/>
  <c r="F14" i="72" s="1"/>
  <c r="AM18" i="4"/>
  <c r="I18" i="69" s="1"/>
  <c r="Z38" i="4"/>
  <c r="AV1235" i="13" s="1"/>
  <c r="AE93" i="4"/>
  <c r="F93" i="72" s="1"/>
  <c r="Z82" i="4"/>
  <c r="AV1279" i="13" s="1"/>
  <c r="AE37" i="4"/>
  <c r="F37" i="69" s="1"/>
  <c r="AI38" i="4"/>
  <c r="AV1334" i="13" s="1"/>
  <c r="AI70" i="4"/>
  <c r="AV1366" i="13" s="1"/>
  <c r="AE11" i="4"/>
  <c r="F11" i="69" s="1"/>
  <c r="AM53" i="4"/>
  <c r="I53" i="72" s="1"/>
  <c r="Z48" i="4"/>
  <c r="AV1245" i="13" s="1"/>
  <c r="AM20" i="4"/>
  <c r="I20" i="69" s="1"/>
  <c r="AI66" i="4"/>
  <c r="AV1362" i="13" s="1"/>
  <c r="AE22" i="4"/>
  <c r="F22" i="72" s="1"/>
  <c r="AE34" i="4"/>
  <c r="F34" i="69" s="1"/>
  <c r="Z44" i="4"/>
  <c r="AV1241" i="13" s="1"/>
  <c r="AM75" i="4"/>
  <c r="I75" i="69" s="1"/>
  <c r="AM48" i="4"/>
  <c r="I48" i="72" s="1"/>
  <c r="AI20" i="4"/>
  <c r="AV1316" i="13" s="1"/>
  <c r="AI52" i="4"/>
  <c r="AV1348" i="13" s="1"/>
  <c r="BS9" i="4"/>
  <c r="AD9" i="69" s="1"/>
  <c r="BH9" i="4"/>
  <c r="AV1107" i="13" s="1"/>
  <c r="X9" i="4"/>
  <c r="L9" i="4"/>
  <c r="X39" i="69"/>
  <c r="V39" i="72"/>
  <c r="X73" i="69"/>
  <c r="V73" i="72"/>
  <c r="X7" i="69"/>
  <c r="V7" i="72"/>
  <c r="X91" i="69"/>
  <c r="V91" i="72"/>
  <c r="X79" i="69"/>
  <c r="V79" i="72"/>
  <c r="BH3" i="4"/>
  <c r="X3" i="4"/>
  <c r="L3" i="4"/>
  <c r="BX23" i="4"/>
  <c r="A1367" i="13"/>
  <c r="AX1268" i="13"/>
  <c r="Q37" i="71"/>
  <c r="BB66" i="4" a="1"/>
  <c r="BB66" i="4" s="1"/>
  <c r="BC66" i="4" s="1"/>
  <c r="AV168" i="13" s="1"/>
  <c r="B66" i="4"/>
  <c r="DC66" i="4" s="1" a="1"/>
  <c r="DC66" i="4" s="1"/>
  <c r="AX207" i="13"/>
  <c r="A307" i="13"/>
  <c r="AX307" i="13" s="1"/>
  <c r="P102" i="27" a="1"/>
  <c r="P102" i="27" s="1"/>
  <c r="A309" i="13"/>
  <c r="AX309" i="13" s="1"/>
  <c r="AX209" i="13"/>
  <c r="BE13" i="4"/>
  <c r="BU13" i="4"/>
  <c r="F701" i="15" a="1"/>
  <c r="F701" i="15" s="1"/>
  <c r="E119" i="15"/>
  <c r="A319" i="13"/>
  <c r="AX319" i="13" s="1"/>
  <c r="AX219" i="13"/>
  <c r="B72" i="4"/>
  <c r="F72" i="4" s="1"/>
  <c r="BB72" i="4" a="1"/>
  <c r="BB72" i="4" s="1"/>
  <c r="BC72" i="4" s="1"/>
  <c r="AV174" i="13" s="1"/>
  <c r="Q56" i="14" a="1"/>
  <c r="Q56" i="14" s="1"/>
  <c r="B54" i="14" s="1"/>
  <c r="BW55" i="4" a="1"/>
  <c r="BW55" i="4" s="1"/>
  <c r="A55" i="20"/>
  <c r="W98" i="22"/>
  <c r="Y98" i="22" s="1"/>
  <c r="A57" i="9"/>
  <c r="BT55" i="4"/>
  <c r="D55" i="4"/>
  <c r="C55" i="4"/>
  <c r="D55" i="1"/>
  <c r="BV55" i="4" a="1"/>
  <c r="BV55" i="4" s="1"/>
  <c r="I55" i="4"/>
  <c r="FE15" i="71" s="1"/>
  <c r="BD55" i="4" a="1"/>
  <c r="BD55" i="4" s="1"/>
  <c r="BD97" i="4" s="1"/>
  <c r="A55" i="4"/>
  <c r="M55" i="4"/>
  <c r="BA55" i="4"/>
  <c r="K55" i="4"/>
  <c r="S87" i="22"/>
  <c r="W90" i="22"/>
  <c r="Z90" i="22" s="1"/>
  <c r="Z1856" i="13"/>
  <c r="B1856" i="13" s="1" a="1"/>
  <c r="B1856" i="13" s="1"/>
  <c r="JF30" i="71"/>
  <c r="V9" i="22"/>
  <c r="E587" i="15"/>
  <c r="L583" i="15" s="1" a="1"/>
  <c r="L583" i="15" s="1"/>
  <c r="FH20" i="71"/>
  <c r="E283" i="15"/>
  <c r="M31" i="9"/>
  <c r="E365" i="15"/>
  <c r="E920" i="15"/>
  <c r="HG17" i="71"/>
  <c r="E153" i="15"/>
  <c r="E431" i="15"/>
  <c r="IQ33" i="71"/>
  <c r="AV1491" i="13"/>
  <c r="BB70" i="4" a="1"/>
  <c r="BB70" i="4" s="1"/>
  <c r="BC70" i="4" s="1"/>
  <c r="AV172" i="13" s="1"/>
  <c r="B70" i="4"/>
  <c r="F70" i="4" s="1"/>
  <c r="N662" i="15" a="1"/>
  <c r="N662" i="15" s="1"/>
  <c r="M662" i="15" a="1"/>
  <c r="M662" i="15" s="1"/>
  <c r="L662" i="15" a="1"/>
  <c r="L662" i="15" s="1"/>
  <c r="AY4" i="72" a="1"/>
  <c r="AY4" i="72" s="1"/>
  <c r="BM4" i="72"/>
  <c r="AU4" i="72" a="1"/>
  <c r="AU4" i="72" s="1"/>
  <c r="AT4" i="72" a="1"/>
  <c r="AT4" i="72" s="1"/>
  <c r="BV4" i="72" a="1"/>
  <c r="BV4" i="72" s="1"/>
  <c r="BP4" i="72"/>
  <c r="BF4" i="72" s="1" a="1"/>
  <c r="BF4" i="72" s="1"/>
  <c r="AL4" i="72" a="1"/>
  <c r="AL4" i="72" s="1"/>
  <c r="AW4" i="72"/>
  <c r="AS4" i="72" a="1"/>
  <c r="AS4" i="72" s="1"/>
  <c r="R4" i="72"/>
  <c r="BW4" i="72" a="1"/>
  <c r="BW4" i="72" s="1"/>
  <c r="A337" i="13"/>
  <c r="AX337" i="13" s="1"/>
  <c r="AX237" i="13"/>
  <c r="AY63" i="4"/>
  <c r="AD63" i="4"/>
  <c r="DD63" i="4"/>
  <c r="CW63" i="4"/>
  <c r="CX63" i="4" s="1"/>
  <c r="CY63" i="4"/>
  <c r="CZ63" i="4" s="1"/>
  <c r="DC63" i="4" a="1"/>
  <c r="DC63" i="4" s="1"/>
  <c r="AA94" i="72" a="1"/>
  <c r="AA94" i="72" s="1"/>
  <c r="IH36" i="71"/>
  <c r="N58" i="9"/>
  <c r="P58" i="9" s="1"/>
  <c r="HM17" i="71"/>
  <c r="E765" i="15"/>
  <c r="HJ11" i="71"/>
  <c r="GX25" i="71"/>
  <c r="HY8" i="71"/>
  <c r="AX1224" i="13"/>
  <c r="A1323" i="13"/>
  <c r="H92" i="9"/>
  <c r="AD67" i="4"/>
  <c r="DD67" i="4"/>
  <c r="CY67" i="4"/>
  <c r="CZ67" i="4" s="1"/>
  <c r="CW67" i="4"/>
  <c r="CX67" i="4" s="1"/>
  <c r="AY67" i="4"/>
  <c r="AY780" i="13"/>
  <c r="DG14" i="4"/>
  <c r="AY766" i="13"/>
  <c r="E555" i="15"/>
  <c r="HJ25" i="71"/>
  <c r="BC94" i="69"/>
  <c r="H13" i="7" a="1"/>
  <c r="H13" i="7" s="1"/>
  <c r="GC22" i="71"/>
  <c r="GO17" i="71"/>
  <c r="E986" i="15"/>
  <c r="FT34" i="71"/>
  <c r="J811" i="15"/>
  <c r="E934" i="15"/>
  <c r="JR20" i="71"/>
  <c r="IT12" i="71"/>
  <c r="AY797" i="13"/>
  <c r="H90" i="9"/>
  <c r="FW34" i="71"/>
  <c r="GC36" i="71"/>
  <c r="HV6" i="71"/>
  <c r="GC8" i="71"/>
  <c r="JU34" i="71"/>
  <c r="HP24" i="71"/>
  <c r="N30" i="9"/>
  <c r="HA23" i="71"/>
  <c r="N45" i="9"/>
  <c r="HA5" i="71"/>
  <c r="F457" i="15" a="1"/>
  <c r="F457" i="15" s="1"/>
  <c r="I4" i="72"/>
  <c r="I4" i="69"/>
  <c r="DG34" i="4"/>
  <c r="AX249" i="13"/>
  <c r="A349" i="13"/>
  <c r="AX349" i="13" s="1"/>
  <c r="A342" i="13"/>
  <c r="AX342" i="13" s="1"/>
  <c r="AX242" i="13"/>
  <c r="IT26" i="71"/>
  <c r="AA96" i="72" a="1"/>
  <c r="AA96" i="72" s="1"/>
  <c r="FQ23" i="71"/>
  <c r="J824" i="15"/>
  <c r="E792" i="15"/>
  <c r="IK20" i="71"/>
  <c r="JX26" i="71"/>
  <c r="J896" i="15"/>
  <c r="HA7" i="71"/>
  <c r="J763" i="15"/>
  <c r="CY18" i="4"/>
  <c r="CZ18" i="4" s="1"/>
  <c r="E110" i="15"/>
  <c r="E367" i="15"/>
  <c r="E445" i="15"/>
  <c r="E234" i="15"/>
  <c r="E340" i="15"/>
  <c r="E43" i="15"/>
  <c r="E77" i="15"/>
  <c r="E227" i="15"/>
  <c r="E78" i="15"/>
  <c r="E556" i="15"/>
  <c r="E361" i="15"/>
  <c r="E90" i="15"/>
  <c r="E254" i="15"/>
  <c r="E82" i="15"/>
  <c r="E747" i="15"/>
  <c r="IW36" i="71"/>
  <c r="IW7" i="71"/>
  <c r="GF24" i="71"/>
  <c r="IQ13" i="71"/>
  <c r="W58" i="22"/>
  <c r="Y58" i="22" s="1"/>
  <c r="E133" i="15"/>
  <c r="E599" i="15"/>
  <c r="E981" i="15"/>
  <c r="FK11" i="71"/>
  <c r="HA30" i="71"/>
  <c r="E433" i="15"/>
  <c r="DG37" i="4"/>
  <c r="DG60" i="4"/>
  <c r="X4" i="4"/>
  <c r="E277" i="15"/>
  <c r="J948" i="15"/>
  <c r="J784" i="15"/>
  <c r="HS11" i="71"/>
  <c r="GL22" i="71"/>
  <c r="J870" i="15"/>
  <c r="J895" i="15"/>
  <c r="IE6" i="71"/>
  <c r="E661" i="15"/>
  <c r="K660" i="15" s="1" a="1"/>
  <c r="K660" i="15" s="1"/>
  <c r="IB8" i="71"/>
  <c r="GI31" i="71"/>
  <c r="F628" i="15" a="1"/>
  <c r="F628" i="15" s="1"/>
  <c r="AX1256" i="13"/>
  <c r="A1355" i="13"/>
  <c r="AV791" i="13"/>
  <c r="AX245" i="13"/>
  <c r="A345" i="13"/>
  <c r="AX345" i="13" s="1"/>
  <c r="AX1241" i="13"/>
  <c r="A1340" i="13"/>
  <c r="HM29" i="71"/>
  <c r="EK38" i="71"/>
  <c r="HY27" i="71"/>
  <c r="HG11" i="71"/>
  <c r="HS4" i="71"/>
  <c r="FQ10" i="71"/>
  <c r="HV33" i="71"/>
  <c r="IN28" i="71"/>
  <c r="IE31" i="71"/>
  <c r="J541" i="15"/>
  <c r="M531" i="15" s="1" a="1"/>
  <c r="M531" i="15" s="1"/>
  <c r="FT13" i="71"/>
  <c r="JX12" i="71"/>
  <c r="J710" i="15"/>
  <c r="JU6" i="71"/>
  <c r="JF19" i="71"/>
  <c r="JU23" i="71"/>
  <c r="JO13" i="71"/>
  <c r="FN33" i="71"/>
  <c r="HA21" i="71"/>
  <c r="J880" i="15"/>
  <c r="N24" i="9"/>
  <c r="P24" i="9" s="1"/>
  <c r="J683" i="15"/>
  <c r="L675" i="15" s="1" a="1"/>
  <c r="L675" i="15" s="1"/>
  <c r="J981" i="15"/>
  <c r="E229" i="15"/>
  <c r="JU5" i="71"/>
  <c r="J742" i="15"/>
  <c r="HJ34" i="71"/>
  <c r="FK27" i="71"/>
  <c r="E434" i="15"/>
  <c r="M92" i="9"/>
  <c r="J977" i="15"/>
  <c r="F13" i="15"/>
  <c r="GX33" i="71"/>
  <c r="IQ5" i="71"/>
  <c r="IR38" i="71"/>
  <c r="JF7" i="71"/>
  <c r="GL7" i="71"/>
  <c r="E727" i="15"/>
  <c r="FQ6" i="71"/>
  <c r="JU14" i="71"/>
  <c r="E965" i="15"/>
  <c r="IZ31" i="71"/>
  <c r="JO36" i="71"/>
  <c r="IT27" i="71"/>
  <c r="GO8" i="71"/>
  <c r="HG12" i="71"/>
  <c r="GR36" i="71"/>
  <c r="FW16" i="71"/>
  <c r="FW33" i="71"/>
  <c r="GR6" i="71"/>
  <c r="GL30" i="71"/>
  <c r="FZ30" i="71"/>
  <c r="AV795" i="13"/>
  <c r="IW30" i="71"/>
  <c r="IH14" i="71"/>
  <c r="E894" i="15"/>
  <c r="J988" i="15"/>
  <c r="IH20" i="71"/>
  <c r="E990" i="15"/>
  <c r="HM31" i="71"/>
  <c r="GU11" i="71"/>
  <c r="HY7" i="71"/>
  <c r="E132" i="15"/>
  <c r="J840" i="15"/>
  <c r="E855" i="15"/>
  <c r="J872" i="15"/>
  <c r="HS25" i="71"/>
  <c r="E869" i="15"/>
  <c r="FX38" i="71"/>
  <c r="E985" i="15"/>
  <c r="J916" i="15"/>
  <c r="AP94" i="72"/>
  <c r="BB94" i="69"/>
  <c r="E712" i="15"/>
  <c r="JI20" i="71"/>
  <c r="GX32" i="71"/>
  <c r="GL11" i="71"/>
  <c r="IE15" i="71"/>
  <c r="N28" i="9"/>
  <c r="P28" i="9" s="1"/>
  <c r="E320" i="15"/>
  <c r="GU19" i="71"/>
  <c r="J915" i="15"/>
  <c r="HS10" i="71"/>
  <c r="J475" i="15"/>
  <c r="JR24" i="71"/>
  <c r="J723" i="15"/>
  <c r="FK23" i="71"/>
  <c r="M57" i="9"/>
  <c r="AT23" i="4"/>
  <c r="AV625" i="13" s="1"/>
  <c r="IT11" i="71"/>
  <c r="E993" i="15"/>
  <c r="J867" i="15"/>
  <c r="F10" i="15"/>
  <c r="E957" i="15"/>
  <c r="IZ4" i="71"/>
  <c r="JX25" i="71"/>
  <c r="J928" i="15"/>
  <c r="J744" i="15"/>
  <c r="J907" i="15"/>
  <c r="JO34" i="71"/>
  <c r="E310" i="15"/>
  <c r="JV38" i="71"/>
  <c r="GR25" i="71"/>
  <c r="AX280" i="13"/>
  <c r="A380" i="13"/>
  <c r="AX380" i="13" s="1"/>
  <c r="AX1247" i="13"/>
  <c r="A1346" i="13"/>
  <c r="DG25" i="4"/>
  <c r="AI16" i="4"/>
  <c r="AV1312" i="13" s="1"/>
  <c r="AM73" i="4"/>
  <c r="I73" i="72" s="1"/>
  <c r="Z13" i="4"/>
  <c r="AV1210" i="13" s="1"/>
  <c r="Z25" i="4"/>
  <c r="AV1222" i="13" s="1"/>
  <c r="Z90" i="4"/>
  <c r="AV1287" i="13" s="1"/>
  <c r="AI8" i="4"/>
  <c r="AV1304" i="13" s="1"/>
  <c r="AI67" i="4"/>
  <c r="AV1363" i="13" s="1"/>
  <c r="AE79" i="4"/>
  <c r="F79" i="72" s="1"/>
  <c r="Z46" i="4"/>
  <c r="AV1243" i="13" s="1"/>
  <c r="Z72" i="4"/>
  <c r="AV1269" i="13" s="1"/>
  <c r="AI78" i="4"/>
  <c r="AV1374" i="13" s="1"/>
  <c r="AE52" i="4"/>
  <c r="F52" i="72" s="1"/>
  <c r="Z81" i="4"/>
  <c r="AV1278" i="13" s="1"/>
  <c r="AE77" i="4"/>
  <c r="F77" i="72" s="1"/>
  <c r="AI35" i="4"/>
  <c r="AV1331" i="13" s="1"/>
  <c r="AI56" i="4"/>
  <c r="AV1352" i="13" s="1"/>
  <c r="Z12" i="4"/>
  <c r="AV1209" i="13" s="1"/>
  <c r="AM29" i="4"/>
  <c r="I29" i="72" s="1"/>
  <c r="AE38" i="4"/>
  <c r="F38" i="72" s="1"/>
  <c r="AI49" i="4"/>
  <c r="AV1345" i="13" s="1"/>
  <c r="Z86" i="4"/>
  <c r="AV1283" i="13" s="1"/>
  <c r="AI81" i="4"/>
  <c r="AV1377" i="13" s="1"/>
  <c r="AM46" i="4"/>
  <c r="I46" i="69" s="1"/>
  <c r="AI39" i="4"/>
  <c r="AV1335" i="13" s="1"/>
  <c r="Z6" i="4"/>
  <c r="AV1203" i="13" s="1"/>
  <c r="V34" i="72"/>
  <c r="X34" i="69"/>
  <c r="V27" i="72"/>
  <c r="X27" i="69"/>
  <c r="X82" i="69"/>
  <c r="V82" i="72"/>
  <c r="X49" i="69"/>
  <c r="V49" i="72"/>
  <c r="V93" i="72"/>
  <c r="X93" i="69"/>
  <c r="V41" i="72"/>
  <c r="X41" i="69"/>
  <c r="X16" i="69"/>
  <c r="V16" i="72"/>
  <c r="AJ20" i="27"/>
  <c r="AK20" i="27" s="1"/>
  <c r="AJ21" i="27"/>
  <c r="AX1238" i="13"/>
  <c r="A1337" i="13"/>
  <c r="DF5" i="4" a="1"/>
  <c r="DF5" i="4" s="1"/>
  <c r="DF17" i="4" a="1"/>
  <c r="DF17" i="4" s="1"/>
  <c r="DF42" i="4" a="1"/>
  <c r="DF42" i="4" s="1"/>
  <c r="DF51" i="4" a="1"/>
  <c r="DF51" i="4" s="1"/>
  <c r="DF15" i="4" a="1"/>
  <c r="DF15" i="4" s="1"/>
  <c r="DF22" i="4" a="1"/>
  <c r="DF22" i="4" s="1"/>
  <c r="DF9" i="4" a="1"/>
  <c r="DF9" i="4" s="1"/>
  <c r="DF47" i="4" a="1"/>
  <c r="DF47" i="4" s="1"/>
  <c r="DF6" i="4" a="1"/>
  <c r="DF6" i="4" s="1"/>
  <c r="DF27" i="4" a="1"/>
  <c r="DF27" i="4" s="1"/>
  <c r="DF20" i="4" a="1"/>
  <c r="DF20" i="4" s="1"/>
  <c r="DF54" i="4" a="1"/>
  <c r="DF54" i="4" s="1"/>
  <c r="DF45" i="4" a="1"/>
  <c r="DF45" i="4" s="1"/>
  <c r="DF7" i="4" a="1"/>
  <c r="DF7" i="4" s="1"/>
  <c r="DF30" i="4" a="1"/>
  <c r="DF30" i="4" s="1"/>
  <c r="DF41" i="4" a="1"/>
  <c r="DF41" i="4" s="1"/>
  <c r="DF31" i="4" a="1"/>
  <c r="DF31" i="4" s="1"/>
  <c r="DF40" i="4" a="1"/>
  <c r="DF40" i="4" s="1"/>
  <c r="DF43" i="4" a="1"/>
  <c r="DF43" i="4" s="1"/>
  <c r="DF19" i="4" a="1"/>
  <c r="DF19" i="4" s="1"/>
  <c r="DF34" i="4" a="1"/>
  <c r="DF34" i="4" s="1"/>
  <c r="DF35" i="4" a="1"/>
  <c r="DF35" i="4" s="1"/>
  <c r="DF28" i="4" a="1"/>
  <c r="DF28" i="4" s="1"/>
  <c r="DF16" i="4" a="1"/>
  <c r="DF16" i="4" s="1"/>
  <c r="DF14" i="4" a="1"/>
  <c r="DF14" i="4" s="1"/>
  <c r="DF13" i="4" a="1"/>
  <c r="DF13" i="4" s="1"/>
  <c r="DF24" i="4" a="1"/>
  <c r="DF24" i="4" s="1"/>
  <c r="DF39" i="4" a="1"/>
  <c r="DF39" i="4" s="1"/>
  <c r="DF21" i="4" a="1"/>
  <c r="DF21" i="4" s="1"/>
  <c r="DF38" i="4" a="1"/>
  <c r="DF38" i="4" s="1"/>
  <c r="DF53" i="4" a="1"/>
  <c r="DF53" i="4" s="1"/>
  <c r="DF8" i="4" a="1"/>
  <c r="DF8" i="4" s="1"/>
  <c r="DF46" i="4" a="1"/>
  <c r="DF46" i="4" s="1"/>
  <c r="DF52" i="4" a="1"/>
  <c r="DF52" i="4" s="1"/>
  <c r="DF25" i="4" a="1"/>
  <c r="DF25" i="4" s="1"/>
  <c r="DF33" i="4" a="1"/>
  <c r="DF33" i="4" s="1"/>
  <c r="DF48" i="4" a="1"/>
  <c r="DF48" i="4" s="1"/>
  <c r="DF49" i="4" a="1"/>
  <c r="DF49" i="4" s="1"/>
  <c r="DF12" i="4" a="1"/>
  <c r="DF12" i="4" s="1"/>
  <c r="DF11" i="4" a="1"/>
  <c r="DF11" i="4" s="1"/>
  <c r="DF44" i="4" a="1"/>
  <c r="DF44" i="4" s="1"/>
  <c r="DF32" i="4" a="1"/>
  <c r="DF32" i="4" s="1"/>
  <c r="DF36" i="4" a="1"/>
  <c r="DF36" i="4" s="1"/>
  <c r="DF29" i="4" a="1"/>
  <c r="DF29" i="4" s="1"/>
  <c r="DF18" i="4" a="1"/>
  <c r="DF18" i="4" s="1"/>
  <c r="DF37" i="4" a="1"/>
  <c r="DF37" i="4" s="1"/>
  <c r="DF10" i="4" a="1"/>
  <c r="DF10" i="4" s="1"/>
  <c r="DF26" i="4" a="1"/>
  <c r="DF26" i="4" s="1"/>
  <c r="M660" i="15" a="1"/>
  <c r="M660" i="15" s="1"/>
  <c r="L660" i="15" a="1"/>
  <c r="L660" i="15" s="1"/>
  <c r="N660" i="15" a="1"/>
  <c r="N660" i="15" s="1"/>
  <c r="BS22" i="4"/>
  <c r="E35" i="4"/>
  <c r="BU35" i="4" s="1"/>
  <c r="A326" i="13"/>
  <c r="AX326" i="13" s="1"/>
  <c r="AX226" i="13"/>
  <c r="DG16" i="4"/>
  <c r="E93" i="15"/>
  <c r="E186" i="15"/>
  <c r="E545" i="15"/>
  <c r="E553" i="15"/>
  <c r="E301" i="15"/>
  <c r="BV4" i="69"/>
  <c r="AT4" i="69" a="1"/>
  <c r="AT4" i="69" s="1"/>
  <c r="DD69" i="4"/>
  <c r="CW69" i="4"/>
  <c r="CX69" i="4" s="1"/>
  <c r="AD69" i="4"/>
  <c r="AY69" i="4"/>
  <c r="DA69" i="4"/>
  <c r="DB69" i="4" s="1"/>
  <c r="AX1210" i="13"/>
  <c r="A1309" i="13"/>
  <c r="BB57" i="4" a="1"/>
  <c r="BB57" i="4" s="1"/>
  <c r="BC57" i="4" s="1"/>
  <c r="AV159" i="13" s="1"/>
  <c r="B57" i="4"/>
  <c r="AI57" i="4" s="1"/>
  <c r="AV1353" i="13" s="1"/>
  <c r="A157" i="13"/>
  <c r="A557" i="13"/>
  <c r="A1054" i="13"/>
  <c r="K13" i="27" s="1" a="1"/>
  <c r="K13" i="27" s="1"/>
  <c r="AX457" i="13"/>
  <c r="A856" i="13"/>
  <c r="AX856" i="13" s="1"/>
  <c r="A1153" i="13"/>
  <c r="AX557" i="13"/>
  <c r="A457" i="13"/>
  <c r="A1853" i="13"/>
  <c r="Z1853" i="13" s="1"/>
  <c r="B1853" i="13" s="1" a="1"/>
  <c r="B1853" i="13" s="1"/>
  <c r="AX657" i="13"/>
  <c r="A756" i="13"/>
  <c r="A955" i="13"/>
  <c r="AX955" i="13" s="1"/>
  <c r="AX1054" i="13"/>
  <c r="AX57" i="13"/>
  <c r="A657" i="13"/>
  <c r="J906" i="15"/>
  <c r="HY28" i="71"/>
  <c r="HV10" i="71"/>
  <c r="JU25" i="71"/>
  <c r="J96" i="69"/>
  <c r="IH27" i="71"/>
  <c r="M62" i="9"/>
  <c r="HA12" i="71"/>
  <c r="HJ30" i="71"/>
  <c r="JI17" i="71"/>
  <c r="F471" i="15" a="1"/>
  <c r="F471" i="15" s="1"/>
  <c r="E498" i="15"/>
  <c r="E655" i="15"/>
  <c r="E480" i="15"/>
  <c r="E181" i="15"/>
  <c r="E621" i="15"/>
  <c r="K620" i="15" s="1" a="1"/>
  <c r="K620" i="15" s="1"/>
  <c r="E516" i="15"/>
  <c r="E44" i="15"/>
  <c r="E509" i="15"/>
  <c r="E519" i="15"/>
  <c r="E536" i="15"/>
  <c r="E452" i="15"/>
  <c r="E577" i="15"/>
  <c r="K571" i="15" s="1" a="1"/>
  <c r="K571" i="15" s="1"/>
  <c r="E377" i="15"/>
  <c r="E615" i="15"/>
  <c r="K615" i="15" s="1" a="1"/>
  <c r="K615" i="15" s="1"/>
  <c r="E413" i="15"/>
  <c r="E241" i="15"/>
  <c r="E588" i="15"/>
  <c r="E512" i="15"/>
  <c r="E121" i="15"/>
  <c r="E477" i="15"/>
  <c r="E542" i="15"/>
  <c r="E210" i="15"/>
  <c r="E492" i="15"/>
  <c r="E675" i="15"/>
  <c r="E269" i="15"/>
  <c r="E596" i="15"/>
  <c r="E504" i="15"/>
  <c r="E451" i="15"/>
  <c r="E662" i="15"/>
  <c r="E438" i="15"/>
  <c r="E681" i="15"/>
  <c r="E148" i="15"/>
  <c r="E677" i="15"/>
  <c r="E167" i="15"/>
  <c r="E421" i="15"/>
  <c r="E414" i="15"/>
  <c r="E228" i="15"/>
  <c r="CI4" i="72"/>
  <c r="BC4" i="72" a="1"/>
  <c r="BC4" i="72" s="1"/>
  <c r="Z1854" i="13"/>
  <c r="B1854" i="13" s="1" a="1"/>
  <c r="B1854" i="13" s="1"/>
  <c r="A1301" i="13"/>
  <c r="AX1202" i="13"/>
  <c r="GU25" i="71"/>
  <c r="J739" i="15"/>
  <c r="FZ14" i="71"/>
  <c r="BK95" i="72"/>
  <c r="E741" i="15"/>
  <c r="IN24" i="71"/>
  <c r="J726" i="15"/>
  <c r="J790" i="15"/>
  <c r="HD18" i="71"/>
  <c r="HY35" i="71"/>
  <c r="JL26" i="71"/>
  <c r="J771" i="15"/>
  <c r="X51" i="4"/>
  <c r="AV780" i="13"/>
  <c r="S81" i="4" s="1"/>
  <c r="E14" i="4"/>
  <c r="M74" i="9"/>
  <c r="E833" i="15"/>
  <c r="BL96" i="72"/>
  <c r="BM96" i="72" s="1"/>
  <c r="J816" i="15"/>
  <c r="M95" i="9"/>
  <c r="GC23" i="71"/>
  <c r="M36" i="9"/>
  <c r="P36" i="9" s="1"/>
  <c r="GX35" i="71"/>
  <c r="N10" i="9"/>
  <c r="P10" i="9" s="1"/>
  <c r="AT58" i="4"/>
  <c r="AV660" i="13" s="1"/>
  <c r="A1360" i="13"/>
  <c r="AX1261" i="13"/>
  <c r="J493" i="15"/>
  <c r="N488" i="15" s="1" a="1"/>
  <c r="N488" i="15" s="1"/>
  <c r="E265" i="15"/>
  <c r="I12" i="15" a="1"/>
  <c r="I12" i="15" s="1"/>
  <c r="E763" i="15"/>
  <c r="IL38" i="71"/>
  <c r="JD38" i="71"/>
  <c r="IB5" i="71"/>
  <c r="FN8" i="71"/>
  <c r="J514" i="15"/>
  <c r="N512" i="15" s="1" a="1"/>
  <c r="N512" i="15" s="1"/>
  <c r="E75" i="15"/>
  <c r="HG31" i="71"/>
  <c r="H15" i="7" a="1"/>
  <c r="H15" i="7" s="1"/>
  <c r="AX261" i="13"/>
  <c r="A361" i="13"/>
  <c r="AX361" i="13" s="1"/>
  <c r="AV1306" i="13"/>
  <c r="G10" i="69"/>
  <c r="G10" i="72"/>
  <c r="E690" i="15"/>
  <c r="B69" i="4"/>
  <c r="AQ69" i="4" s="1"/>
  <c r="AV371" i="13" s="1"/>
  <c r="BB69" i="4" a="1"/>
  <c r="BB69" i="4" s="1"/>
  <c r="BC69" i="4" s="1"/>
  <c r="AV171" i="13" s="1"/>
  <c r="AX1228" i="13"/>
  <c r="A1327" i="13"/>
  <c r="HG14" i="71"/>
  <c r="FQ13" i="71"/>
  <c r="N573" i="15" a="1"/>
  <c r="N573" i="15" s="1"/>
  <c r="J760" i="15"/>
  <c r="M60" i="9"/>
  <c r="IK28" i="71"/>
  <c r="E637" i="15"/>
  <c r="E775" i="15"/>
  <c r="HP10" i="71"/>
  <c r="J923" i="15"/>
  <c r="E930" i="15"/>
  <c r="BT10" i="69"/>
  <c r="H12" i="7" a="1"/>
  <c r="H12" i="7" s="1"/>
  <c r="E706" i="15"/>
  <c r="DG32" i="4"/>
  <c r="CW92" i="4"/>
  <c r="CX92" i="4" s="1"/>
  <c r="AY92" i="4"/>
  <c r="DD92" i="4"/>
  <c r="AD92" i="4"/>
  <c r="AX272" i="13"/>
  <c r="A372" i="13"/>
  <c r="AX372" i="13" s="1"/>
  <c r="AY773" i="13"/>
  <c r="KB38" i="71"/>
  <c r="J830" i="15"/>
  <c r="J781" i="15"/>
  <c r="BB96" i="72"/>
  <c r="W95" i="72"/>
  <c r="E777" i="15"/>
  <c r="IW5" i="71"/>
  <c r="HJ21" i="71"/>
  <c r="E582" i="15"/>
  <c r="F581" i="15" s="1" a="1"/>
  <c r="F581" i="15" s="1"/>
  <c r="IB24" i="71"/>
  <c r="N66" i="9"/>
  <c r="P66" i="9" s="1"/>
  <c r="M67" i="9"/>
  <c r="FE11" i="71"/>
  <c r="A331" i="13"/>
  <c r="AX331" i="13" s="1"/>
  <c r="AX231" i="13"/>
  <c r="E626" i="15"/>
  <c r="C60" i="1"/>
  <c r="W96" i="22"/>
  <c r="Y96" i="22" s="1"/>
  <c r="I10" i="15" a="1"/>
  <c r="I10" i="15" s="1"/>
  <c r="E591" i="15"/>
  <c r="E650" i="15"/>
  <c r="E671" i="15"/>
  <c r="J789" i="15"/>
  <c r="EJ34" i="71"/>
  <c r="J741" i="15"/>
  <c r="M98" i="9"/>
  <c r="P98" i="9" s="1"/>
  <c r="E493" i="15"/>
  <c r="E705" i="15"/>
  <c r="E275" i="15"/>
  <c r="F268" i="15" s="1" a="1"/>
  <c r="F268" i="15" s="1"/>
  <c r="IQ4" i="71"/>
  <c r="JS38" i="71"/>
  <c r="FN36" i="71"/>
  <c r="A347" i="13"/>
  <c r="AX347" i="13" s="1"/>
  <c r="AX247" i="13"/>
  <c r="AY791" i="13"/>
  <c r="CY22" i="4"/>
  <c r="CZ22" i="4" s="1"/>
  <c r="AX1281" i="13"/>
  <c r="A1380" i="13"/>
  <c r="Z1868" i="13"/>
  <c r="B1868" i="13" s="1" a="1"/>
  <c r="B1868" i="13" s="1"/>
  <c r="AX256" i="13"/>
  <c r="A356" i="13"/>
  <c r="AX356" i="13" s="1"/>
  <c r="BU40" i="4"/>
  <c r="M23" i="9"/>
  <c r="FK25" i="71"/>
  <c r="E734" i="15"/>
  <c r="FI38" i="71"/>
  <c r="HD17" i="71"/>
  <c r="E893" i="15"/>
  <c r="FZ9" i="71"/>
  <c r="IB30" i="71"/>
  <c r="HD35" i="71"/>
  <c r="GC24" i="71"/>
  <c r="FH5" i="71"/>
  <c r="E694" i="15"/>
  <c r="J869" i="15"/>
  <c r="E728" i="15"/>
  <c r="IQ17" i="71"/>
  <c r="IH7" i="71"/>
  <c r="E342" i="15"/>
  <c r="E751" i="15"/>
  <c r="HD11" i="71"/>
  <c r="JL14" i="71"/>
  <c r="E497" i="15"/>
  <c r="N60" i="9"/>
  <c r="J855" i="15"/>
  <c r="E687" i="15"/>
  <c r="K654" i="15" a="1"/>
  <c r="K654" i="15" s="1"/>
  <c r="L654" i="15" a="1"/>
  <c r="L654" i="15" s="1"/>
  <c r="M654" i="15" a="1"/>
  <c r="M654" i="15" s="1"/>
  <c r="N654" i="15" a="1"/>
  <c r="N654" i="15" s="1"/>
  <c r="IN33" i="71"/>
  <c r="E745" i="15"/>
  <c r="JC28" i="71"/>
  <c r="FH9" i="71"/>
  <c r="E742" i="15"/>
  <c r="E776" i="15"/>
  <c r="JI18" i="71"/>
  <c r="E928" i="15"/>
  <c r="E967" i="15"/>
  <c r="IN34" i="71"/>
  <c r="HD29" i="71"/>
  <c r="IW18" i="71"/>
  <c r="J523" i="15"/>
  <c r="M519" i="15" s="1" a="1"/>
  <c r="M519" i="15" s="1"/>
  <c r="JL12" i="71"/>
  <c r="IZ24" i="71"/>
  <c r="FZ23" i="71"/>
  <c r="HV11" i="71"/>
  <c r="JX5" i="71"/>
  <c r="FH33" i="71"/>
  <c r="GI34" i="71"/>
  <c r="GR10" i="71"/>
  <c r="J637" i="15"/>
  <c r="N632" i="15" s="1" a="1"/>
  <c r="N632" i="15" s="1"/>
  <c r="IE16" i="71"/>
  <c r="E533" i="15"/>
  <c r="E905" i="15"/>
  <c r="L620" i="15" a="1"/>
  <c r="L620" i="15" s="1"/>
  <c r="M620" i="15" a="1"/>
  <c r="M620" i="15" s="1"/>
  <c r="J766" i="15"/>
  <c r="JF22" i="71"/>
  <c r="FQ9" i="71"/>
  <c r="N41" i="9"/>
  <c r="P41" i="9" s="1"/>
  <c r="IT33" i="71"/>
  <c r="HB38" i="71"/>
  <c r="GC17" i="71"/>
  <c r="M54" i="9"/>
  <c r="HA27" i="71"/>
  <c r="FK33" i="71"/>
  <c r="IN23" i="71"/>
  <c r="JL7" i="71"/>
  <c r="GR12" i="71"/>
  <c r="FQ18" i="71"/>
  <c r="E292" i="15"/>
  <c r="M61" i="9"/>
  <c r="HG28" i="71"/>
  <c r="IW29" i="71"/>
  <c r="J919" i="15"/>
  <c r="IQ24" i="71"/>
  <c r="J754" i="15"/>
  <c r="FQ33" i="71"/>
  <c r="E891" i="15"/>
  <c r="J501" i="15"/>
  <c r="K498" i="15" s="1" a="1"/>
  <c r="K498" i="15" s="1"/>
  <c r="IK11" i="71"/>
  <c r="IK14" i="71"/>
  <c r="GC26" i="71"/>
  <c r="E101" i="15"/>
  <c r="J795" i="15"/>
  <c r="E773" i="15"/>
  <c r="IH6" i="71"/>
  <c r="E818" i="15"/>
  <c r="N94" i="9"/>
  <c r="P94" i="9" s="1"/>
  <c r="E503" i="15"/>
  <c r="Z1859" i="13"/>
  <c r="B1859" i="13" s="1" a="1"/>
  <c r="B1859" i="13" s="1"/>
  <c r="IN29" i="71"/>
  <c r="JI7" i="71"/>
  <c r="E360" i="15"/>
  <c r="E205" i="15"/>
  <c r="HG6" i="71"/>
  <c r="HM11" i="71"/>
  <c r="E412" i="15"/>
  <c r="FZ7" i="71"/>
  <c r="GI23" i="71"/>
  <c r="E924" i="15"/>
  <c r="GU7" i="71"/>
  <c r="E704" i="15"/>
  <c r="AT94" i="4"/>
  <c r="AV696" i="13" s="1"/>
  <c r="AX285" i="13"/>
  <c r="A385" i="13"/>
  <c r="AX385" i="13" s="1"/>
  <c r="AT95" i="4"/>
  <c r="J94" i="69" s="1"/>
  <c r="W97" i="22"/>
  <c r="Y97" i="22" s="1"/>
  <c r="E25" i="4"/>
  <c r="BU25" i="4" s="1"/>
  <c r="BE54" i="4"/>
  <c r="AM61" i="4"/>
  <c r="I61" i="69" s="1"/>
  <c r="AE36" i="4"/>
  <c r="F36" i="69" s="1"/>
  <c r="AE27" i="4"/>
  <c r="F27" i="69" s="1"/>
  <c r="Z36" i="4"/>
  <c r="AV1233" i="13" s="1"/>
  <c r="AE17" i="4"/>
  <c r="F17" i="69" s="1"/>
  <c r="AI50" i="4"/>
  <c r="AV1346" i="13" s="1"/>
  <c r="AM41" i="4"/>
  <c r="I41" i="69" s="1"/>
  <c r="AM63" i="4"/>
  <c r="I63" i="72" s="1"/>
  <c r="AI5" i="4"/>
  <c r="AM15" i="4"/>
  <c r="I15" i="69" s="1"/>
  <c r="AI63" i="4"/>
  <c r="AV1359" i="13" s="1"/>
  <c r="Z33" i="4"/>
  <c r="AI36" i="4"/>
  <c r="AV1332" i="13" s="1"/>
  <c r="AM82" i="4"/>
  <c r="I82" i="72" s="1"/>
  <c r="AM11" i="4"/>
  <c r="I11" i="72" s="1"/>
  <c r="AE70" i="4"/>
  <c r="F70" i="69" s="1"/>
  <c r="AM13" i="4"/>
  <c r="I13" i="69" s="1"/>
  <c r="AM45" i="4"/>
  <c r="I45" i="72" s="1"/>
  <c r="Z22" i="4"/>
  <c r="AV1219" i="13" s="1"/>
  <c r="AI79" i="4"/>
  <c r="AV1375" i="13" s="1"/>
  <c r="AM66" i="4"/>
  <c r="I66" i="72" s="1"/>
  <c r="AM47" i="4"/>
  <c r="I47" i="72" s="1"/>
  <c r="V5" i="72"/>
  <c r="X5" i="69"/>
  <c r="B101" i="1"/>
  <c r="Z39" i="4"/>
  <c r="AV1236" i="13" s="1"/>
  <c r="AI30" i="4"/>
  <c r="AV1326" i="13" s="1"/>
  <c r="Z11" i="4"/>
  <c r="AV1208" i="13" s="1"/>
  <c r="V30" i="72"/>
  <c r="X30" i="69"/>
  <c r="V15" i="72"/>
  <c r="X15" i="69"/>
  <c r="X14" i="69"/>
  <c r="V14" i="72"/>
  <c r="V65" i="72"/>
  <c r="X65" i="69"/>
  <c r="V89" i="72"/>
  <c r="X89" i="69"/>
  <c r="X44" i="69"/>
  <c r="V44" i="72"/>
  <c r="BG3" i="4"/>
  <c r="X78" i="69"/>
  <c r="V78" i="72"/>
  <c r="B83" i="4"/>
  <c r="AE83" i="4" s="1"/>
  <c r="BB83" i="4" a="1"/>
  <c r="BB83" i="4" s="1"/>
  <c r="BC83" i="4" s="1"/>
  <c r="AV185" i="13" s="1"/>
  <c r="BN9" i="4"/>
  <c r="BF9" i="4" s="1" a="1"/>
  <c r="BF9" i="4" s="1"/>
  <c r="BI9" i="69"/>
  <c r="BR9" i="72"/>
  <c r="DG35" i="4"/>
  <c r="K669" i="15" a="1"/>
  <c r="K669" i="15" s="1"/>
  <c r="M669" i="15" a="1"/>
  <c r="M669" i="15" s="1"/>
  <c r="N669" i="15" a="1"/>
  <c r="N669" i="15" s="1"/>
  <c r="E697" i="15"/>
  <c r="GR28" i="71"/>
  <c r="J694" i="15"/>
  <c r="F10" i="69"/>
  <c r="F10" i="72"/>
  <c r="BU30" i="4"/>
  <c r="AM4" i="72"/>
  <c r="AV4" i="72" a="1"/>
  <c r="AV4" i="72" s="1"/>
  <c r="CB4" i="72"/>
  <c r="AP4" i="72"/>
  <c r="BZ4" i="72" a="1"/>
  <c r="BZ4" i="72" s="1"/>
  <c r="CE4" i="72" a="1"/>
  <c r="CE4" i="72" s="1"/>
  <c r="CC4" i="72"/>
  <c r="AI4" i="72" s="1"/>
  <c r="CD4" i="72"/>
  <c r="BB91" i="4" a="1"/>
  <c r="BB91" i="4" s="1"/>
  <c r="BC91" i="4" s="1"/>
  <c r="AV193" i="13" s="1"/>
  <c r="B91" i="4"/>
  <c r="Z91" i="4" s="1"/>
  <c r="AV1288" i="13" s="1"/>
  <c r="FN29" i="71"/>
  <c r="FT14" i="71"/>
  <c r="W76" i="22"/>
  <c r="Y76" i="22" s="1"/>
  <c r="E826" i="15"/>
  <c r="IZ23" i="71"/>
  <c r="E860" i="15"/>
  <c r="GF36" i="71"/>
  <c r="FW31" i="71"/>
  <c r="E73" i="15"/>
  <c r="E692" i="15"/>
  <c r="E960" i="15"/>
  <c r="GI33" i="71"/>
  <c r="IE13" i="71"/>
  <c r="E820" i="15"/>
  <c r="E279" i="15"/>
  <c r="GI22" i="71"/>
  <c r="IK23" i="71"/>
  <c r="E797" i="15"/>
  <c r="E816" i="15"/>
  <c r="AX291" i="13"/>
  <c r="A391" i="13"/>
  <c r="AX391" i="13" s="1"/>
  <c r="AY793" i="13"/>
  <c r="A1339" i="13"/>
  <c r="AX1240" i="13"/>
  <c r="DG44" i="4"/>
  <c r="F8" i="15"/>
  <c r="E501" i="15"/>
  <c r="E925" i="15"/>
  <c r="JL25" i="71"/>
  <c r="IW24" i="71"/>
  <c r="M19" i="9"/>
  <c r="N67" i="9"/>
  <c r="P67" i="9" s="1"/>
  <c r="E735" i="15"/>
  <c r="N70" i="9"/>
  <c r="J897" i="15"/>
  <c r="IK35" i="71"/>
  <c r="V51" i="22"/>
  <c r="AY769" i="13"/>
  <c r="B92" i="4"/>
  <c r="AQ92" i="4" s="1"/>
  <c r="AV394" i="13" s="1"/>
  <c r="BB92" i="4" a="1"/>
  <c r="BB92" i="4" s="1"/>
  <c r="BC92" i="4" s="1"/>
  <c r="AV194" i="13" s="1"/>
  <c r="BB65" i="4" a="1"/>
  <c r="BB65" i="4" s="1"/>
  <c r="BC65" i="4" s="1"/>
  <c r="AV167" i="13" s="1"/>
  <c r="B65" i="4"/>
  <c r="DA91" i="4"/>
  <c r="DB91" i="4" s="1"/>
  <c r="DD91" i="4"/>
  <c r="CW91" i="4"/>
  <c r="CX91" i="4" s="1"/>
  <c r="AY91" i="4"/>
  <c r="AD91" i="4"/>
  <c r="DC91" i="4" a="1"/>
  <c r="DC91" i="4" s="1"/>
  <c r="E698" i="15"/>
  <c r="HJ28" i="71"/>
  <c r="E842" i="15"/>
  <c r="HS21" i="71"/>
  <c r="FN25" i="71"/>
  <c r="E854" i="15"/>
  <c r="HY11" i="71"/>
  <c r="GU28" i="71"/>
  <c r="AX217" i="13"/>
  <c r="A317" i="13"/>
  <c r="AX317" i="13" s="1"/>
  <c r="AV773" i="13"/>
  <c r="GR20" i="71"/>
  <c r="E443" i="15"/>
  <c r="E259" i="15"/>
  <c r="J940" i="15"/>
  <c r="JL11" i="71"/>
  <c r="E976" i="15"/>
  <c r="J560" i="15"/>
  <c r="AO127" i="72"/>
  <c r="AQ94" i="72"/>
  <c r="E998" i="15"/>
  <c r="HP22" i="71"/>
  <c r="FK30" i="71"/>
  <c r="AX1215" i="13"/>
  <c r="A1314" i="13"/>
  <c r="CW96" i="4"/>
  <c r="CX96" i="4" s="1"/>
  <c r="AY96" i="4"/>
  <c r="DD96" i="4"/>
  <c r="AR96" i="69" s="1"/>
  <c r="CY96" i="4"/>
  <c r="CZ96" i="4" s="1"/>
  <c r="DC96" i="4" a="1"/>
  <c r="DC96" i="4" s="1"/>
  <c r="AD96" i="4"/>
  <c r="AI96" i="4"/>
  <c r="AQ96" i="4"/>
  <c r="AM96" i="4"/>
  <c r="I96" i="72" s="1"/>
  <c r="F96" i="4"/>
  <c r="Z96" i="4"/>
  <c r="AE96" i="4"/>
  <c r="F96" i="72" s="1"/>
  <c r="AX287" i="13"/>
  <c r="A387" i="13"/>
  <c r="AX387" i="13" s="1"/>
  <c r="AT64" i="4"/>
  <c r="AV666" i="13" s="1"/>
  <c r="H71" i="9"/>
  <c r="HS33" i="71"/>
  <c r="HA16" i="71"/>
  <c r="AC95" i="72"/>
  <c r="IN9" i="71"/>
  <c r="GF6" i="71"/>
  <c r="E352" i="15"/>
  <c r="J474" i="15"/>
  <c r="J845" i="15"/>
  <c r="AF94" i="72" a="1"/>
  <c r="AF94" i="72" s="1"/>
  <c r="IN4" i="71"/>
  <c r="J910" i="15"/>
  <c r="HK38" i="71"/>
  <c r="IB27" i="71"/>
  <c r="AX1213" i="13"/>
  <c r="A1312" i="13"/>
  <c r="E26" i="4"/>
  <c r="BU26" i="4" s="1"/>
  <c r="I52" i="27"/>
  <c r="I62" i="27" s="1"/>
  <c r="I19" i="27" s="1"/>
  <c r="G57" i="27"/>
  <c r="G32" i="27"/>
  <c r="H53" i="27"/>
  <c r="H60" i="27"/>
  <c r="H40" i="27"/>
  <c r="G30" i="27"/>
  <c r="G43" i="27"/>
  <c r="F16" i="27" a="1"/>
  <c r="F16" i="27" s="1"/>
  <c r="G53" i="27"/>
  <c r="H52" i="27"/>
  <c r="H49" i="27"/>
  <c r="H48" i="27"/>
  <c r="H28" i="27"/>
  <c r="G26" i="27"/>
  <c r="G39" i="27"/>
  <c r="G49" i="27"/>
  <c r="H44" i="27"/>
  <c r="H45" i="27"/>
  <c r="H36" i="27"/>
  <c r="G47" i="27"/>
  <c r="H58" i="27"/>
  <c r="G31" i="27"/>
  <c r="G45" i="27"/>
  <c r="H32" i="27"/>
  <c r="H41" i="27"/>
  <c r="H24" i="27"/>
  <c r="H51" i="27"/>
  <c r="H54" i="27"/>
  <c r="G41" i="27"/>
  <c r="G55" i="27"/>
  <c r="H37" i="27"/>
  <c r="G51" i="27"/>
  <c r="H27" i="27"/>
  <c r="H50" i="27"/>
  <c r="G37" i="27"/>
  <c r="G35" i="27"/>
  <c r="H33" i="27"/>
  <c r="H59" i="27"/>
  <c r="G58" i="27"/>
  <c r="H46" i="27"/>
  <c r="G33" i="27"/>
  <c r="G27" i="27"/>
  <c r="H29" i="27"/>
  <c r="H47" i="27"/>
  <c r="G54" i="27"/>
  <c r="H42" i="27"/>
  <c r="G22" i="27"/>
  <c r="G29" i="27"/>
  <c r="H55" i="27"/>
  <c r="H25" i="27"/>
  <c r="H43" i="27"/>
  <c r="G50" i="27"/>
  <c r="H38" i="27"/>
  <c r="H22" i="27"/>
  <c r="H21" i="27"/>
  <c r="G25" i="27"/>
  <c r="H39" i="27"/>
  <c r="G56" i="27"/>
  <c r="H35" i="27"/>
  <c r="G46" i="27"/>
  <c r="H34" i="27"/>
  <c r="G23" i="27"/>
  <c r="G60" i="27"/>
  <c r="H31" i="27"/>
  <c r="G40" i="27"/>
  <c r="G52" i="27"/>
  <c r="G42" i="27"/>
  <c r="H30" i="27"/>
  <c r="H23" i="27"/>
  <c r="H15" i="27"/>
  <c r="I15" i="27" s="1"/>
  <c r="G48" i="27"/>
  <c r="H61" i="27"/>
  <c r="G36" i="27"/>
  <c r="G24" i="27"/>
  <c r="G38" i="27"/>
  <c r="H26" i="27"/>
  <c r="G61" i="27"/>
  <c r="G44" i="27"/>
  <c r="H57" i="27"/>
  <c r="G28" i="27"/>
  <c r="H56" i="27"/>
  <c r="G34" i="27"/>
  <c r="G59" i="27"/>
  <c r="F15" i="27" a="1"/>
  <c r="F15" i="27" s="1"/>
  <c r="F19" i="27" a="1"/>
  <c r="F19" i="27" s="1"/>
  <c r="G21" i="27"/>
  <c r="J887" i="15"/>
  <c r="H14" i="7" a="1"/>
  <c r="H14" i="7" s="1"/>
  <c r="J936" i="15"/>
  <c r="M43" i="9"/>
  <c r="IW22" i="71"/>
  <c r="IT21" i="71"/>
  <c r="E834" i="15"/>
  <c r="E385" i="15"/>
  <c r="E416" i="15"/>
  <c r="J595" i="15"/>
  <c r="N594" i="15" s="1" a="1"/>
  <c r="N594" i="15" s="1"/>
  <c r="F646" i="15" a="1"/>
  <c r="F646" i="15" s="1"/>
  <c r="E625" i="15"/>
  <c r="J722" i="15"/>
  <c r="E266" i="15"/>
  <c r="FW4" i="71"/>
  <c r="K632" i="15" a="1"/>
  <c r="K632" i="15" s="1"/>
  <c r="E116" i="15"/>
  <c r="GC18" i="71"/>
  <c r="IZ6" i="71"/>
  <c r="J733" i="15"/>
  <c r="GC15" i="71"/>
  <c r="E935" i="15"/>
  <c r="FT28" i="71"/>
  <c r="FZ26" i="71"/>
  <c r="HM34" i="71"/>
  <c r="M85" i="9"/>
  <c r="P85" i="9" s="1"/>
  <c r="HY32" i="71"/>
  <c r="E652" i="15"/>
  <c r="IN21" i="71"/>
  <c r="FE9" i="71"/>
  <c r="E946" i="15"/>
  <c r="JF24" i="71"/>
  <c r="IQ28" i="71"/>
  <c r="E856" i="15"/>
  <c r="J708" i="15"/>
  <c r="IE12" i="71"/>
  <c r="E748" i="15"/>
  <c r="E263" i="15"/>
  <c r="E916" i="15"/>
  <c r="J938" i="15"/>
  <c r="HD21" i="71"/>
  <c r="E731" i="15"/>
  <c r="J807" i="15"/>
  <c r="EJ29" i="71"/>
  <c r="HV30" i="71"/>
  <c r="N13" i="9"/>
  <c r="J844" i="15"/>
  <c r="J718" i="15"/>
  <c r="GJ38" i="71"/>
  <c r="E601" i="15"/>
  <c r="GR7" i="71"/>
  <c r="J998" i="15"/>
  <c r="E140" i="15"/>
  <c r="GX34" i="71"/>
  <c r="N56" i="9"/>
  <c r="P56" i="9" s="1"/>
  <c r="HP6" i="71"/>
  <c r="J914" i="15"/>
  <c r="IK17" i="71"/>
  <c r="HA17" i="71"/>
  <c r="GD38" i="71"/>
  <c r="IH10" i="71"/>
  <c r="E844" i="15"/>
  <c r="GX31" i="71"/>
  <c r="HS36" i="71"/>
  <c r="HS23" i="71"/>
  <c r="JI12" i="71"/>
  <c r="J711" i="15"/>
  <c r="M68" i="9"/>
  <c r="GX11" i="71"/>
  <c r="JC18" i="71"/>
  <c r="E141" i="15"/>
  <c r="GL12" i="71"/>
  <c r="E784" i="15"/>
  <c r="J866" i="15"/>
  <c r="HG33" i="71"/>
  <c r="FK12" i="71"/>
  <c r="IW14" i="71"/>
  <c r="E214" i="15"/>
  <c r="HD5" i="71"/>
  <c r="E362" i="15"/>
  <c r="E971" i="15"/>
  <c r="E281" i="15"/>
  <c r="H18" i="7" a="1"/>
  <c r="H18" i="7" s="1"/>
  <c r="E815" i="15"/>
  <c r="M30" i="9"/>
  <c r="N574" i="15" a="1"/>
  <c r="N574" i="15" s="1"/>
  <c r="K674" i="15" a="1"/>
  <c r="K674" i="15" s="1"/>
  <c r="M674" i="15" a="1"/>
  <c r="M674" i="15" s="1"/>
  <c r="N674" i="15" a="1"/>
  <c r="N674" i="15" s="1"/>
  <c r="L674" i="15" a="1"/>
  <c r="L674" i="15" s="1"/>
  <c r="FK24" i="71"/>
  <c r="GU27" i="71"/>
  <c r="HY29" i="71"/>
  <c r="E814" i="15"/>
  <c r="E160" i="15"/>
  <c r="GI27" i="71"/>
  <c r="JL10" i="71"/>
  <c r="BJ31" i="71"/>
  <c r="AD23" i="4"/>
  <c r="AY23" i="4"/>
  <c r="CW23" i="4"/>
  <c r="CX23" i="4" s="1"/>
  <c r="BB74" i="4" a="1"/>
  <c r="BB74" i="4" s="1"/>
  <c r="BC74" i="4" s="1"/>
  <c r="AV176" i="13" s="1"/>
  <c r="B74" i="4"/>
  <c r="CY74" i="4" s="1"/>
  <c r="CZ74" i="4" s="1"/>
  <c r="E489" i="15"/>
  <c r="I15" i="15" a="1"/>
  <c r="I15" i="15" s="1"/>
  <c r="N46" i="9"/>
  <c r="P46" i="9" s="1"/>
  <c r="JX15" i="71"/>
  <c r="N17" i="9"/>
  <c r="M50" i="9"/>
  <c r="JI10" i="71"/>
  <c r="JX35" i="71"/>
  <c r="E835" i="15"/>
  <c r="J543" i="15"/>
  <c r="M536" i="15" s="1" a="1"/>
  <c r="M536" i="15" s="1"/>
  <c r="Q95" i="72"/>
  <c r="AF95" i="72" s="1" a="1"/>
  <c r="AF95" i="72" s="1"/>
  <c r="FH7" i="71"/>
  <c r="E525" i="15"/>
  <c r="BT194" i="4"/>
  <c r="DD65" i="4"/>
  <c r="CW65" i="4"/>
  <c r="CX65" i="4" s="1"/>
  <c r="AD65" i="4"/>
  <c r="AY65" i="4"/>
  <c r="DA65" i="4"/>
  <c r="DB65" i="4" s="1"/>
  <c r="DG54" i="4"/>
  <c r="Z27" i="4"/>
  <c r="AV1224" i="13" s="1"/>
  <c r="AM30" i="4"/>
  <c r="I30" i="69" s="1"/>
  <c r="AI13" i="4"/>
  <c r="AV1309" i="13" s="1"/>
  <c r="AE86" i="4"/>
  <c r="F86" i="69" s="1"/>
  <c r="AM69" i="4"/>
  <c r="I69" i="72" s="1"/>
  <c r="Z45" i="4"/>
  <c r="AV1242" i="13" s="1"/>
  <c r="AM85" i="4"/>
  <c r="I85" i="72" s="1"/>
  <c r="AI82" i="4"/>
  <c r="AV1378" i="13" s="1"/>
  <c r="Z80" i="4"/>
  <c r="AV1277" i="13" s="1"/>
  <c r="AE49" i="4"/>
  <c r="F49" i="69" s="1"/>
  <c r="Z54" i="4"/>
  <c r="AV1251" i="13" s="1"/>
  <c r="AE57" i="4"/>
  <c r="F57" i="69" s="1"/>
  <c r="AI47" i="4"/>
  <c r="AV1343" i="13" s="1"/>
  <c r="AI7" i="4"/>
  <c r="AV1303" i="13" s="1"/>
  <c r="AM26" i="4"/>
  <c r="I26" i="72" s="1"/>
  <c r="AM27" i="4"/>
  <c r="I27" i="72" s="1"/>
  <c r="AE45" i="4"/>
  <c r="F45" i="69" s="1"/>
  <c r="Z88" i="4"/>
  <c r="AV1285" i="13" s="1"/>
  <c r="Z57" i="4"/>
  <c r="AV1254" i="13" s="1"/>
  <c r="AM40" i="4"/>
  <c r="I40" i="72" s="1"/>
  <c r="AM93" i="4"/>
  <c r="I93" i="72" s="1"/>
  <c r="AI59" i="4"/>
  <c r="AV1355" i="13" s="1"/>
  <c r="AE21" i="4"/>
  <c r="F21" i="69" s="1"/>
  <c r="Z73" i="4"/>
  <c r="AV1270" i="13" s="1"/>
  <c r="I14" i="69"/>
  <c r="BG9" i="4"/>
  <c r="V87" i="72"/>
  <c r="X87" i="69"/>
  <c r="V20" i="72"/>
  <c r="X20" i="69"/>
  <c r="X25" i="69"/>
  <c r="V25" i="72"/>
  <c r="V21" i="72"/>
  <c r="X21" i="69"/>
  <c r="V38" i="72"/>
  <c r="X38" i="69"/>
  <c r="X6" i="69"/>
  <c r="V6" i="72"/>
  <c r="BJ73" i="4" a="1"/>
  <c r="BL73" i="4" a="1"/>
  <c r="BK73" i="4" a="1"/>
  <c r="DH73" i="4" a="1"/>
  <c r="BK68" i="4" a="1"/>
  <c r="BJ68" i="4" a="1"/>
  <c r="BL68" i="4" a="1"/>
  <c r="DH68" i="4" a="1"/>
  <c r="BJ77" i="4" a="1"/>
  <c r="BK77" i="4" a="1"/>
  <c r="DH77" i="4" a="1"/>
  <c r="BL77" i="4" a="1"/>
  <c r="BL63" i="4" a="1"/>
  <c r="BJ63" i="4" a="1"/>
  <c r="BK63" i="4" a="1"/>
  <c r="DH63" i="4" a="1"/>
  <c r="BJ94" i="4" a="1"/>
  <c r="BK94" i="4" a="1"/>
  <c r="DH94" i="4" a="1"/>
  <c r="BL94" i="4" a="1"/>
  <c r="BK57" i="4" a="1"/>
  <c r="BL57" i="4" a="1"/>
  <c r="BJ57" i="4" a="1"/>
  <c r="DH57" i="4" a="1"/>
  <c r="DH78" i="4" a="1"/>
  <c r="BK78" i="4" a="1"/>
  <c r="BL78" i="4" a="1"/>
  <c r="BJ78" i="4" a="1"/>
  <c r="BL60" i="4" a="1"/>
  <c r="DH60" i="4" a="1"/>
  <c r="BK60" i="4" a="1"/>
  <c r="BJ60" i="4" a="1"/>
  <c r="BL92" i="4" a="1"/>
  <c r="DH92" i="4" a="1"/>
  <c r="BJ92" i="4" a="1"/>
  <c r="BK92" i="4" a="1"/>
  <c r="BJ88" i="4" a="1"/>
  <c r="BK88" i="4" a="1"/>
  <c r="DH88" i="4" a="1"/>
  <c r="BL88" i="4" a="1"/>
  <c r="BK70" i="4" a="1"/>
  <c r="DH70" i="4" a="1"/>
  <c r="BL70" i="4" a="1"/>
  <c r="BJ70" i="4" a="1"/>
  <c r="DH91" i="4" a="1"/>
  <c r="BK91" i="4" a="1"/>
  <c r="BJ91" i="4" a="1"/>
  <c r="BL91" i="4" a="1"/>
  <c r="AG55" i="4" a="1"/>
  <c r="AH55" i="4" a="1"/>
  <c r="BK69" i="4" a="1"/>
  <c r="BL69" i="4" a="1"/>
  <c r="BJ69" i="4" a="1"/>
  <c r="DH69" i="4" a="1"/>
  <c r="BK74" i="4" a="1"/>
  <c r="BJ74" i="4" a="1"/>
  <c r="DH74" i="4" a="1"/>
  <c r="BL74" i="4" a="1"/>
  <c r="AJ55" i="4" a="1"/>
  <c r="AK55" i="4" a="1"/>
  <c r="BJ79" i="4" a="1"/>
  <c r="BK79" i="4" a="1"/>
  <c r="BL79" i="4" a="1"/>
  <c r="DH79" i="4" a="1"/>
  <c r="BJ93" i="4" a="1"/>
  <c r="BL93" i="4" a="1"/>
  <c r="DH93" i="4" a="1"/>
  <c r="BK93" i="4" a="1"/>
  <c r="BL85" i="4" a="1"/>
  <c r="BK85" i="4" a="1"/>
  <c r="DH85" i="4" a="1"/>
  <c r="BJ85" i="4" a="1"/>
  <c r="BK61" i="4" a="1"/>
  <c r="BL61" i="4" a="1"/>
  <c r="DH61" i="4" a="1"/>
  <c r="BJ61" i="4" a="1"/>
  <c r="DH58" i="4" a="1"/>
  <c r="BL58" i="4" a="1"/>
  <c r="BJ58" i="4" a="1"/>
  <c r="BK58" i="4" a="1"/>
  <c r="BJ59" i="4" a="1"/>
  <c r="BL59" i="4" a="1"/>
  <c r="DH59" i="4" a="1"/>
  <c r="BK59" i="4" a="1"/>
  <c r="AO55" i="4" a="1"/>
  <c r="AP55" i="4" a="1"/>
  <c r="BK84" i="4" a="1"/>
  <c r="BL84" i="4" a="1"/>
  <c r="DH84" i="4" a="1"/>
  <c r="BJ84" i="4" a="1"/>
  <c r="DH95" i="4" a="1"/>
  <c r="BK95" i="4" a="1"/>
  <c r="BJ95" i="4" a="1"/>
  <c r="BL95" i="4" a="1"/>
  <c r="DH89" i="4" a="1"/>
  <c r="BJ89" i="4" a="1"/>
  <c r="BK89" i="4" a="1"/>
  <c r="BL89" i="4" a="1"/>
  <c r="BK66" i="4" a="1"/>
  <c r="BJ66" i="4" a="1"/>
  <c r="DH66" i="4" a="1"/>
  <c r="BL66" i="4" a="1"/>
  <c r="BK82" i="4" a="1"/>
  <c r="BJ82" i="4" a="1"/>
  <c r="BL82" i="4" a="1"/>
  <c r="DH82" i="4" a="1"/>
  <c r="CI23" i="4" a="1"/>
  <c r="B55" i="1" a="1"/>
  <c r="BL76" i="4" a="1"/>
  <c r="BJ76" i="4" a="1"/>
  <c r="BK76" i="4" a="1"/>
  <c r="DH76" i="4" a="1"/>
  <c r="BL71" i="4" a="1"/>
  <c r="BK71" i="4" a="1"/>
  <c r="DH71" i="4" a="1"/>
  <c r="BJ71" i="4" a="1"/>
  <c r="BK83" i="4" a="1"/>
  <c r="BJ83" i="4" a="1"/>
  <c r="DH83" i="4" a="1"/>
  <c r="BL83" i="4" a="1"/>
  <c r="BK80" i="4" a="1"/>
  <c r="BJ80" i="4" a="1"/>
  <c r="BL80" i="4" a="1"/>
  <c r="DH80" i="4" a="1"/>
  <c r="DH90" i="4" a="1"/>
  <c r="BK90" i="4" a="1"/>
  <c r="BL90" i="4" a="1"/>
  <c r="BJ90" i="4" a="1"/>
  <c r="DH87" i="4" a="1"/>
  <c r="BJ87" i="4" a="1"/>
  <c r="BK87" i="4" a="1"/>
  <c r="BL87" i="4" a="1"/>
  <c r="BK72" i="4" a="1"/>
  <c r="BJ72" i="4" a="1"/>
  <c r="DH72" i="4" a="1"/>
  <c r="BL72" i="4" a="1"/>
  <c r="AB55" i="4" a="1"/>
  <c r="AA55" i="4" a="1"/>
  <c r="BL86" i="4" a="1"/>
  <c r="BK86" i="4" a="1"/>
  <c r="DH86" i="4" a="1"/>
  <c r="BJ86" i="4" a="1"/>
  <c r="BJ96" i="4" a="1"/>
  <c r="BK96" i="4" a="1"/>
  <c r="DH96" i="4" a="1"/>
  <c r="BL96" i="4" a="1"/>
  <c r="BK81" i="4" a="1"/>
  <c r="DH81" i="4" a="1"/>
  <c r="BJ81" i="4" a="1"/>
  <c r="BL81" i="4" a="1"/>
  <c r="BL65" i="4" a="1"/>
  <c r="DH65" i="4" a="1"/>
  <c r="BK65" i="4" a="1"/>
  <c r="BJ65" i="4" a="1"/>
  <c r="DH56" i="4" a="1"/>
  <c r="BK56" i="4" a="1"/>
  <c r="BJ56" i="4" a="1"/>
  <c r="BL56" i="4" a="1"/>
  <c r="BJ75" i="4" a="1"/>
  <c r="BK75" i="4" a="1"/>
  <c r="BL75" i="4" a="1"/>
  <c r="DH75" i="4" a="1"/>
  <c r="DH64" i="4" a="1"/>
  <c r="BL64" i="4" a="1"/>
  <c r="BJ64" i="4" a="1"/>
  <c r="BK64" i="4" a="1"/>
  <c r="DH62" i="4" a="1"/>
  <c r="BL62" i="4" a="1"/>
  <c r="BJ62" i="4" a="1"/>
  <c r="BK62" i="4" a="1"/>
  <c r="BL23" i="4" a="1"/>
  <c r="DH23" i="4" a="1"/>
  <c r="BJ23" i="4" a="1"/>
  <c r="BK23" i="4" a="1"/>
  <c r="BJ67" i="4" a="1"/>
  <c r="BL67" i="4" a="1"/>
  <c r="BK67" i="4" a="1"/>
  <c r="DH67" i="4" a="1"/>
  <c r="BD4" i="72" l="1" a="1"/>
  <c r="BD4" i="72" s="1"/>
  <c r="AX4" i="72" a="1"/>
  <c r="AX4" i="72" s="1"/>
  <c r="AY94" i="72" a="1"/>
  <c r="AY94" i="72" s="1"/>
  <c r="AR95" i="69"/>
  <c r="T58" i="72"/>
  <c r="CB58" i="72" s="1"/>
  <c r="M58" i="72"/>
  <c r="AJ4" i="72" a="1"/>
  <c r="AJ4" i="72" s="1"/>
  <c r="BS49" i="4"/>
  <c r="AZ4" i="72" a="1"/>
  <c r="AZ4" i="72" s="1"/>
  <c r="W92" i="22"/>
  <c r="Y92" i="22" s="1"/>
  <c r="E518" i="15"/>
  <c r="L516" i="15" s="1" a="1"/>
  <c r="L516" i="15" s="1"/>
  <c r="AI68" i="4"/>
  <c r="AV1364" i="13" s="1"/>
  <c r="JC37" i="71"/>
  <c r="BE42" i="4"/>
  <c r="P26" i="9"/>
  <c r="GX37" i="71"/>
  <c r="E146" i="15"/>
  <c r="A101" i="9" a="1"/>
  <c r="A101" i="9" s="1"/>
  <c r="BE38" i="4"/>
  <c r="BE11" i="4"/>
  <c r="DC88" i="4" a="1"/>
  <c r="DC88" i="4" s="1"/>
  <c r="DC23" i="4" a="1"/>
  <c r="DC23" i="4" s="1"/>
  <c r="M516" i="15" a="1"/>
  <c r="M516" i="15" s="1"/>
  <c r="BE36" i="4"/>
  <c r="N690" i="15" a="1"/>
  <c r="N690" i="15" s="1"/>
  <c r="I701" i="15" a="1"/>
  <c r="I701" i="15" s="1"/>
  <c r="CY69" i="4"/>
  <c r="CZ69" i="4" s="1"/>
  <c r="IT37" i="71"/>
  <c r="E302" i="15"/>
  <c r="F299" i="15" s="1" a="1"/>
  <c r="F299" i="15" s="1"/>
  <c r="F583" i="15" a="1"/>
  <c r="F583" i="15" s="1"/>
  <c r="M648" i="15" a="1"/>
  <c r="M648" i="15" s="1"/>
  <c r="M632" i="15" a="1"/>
  <c r="M632" i="15" s="1"/>
  <c r="H62" i="27"/>
  <c r="H19" i="27" s="1"/>
  <c r="AE91" i="4"/>
  <c r="F91" i="72" s="1"/>
  <c r="I702" i="15" a="1"/>
  <c r="I702" i="15" s="1"/>
  <c r="HJ37" i="71"/>
  <c r="M698" i="15" a="1"/>
  <c r="M698" i="15" s="1"/>
  <c r="AI75" i="4"/>
  <c r="AV1371" i="13" s="1"/>
  <c r="E595" i="15"/>
  <c r="BI4" i="72" a="1"/>
  <c r="BI4" i="72" s="1"/>
  <c r="N478" i="15" a="1"/>
  <c r="N478" i="15" s="1"/>
  <c r="F686" i="15" a="1"/>
  <c r="F686" i="15" s="1"/>
  <c r="K634" i="15" a="1"/>
  <c r="K634" i="15" s="1"/>
  <c r="M494" i="15" a="1"/>
  <c r="M494" i="15" s="1"/>
  <c r="DC85" i="4" a="1"/>
  <c r="DC85" i="4" s="1"/>
  <c r="AM79" i="4"/>
  <c r="I79" i="72" s="1"/>
  <c r="F598" i="15" a="1"/>
  <c r="F598" i="15" s="1"/>
  <c r="AE85" i="4"/>
  <c r="F85" i="69" s="1"/>
  <c r="N588" i="15" a="1"/>
  <c r="N588" i="15" s="1"/>
  <c r="K702" i="15" a="1"/>
  <c r="K702" i="15" s="1"/>
  <c r="I623" i="15" a="1"/>
  <c r="I623" i="15" s="1"/>
  <c r="CY91" i="4"/>
  <c r="CZ91" i="4" s="1"/>
  <c r="HG37" i="71"/>
  <c r="JF37" i="71"/>
  <c r="M677" i="15" a="1"/>
  <c r="M677" i="15" s="1"/>
  <c r="T96" i="69"/>
  <c r="BF96" i="69" s="1"/>
  <c r="BG4" i="72" a="1"/>
  <c r="BG4" i="72" s="1"/>
  <c r="T58" i="69"/>
  <c r="CB96" i="72"/>
  <c r="AE96" i="69" a="1"/>
  <c r="AE96" i="69" s="1"/>
  <c r="AH96" i="69" s="1" a="1"/>
  <c r="AH96" i="69" s="1"/>
  <c r="M58" i="69"/>
  <c r="CY23" i="4"/>
  <c r="CZ23" i="4" s="1"/>
  <c r="F19" i="72"/>
  <c r="BE96" i="69"/>
  <c r="I12" i="69"/>
  <c r="AG4" i="69" a="1"/>
  <c r="AG4" i="69" s="1"/>
  <c r="F37" i="72"/>
  <c r="AE94" i="69" a="1"/>
  <c r="AE94" i="69" s="1"/>
  <c r="AX94" i="69" s="1" a="1"/>
  <c r="AX94" i="69" s="1"/>
  <c r="F81" i="69"/>
  <c r="F14" i="69"/>
  <c r="F40" i="72"/>
  <c r="F29" i="72"/>
  <c r="F62" i="69"/>
  <c r="F86" i="72"/>
  <c r="I36" i="72"/>
  <c r="F17" i="72"/>
  <c r="BN4" i="69" a="1"/>
  <c r="BN4" i="69" s="1"/>
  <c r="AW4" i="69" a="1"/>
  <c r="AW4" i="69" s="1"/>
  <c r="F28" i="72"/>
  <c r="BH94" i="69"/>
  <c r="BQ58" i="72"/>
  <c r="F27" i="72"/>
  <c r="F45" i="72"/>
  <c r="F44" i="69"/>
  <c r="AO4" i="69" a="1"/>
  <c r="AO4" i="69" s="1"/>
  <c r="BH58" i="72" a="1"/>
  <c r="BH58" i="72" s="1"/>
  <c r="I75" i="72"/>
  <c r="O22" i="72"/>
  <c r="F7" i="72"/>
  <c r="X21" i="4"/>
  <c r="F36" i="72"/>
  <c r="F16" i="69"/>
  <c r="F70" i="72"/>
  <c r="BO94" i="72"/>
  <c r="T94" i="69"/>
  <c r="BS94" i="69" s="1"/>
  <c r="I11" i="69"/>
  <c r="F84" i="69"/>
  <c r="I54" i="72"/>
  <c r="AF58" i="72" a="1"/>
  <c r="AF58" i="72" s="1"/>
  <c r="F20" i="72"/>
  <c r="I77" i="72"/>
  <c r="I93" i="69"/>
  <c r="F49" i="72"/>
  <c r="F24" i="69"/>
  <c r="I21" i="72"/>
  <c r="I15" i="72"/>
  <c r="AK95" i="72" a="1"/>
  <c r="AK95" i="72" s="1"/>
  <c r="F53" i="69"/>
  <c r="F31" i="72"/>
  <c r="I39" i="69"/>
  <c r="I35" i="72"/>
  <c r="F8" i="72"/>
  <c r="F13" i="69"/>
  <c r="AY96" i="69" a="1"/>
  <c r="AY96" i="69" s="1"/>
  <c r="I45" i="69"/>
  <c r="F42" i="72"/>
  <c r="AR4" i="72" a="1"/>
  <c r="AR4" i="72" s="1"/>
  <c r="I24" i="72"/>
  <c r="AY94" i="69" a="1"/>
  <c r="AY94" i="69" s="1"/>
  <c r="I84" i="72"/>
  <c r="I13" i="72"/>
  <c r="I27" i="69"/>
  <c r="I53" i="69"/>
  <c r="I90" i="72"/>
  <c r="I31" i="69"/>
  <c r="X42" i="4"/>
  <c r="F88" i="72"/>
  <c r="AY58" i="69" a="1"/>
  <c r="AY58" i="69" s="1"/>
  <c r="I41" i="72"/>
  <c r="I61" i="72"/>
  <c r="I26" i="69"/>
  <c r="F11" i="72"/>
  <c r="I7" i="72"/>
  <c r="I68" i="69"/>
  <c r="I16" i="69"/>
  <c r="I51" i="72"/>
  <c r="BA94" i="72"/>
  <c r="AE58" i="69" a="1"/>
  <c r="AE58" i="69" s="1"/>
  <c r="CB94" i="72"/>
  <c r="F56" i="72"/>
  <c r="F33" i="69"/>
  <c r="I80" i="69"/>
  <c r="I43" i="69"/>
  <c r="BU23" i="4"/>
  <c r="I34" i="72"/>
  <c r="I49" i="69"/>
  <c r="DH67" i="4"/>
  <c r="BK67" i="4"/>
  <c r="BL67" i="4"/>
  <c r="BJ67" i="4"/>
  <c r="BK23" i="4"/>
  <c r="BJ23" i="4"/>
  <c r="DH23" i="4"/>
  <c r="BL23" i="4"/>
  <c r="BK62" i="4"/>
  <c r="BJ62" i="4"/>
  <c r="BL62" i="4"/>
  <c r="DH62" i="4"/>
  <c r="BK64" i="4"/>
  <c r="BJ64" i="4"/>
  <c r="BL64" i="4"/>
  <c r="DH64" i="4"/>
  <c r="DH75" i="4"/>
  <c r="BL75" i="4"/>
  <c r="BK75" i="4"/>
  <c r="BJ75" i="4"/>
  <c r="BL56" i="4"/>
  <c r="BJ56" i="4"/>
  <c r="BK56" i="4"/>
  <c r="DH56" i="4"/>
  <c r="BJ65" i="4"/>
  <c r="BK65" i="4"/>
  <c r="DH65" i="4"/>
  <c r="BL65" i="4"/>
  <c r="BL81" i="4"/>
  <c r="BJ81" i="4"/>
  <c r="DH81" i="4"/>
  <c r="BK81" i="4"/>
  <c r="BL96" i="4"/>
  <c r="DH96" i="4"/>
  <c r="BK96" i="4"/>
  <c r="BJ96" i="4"/>
  <c r="BJ86" i="4"/>
  <c r="DH86" i="4"/>
  <c r="BK86" i="4"/>
  <c r="BL86" i="4"/>
  <c r="AA55" i="4"/>
  <c r="DD55" i="4" s="1"/>
  <c r="AB55" i="4"/>
  <c r="BL72" i="4"/>
  <c r="BM72" i="4" s="1"/>
  <c r="DH72" i="4"/>
  <c r="BJ72" i="4"/>
  <c r="BK72" i="4"/>
  <c r="BL87" i="4"/>
  <c r="BK87" i="4"/>
  <c r="BJ87" i="4"/>
  <c r="DH87" i="4"/>
  <c r="BJ90" i="4"/>
  <c r="BL90" i="4"/>
  <c r="BK90" i="4"/>
  <c r="DH90" i="4"/>
  <c r="DH80" i="4"/>
  <c r="BL80" i="4"/>
  <c r="BJ80" i="4"/>
  <c r="BK80" i="4"/>
  <c r="BL83" i="4"/>
  <c r="DH83" i="4"/>
  <c r="BJ83" i="4"/>
  <c r="BK83" i="4"/>
  <c r="BJ71" i="4"/>
  <c r="DH71" i="4"/>
  <c r="BK71" i="4"/>
  <c r="BL71" i="4"/>
  <c r="DH76" i="4"/>
  <c r="BK76" i="4"/>
  <c r="BJ76" i="4"/>
  <c r="BL76" i="4"/>
  <c r="B55" i="1"/>
  <c r="CI23" i="4"/>
  <c r="J5" i="27" s="1"/>
  <c r="DH82" i="4"/>
  <c r="BL82" i="4"/>
  <c r="BJ82" i="4"/>
  <c r="BK82" i="4"/>
  <c r="BL66" i="4"/>
  <c r="DH66" i="4"/>
  <c r="BJ66" i="4"/>
  <c r="BK66" i="4"/>
  <c r="BL89" i="4"/>
  <c r="BK89" i="4"/>
  <c r="BJ89" i="4"/>
  <c r="DH89" i="4"/>
  <c r="BL95" i="4"/>
  <c r="BJ95" i="4"/>
  <c r="BK95" i="4"/>
  <c r="DH95" i="4"/>
  <c r="BJ84" i="4"/>
  <c r="DH84" i="4"/>
  <c r="BL84" i="4"/>
  <c r="BM84" i="4" s="1"/>
  <c r="BK84" i="4"/>
  <c r="AP55" i="4"/>
  <c r="AO55" i="4"/>
  <c r="BK59" i="4"/>
  <c r="DH59" i="4"/>
  <c r="BL59" i="4"/>
  <c r="BJ59" i="4"/>
  <c r="BK58" i="4"/>
  <c r="BJ58" i="4"/>
  <c r="BL58" i="4"/>
  <c r="DH58" i="4"/>
  <c r="BJ61" i="4"/>
  <c r="DH61" i="4"/>
  <c r="BL61" i="4"/>
  <c r="BK61" i="4"/>
  <c r="BJ85" i="4"/>
  <c r="DH85" i="4"/>
  <c r="BK85" i="4"/>
  <c r="BL85" i="4"/>
  <c r="BK93" i="4"/>
  <c r="DH93" i="4"/>
  <c r="BL93" i="4"/>
  <c r="BJ93" i="4"/>
  <c r="DH79" i="4"/>
  <c r="BL79" i="4"/>
  <c r="BM79" i="4" s="1"/>
  <c r="BK79" i="4"/>
  <c r="BJ79" i="4"/>
  <c r="AK55" i="4"/>
  <c r="AJ55" i="4"/>
  <c r="BL74" i="4"/>
  <c r="DH74" i="4"/>
  <c r="BJ74" i="4"/>
  <c r="BK74" i="4"/>
  <c r="DH69" i="4"/>
  <c r="BJ69" i="4"/>
  <c r="BL69" i="4"/>
  <c r="BK69" i="4"/>
  <c r="AH55" i="4"/>
  <c r="AG55" i="4"/>
  <c r="BL91" i="4"/>
  <c r="BJ91" i="4"/>
  <c r="BK91" i="4"/>
  <c r="DH91" i="4"/>
  <c r="BJ70" i="4"/>
  <c r="BL70" i="4"/>
  <c r="DH70" i="4"/>
  <c r="BK70" i="4"/>
  <c r="BL88" i="4"/>
  <c r="DH88" i="4"/>
  <c r="BK88" i="4"/>
  <c r="BJ88" i="4"/>
  <c r="BK92" i="4"/>
  <c r="BJ92" i="4"/>
  <c r="DH92" i="4"/>
  <c r="BL92" i="4"/>
  <c r="BJ60" i="4"/>
  <c r="BK60" i="4"/>
  <c r="DH60" i="4"/>
  <c r="BL60" i="4"/>
  <c r="BJ78" i="4"/>
  <c r="BL78" i="4"/>
  <c r="BK78" i="4"/>
  <c r="DH78" i="4"/>
  <c r="DH57" i="4"/>
  <c r="BJ57" i="4"/>
  <c r="BL57" i="4"/>
  <c r="BK57" i="4"/>
  <c r="BL94" i="4"/>
  <c r="DH94" i="4"/>
  <c r="BK94" i="4"/>
  <c r="BJ94" i="4"/>
  <c r="DH63" i="4"/>
  <c r="BK63" i="4"/>
  <c r="BJ63" i="4"/>
  <c r="BL63" i="4"/>
  <c r="BL77" i="4"/>
  <c r="DH77" i="4"/>
  <c r="BK77" i="4"/>
  <c r="BJ77" i="4"/>
  <c r="DH68" i="4"/>
  <c r="BL68" i="4"/>
  <c r="BM68" i="4" s="1"/>
  <c r="BJ68" i="4"/>
  <c r="BK68" i="4"/>
  <c r="DH73" i="4"/>
  <c r="BK73" i="4"/>
  <c r="BL73" i="4"/>
  <c r="BJ73" i="4"/>
  <c r="AE17" i="27"/>
  <c r="K16" i="27"/>
  <c r="F83" i="69"/>
  <c r="F83" i="72"/>
  <c r="AV572" i="13"/>
  <c r="BM70" i="4"/>
  <c r="BN70" i="4" s="1"/>
  <c r="BF70" i="4" s="1" a="1"/>
  <c r="BF70" i="4" s="1"/>
  <c r="DX70" i="4"/>
  <c r="AV574" i="13"/>
  <c r="DX72" i="4"/>
  <c r="I71" i="72"/>
  <c r="I71" i="69"/>
  <c r="AV579" i="13"/>
  <c r="BM77" i="4"/>
  <c r="BN77" i="4" s="1"/>
  <c r="BF77" i="4" s="1" a="1"/>
  <c r="BF77" i="4" s="1"/>
  <c r="DX77" i="4"/>
  <c r="I88" i="69"/>
  <c r="I88" i="72"/>
  <c r="DX68" i="4"/>
  <c r="AV570" i="13"/>
  <c r="AV581" i="13"/>
  <c r="DX79" i="4"/>
  <c r="AV586" i="13"/>
  <c r="DX84" i="4"/>
  <c r="BJ95" i="72" a="1"/>
  <c r="BJ95" i="72" s="1"/>
  <c r="AJ95" i="72" a="1"/>
  <c r="AJ95" i="72" s="1"/>
  <c r="BI95" i="72" a="1"/>
  <c r="BI95" i="72" s="1"/>
  <c r="AZ95" i="72" a="1"/>
  <c r="AZ95" i="72" s="1"/>
  <c r="AX95" i="72" a="1"/>
  <c r="AX95" i="72" s="1"/>
  <c r="BD95" i="72" a="1"/>
  <c r="BD95" i="72" s="1"/>
  <c r="BG95" i="72" a="1"/>
  <c r="BG95" i="72" s="1"/>
  <c r="A1411" i="13"/>
  <c r="AX1312" i="13"/>
  <c r="AX1314" i="13"/>
  <c r="A1413" i="13"/>
  <c r="L488" i="15" a="1"/>
  <c r="L488" i="15" s="1"/>
  <c r="Z65" i="69"/>
  <c r="V65" i="69"/>
  <c r="J65" i="69"/>
  <c r="Q65" i="69"/>
  <c r="AC65" i="69"/>
  <c r="AA65" i="69"/>
  <c r="BB65" i="69"/>
  <c r="AB65" i="69" a="1"/>
  <c r="AB65" i="69" s="1"/>
  <c r="T65" i="69"/>
  <c r="BU65" i="69"/>
  <c r="BC65" i="69"/>
  <c r="Y65" i="69"/>
  <c r="M65" i="69"/>
  <c r="AR65" i="69"/>
  <c r="A65" i="69"/>
  <c r="N65" i="69" a="1"/>
  <c r="N65" i="69" s="1"/>
  <c r="P65" i="69"/>
  <c r="AS65" i="69"/>
  <c r="W65" i="69"/>
  <c r="AB5" i="69" a="1"/>
  <c r="AB5" i="69" s="1"/>
  <c r="U5" i="69" a="1"/>
  <c r="U5" i="69" s="1"/>
  <c r="BU5" i="69"/>
  <c r="BB5" i="69"/>
  <c r="K5" i="69" a="1"/>
  <c r="K5" i="69" s="1"/>
  <c r="J5" i="69"/>
  <c r="T5" i="69"/>
  <c r="M5" i="69"/>
  <c r="AS5" i="69"/>
  <c r="A5" i="69"/>
  <c r="V5" i="69"/>
  <c r="Q5" i="69"/>
  <c r="G5" i="69"/>
  <c r="P5" i="69"/>
  <c r="Z5" i="69"/>
  <c r="Y5" i="69"/>
  <c r="BC5" i="69"/>
  <c r="AC5" i="69"/>
  <c r="AR5" i="69"/>
  <c r="S5" i="69"/>
  <c r="W5" i="69"/>
  <c r="L5" i="69" s="1"/>
  <c r="N5" i="69" a="1"/>
  <c r="N5" i="69" s="1"/>
  <c r="AA5" i="69"/>
  <c r="K10" i="69" a="1"/>
  <c r="K10" i="69" s="1"/>
  <c r="K9" i="69" a="1"/>
  <c r="K9" i="69" s="1"/>
  <c r="AV1404" i="13"/>
  <c r="A1479" i="13"/>
  <c r="AX1380" i="13"/>
  <c r="L490" i="15" a="1"/>
  <c r="L490" i="15" s="1"/>
  <c r="F438" i="15" a="1"/>
  <c r="F438" i="15" s="1"/>
  <c r="F512" i="15" a="1"/>
  <c r="F512" i="15" s="1"/>
  <c r="F516" i="15" a="1"/>
  <c r="F516" i="15" s="1"/>
  <c r="AX756" i="13"/>
  <c r="AV756" i="13"/>
  <c r="AY756" i="13"/>
  <c r="N16" i="72" a="1"/>
  <c r="N16" i="72" s="1"/>
  <c r="J16" i="72"/>
  <c r="Z16" i="72"/>
  <c r="P16" i="72"/>
  <c r="AQ16" i="72"/>
  <c r="BK16" i="72"/>
  <c r="AG16" i="72"/>
  <c r="AA16" i="72" a="1"/>
  <c r="AA16" i="72" s="1"/>
  <c r="BB16" i="72"/>
  <c r="M16" i="72"/>
  <c r="X16" i="72"/>
  <c r="K16" i="72" a="1"/>
  <c r="K16" i="72" s="1"/>
  <c r="BL16" i="72"/>
  <c r="T16" i="72"/>
  <c r="BA16" i="72"/>
  <c r="S16" i="72"/>
  <c r="AN16" i="72"/>
  <c r="A16" i="72"/>
  <c r="AC16" i="72"/>
  <c r="Y16" i="72"/>
  <c r="BY16" i="72" s="1"/>
  <c r="W16" i="72"/>
  <c r="G16" i="72"/>
  <c r="AE16" i="72"/>
  <c r="U16" i="72" a="1"/>
  <c r="U16" i="72" s="1"/>
  <c r="AB16" i="72"/>
  <c r="Q16" i="72"/>
  <c r="AO16" i="72"/>
  <c r="B16" i="72"/>
  <c r="V34" i="69"/>
  <c r="B34" i="69" s="1"/>
  <c r="AR34" i="69"/>
  <c r="P34" i="69"/>
  <c r="BC34" i="69"/>
  <c r="T34" i="69"/>
  <c r="A34" i="69"/>
  <c r="W34" i="69"/>
  <c r="BQ34" i="69" s="1" a="1"/>
  <c r="BQ34" i="69" s="1"/>
  <c r="S34" i="69"/>
  <c r="AA34" i="69"/>
  <c r="U34" i="69" a="1"/>
  <c r="U34" i="69" s="1"/>
  <c r="M34" i="69"/>
  <c r="AC34" i="69"/>
  <c r="Z34" i="69"/>
  <c r="N34" i="69" a="1"/>
  <c r="N34" i="69" s="1"/>
  <c r="J34" i="69"/>
  <c r="AS34" i="69"/>
  <c r="G34" i="69"/>
  <c r="Y34" i="69"/>
  <c r="BU34" i="69"/>
  <c r="AB34" i="69" a="1"/>
  <c r="AB34" i="69" s="1"/>
  <c r="BB34" i="69"/>
  <c r="Q34" i="69"/>
  <c r="F283" i="15" a="1"/>
  <c r="F283" i="15" s="1"/>
  <c r="BB55" i="4" a="1"/>
  <c r="BB55" i="4" s="1"/>
  <c r="BC55" i="4" s="1"/>
  <c r="AV157" i="13" s="1"/>
  <c r="B55" i="4"/>
  <c r="AV3" i="4"/>
  <c r="AU3" i="4" a="1"/>
  <c r="AU3" i="4" s="1"/>
  <c r="AW3" i="4" a="1"/>
  <c r="AW3" i="4" s="1"/>
  <c r="Y3" i="4"/>
  <c r="CB3" i="4"/>
  <c r="DA3" i="4"/>
  <c r="DB3" i="4" s="1"/>
  <c r="F3" i="9" s="1"/>
  <c r="J3" i="9" s="1"/>
  <c r="M73" i="72"/>
  <c r="AN73" i="72"/>
  <c r="A73" i="72"/>
  <c r="BK73" i="72"/>
  <c r="BB73" i="72"/>
  <c r="W73" i="72"/>
  <c r="J73" i="72"/>
  <c r="AB73" i="72"/>
  <c r="AQ73" i="72"/>
  <c r="AG73" i="72"/>
  <c r="BL73" i="72"/>
  <c r="AO73" i="72"/>
  <c r="AC73" i="72"/>
  <c r="AE73" i="72"/>
  <c r="X73" i="72"/>
  <c r="AA73" i="72" a="1"/>
  <c r="AA73" i="72" s="1"/>
  <c r="BA73" i="72"/>
  <c r="Q73" i="72"/>
  <c r="Y73" i="72"/>
  <c r="L73" i="72" s="1"/>
  <c r="T73" i="72"/>
  <c r="N73" i="72" a="1"/>
  <c r="N73" i="72" s="1"/>
  <c r="P73" i="72"/>
  <c r="Z73" i="72"/>
  <c r="S73" i="72"/>
  <c r="B73" i="72"/>
  <c r="U73" i="72" a="1"/>
  <c r="U73" i="72" s="1"/>
  <c r="F397" i="15" a="1"/>
  <c r="F397" i="15" s="1"/>
  <c r="A1431" i="13"/>
  <c r="AX1332" i="13"/>
  <c r="N554" i="15" a="1"/>
  <c r="N554" i="15" s="1"/>
  <c r="AB33" i="72"/>
  <c r="W33" i="72"/>
  <c r="G33" i="72"/>
  <c r="N33" i="72" a="1"/>
  <c r="N33" i="72" s="1"/>
  <c r="AN33" i="72"/>
  <c r="U33" i="72" a="1"/>
  <c r="U33" i="72" s="1"/>
  <c r="Q33" i="72"/>
  <c r="BA33" i="72"/>
  <c r="AG33" i="72"/>
  <c r="AC33" i="72"/>
  <c r="AA33" i="72" a="1"/>
  <c r="AA33" i="72" s="1"/>
  <c r="AQ33" i="72"/>
  <c r="Z33" i="72"/>
  <c r="A33" i="72"/>
  <c r="B33" i="72"/>
  <c r="BB33" i="72"/>
  <c r="BK33" i="72"/>
  <c r="BL33" i="72"/>
  <c r="S33" i="72"/>
  <c r="J33" i="72"/>
  <c r="AE33" i="72"/>
  <c r="Y33" i="72"/>
  <c r="P33" i="72"/>
  <c r="T33" i="72"/>
  <c r="M33" i="72"/>
  <c r="AO33" i="72"/>
  <c r="X33" i="72"/>
  <c r="N673" i="15" a="1"/>
  <c r="N673" i="15" s="1"/>
  <c r="GO37" i="71"/>
  <c r="AU96" i="69" a="1"/>
  <c r="AU96" i="69" s="1"/>
  <c r="AQ96" i="69" a="1"/>
  <c r="AQ96" i="69" s="1"/>
  <c r="BA96" i="69" a="1"/>
  <c r="BA96" i="69" s="1"/>
  <c r="AF96" i="69" a="1"/>
  <c r="AF96" i="69" s="1"/>
  <c r="AZ96" i="69" a="1"/>
  <c r="AZ96" i="69" s="1"/>
  <c r="AG96" i="69" a="1"/>
  <c r="AG96" i="69" s="1"/>
  <c r="AK96" i="69" a="1"/>
  <c r="AK96" i="69" s="1"/>
  <c r="AO96" i="69" a="1"/>
  <c r="AO96" i="69" s="1"/>
  <c r="E355" i="15"/>
  <c r="E67" i="4"/>
  <c r="BU67" i="4" s="1"/>
  <c r="DG67" i="4"/>
  <c r="AC24" i="69"/>
  <c r="U24" i="69" a="1"/>
  <c r="U24" i="69" s="1"/>
  <c r="S24" i="69"/>
  <c r="V24" i="69"/>
  <c r="B24" i="69" s="1"/>
  <c r="J24" i="69"/>
  <c r="Y24" i="69"/>
  <c r="A24" i="69"/>
  <c r="AA24" i="69"/>
  <c r="BB24" i="69"/>
  <c r="BU24" i="69"/>
  <c r="P24" i="69"/>
  <c r="AB24" i="69" a="1"/>
  <c r="AB24" i="69" s="1"/>
  <c r="Q24" i="69"/>
  <c r="AR24" i="69"/>
  <c r="BC24" i="69"/>
  <c r="M24" i="69"/>
  <c r="T24" i="69"/>
  <c r="AS24" i="69"/>
  <c r="Z24" i="69"/>
  <c r="W24" i="69"/>
  <c r="BQ24" i="69" s="1" a="1"/>
  <c r="BQ24" i="69" s="1"/>
  <c r="G24" i="69"/>
  <c r="N24" i="69" a="1"/>
  <c r="N24" i="69" s="1"/>
  <c r="AM91" i="4"/>
  <c r="L625" i="15" a="1"/>
  <c r="L625" i="15" s="1"/>
  <c r="M95" i="72"/>
  <c r="J75" i="69"/>
  <c r="P75" i="69"/>
  <c r="BC75" i="69"/>
  <c r="V75" i="69"/>
  <c r="B75" i="69" s="1"/>
  <c r="AS75" i="69"/>
  <c r="Z75" i="69"/>
  <c r="N75" i="69" a="1"/>
  <c r="N75" i="69" s="1"/>
  <c r="Y75" i="69"/>
  <c r="AR75" i="69"/>
  <c r="A75" i="69"/>
  <c r="BB75" i="69"/>
  <c r="BU75" i="69"/>
  <c r="AC75" i="69"/>
  <c r="AB75" i="69" a="1"/>
  <c r="AB75" i="69" s="1"/>
  <c r="W75" i="69"/>
  <c r="S75" i="69"/>
  <c r="Q75" i="69"/>
  <c r="G75" i="69"/>
  <c r="M75" i="69"/>
  <c r="T75" i="69"/>
  <c r="AA75" i="69"/>
  <c r="AM74" i="4"/>
  <c r="E700" i="15"/>
  <c r="M629" i="15" a="1"/>
  <c r="M629" i="15" s="1"/>
  <c r="L535" i="15" a="1"/>
  <c r="L535" i="15" s="1"/>
  <c r="E164" i="15"/>
  <c r="M498" i="15" a="1"/>
  <c r="M498" i="15" s="1"/>
  <c r="F494" i="15" a="1"/>
  <c r="F494" i="15" s="1"/>
  <c r="AO90" i="72"/>
  <c r="W90" i="72"/>
  <c r="BA90" i="72"/>
  <c r="B90" i="72"/>
  <c r="Y90" i="72"/>
  <c r="BY90" i="72" s="1"/>
  <c r="AE90" i="72"/>
  <c r="BK90" i="72"/>
  <c r="AN90" i="72"/>
  <c r="S90" i="72"/>
  <c r="AG90" i="72"/>
  <c r="Z90" i="72"/>
  <c r="BL90" i="72"/>
  <c r="AC90" i="72"/>
  <c r="AB90" i="72"/>
  <c r="BB90" i="72"/>
  <c r="X90" i="72"/>
  <c r="Q90" i="72"/>
  <c r="AQ90" i="72"/>
  <c r="T90" i="72"/>
  <c r="AA90" i="72" a="1"/>
  <c r="AA90" i="72" s="1"/>
  <c r="A90" i="72"/>
  <c r="M90" i="72"/>
  <c r="N90" i="72" a="1"/>
  <c r="N90" i="72" s="1"/>
  <c r="L90" i="72"/>
  <c r="J90" i="72"/>
  <c r="P90" i="72"/>
  <c r="G90" i="72"/>
  <c r="U90" i="72" a="1"/>
  <c r="U90" i="72" s="1"/>
  <c r="F73" i="69"/>
  <c r="F620" i="15" a="1"/>
  <c r="F620" i="15" s="1"/>
  <c r="I620" i="15" a="1"/>
  <c r="I620" i="15" s="1"/>
  <c r="DC57" i="4" a="1"/>
  <c r="DC57" i="4" s="1"/>
  <c r="L655" i="15" a="1"/>
  <c r="L655" i="15" s="1"/>
  <c r="AO54" i="72"/>
  <c r="AC54" i="72"/>
  <c r="Z54" i="72"/>
  <c r="AQ54" i="72"/>
  <c r="BL54" i="72"/>
  <c r="S54" i="72"/>
  <c r="U54" i="72" a="1"/>
  <c r="U54" i="72" s="1"/>
  <c r="G54" i="72"/>
  <c r="X54" i="72"/>
  <c r="Q54" i="72"/>
  <c r="AE54" i="72"/>
  <c r="B54" i="72"/>
  <c r="AN54" i="72"/>
  <c r="BB54" i="72"/>
  <c r="J54" i="72"/>
  <c r="P54" i="72"/>
  <c r="N54" i="72" a="1"/>
  <c r="N54" i="72" s="1"/>
  <c r="AA54" i="72" a="1"/>
  <c r="AA54" i="72" s="1"/>
  <c r="BK54" i="72"/>
  <c r="Y54" i="72"/>
  <c r="BY54" i="72" s="1"/>
  <c r="T54" i="72"/>
  <c r="AB54" i="72"/>
  <c r="AG54" i="72"/>
  <c r="W54" i="72"/>
  <c r="BA54" i="72"/>
  <c r="A54" i="72"/>
  <c r="M54" i="72"/>
  <c r="Z85" i="69"/>
  <c r="V85" i="69"/>
  <c r="BC85" i="69"/>
  <c r="T85" i="69"/>
  <c r="BB85" i="69"/>
  <c r="AB85" i="69" a="1"/>
  <c r="AB85" i="69" s="1"/>
  <c r="W85" i="69"/>
  <c r="BQ85" i="69" s="1" a="1"/>
  <c r="BQ85" i="69" s="1"/>
  <c r="AC85" i="69"/>
  <c r="AS85" i="69"/>
  <c r="A85" i="69"/>
  <c r="BU85" i="69"/>
  <c r="J85" i="69"/>
  <c r="L85" i="69"/>
  <c r="P85" i="69"/>
  <c r="AR85" i="69"/>
  <c r="M85" i="69"/>
  <c r="Q85" i="69"/>
  <c r="Y85" i="69"/>
  <c r="N85" i="69" a="1"/>
  <c r="N85" i="69" s="1"/>
  <c r="AA85" i="69"/>
  <c r="U85" i="69" a="1"/>
  <c r="U85" i="69" s="1"/>
  <c r="F62" i="4"/>
  <c r="DG62" i="4"/>
  <c r="E326" i="15"/>
  <c r="E62" i="4"/>
  <c r="BU62" i="4" s="1"/>
  <c r="E62" i="15"/>
  <c r="A1461" i="13"/>
  <c r="AX1362" i="13"/>
  <c r="FE20" i="71"/>
  <c r="DG64" i="4"/>
  <c r="E64" i="4"/>
  <c r="BU64" i="4" s="1"/>
  <c r="BE64" i="4"/>
  <c r="E314" i="15"/>
  <c r="P7" i="9"/>
  <c r="BU67" i="69"/>
  <c r="AC67" i="69"/>
  <c r="T67" i="69"/>
  <c r="W67" i="69"/>
  <c r="G67" i="69"/>
  <c r="Q67" i="69"/>
  <c r="AB67" i="69" a="1"/>
  <c r="AB67" i="69" s="1"/>
  <c r="AR67" i="69"/>
  <c r="AA67" i="69"/>
  <c r="BC67" i="69"/>
  <c r="L67" i="69"/>
  <c r="J67" i="69"/>
  <c r="Z67" i="69"/>
  <c r="A67" i="69"/>
  <c r="V67" i="69"/>
  <c r="P67" i="69"/>
  <c r="Y67" i="69"/>
  <c r="AS67" i="69"/>
  <c r="N67" i="69" a="1"/>
  <c r="N67" i="69" s="1"/>
  <c r="M67" i="69"/>
  <c r="BB67" i="69"/>
  <c r="Z67" i="4"/>
  <c r="AV1264" i="13" s="1"/>
  <c r="F95" i="4"/>
  <c r="B52" i="14"/>
  <c r="BS3" i="4"/>
  <c r="CY62" i="4"/>
  <c r="CZ62" i="4" s="1"/>
  <c r="A1407" i="13"/>
  <c r="AX1308" i="13"/>
  <c r="L86" i="69"/>
  <c r="W86" i="69"/>
  <c r="BQ86" i="69" s="1" a="1"/>
  <c r="BQ86" i="69" s="1"/>
  <c r="BB86" i="69"/>
  <c r="AC86" i="69"/>
  <c r="N86" i="69" a="1"/>
  <c r="N86" i="69" s="1"/>
  <c r="AA86" i="69"/>
  <c r="BC86" i="69"/>
  <c r="M86" i="69"/>
  <c r="J86" i="69"/>
  <c r="Q86" i="69"/>
  <c r="T86" i="69"/>
  <c r="P86" i="69"/>
  <c r="AB86" i="69" a="1"/>
  <c r="AB86" i="69" s="1"/>
  <c r="AR86" i="69"/>
  <c r="U86" i="69" a="1"/>
  <c r="U86" i="69" s="1"/>
  <c r="Z86" i="69"/>
  <c r="BU86" i="69"/>
  <c r="A86" i="69"/>
  <c r="S86" i="69"/>
  <c r="V86" i="69"/>
  <c r="B86" i="69" s="1"/>
  <c r="AS86" i="69"/>
  <c r="Y86" i="69"/>
  <c r="G86" i="69"/>
  <c r="AM92" i="4"/>
  <c r="E75" i="4"/>
  <c r="BU75" i="4" s="1"/>
  <c r="DG75" i="4"/>
  <c r="E667" i="15"/>
  <c r="H629" i="15" s="1" a="1"/>
  <c r="H629" i="15" s="1"/>
  <c r="E422" i="15"/>
  <c r="FE16" i="71"/>
  <c r="JL37" i="71"/>
  <c r="A1443" i="13"/>
  <c r="AX1344" i="13"/>
  <c r="L594" i="15" a="1"/>
  <c r="L594" i="15" s="1"/>
  <c r="AB36" i="69" a="1"/>
  <c r="AB36" i="69" s="1"/>
  <c r="T36" i="69"/>
  <c r="S36" i="69"/>
  <c r="W36" i="69"/>
  <c r="L36" i="69"/>
  <c r="J36" i="69"/>
  <c r="V36" i="69"/>
  <c r="B36" i="69" s="1"/>
  <c r="BU36" i="69"/>
  <c r="AR36" i="69"/>
  <c r="AA36" i="69"/>
  <c r="M36" i="69"/>
  <c r="G36" i="69"/>
  <c r="Q36" i="69"/>
  <c r="Y36" i="69"/>
  <c r="AS36" i="69"/>
  <c r="N36" i="69" a="1"/>
  <c r="N36" i="69" s="1"/>
  <c r="A36" i="69"/>
  <c r="AC36" i="69"/>
  <c r="Z36" i="69"/>
  <c r="P36" i="69"/>
  <c r="U36" i="69" a="1"/>
  <c r="U36" i="69" s="1"/>
  <c r="BB36" i="69"/>
  <c r="BC36" i="69"/>
  <c r="N43" i="72" a="1"/>
  <c r="N43" i="72" s="1"/>
  <c r="AN43" i="72"/>
  <c r="B43" i="72"/>
  <c r="A43" i="72"/>
  <c r="BA43" i="72"/>
  <c r="X43" i="72"/>
  <c r="BB43" i="72"/>
  <c r="U43" i="72" a="1"/>
  <c r="U43" i="72" s="1"/>
  <c r="Y43" i="72"/>
  <c r="BY43" i="72" s="1"/>
  <c r="S43" i="72"/>
  <c r="AB43" i="72"/>
  <c r="BK43" i="72"/>
  <c r="AA43" i="72" a="1"/>
  <c r="AA43" i="72" s="1"/>
  <c r="Z43" i="72"/>
  <c r="J43" i="72"/>
  <c r="P43" i="72"/>
  <c r="BL43" i="72"/>
  <c r="W43" i="72"/>
  <c r="T43" i="72"/>
  <c r="AO43" i="72"/>
  <c r="AC43" i="72"/>
  <c r="AQ43" i="72"/>
  <c r="AE43" i="72"/>
  <c r="Q43" i="72"/>
  <c r="G43" i="72"/>
  <c r="M43" i="72"/>
  <c r="AG43" i="72"/>
  <c r="F12" i="72"/>
  <c r="HA37" i="71"/>
  <c r="L701" i="15" a="1"/>
  <c r="L701" i="15" s="1"/>
  <c r="P49" i="9"/>
  <c r="BE7" i="4"/>
  <c r="X7" i="4" s="1"/>
  <c r="IB37" i="71"/>
  <c r="AQ84" i="4"/>
  <c r="AV386" i="13" s="1"/>
  <c r="Z56" i="4"/>
  <c r="AV1253" i="13" s="1"/>
  <c r="DG56" i="4"/>
  <c r="E56" i="4"/>
  <c r="BU56" i="4" s="1"/>
  <c r="BM8" i="4"/>
  <c r="BN8" i="4" s="1"/>
  <c r="BF8" i="4" s="1" a="1"/>
  <c r="BF8" i="4" s="1"/>
  <c r="DX8" i="4"/>
  <c r="AV510" i="13"/>
  <c r="BI8" i="4"/>
  <c r="BI47" i="4"/>
  <c r="DX47" i="4"/>
  <c r="AV549" i="13"/>
  <c r="BM47" i="4"/>
  <c r="BN47" i="4" s="1"/>
  <c r="BF47" i="4" s="1" a="1"/>
  <c r="BF47" i="4" s="1"/>
  <c r="A1435" i="13"/>
  <c r="AX1336" i="13"/>
  <c r="BM90" i="4"/>
  <c r="BN90" i="4" s="1"/>
  <c r="BF90" i="4" s="1" a="1"/>
  <c r="BF90" i="4" s="1"/>
  <c r="DX90" i="4"/>
  <c r="AV592" i="13"/>
  <c r="BI13" i="4"/>
  <c r="AV515" i="13"/>
  <c r="BM13" i="4"/>
  <c r="BN13" i="4" s="1"/>
  <c r="BF13" i="4" s="1" a="1"/>
  <c r="BF13" i="4" s="1"/>
  <c r="DX13" i="4"/>
  <c r="BE17" i="4"/>
  <c r="AW26" i="4" a="1"/>
  <c r="AW26" i="4" s="1"/>
  <c r="AV26" i="4"/>
  <c r="Y26" i="4"/>
  <c r="AU26" i="4" a="1"/>
  <c r="AU26" i="4" s="1"/>
  <c r="DA26" i="4"/>
  <c r="DB26" i="4" s="1"/>
  <c r="BR26" i="4"/>
  <c r="BE15" i="4"/>
  <c r="BS15" i="4" s="1"/>
  <c r="O15" i="72" s="1"/>
  <c r="F92" i="4"/>
  <c r="DX21" i="4"/>
  <c r="BI21" i="4"/>
  <c r="BM21" i="4"/>
  <c r="BN21" i="4" s="1"/>
  <c r="BF21" i="4" s="1" a="1"/>
  <c r="BF21" i="4" s="1"/>
  <c r="AV523" i="13"/>
  <c r="AI23" i="4"/>
  <c r="AV1319" i="13" s="1"/>
  <c r="BG26" i="4"/>
  <c r="L32" i="4"/>
  <c r="BH32" i="4"/>
  <c r="AV1130" i="13" s="1"/>
  <c r="X16" i="4"/>
  <c r="BH16" i="4"/>
  <c r="AV1114" i="13" s="1"/>
  <c r="BS16" i="4"/>
  <c r="O16" i="69" s="1"/>
  <c r="BG34" i="4"/>
  <c r="BG47" i="4"/>
  <c r="BH52" i="4"/>
  <c r="AV1150" i="13" s="1"/>
  <c r="BG25" i="4"/>
  <c r="BH29" i="4"/>
  <c r="AV1127" i="13" s="1"/>
  <c r="BH39" i="4"/>
  <c r="AV1137" i="13" s="1"/>
  <c r="L20" i="4"/>
  <c r="X20" i="4"/>
  <c r="BH20" i="4"/>
  <c r="AV1118" i="13" s="1"/>
  <c r="BS20" i="4"/>
  <c r="O20" i="72" s="1"/>
  <c r="X36" i="4"/>
  <c r="BH36" i="4"/>
  <c r="AV1134" i="13" s="1"/>
  <c r="BS36" i="4"/>
  <c r="O36" i="72" s="1"/>
  <c r="L11" i="4"/>
  <c r="BH11" i="4"/>
  <c r="AV1109" i="13" s="1"/>
  <c r="BS11" i="4"/>
  <c r="T87" i="72"/>
  <c r="M87" i="72"/>
  <c r="BK87" i="72"/>
  <c r="J87" i="72"/>
  <c r="AB87" i="72"/>
  <c r="BA87" i="72"/>
  <c r="AQ87" i="72"/>
  <c r="Z87" i="72"/>
  <c r="N87" i="72" a="1"/>
  <c r="N87" i="72" s="1"/>
  <c r="Y87" i="72"/>
  <c r="AG87" i="72"/>
  <c r="S87" i="72"/>
  <c r="AO87" i="72"/>
  <c r="BB87" i="72"/>
  <c r="AE87" i="72"/>
  <c r="B87" i="72"/>
  <c r="W87" i="72"/>
  <c r="BL87" i="72"/>
  <c r="P87" i="72"/>
  <c r="X87" i="72"/>
  <c r="AN87" i="72"/>
  <c r="AA87" i="72" a="1"/>
  <c r="AA87" i="72" s="1"/>
  <c r="G87" i="72"/>
  <c r="A87" i="72"/>
  <c r="AC87" i="72"/>
  <c r="Q87" i="72"/>
  <c r="J20" i="72"/>
  <c r="AO20" i="72"/>
  <c r="AQ20" i="72"/>
  <c r="BK20" i="72"/>
  <c r="S20" i="72"/>
  <c r="BL20" i="72"/>
  <c r="AN20" i="72"/>
  <c r="K20" i="72" a="1"/>
  <c r="K20" i="72" s="1"/>
  <c r="B20" i="72"/>
  <c r="BA20" i="72"/>
  <c r="AA20" i="72" a="1"/>
  <c r="AA20" i="72" s="1"/>
  <c r="AC20" i="72"/>
  <c r="A20" i="72"/>
  <c r="G20" i="72"/>
  <c r="W20" i="72"/>
  <c r="P20" i="72"/>
  <c r="Z20" i="72"/>
  <c r="AB20" i="72"/>
  <c r="M20" i="72"/>
  <c r="BB20" i="72"/>
  <c r="Q20" i="72"/>
  <c r="N20" i="72" a="1"/>
  <c r="N20" i="72" s="1"/>
  <c r="T20" i="72"/>
  <c r="U20" i="72" a="1"/>
  <c r="U20" i="72" s="1"/>
  <c r="AE20" i="72"/>
  <c r="X20" i="72"/>
  <c r="Y20" i="72"/>
  <c r="L20" i="72" s="1"/>
  <c r="AG20" i="72"/>
  <c r="AC87" i="69"/>
  <c r="T87" i="69"/>
  <c r="BB87" i="69"/>
  <c r="N87" i="69" a="1"/>
  <c r="N87" i="69" s="1"/>
  <c r="S87" i="69"/>
  <c r="J87" i="69"/>
  <c r="Y87" i="69"/>
  <c r="AA87" i="69"/>
  <c r="V87" i="69"/>
  <c r="B87" i="69" s="1"/>
  <c r="AS87" i="69"/>
  <c r="P87" i="69"/>
  <c r="Q87" i="69"/>
  <c r="BU87" i="69"/>
  <c r="AR87" i="69"/>
  <c r="BC87" i="69"/>
  <c r="Z87" i="69"/>
  <c r="AB87" i="69" a="1"/>
  <c r="AB87" i="69" s="1"/>
  <c r="G87" i="69"/>
  <c r="W87" i="69"/>
  <c r="BP87" i="69" s="1"/>
  <c r="M87" i="69"/>
  <c r="A87" i="69"/>
  <c r="F625" i="15" a="1"/>
  <c r="F625" i="15" s="1"/>
  <c r="H625" i="15" a="1"/>
  <c r="H625" i="15" s="1"/>
  <c r="I625" i="15" a="1"/>
  <c r="I625" i="15" s="1"/>
  <c r="U96" i="72" a="1"/>
  <c r="U96" i="72" s="1"/>
  <c r="AV398" i="13"/>
  <c r="U96" i="69" a="1"/>
  <c r="U96" i="69" s="1"/>
  <c r="E65" i="4"/>
  <c r="BU65" i="4" s="1"/>
  <c r="BE65" i="4"/>
  <c r="DG65" i="4"/>
  <c r="E415" i="15"/>
  <c r="M488" i="15" a="1"/>
  <c r="M488" i="15" s="1"/>
  <c r="AG65" i="72"/>
  <c r="AE65" i="72"/>
  <c r="J65" i="72"/>
  <c r="X65" i="72"/>
  <c r="Y65" i="72"/>
  <c r="BY65" i="72" s="1"/>
  <c r="BA65" i="72"/>
  <c r="AC65" i="72"/>
  <c r="Z65" i="72"/>
  <c r="BL65" i="72"/>
  <c r="BK65" i="72"/>
  <c r="AN65" i="72"/>
  <c r="AB65" i="72"/>
  <c r="Q65" i="72"/>
  <c r="A65" i="72"/>
  <c r="N65" i="72" a="1"/>
  <c r="N65" i="72" s="1"/>
  <c r="AQ65" i="72"/>
  <c r="M65" i="72"/>
  <c r="AO65" i="72"/>
  <c r="AA65" i="72" a="1"/>
  <c r="AA65" i="72" s="1"/>
  <c r="BB65" i="72"/>
  <c r="T65" i="72"/>
  <c r="P65" i="72"/>
  <c r="W65" i="72"/>
  <c r="A5" i="72"/>
  <c r="I1" i="72" s="1"/>
  <c r="BL5" i="72"/>
  <c r="P5" i="72"/>
  <c r="X5" i="72"/>
  <c r="Y5" i="72"/>
  <c r="BY5" i="72" s="1"/>
  <c r="AA5" i="72" a="1"/>
  <c r="AA5" i="72" s="1"/>
  <c r="AE5" i="72"/>
  <c r="M5" i="72"/>
  <c r="AC5" i="72"/>
  <c r="T5" i="72"/>
  <c r="S5" i="72"/>
  <c r="J5" i="72"/>
  <c r="AN5" i="72"/>
  <c r="AO5" i="72"/>
  <c r="BA5" i="72"/>
  <c r="N5" i="72" a="1"/>
  <c r="N5" i="72" s="1"/>
  <c r="BK5" i="72"/>
  <c r="BB5" i="72"/>
  <c r="B5" i="72"/>
  <c r="Z5" i="72"/>
  <c r="W5" i="72"/>
  <c r="K5" i="72" a="1"/>
  <c r="K5" i="72" s="1"/>
  <c r="G5" i="72"/>
  <c r="U5" i="72" a="1"/>
  <c r="U5" i="72" s="1"/>
  <c r="AG5" i="72"/>
  <c r="AQ5" i="72"/>
  <c r="AB5" i="72"/>
  <c r="Q5" i="72"/>
  <c r="K10" i="72" a="1"/>
  <c r="K10" i="72" s="1"/>
  <c r="K9" i="72" a="1"/>
  <c r="K9" i="72" s="1"/>
  <c r="F57" i="72"/>
  <c r="F360" i="15" a="1"/>
  <c r="F360" i="15" s="1"/>
  <c r="L494" i="15" a="1"/>
  <c r="L494" i="15" s="1"/>
  <c r="F265" i="15" a="1"/>
  <c r="F265" i="15" s="1"/>
  <c r="A1400" i="13"/>
  <c r="AX1301" i="13"/>
  <c r="K662" i="15" a="1"/>
  <c r="K662" i="15" s="1"/>
  <c r="F662" i="15" a="1"/>
  <c r="F662" i="15" s="1"/>
  <c r="A1408" i="13"/>
  <c r="AX1309" i="13"/>
  <c r="BB16" i="69"/>
  <c r="Q16" i="69"/>
  <c r="T16" i="69"/>
  <c r="G16" i="69"/>
  <c r="AA16" i="69"/>
  <c r="AR16" i="69"/>
  <c r="Y16" i="69"/>
  <c r="U16" i="69" a="1"/>
  <c r="U16" i="69" s="1"/>
  <c r="J16" i="69"/>
  <c r="W16" i="69"/>
  <c r="BP16" i="69" s="1"/>
  <c r="AB16" i="69" a="1"/>
  <c r="AB16" i="69" s="1"/>
  <c r="V16" i="69"/>
  <c r="B16" i="69" s="1"/>
  <c r="Z16" i="69"/>
  <c r="AS16" i="69"/>
  <c r="S16" i="69"/>
  <c r="K16" i="69" a="1"/>
  <c r="K16" i="69" s="1"/>
  <c r="P16" i="69"/>
  <c r="M16" i="69"/>
  <c r="AC16" i="69"/>
  <c r="BC16" i="69"/>
  <c r="A16" i="69"/>
  <c r="N16" i="69" a="1"/>
  <c r="N16" i="69" s="1"/>
  <c r="BU16" i="69"/>
  <c r="T34" i="72"/>
  <c r="BL34" i="72"/>
  <c r="AO34" i="72"/>
  <c r="BB34" i="72"/>
  <c r="N34" i="72" a="1"/>
  <c r="N34" i="72" s="1"/>
  <c r="AQ34" i="72"/>
  <c r="M34" i="72"/>
  <c r="U34" i="72" a="1"/>
  <c r="U34" i="72" s="1"/>
  <c r="AA34" i="72" a="1"/>
  <c r="AA34" i="72" s="1"/>
  <c r="Q34" i="72"/>
  <c r="J34" i="72"/>
  <c r="B34" i="72"/>
  <c r="G34" i="72"/>
  <c r="AB34" i="72"/>
  <c r="Z34" i="72"/>
  <c r="P34" i="72"/>
  <c r="AG34" i="72"/>
  <c r="BK34" i="72"/>
  <c r="AN34" i="72"/>
  <c r="S34" i="72"/>
  <c r="AC34" i="72"/>
  <c r="BA34" i="72"/>
  <c r="W34" i="72"/>
  <c r="Y34" i="72"/>
  <c r="X34" i="72"/>
  <c r="AE34" i="72"/>
  <c r="A34" i="72"/>
  <c r="A1439" i="13"/>
  <c r="AX1340" i="13"/>
  <c r="N540" i="15" a="1"/>
  <c r="N540" i="15" s="1"/>
  <c r="N73" i="69" a="1"/>
  <c r="N73" i="69" s="1"/>
  <c r="AR73" i="69"/>
  <c r="BC73" i="69"/>
  <c r="A73" i="69"/>
  <c r="AC73" i="69"/>
  <c r="BB73" i="69"/>
  <c r="AB73" i="69" a="1"/>
  <c r="AB73" i="69" s="1"/>
  <c r="J73" i="69"/>
  <c r="BU73" i="69"/>
  <c r="Y73" i="69"/>
  <c r="AA73" i="69"/>
  <c r="T73" i="69"/>
  <c r="W73" i="69"/>
  <c r="BQ73" i="69" s="1" a="1"/>
  <c r="BQ73" i="69" s="1"/>
  <c r="V73" i="69"/>
  <c r="B73" i="69" s="1"/>
  <c r="Q73" i="69"/>
  <c r="M73" i="69"/>
  <c r="P73" i="69"/>
  <c r="Z73" i="69"/>
  <c r="AS73" i="69"/>
  <c r="S73" i="69"/>
  <c r="U73" i="69" a="1"/>
  <c r="U73" i="69" s="1"/>
  <c r="F79" i="69"/>
  <c r="FE26" i="71"/>
  <c r="F185" i="15" a="1"/>
  <c r="F185" i="15" s="1"/>
  <c r="AX1317" i="13"/>
  <c r="A1416" i="13"/>
  <c r="AR12" i="4"/>
  <c r="AY512" i="13"/>
  <c r="AS12" i="4"/>
  <c r="AR10" i="4"/>
  <c r="AS10" i="4"/>
  <c r="U33" i="69" a="1"/>
  <c r="U33" i="69" s="1"/>
  <c r="J33" i="69"/>
  <c r="Y33" i="69"/>
  <c r="M33" i="69"/>
  <c r="S33" i="69"/>
  <c r="AA33" i="69"/>
  <c r="W33" i="69"/>
  <c r="BP33" i="69" s="1"/>
  <c r="P33" i="69"/>
  <c r="AB33" i="69" a="1"/>
  <c r="AB33" i="69" s="1"/>
  <c r="AC33" i="69"/>
  <c r="T33" i="69"/>
  <c r="N33" i="69" a="1"/>
  <c r="N33" i="69" s="1"/>
  <c r="AR33" i="69"/>
  <c r="AS33" i="69"/>
  <c r="Z33" i="69"/>
  <c r="G33" i="69"/>
  <c r="BU33" i="69"/>
  <c r="V33" i="69"/>
  <c r="B33" i="69" s="1"/>
  <c r="A33" i="69"/>
  <c r="Q33" i="69"/>
  <c r="BB33" i="69"/>
  <c r="BC33" i="69"/>
  <c r="K673" i="15" a="1"/>
  <c r="K673" i="15" s="1"/>
  <c r="AX1359" i="13"/>
  <c r="A1458" i="13"/>
  <c r="AB24" i="72"/>
  <c r="S24" i="72"/>
  <c r="Q24" i="72"/>
  <c r="AE24" i="72"/>
  <c r="AC24" i="72"/>
  <c r="X24" i="72"/>
  <c r="B24" i="72"/>
  <c r="BB24" i="72"/>
  <c r="Y24" i="72"/>
  <c r="W24" i="72"/>
  <c r="P24" i="72"/>
  <c r="BA24" i="72"/>
  <c r="Z24" i="72"/>
  <c r="U24" i="72" a="1"/>
  <c r="U24" i="72" s="1"/>
  <c r="AN24" i="72"/>
  <c r="BL24" i="72"/>
  <c r="BK24" i="72"/>
  <c r="AG24" i="72"/>
  <c r="AO24" i="72"/>
  <c r="T24" i="72"/>
  <c r="N24" i="72" a="1"/>
  <c r="N24" i="72" s="1"/>
  <c r="AQ24" i="72"/>
  <c r="J24" i="72"/>
  <c r="M24" i="72"/>
  <c r="G24" i="72"/>
  <c r="AA24" i="72" a="1"/>
  <c r="AA24" i="72" s="1"/>
  <c r="A24" i="72"/>
  <c r="F64" i="69"/>
  <c r="I44" i="72"/>
  <c r="F402" i="15" a="1"/>
  <c r="F402" i="15" s="1"/>
  <c r="AX1318" i="13"/>
  <c r="A1417" i="13"/>
  <c r="E557" i="15"/>
  <c r="N519" i="15" a="1"/>
  <c r="N519" i="15" s="1"/>
  <c r="F102" i="15" a="1"/>
  <c r="F102" i="15" s="1"/>
  <c r="AO77" i="72"/>
  <c r="AA77" i="72" a="1"/>
  <c r="AA77" i="72" s="1"/>
  <c r="W77" i="72"/>
  <c r="L77" i="72"/>
  <c r="BA77" i="72"/>
  <c r="Z77" i="72"/>
  <c r="Q77" i="72"/>
  <c r="AN77" i="72"/>
  <c r="BK77" i="72"/>
  <c r="Y77" i="72"/>
  <c r="X77" i="72"/>
  <c r="BL77" i="72"/>
  <c r="AC77" i="72"/>
  <c r="M77" i="72"/>
  <c r="BB77" i="72"/>
  <c r="P77" i="72"/>
  <c r="N77" i="72" a="1"/>
  <c r="N77" i="72" s="1"/>
  <c r="T77" i="72"/>
  <c r="AB77" i="72"/>
  <c r="A77" i="72"/>
  <c r="G77" i="72"/>
  <c r="AQ77" i="72"/>
  <c r="AG77" i="72"/>
  <c r="AE77" i="72"/>
  <c r="J77" i="72"/>
  <c r="BR77" i="72"/>
  <c r="K535" i="15" a="1"/>
  <c r="K535" i="15" s="1"/>
  <c r="H623" i="15" a="1"/>
  <c r="H623" i="15" s="1"/>
  <c r="CY66" i="4"/>
  <c r="CZ66" i="4" s="1"/>
  <c r="CY94" i="4"/>
  <c r="CZ94" i="4" s="1"/>
  <c r="A1597" i="13"/>
  <c r="AX1597" i="13" s="1"/>
  <c r="AV1498" i="13"/>
  <c r="AV1597" i="13" s="1"/>
  <c r="AX1498" i="13"/>
  <c r="L498" i="15" a="1"/>
  <c r="L498" i="15" s="1"/>
  <c r="AA71" i="69"/>
  <c r="BU71" i="69"/>
  <c r="BC71" i="69"/>
  <c r="AC71" i="69"/>
  <c r="V71" i="69"/>
  <c r="AB71" i="69" a="1"/>
  <c r="AB71" i="69" s="1"/>
  <c r="T71" i="69"/>
  <c r="W71" i="69"/>
  <c r="BP71" i="69" s="1"/>
  <c r="P71" i="69"/>
  <c r="Y71" i="69"/>
  <c r="A71" i="69"/>
  <c r="J71" i="69"/>
  <c r="AR71" i="69"/>
  <c r="G71" i="69"/>
  <c r="M71" i="69"/>
  <c r="BB71" i="69"/>
  <c r="AS71" i="69"/>
  <c r="L71" i="69"/>
  <c r="Q71" i="69"/>
  <c r="Z71" i="69"/>
  <c r="N71" i="69" a="1"/>
  <c r="N71" i="69" s="1"/>
  <c r="P57" i="72"/>
  <c r="AN57" i="72"/>
  <c r="Z57" i="72"/>
  <c r="AB57" i="72"/>
  <c r="G57" i="72"/>
  <c r="X57" i="72"/>
  <c r="AQ57" i="72"/>
  <c r="J57" i="72"/>
  <c r="W57" i="72"/>
  <c r="BB57" i="72"/>
  <c r="N57" i="72" a="1"/>
  <c r="N57" i="72" s="1"/>
  <c r="T57" i="72"/>
  <c r="BK57" i="72"/>
  <c r="B57" i="72"/>
  <c r="AE57" i="72"/>
  <c r="BL57" i="72"/>
  <c r="M57" i="72"/>
  <c r="Q57" i="72"/>
  <c r="AC57" i="72"/>
  <c r="AA57" i="72" a="1"/>
  <c r="AA57" i="72" s="1"/>
  <c r="AG57" i="72"/>
  <c r="Y57" i="72"/>
  <c r="L57" i="72" s="1"/>
  <c r="AO57" i="72"/>
  <c r="BA57" i="72"/>
  <c r="S57" i="72"/>
  <c r="A57" i="72"/>
  <c r="AV1329" i="13"/>
  <c r="I9" i="27"/>
  <c r="AE67" i="4"/>
  <c r="F242" i="15" a="1"/>
  <c r="F242" i="15" s="1"/>
  <c r="HV37" i="71"/>
  <c r="BU32" i="4"/>
  <c r="BE32" i="4"/>
  <c r="BS32" i="4" s="1"/>
  <c r="BV94" i="72" a="1"/>
  <c r="BV94" i="72" s="1"/>
  <c r="AK94" i="72" a="1"/>
  <c r="AK94" i="72" s="1"/>
  <c r="CY57" i="4"/>
  <c r="CZ57" i="4" s="1"/>
  <c r="F634" i="15" a="1"/>
  <c r="F634" i="15" s="1"/>
  <c r="Y76" i="69"/>
  <c r="A76" i="69"/>
  <c r="Z76" i="69"/>
  <c r="J76" i="69"/>
  <c r="W76" i="69"/>
  <c r="L76" i="69" s="1"/>
  <c r="P76" i="69"/>
  <c r="BU76" i="69"/>
  <c r="N76" i="69" a="1"/>
  <c r="N76" i="69" s="1"/>
  <c r="AC76" i="69"/>
  <c r="V76" i="69"/>
  <c r="B76" i="69" s="1"/>
  <c r="BC76" i="69"/>
  <c r="AA76" i="69"/>
  <c r="AB76" i="69" a="1"/>
  <c r="AB76" i="69" s="1"/>
  <c r="AS76" i="69"/>
  <c r="M76" i="69"/>
  <c r="BB76" i="69"/>
  <c r="AR76" i="69"/>
  <c r="Q76" i="69"/>
  <c r="T76" i="69"/>
  <c r="G76" i="69"/>
  <c r="S76" i="69"/>
  <c r="Z72" i="72"/>
  <c r="A72" i="72"/>
  <c r="X72" i="72"/>
  <c r="BA72" i="72"/>
  <c r="T72" i="72"/>
  <c r="S72" i="72"/>
  <c r="P72" i="72"/>
  <c r="BB72" i="72"/>
  <c r="J72" i="72"/>
  <c r="AC72" i="72"/>
  <c r="N72" i="72" a="1"/>
  <c r="N72" i="72" s="1"/>
  <c r="Q72" i="72"/>
  <c r="M72" i="72"/>
  <c r="AO72" i="72"/>
  <c r="BK72" i="72"/>
  <c r="L72" i="72"/>
  <c r="AQ72" i="72"/>
  <c r="Y72" i="72"/>
  <c r="B72" i="72"/>
  <c r="BL72" i="72"/>
  <c r="W72" i="72"/>
  <c r="AG72" i="72"/>
  <c r="AN72" i="72"/>
  <c r="AA72" i="72" a="1"/>
  <c r="AA72" i="72" s="1"/>
  <c r="AE72" i="72"/>
  <c r="AB72" i="72"/>
  <c r="DF23" i="4" a="1"/>
  <c r="DF23" i="4" s="1"/>
  <c r="L628" i="15" a="1"/>
  <c r="L628" i="15" s="1"/>
  <c r="IE37" i="71"/>
  <c r="BF3" i="4" a="1"/>
  <c r="BF3" i="4" s="1"/>
  <c r="AG67" i="72"/>
  <c r="AA67" i="72" a="1"/>
  <c r="AA67" i="72" s="1"/>
  <c r="BA67" i="72"/>
  <c r="BL67" i="72"/>
  <c r="T67" i="72"/>
  <c r="G67" i="72"/>
  <c r="Q67" i="72"/>
  <c r="AQ67" i="72"/>
  <c r="AB67" i="72"/>
  <c r="AO67" i="72"/>
  <c r="S67" i="72"/>
  <c r="N67" i="72" a="1"/>
  <c r="N67" i="72" s="1"/>
  <c r="W67" i="72"/>
  <c r="X67" i="72"/>
  <c r="B67" i="72"/>
  <c r="A67" i="72"/>
  <c r="BB67" i="72"/>
  <c r="BK67" i="72"/>
  <c r="Z67" i="72"/>
  <c r="P67" i="72"/>
  <c r="J67" i="72"/>
  <c r="M67" i="72"/>
  <c r="L67" i="72"/>
  <c r="Y67" i="72"/>
  <c r="BY67" i="72" s="1"/>
  <c r="AN67" i="72"/>
  <c r="AC67" i="72"/>
  <c r="AE67" i="72"/>
  <c r="AE78" i="4"/>
  <c r="I42" i="72"/>
  <c r="Z95" i="4"/>
  <c r="S95" i="69" s="1"/>
  <c r="E288" i="15"/>
  <c r="P93" i="9"/>
  <c r="E204" i="15"/>
  <c r="F200" i="15" s="1" a="1"/>
  <c r="F200" i="15" s="1"/>
  <c r="C52" i="14"/>
  <c r="BE29" i="4"/>
  <c r="X29" i="4" s="1"/>
  <c r="DC62" i="4" a="1"/>
  <c r="DC62" i="4" s="1"/>
  <c r="E197" i="15"/>
  <c r="AX1381" i="13"/>
  <c r="A1480" i="13"/>
  <c r="AM70" i="4"/>
  <c r="M509" i="15" a="1"/>
  <c r="M509" i="15" s="1"/>
  <c r="N509" i="15" a="1"/>
  <c r="N509" i="15" s="1"/>
  <c r="N500" i="15" a="1"/>
  <c r="N500" i="15" s="1"/>
  <c r="E81" i="4"/>
  <c r="BU81" i="4" s="1"/>
  <c r="DG81" i="4"/>
  <c r="BE81" i="4"/>
  <c r="E327" i="15"/>
  <c r="DG96" i="4"/>
  <c r="E96" i="4"/>
  <c r="AA35" i="72" a="1"/>
  <c r="AA35" i="72" s="1"/>
  <c r="M35" i="72"/>
  <c r="N35" i="72" a="1"/>
  <c r="N35" i="72" s="1"/>
  <c r="X35" i="72"/>
  <c r="AE35" i="72"/>
  <c r="BB35" i="72"/>
  <c r="A35" i="72"/>
  <c r="Q35" i="72"/>
  <c r="U35" i="72" a="1"/>
  <c r="U35" i="72" s="1"/>
  <c r="AC35" i="72"/>
  <c r="AG35" i="72"/>
  <c r="J35" i="72"/>
  <c r="S35" i="72"/>
  <c r="AO35" i="72"/>
  <c r="BA35" i="72"/>
  <c r="G35" i="72"/>
  <c r="AQ35" i="72"/>
  <c r="BK35" i="72"/>
  <c r="B35" i="72"/>
  <c r="AN35" i="72"/>
  <c r="AB35" i="72"/>
  <c r="Y35" i="72"/>
  <c r="BY35" i="72" s="1"/>
  <c r="W35" i="72"/>
  <c r="P35" i="72"/>
  <c r="BL35" i="72"/>
  <c r="T35" i="72"/>
  <c r="Z35" i="72"/>
  <c r="U69" i="72" a="1"/>
  <c r="U69" i="72" s="1"/>
  <c r="J69" i="72"/>
  <c r="AA69" i="72" a="1"/>
  <c r="AA69" i="72" s="1"/>
  <c r="BK69" i="72"/>
  <c r="A69" i="72"/>
  <c r="BL69" i="72"/>
  <c r="AN69" i="72"/>
  <c r="AB69" i="72"/>
  <c r="T69" i="72"/>
  <c r="Q69" i="72"/>
  <c r="W69" i="72"/>
  <c r="AC69" i="72"/>
  <c r="Z69" i="72"/>
  <c r="Y69" i="72"/>
  <c r="L69" i="72" s="1"/>
  <c r="N69" i="72" a="1"/>
  <c r="N69" i="72" s="1"/>
  <c r="BB69" i="72"/>
  <c r="AQ69" i="72"/>
  <c r="AE69" i="72"/>
  <c r="P69" i="72"/>
  <c r="BA69" i="72"/>
  <c r="AG69" i="72"/>
  <c r="X69" i="72"/>
  <c r="AO69" i="72"/>
  <c r="M69" i="72"/>
  <c r="P31" i="9"/>
  <c r="M701" i="15" a="1"/>
  <c r="M701" i="15" s="1"/>
  <c r="BE8" i="4"/>
  <c r="E560" i="15"/>
  <c r="P62" i="9"/>
  <c r="A1444" i="13"/>
  <c r="AX1345" i="13"/>
  <c r="BI5" i="4"/>
  <c r="BM5" i="4"/>
  <c r="AV507" i="13"/>
  <c r="DX5" i="4"/>
  <c r="AV538" i="13"/>
  <c r="DX36" i="4"/>
  <c r="BI36" i="4"/>
  <c r="BM36" i="4"/>
  <c r="BN36" i="4" s="1"/>
  <c r="BF36" i="4" s="1" a="1"/>
  <c r="BF36" i="4" s="1"/>
  <c r="AQ64" i="4"/>
  <c r="AV366" i="13" s="1"/>
  <c r="BJ58" i="72" a="1"/>
  <c r="BJ58" i="72" s="1"/>
  <c r="AX58" i="72" a="1"/>
  <c r="AX58" i="72" s="1"/>
  <c r="AJ58" i="72" a="1"/>
  <c r="AJ58" i="72" s="1"/>
  <c r="BI58" i="72" a="1"/>
  <c r="BI58" i="72" s="1"/>
  <c r="BD58" i="72" a="1"/>
  <c r="BD58" i="72" s="1"/>
  <c r="AZ58" i="72" a="1"/>
  <c r="AZ58" i="72" s="1"/>
  <c r="F74" i="4"/>
  <c r="AR58" i="69"/>
  <c r="BE58" i="69"/>
  <c r="AN58" i="69" s="1" a="1"/>
  <c r="AN58" i="69" s="1"/>
  <c r="BF58" i="69"/>
  <c r="F83" i="4"/>
  <c r="Y30" i="4"/>
  <c r="AU30" i="4" a="1"/>
  <c r="AU30" i="4" s="1"/>
  <c r="AV30" i="4"/>
  <c r="AW30" i="4" a="1"/>
  <c r="AW30" i="4" s="1"/>
  <c r="BR30" i="4"/>
  <c r="AV51" i="4"/>
  <c r="AU51" i="4" a="1"/>
  <c r="AU51" i="4" s="1"/>
  <c r="Y51" i="4"/>
  <c r="AW51" i="4" a="1"/>
  <c r="AW51" i="4" s="1"/>
  <c r="DA51" i="4"/>
  <c r="DB51" i="4" s="1"/>
  <c r="P53" i="9" s="1"/>
  <c r="BR51" i="4"/>
  <c r="N698" i="15" a="1"/>
  <c r="N698" i="15" s="1"/>
  <c r="AU35" i="4" a="1"/>
  <c r="AU35" i="4" s="1"/>
  <c r="H35" i="72" s="1"/>
  <c r="Y35" i="4"/>
  <c r="AW35" i="4" a="1"/>
  <c r="AW35" i="4" s="1"/>
  <c r="C35" i="72" s="1"/>
  <c r="AV35" i="4"/>
  <c r="BR35" i="4"/>
  <c r="DC86" i="4" a="1"/>
  <c r="DC86" i="4" s="1"/>
  <c r="DG86" i="4"/>
  <c r="E253" i="15"/>
  <c r="E61" i="15"/>
  <c r="E86" i="4"/>
  <c r="BU86" i="4" s="1"/>
  <c r="F231" i="15" a="1"/>
  <c r="F231" i="15" s="1"/>
  <c r="F354" i="15" a="1"/>
  <c r="F354" i="15" s="1"/>
  <c r="F73" i="4"/>
  <c r="M486" i="15" a="1"/>
  <c r="M486" i="15" s="1"/>
  <c r="AQ56" i="4"/>
  <c r="AV358" i="13" s="1"/>
  <c r="AQ75" i="4"/>
  <c r="AV377" i="13" s="1"/>
  <c r="BG32" i="4"/>
  <c r="BG54" i="4"/>
  <c r="L45" i="4"/>
  <c r="BH45" i="4"/>
  <c r="AV1143" i="13" s="1"/>
  <c r="BS45" i="4"/>
  <c r="X23" i="69"/>
  <c r="K35" i="69" s="1" a="1"/>
  <c r="K35" i="69" s="1"/>
  <c r="V23" i="72"/>
  <c r="K31" i="72" s="1" a="1"/>
  <c r="K31" i="72" s="1"/>
  <c r="F310" i="15" a="1"/>
  <c r="F310" i="15" s="1"/>
  <c r="F43" i="15" a="1"/>
  <c r="F43" i="15" s="1"/>
  <c r="M540" i="15" a="1"/>
  <c r="M540" i="15" s="1"/>
  <c r="FE19" i="71"/>
  <c r="CW55" i="4"/>
  <c r="CX55" i="4" s="1"/>
  <c r="CX97" i="4" s="1"/>
  <c r="AD55" i="4"/>
  <c r="AY55" i="4"/>
  <c r="AY97" i="4" s="1"/>
  <c r="CY55" i="4"/>
  <c r="CZ55" i="4" s="1"/>
  <c r="FE8" i="71"/>
  <c r="FE33" i="71"/>
  <c r="FE22" i="71"/>
  <c r="FE23" i="71"/>
  <c r="FE31" i="71"/>
  <c r="AY99" i="4"/>
  <c r="FE35" i="71"/>
  <c r="FE36" i="71"/>
  <c r="FE6" i="71"/>
  <c r="FE24" i="71"/>
  <c r="FE30" i="71"/>
  <c r="FE4" i="71"/>
  <c r="CY72" i="4"/>
  <c r="CZ72" i="4" s="1"/>
  <c r="E72" i="4"/>
  <c r="BU72" i="4" s="1"/>
  <c r="DG72" i="4"/>
  <c r="BB39" i="72"/>
  <c r="AA39" i="72" a="1"/>
  <c r="AA39" i="72" s="1"/>
  <c r="W39" i="72"/>
  <c r="T39" i="72"/>
  <c r="A39" i="72"/>
  <c r="Q39" i="72"/>
  <c r="X39" i="72"/>
  <c r="BL39" i="72"/>
  <c r="AN39" i="72"/>
  <c r="BK39" i="72"/>
  <c r="Z39" i="72"/>
  <c r="AE39" i="72"/>
  <c r="AC39" i="72"/>
  <c r="G39" i="72"/>
  <c r="AQ39" i="72"/>
  <c r="J39" i="72"/>
  <c r="P39" i="72"/>
  <c r="AG39" i="72"/>
  <c r="Y39" i="72"/>
  <c r="BY39" i="72" s="1"/>
  <c r="N39" i="72" a="1"/>
  <c r="N39" i="72" s="1"/>
  <c r="AO39" i="72"/>
  <c r="M39" i="72"/>
  <c r="S39" i="72"/>
  <c r="BA39" i="72"/>
  <c r="AB39" i="72"/>
  <c r="U39" i="72" a="1"/>
  <c r="U39" i="72" s="1"/>
  <c r="B39" i="72"/>
  <c r="F304" i="15" a="1"/>
  <c r="F304" i="15" s="1"/>
  <c r="A1451" i="13"/>
  <c r="AX1352" i="13"/>
  <c r="FE10" i="71"/>
  <c r="T83" i="72"/>
  <c r="Q83" i="72"/>
  <c r="BA83" i="72"/>
  <c r="AO83" i="72"/>
  <c r="AE83" i="72"/>
  <c r="P83" i="72"/>
  <c r="AC83" i="72"/>
  <c r="AA83" i="72" a="1"/>
  <c r="AA83" i="72" s="1"/>
  <c r="Z83" i="72"/>
  <c r="M83" i="72"/>
  <c r="Y83" i="72"/>
  <c r="AG83" i="72"/>
  <c r="AQ83" i="72"/>
  <c r="AB83" i="72"/>
  <c r="N83" i="72" a="1"/>
  <c r="N83" i="72" s="1"/>
  <c r="L83" i="72"/>
  <c r="BL83" i="72"/>
  <c r="W83" i="72"/>
  <c r="X83" i="72"/>
  <c r="AN83" i="72"/>
  <c r="J83" i="72"/>
  <c r="BK83" i="72"/>
  <c r="A83" i="72"/>
  <c r="BB83" i="72"/>
  <c r="AU10" i="4" a="1"/>
  <c r="AU10" i="4" s="1"/>
  <c r="AW10" i="4" a="1"/>
  <c r="AW10" i="4" s="1"/>
  <c r="Y10" i="4"/>
  <c r="AV10" i="4"/>
  <c r="CB10" i="4"/>
  <c r="DA10" i="4"/>
  <c r="DB10" i="4" s="1"/>
  <c r="P12" i="9" s="1"/>
  <c r="BR10" i="4"/>
  <c r="F15" i="69"/>
  <c r="F18" i="69"/>
  <c r="IW37" i="71"/>
  <c r="L673" i="15" a="1"/>
  <c r="L673" i="15" s="1"/>
  <c r="AX1378" i="13"/>
  <c r="A1477" i="13"/>
  <c r="N516" i="15" a="1"/>
  <c r="N516" i="15" s="1"/>
  <c r="N481" i="15" a="1"/>
  <c r="N481" i="15" s="1"/>
  <c r="BU45" i="4"/>
  <c r="BE45" i="4"/>
  <c r="Q77" i="69"/>
  <c r="V77" i="69"/>
  <c r="T77" i="69"/>
  <c r="BU77" i="69"/>
  <c r="L77" i="69"/>
  <c r="AR77" i="69"/>
  <c r="AA77" i="69"/>
  <c r="P77" i="69"/>
  <c r="J77" i="69"/>
  <c r="BB77" i="69"/>
  <c r="A77" i="69"/>
  <c r="AC77" i="69"/>
  <c r="W77" i="69"/>
  <c r="BP77" i="69" s="1"/>
  <c r="Y77" i="69"/>
  <c r="BC77" i="69"/>
  <c r="N77" i="69" a="1"/>
  <c r="N77" i="69" s="1"/>
  <c r="G77" i="69"/>
  <c r="AS77" i="69"/>
  <c r="M77" i="69"/>
  <c r="AB77" i="69" a="1"/>
  <c r="AB77" i="69" s="1"/>
  <c r="Z77" i="69"/>
  <c r="BI77" i="69"/>
  <c r="N535" i="15" a="1"/>
  <c r="N535" i="15" s="1"/>
  <c r="N670" i="15" a="1"/>
  <c r="N670" i="15" s="1"/>
  <c r="K670" i="15" a="1"/>
  <c r="K670" i="15" s="1"/>
  <c r="M670" i="15" a="1"/>
  <c r="M670" i="15" s="1"/>
  <c r="K663" i="15" a="1"/>
  <c r="K663" i="15" s="1"/>
  <c r="M663" i="15" a="1"/>
  <c r="M663" i="15" s="1"/>
  <c r="N663" i="15" a="1"/>
  <c r="N663" i="15" s="1"/>
  <c r="AY506" i="13"/>
  <c r="AS4" i="4"/>
  <c r="AR4" i="4"/>
  <c r="DC94" i="4" a="1"/>
  <c r="DC94" i="4" s="1"/>
  <c r="DC74" i="4" a="1"/>
  <c r="DC74" i="4" s="1"/>
  <c r="N498" i="15" a="1"/>
  <c r="N498" i="15" s="1"/>
  <c r="BK71" i="72"/>
  <c r="BL71" i="72"/>
  <c r="AA71" i="72" a="1"/>
  <c r="AA71" i="72" s="1"/>
  <c r="P71" i="72"/>
  <c r="A71" i="72"/>
  <c r="T71" i="72"/>
  <c r="AQ71" i="72"/>
  <c r="AN71" i="72"/>
  <c r="AG71" i="72"/>
  <c r="Q71" i="72"/>
  <c r="AO71" i="72"/>
  <c r="Z71" i="72"/>
  <c r="M71" i="72"/>
  <c r="AC71" i="72"/>
  <c r="X71" i="72"/>
  <c r="BB71" i="72"/>
  <c r="N71" i="72" a="1"/>
  <c r="N71" i="72" s="1"/>
  <c r="J71" i="72"/>
  <c r="AB71" i="72"/>
  <c r="Y71" i="72"/>
  <c r="BY71" i="72" s="1"/>
  <c r="L71" i="72"/>
  <c r="G71" i="72"/>
  <c r="AE71" i="72"/>
  <c r="W71" i="72"/>
  <c r="BA71" i="72"/>
  <c r="BU57" i="69"/>
  <c r="AR57" i="69"/>
  <c r="M57" i="69"/>
  <c r="Q57" i="69"/>
  <c r="AA57" i="69"/>
  <c r="P57" i="69"/>
  <c r="AB57" i="69" a="1"/>
  <c r="AB57" i="69" s="1"/>
  <c r="A57" i="69"/>
  <c r="AS57" i="69"/>
  <c r="N57" i="69" a="1"/>
  <c r="N57" i="69" s="1"/>
  <c r="Z57" i="69"/>
  <c r="G57" i="69"/>
  <c r="T57" i="69"/>
  <c r="BB57" i="69"/>
  <c r="S57" i="69"/>
  <c r="J57" i="69"/>
  <c r="BC57" i="69"/>
  <c r="AC57" i="69"/>
  <c r="V57" i="69"/>
  <c r="B57" i="69" s="1"/>
  <c r="Y57" i="69"/>
  <c r="W57" i="69"/>
  <c r="BQ57" i="69" s="1" a="1"/>
  <c r="BQ57" i="69" s="1"/>
  <c r="F48" i="72"/>
  <c r="AQ76" i="72"/>
  <c r="BK76" i="72"/>
  <c r="N76" i="72" a="1"/>
  <c r="N76" i="72" s="1"/>
  <c r="AN76" i="72"/>
  <c r="BA76" i="72"/>
  <c r="AA76" i="72" a="1"/>
  <c r="AA76" i="72" s="1"/>
  <c r="AC76" i="72"/>
  <c r="W76" i="72"/>
  <c r="Q76" i="72"/>
  <c r="Z76" i="72"/>
  <c r="AB76" i="72"/>
  <c r="AE76" i="72"/>
  <c r="AO76" i="72"/>
  <c r="BB76" i="72"/>
  <c r="J76" i="72"/>
  <c r="X76" i="72"/>
  <c r="A76" i="72"/>
  <c r="Y76" i="72"/>
  <c r="M76" i="72"/>
  <c r="T76" i="72"/>
  <c r="AG76" i="72"/>
  <c r="P76" i="72"/>
  <c r="BL76" i="72"/>
  <c r="G76" i="72"/>
  <c r="S76" i="72"/>
  <c r="B76" i="72"/>
  <c r="T72" i="69"/>
  <c r="L72" i="69"/>
  <c r="BU72" i="69"/>
  <c r="AS72" i="69"/>
  <c r="Z72" i="69"/>
  <c r="J72" i="69"/>
  <c r="AB72" i="69" a="1"/>
  <c r="AB72" i="69" s="1"/>
  <c r="BB72" i="69"/>
  <c r="P72" i="69"/>
  <c r="Q72" i="69"/>
  <c r="AC72" i="69"/>
  <c r="A72" i="69"/>
  <c r="N72" i="69" a="1"/>
  <c r="N72" i="69" s="1"/>
  <c r="AR72" i="69"/>
  <c r="S72" i="69"/>
  <c r="W72" i="69"/>
  <c r="AA72" i="69"/>
  <c r="M72" i="69"/>
  <c r="BC72" i="69"/>
  <c r="V72" i="69"/>
  <c r="B72" i="69" s="1"/>
  <c r="Y72" i="69"/>
  <c r="Z70" i="4"/>
  <c r="AV1267" i="13" s="1"/>
  <c r="AE74" i="4"/>
  <c r="FE28" i="71"/>
  <c r="N581" i="15" a="1"/>
  <c r="N581" i="15" s="1"/>
  <c r="K578" i="15" a="1"/>
  <c r="K578" i="15" s="1"/>
  <c r="L578" i="15" a="1"/>
  <c r="L578" i="15" s="1"/>
  <c r="N578" i="15" a="1"/>
  <c r="N578" i="15" s="1"/>
  <c r="M578" i="15" a="1"/>
  <c r="M578" i="15" s="1"/>
  <c r="K628" i="15" a="1"/>
  <c r="K628" i="15" s="1"/>
  <c r="FE5" i="71"/>
  <c r="AO31" i="72"/>
  <c r="X31" i="72"/>
  <c r="U31" i="72" a="1"/>
  <c r="U31" i="72" s="1"/>
  <c r="J31" i="72"/>
  <c r="Q31" i="72"/>
  <c r="N31" i="72" a="1"/>
  <c r="N31" i="72" s="1"/>
  <c r="W31" i="72"/>
  <c r="P31" i="72"/>
  <c r="AC31" i="72"/>
  <c r="BK31" i="72"/>
  <c r="BA31" i="72"/>
  <c r="B31" i="72"/>
  <c r="AE31" i="72"/>
  <c r="BL31" i="72"/>
  <c r="AA31" i="72" a="1"/>
  <c r="AA31" i="72" s="1"/>
  <c r="AB31" i="72"/>
  <c r="AN31" i="72"/>
  <c r="M31" i="72"/>
  <c r="L31" i="72"/>
  <c r="G31" i="72"/>
  <c r="AG31" i="72"/>
  <c r="BB31" i="72"/>
  <c r="S31" i="72"/>
  <c r="AQ31" i="72"/>
  <c r="A31" i="72"/>
  <c r="Y31" i="72"/>
  <c r="BY31" i="72" s="1"/>
  <c r="Z31" i="72"/>
  <c r="T31" i="72"/>
  <c r="FF38" i="71"/>
  <c r="CY61" i="4"/>
  <c r="CZ61" i="4" s="1"/>
  <c r="AS12" i="69"/>
  <c r="W12" i="69"/>
  <c r="BP12" i="69" s="1"/>
  <c r="Z12" i="69"/>
  <c r="AR12" i="69"/>
  <c r="V12" i="69"/>
  <c r="B12" i="69" s="1"/>
  <c r="BB12" i="69"/>
  <c r="BC12" i="69"/>
  <c r="Y12" i="69"/>
  <c r="A12" i="69"/>
  <c r="AB12" i="69" a="1"/>
  <c r="AB12" i="69" s="1"/>
  <c r="M12" i="69"/>
  <c r="T12" i="69"/>
  <c r="S12" i="69"/>
  <c r="N12" i="69" a="1"/>
  <c r="N12" i="69" s="1"/>
  <c r="G12" i="69"/>
  <c r="AA12" i="69"/>
  <c r="AC12" i="69"/>
  <c r="J12" i="69"/>
  <c r="Q12" i="69"/>
  <c r="K12" i="69" a="1"/>
  <c r="K12" i="69" s="1"/>
  <c r="P12" i="69"/>
  <c r="BU12" i="69"/>
  <c r="L12" i="69"/>
  <c r="U12" i="69" a="1"/>
  <c r="U12" i="69" s="1"/>
  <c r="Z93" i="4"/>
  <c r="AV1290" i="13" s="1"/>
  <c r="DC87" i="4" a="1"/>
  <c r="DC87" i="4" s="1"/>
  <c r="E225" i="15"/>
  <c r="E87" i="4"/>
  <c r="BU87" i="4" s="1"/>
  <c r="DG87" i="4"/>
  <c r="BE87" i="4"/>
  <c r="B96" i="72"/>
  <c r="M96" i="69"/>
  <c r="AV198" i="13"/>
  <c r="M96" i="72"/>
  <c r="BW94" i="72" a="1"/>
  <c r="BW94" i="72" s="1"/>
  <c r="T35" i="69"/>
  <c r="S35" i="69"/>
  <c r="V35" i="69"/>
  <c r="B35" i="69" s="1"/>
  <c r="J35" i="69"/>
  <c r="W35" i="69"/>
  <c r="L35" i="69" s="1"/>
  <c r="Q35" i="69"/>
  <c r="AS35" i="69"/>
  <c r="Y35" i="69"/>
  <c r="A35" i="69"/>
  <c r="M35" i="69"/>
  <c r="Z35" i="69"/>
  <c r="AA35" i="69"/>
  <c r="U35" i="69" a="1"/>
  <c r="U35" i="69" s="1"/>
  <c r="P35" i="69"/>
  <c r="AR35" i="69"/>
  <c r="BC35" i="69"/>
  <c r="N35" i="69" a="1"/>
  <c r="N35" i="69" s="1"/>
  <c r="BB35" i="69"/>
  <c r="G35" i="69"/>
  <c r="AB35" i="69" a="1"/>
  <c r="AB35" i="69" s="1"/>
  <c r="BU35" i="69"/>
  <c r="AC35" i="69"/>
  <c r="AS69" i="69"/>
  <c r="AR69" i="69"/>
  <c r="BB69" i="69"/>
  <c r="AA69" i="69"/>
  <c r="A69" i="69"/>
  <c r="Z69" i="69"/>
  <c r="Y69" i="69"/>
  <c r="AC69" i="69"/>
  <c r="V69" i="69"/>
  <c r="T69" i="69"/>
  <c r="P69" i="69"/>
  <c r="M69" i="69"/>
  <c r="W69" i="69"/>
  <c r="L69" i="69" s="1"/>
  <c r="BC69" i="69"/>
  <c r="AB69" i="69" a="1"/>
  <c r="AB69" i="69" s="1"/>
  <c r="Q69" i="69"/>
  <c r="BU69" i="69"/>
  <c r="J69" i="69"/>
  <c r="N69" i="69" a="1"/>
  <c r="N69" i="69" s="1"/>
  <c r="U69" i="69" a="1"/>
  <c r="U69" i="69" s="1"/>
  <c r="AI93" i="4"/>
  <c r="AV1389" i="13" s="1"/>
  <c r="K665" i="15" a="1"/>
  <c r="K665" i="15" s="1"/>
  <c r="K701" i="15" a="1"/>
  <c r="K701" i="15" s="1"/>
  <c r="T95" i="69"/>
  <c r="CY81" i="4"/>
  <c r="CZ81" i="4" s="1"/>
  <c r="F91" i="4"/>
  <c r="CB25" i="4"/>
  <c r="AW25" i="4" a="1"/>
  <c r="AW25" i="4" s="1"/>
  <c r="AU25" i="4" a="1"/>
  <c r="AU25" i="4" s="1"/>
  <c r="AV25" i="4"/>
  <c r="Y25" i="4"/>
  <c r="BR25" i="4"/>
  <c r="F66" i="4"/>
  <c r="U58" i="69" a="1"/>
  <c r="U58" i="69" s="1"/>
  <c r="AV536" i="13"/>
  <c r="DX34" i="4"/>
  <c r="BI34" i="4"/>
  <c r="BM34" i="4"/>
  <c r="BN34" i="4" s="1"/>
  <c r="BF34" i="4" s="1" a="1"/>
  <c r="BF34" i="4" s="1"/>
  <c r="AU54" i="4" a="1"/>
  <c r="AU54" i="4" s="1"/>
  <c r="H54" i="72" s="1"/>
  <c r="AW54" i="4" a="1"/>
  <c r="AW54" i="4" s="1"/>
  <c r="C54" i="72" s="1"/>
  <c r="D54" i="72" s="1" a="1"/>
  <c r="D54" i="72" s="1"/>
  <c r="Y54" i="4"/>
  <c r="AV54" i="4"/>
  <c r="BR54" i="4"/>
  <c r="BI51" i="4"/>
  <c r="AV553" i="13"/>
  <c r="DX51" i="4"/>
  <c r="BM51" i="4"/>
  <c r="BN51" i="4" s="1"/>
  <c r="BF51" i="4" s="1" a="1"/>
  <c r="BF51" i="4" s="1"/>
  <c r="F57" i="4"/>
  <c r="AV541" i="13"/>
  <c r="BI39" i="4"/>
  <c r="BM39" i="4"/>
  <c r="BN39" i="4" s="1"/>
  <c r="BF39" i="4" s="1" a="1"/>
  <c r="BF39" i="4" s="1"/>
  <c r="DX39" i="4"/>
  <c r="N486" i="15" a="1"/>
  <c r="N486" i="15" s="1"/>
  <c r="E90" i="4"/>
  <c r="BU90" i="4" s="1"/>
  <c r="DG90" i="4"/>
  <c r="AQ87" i="4"/>
  <c r="AV389" i="13" s="1"/>
  <c r="DX17" i="4"/>
  <c r="AV519" i="13"/>
  <c r="BM17" i="4"/>
  <c r="BN17" i="4" s="1"/>
  <c r="BF17" i="4" s="1" a="1"/>
  <c r="BF17" i="4" s="1"/>
  <c r="BI17" i="4"/>
  <c r="BH96" i="72" a="1"/>
  <c r="BH96" i="72" s="1"/>
  <c r="AE80" i="4"/>
  <c r="E80" i="4"/>
  <c r="BU80" i="4" s="1"/>
  <c r="DG80" i="4"/>
  <c r="BS51" i="4"/>
  <c r="O51" i="72" s="1"/>
  <c r="BH51" i="4"/>
  <c r="AV1149" i="13" s="1"/>
  <c r="BH34" i="4"/>
  <c r="AV1132" i="13" s="1"/>
  <c r="BH47" i="4"/>
  <c r="AV1145" i="13" s="1"/>
  <c r="BH21" i="4"/>
  <c r="AV1119" i="13" s="1"/>
  <c r="BS21" i="4"/>
  <c r="Z60" i="4"/>
  <c r="AV1257" i="13" s="1"/>
  <c r="BH49" i="4"/>
  <c r="AV1147" i="13" s="1"/>
  <c r="X49" i="4"/>
  <c r="BG42" i="4"/>
  <c r="BG15" i="4"/>
  <c r="CY83" i="4"/>
  <c r="CZ83" i="4" s="1"/>
  <c r="E57" i="15"/>
  <c r="E83" i="4"/>
  <c r="BU83" i="4" s="1"/>
  <c r="DG83" i="4"/>
  <c r="E506" i="15"/>
  <c r="A14" i="69"/>
  <c r="BC14" i="69"/>
  <c r="M14" i="69"/>
  <c r="V14" i="69"/>
  <c r="B14" i="69" s="1"/>
  <c r="N14" i="69" a="1"/>
  <c r="N14" i="69" s="1"/>
  <c r="Z14" i="69"/>
  <c r="P14" i="69"/>
  <c r="U14" i="69" a="1"/>
  <c r="U14" i="69" s="1"/>
  <c r="T14" i="69"/>
  <c r="G14" i="69"/>
  <c r="S14" i="69"/>
  <c r="AB14" i="69" a="1"/>
  <c r="AB14" i="69" s="1"/>
  <c r="AC14" i="69"/>
  <c r="AA14" i="69"/>
  <c r="K14" i="69" a="1"/>
  <c r="K14" i="69" s="1"/>
  <c r="AR14" i="69"/>
  <c r="BB14" i="69"/>
  <c r="W14" i="69"/>
  <c r="BP14" i="69" s="1"/>
  <c r="Q14" i="69"/>
  <c r="J14" i="69"/>
  <c r="BU14" i="69"/>
  <c r="AS14" i="69"/>
  <c r="L14" i="69"/>
  <c r="Y14" i="69"/>
  <c r="AV1301" i="13"/>
  <c r="CE96" i="72" a="1"/>
  <c r="CE96" i="72" s="1"/>
  <c r="K494" i="15" a="1"/>
  <c r="K494" i="15" s="1"/>
  <c r="E427" i="15"/>
  <c r="F413" i="15" a="1"/>
  <c r="F413" i="15" s="1"/>
  <c r="K480" i="15" a="1"/>
  <c r="K480" i="15" s="1"/>
  <c r="F480" i="15" a="1"/>
  <c r="F480" i="15" s="1"/>
  <c r="B41" i="72"/>
  <c r="AB41" i="72"/>
  <c r="AE41" i="72"/>
  <c r="G41" i="72"/>
  <c r="J41" i="72"/>
  <c r="M41" i="72"/>
  <c r="W41" i="72"/>
  <c r="Y41" i="72"/>
  <c r="X41" i="72"/>
  <c r="Q41" i="72"/>
  <c r="AA41" i="72" a="1"/>
  <c r="AA41" i="72" s="1"/>
  <c r="U41" i="72" a="1"/>
  <c r="U41" i="72" s="1"/>
  <c r="AQ41" i="72"/>
  <c r="L41" i="72"/>
  <c r="AG41" i="72"/>
  <c r="BL41" i="72"/>
  <c r="AO41" i="72"/>
  <c r="S41" i="72"/>
  <c r="N41" i="72" a="1"/>
  <c r="N41" i="72" s="1"/>
  <c r="BA41" i="72"/>
  <c r="A41" i="72"/>
  <c r="Z41" i="72"/>
  <c r="AN41" i="72"/>
  <c r="BK41" i="72"/>
  <c r="AC41" i="72"/>
  <c r="P41" i="72"/>
  <c r="T41" i="72"/>
  <c r="BB41" i="72"/>
  <c r="BZ55" i="4" a="1"/>
  <c r="BZ55" i="4" s="1"/>
  <c r="CA55" i="4" a="1"/>
  <c r="CA55" i="4" s="1"/>
  <c r="BY55" i="4" s="1" a="1"/>
  <c r="BY55" i="4" s="1"/>
  <c r="AB39" i="69" a="1"/>
  <c r="AB39" i="69" s="1"/>
  <c r="Z39" i="69"/>
  <c r="V39" i="69"/>
  <c r="B39" i="69" s="1"/>
  <c r="T39" i="69"/>
  <c r="BU39" i="69"/>
  <c r="Q39" i="69"/>
  <c r="J39" i="69"/>
  <c r="P39" i="69"/>
  <c r="S39" i="69"/>
  <c r="M39" i="69"/>
  <c r="W39" i="69"/>
  <c r="BQ39" i="69" s="1" a="1"/>
  <c r="BQ39" i="69" s="1"/>
  <c r="U39" i="69" a="1"/>
  <c r="U39" i="69" s="1"/>
  <c r="AC39" i="69"/>
  <c r="G39" i="69"/>
  <c r="AR39" i="69"/>
  <c r="BC39" i="69"/>
  <c r="AA39" i="69"/>
  <c r="A39" i="69"/>
  <c r="AS39" i="69"/>
  <c r="N39" i="69" a="1"/>
  <c r="N39" i="69" s="1"/>
  <c r="BB39" i="69"/>
  <c r="Y39" i="69"/>
  <c r="F77" i="69"/>
  <c r="F258" i="15" a="1"/>
  <c r="F258" i="15" s="1"/>
  <c r="GR37" i="71"/>
  <c r="A83" i="69"/>
  <c r="Q83" i="69"/>
  <c r="BC83" i="69"/>
  <c r="AA83" i="69"/>
  <c r="M83" i="69"/>
  <c r="AS83" i="69"/>
  <c r="L83" i="69"/>
  <c r="AB83" i="69" a="1"/>
  <c r="AB83" i="69" s="1"/>
  <c r="W83" i="69"/>
  <c r="BB83" i="69"/>
  <c r="BU83" i="69"/>
  <c r="Z83" i="69"/>
  <c r="P83" i="69"/>
  <c r="T83" i="69"/>
  <c r="AR83" i="69"/>
  <c r="AC83" i="69"/>
  <c r="V83" i="69"/>
  <c r="N83" i="69" a="1"/>
  <c r="N83" i="69" s="1"/>
  <c r="Y83" i="69"/>
  <c r="J83" i="69"/>
  <c r="AI91" i="4"/>
  <c r="AV1387" i="13" s="1"/>
  <c r="P61" i="9"/>
  <c r="E390" i="15"/>
  <c r="F71" i="4"/>
  <c r="E71" i="4"/>
  <c r="BU71" i="4" s="1"/>
  <c r="DG71" i="4"/>
  <c r="AX1382" i="13"/>
  <c r="A1481" i="13"/>
  <c r="Q18" i="69"/>
  <c r="AC18" i="69"/>
  <c r="T18" i="69"/>
  <c r="BC18" i="69"/>
  <c r="S18" i="69"/>
  <c r="G18" i="69"/>
  <c r="P18" i="69"/>
  <c r="AS18" i="69"/>
  <c r="BU18" i="69"/>
  <c r="A18" i="69"/>
  <c r="N18" i="69" a="1"/>
  <c r="N18" i="69" s="1"/>
  <c r="AB18" i="69" a="1"/>
  <c r="AB18" i="69" s="1"/>
  <c r="AR18" i="69"/>
  <c r="Y18" i="69"/>
  <c r="V18" i="69"/>
  <c r="B18" i="69" s="1"/>
  <c r="W18" i="69"/>
  <c r="BP18" i="69" s="1"/>
  <c r="BB18" i="69"/>
  <c r="Z18" i="69"/>
  <c r="J18" i="69"/>
  <c r="AA18" i="69"/>
  <c r="K18" i="69" a="1"/>
  <c r="K18" i="69" s="1"/>
  <c r="U18" i="69" a="1"/>
  <c r="U18" i="69" s="1"/>
  <c r="M18" i="69"/>
  <c r="F5" i="69"/>
  <c r="AI65" i="4"/>
  <c r="AV1361" i="13" s="1"/>
  <c r="F59" i="72"/>
  <c r="F594" i="15" a="1"/>
  <c r="F594" i="15" s="1"/>
  <c r="A1457" i="13"/>
  <c r="AX1358" i="13"/>
  <c r="K516" i="15" a="1"/>
  <c r="K516" i="15" s="1"/>
  <c r="K481" i="15" a="1"/>
  <c r="K481" i="15" s="1"/>
  <c r="AR61" i="69"/>
  <c r="BC61" i="69"/>
  <c r="Q61" i="69"/>
  <c r="V61" i="69"/>
  <c r="B61" i="69" s="1"/>
  <c r="W61" i="69"/>
  <c r="BP61" i="69" s="1"/>
  <c r="Z61" i="69"/>
  <c r="AC61" i="69"/>
  <c r="BU61" i="69"/>
  <c r="J61" i="69"/>
  <c r="N61" i="69" a="1"/>
  <c r="N61" i="69" s="1"/>
  <c r="T61" i="69"/>
  <c r="AS61" i="69"/>
  <c r="Y61" i="69"/>
  <c r="P61" i="69"/>
  <c r="L61" i="69"/>
  <c r="AB61" i="69" a="1"/>
  <c r="AB61" i="69" s="1"/>
  <c r="BB61" i="69"/>
  <c r="M61" i="69"/>
  <c r="A61" i="69"/>
  <c r="AA61" i="69"/>
  <c r="S61" i="69"/>
  <c r="Z44" i="23"/>
  <c r="F306" i="15" a="1"/>
  <c r="F306" i="15" s="1"/>
  <c r="M535" i="15" a="1"/>
  <c r="M535" i="15" s="1"/>
  <c r="P63" i="9"/>
  <c r="AE94" i="4"/>
  <c r="K675" i="15" a="1"/>
  <c r="K675" i="15" s="1"/>
  <c r="A22" i="69"/>
  <c r="V22" i="69"/>
  <c r="B22" i="69" s="1"/>
  <c r="S22" i="69"/>
  <c r="Y22" i="69"/>
  <c r="AB22" i="69" a="1"/>
  <c r="AB22" i="69" s="1"/>
  <c r="AA22" i="69"/>
  <c r="Q22" i="69"/>
  <c r="T22" i="69"/>
  <c r="AS22" i="69"/>
  <c r="G22" i="69"/>
  <c r="U22" i="69" a="1"/>
  <c r="U22" i="69" s="1"/>
  <c r="K22" i="69" a="1"/>
  <c r="K22" i="69" s="1"/>
  <c r="Z22" i="69"/>
  <c r="AR22" i="69"/>
  <c r="M22" i="69"/>
  <c r="P22" i="69"/>
  <c r="N22" i="69" a="1"/>
  <c r="N22" i="69" s="1"/>
  <c r="BB22" i="69"/>
  <c r="W22" i="69"/>
  <c r="L22" i="69" s="1"/>
  <c r="AC22" i="69"/>
  <c r="J22" i="69"/>
  <c r="BU22" i="69"/>
  <c r="BC22" i="69"/>
  <c r="BK22" i="69"/>
  <c r="O22" i="69"/>
  <c r="I32" i="69"/>
  <c r="F448" i="15" a="1"/>
  <c r="F448" i="15" s="1"/>
  <c r="P20" i="9"/>
  <c r="N68" i="69" a="1"/>
  <c r="N68" i="69" s="1"/>
  <c r="Z68" i="69"/>
  <c r="AA68" i="69"/>
  <c r="W68" i="69"/>
  <c r="BP68" i="69" s="1"/>
  <c r="T68" i="69"/>
  <c r="V68" i="69"/>
  <c r="B68" i="69" s="1"/>
  <c r="M68" i="69"/>
  <c r="Y68" i="69"/>
  <c r="P68" i="69"/>
  <c r="L68" i="69"/>
  <c r="AS68" i="69"/>
  <c r="BU68" i="69"/>
  <c r="BB68" i="69"/>
  <c r="AR68" i="69"/>
  <c r="A68" i="69"/>
  <c r="Q68" i="69"/>
  <c r="G68" i="69"/>
  <c r="BC68" i="69"/>
  <c r="AC68" i="69"/>
  <c r="AB68" i="69" a="1"/>
  <c r="AB68" i="69" s="1"/>
  <c r="S68" i="69"/>
  <c r="J68" i="69"/>
  <c r="I19" i="69"/>
  <c r="N628" i="15" a="1"/>
  <c r="N628" i="15" s="1"/>
  <c r="P71" i="9"/>
  <c r="K646" i="15" a="1"/>
  <c r="K646" i="15" s="1"/>
  <c r="A1356" i="13"/>
  <c r="AX1257" i="13"/>
  <c r="F240" i="15" a="1"/>
  <c r="F240" i="15" s="1"/>
  <c r="AX1388" i="13"/>
  <c r="A1487" i="13"/>
  <c r="P31" i="69"/>
  <c r="G31" i="69"/>
  <c r="AS31" i="69"/>
  <c r="M31" i="69"/>
  <c r="T31" i="69"/>
  <c r="W31" i="69"/>
  <c r="BP31" i="69" s="1"/>
  <c r="N31" i="69" a="1"/>
  <c r="N31" i="69" s="1"/>
  <c r="Y31" i="69"/>
  <c r="Z31" i="69"/>
  <c r="AC31" i="69"/>
  <c r="BU31" i="69"/>
  <c r="AB31" i="69" a="1"/>
  <c r="AB31" i="69" s="1"/>
  <c r="J31" i="69"/>
  <c r="S31" i="69"/>
  <c r="AR31" i="69"/>
  <c r="A31" i="69"/>
  <c r="U31" i="69" a="1"/>
  <c r="U31" i="69" s="1"/>
  <c r="V31" i="69"/>
  <c r="B31" i="69" s="1"/>
  <c r="BB31" i="69"/>
  <c r="L31" i="69"/>
  <c r="BC31" i="69"/>
  <c r="AA31" i="69"/>
  <c r="Q31" i="69"/>
  <c r="AI85" i="4"/>
  <c r="AV1381" i="13" s="1"/>
  <c r="L531" i="15" a="1"/>
  <c r="L531" i="15" s="1"/>
  <c r="N531" i="15" a="1"/>
  <c r="N531" i="15" s="1"/>
  <c r="DG76" i="4"/>
  <c r="E88" i="15"/>
  <c r="E475" i="15"/>
  <c r="E76" i="4"/>
  <c r="BU76" i="4" s="1"/>
  <c r="E162" i="15"/>
  <c r="E400" i="15"/>
  <c r="BB12" i="72"/>
  <c r="BA12" i="72"/>
  <c r="Q12" i="72"/>
  <c r="P12" i="72"/>
  <c r="G12" i="72"/>
  <c r="AQ12" i="72"/>
  <c r="X12" i="72"/>
  <c r="A12" i="72"/>
  <c r="B12" i="72"/>
  <c r="M12" i="72"/>
  <c r="T12" i="72"/>
  <c r="AE12" i="72"/>
  <c r="AA12" i="72" a="1"/>
  <c r="AA12" i="72" s="1"/>
  <c r="BL12" i="72"/>
  <c r="AB12" i="72"/>
  <c r="L12" i="72"/>
  <c r="W12" i="72"/>
  <c r="J12" i="72"/>
  <c r="N12" i="72" a="1"/>
  <c r="N12" i="72" s="1"/>
  <c r="BK12" i="72"/>
  <c r="U12" i="72" a="1"/>
  <c r="U12" i="72" s="1"/>
  <c r="Y12" i="72"/>
  <c r="AG12" i="72"/>
  <c r="AO12" i="72"/>
  <c r="AC12" i="72"/>
  <c r="K12" i="72" a="1"/>
  <c r="K12" i="72" s="1"/>
  <c r="Z12" i="72"/>
  <c r="S12" i="72"/>
  <c r="AN12" i="72"/>
  <c r="AM57" i="4"/>
  <c r="AM59" i="4"/>
  <c r="P57" i="9"/>
  <c r="AX1322" i="13"/>
  <c r="A1421" i="13"/>
  <c r="AU4" i="4" a="1"/>
  <c r="AU4" i="4" s="1"/>
  <c r="AW4" i="4" a="1"/>
  <c r="AW4" i="4" s="1"/>
  <c r="AV4" i="4"/>
  <c r="Y4" i="4"/>
  <c r="CB4" i="4"/>
  <c r="DA4" i="4"/>
  <c r="DB4" i="4" s="1"/>
  <c r="BR4" i="4"/>
  <c r="AO46" i="72"/>
  <c r="AC46" i="72"/>
  <c r="Q46" i="72"/>
  <c r="P46" i="72"/>
  <c r="BB46" i="72"/>
  <c r="M46" i="72"/>
  <c r="BA46" i="72"/>
  <c r="Z46" i="72"/>
  <c r="N46" i="72" a="1"/>
  <c r="N46" i="72" s="1"/>
  <c r="AB46" i="72"/>
  <c r="T46" i="72"/>
  <c r="AQ46" i="72"/>
  <c r="W46" i="72"/>
  <c r="AG46" i="72"/>
  <c r="B46" i="72"/>
  <c r="S46" i="72"/>
  <c r="J46" i="72"/>
  <c r="X46" i="72"/>
  <c r="AA46" i="72" a="1"/>
  <c r="AA46" i="72" s="1"/>
  <c r="BK46" i="72"/>
  <c r="BL46" i="72"/>
  <c r="AN46" i="72"/>
  <c r="A46" i="72"/>
  <c r="Y46" i="72"/>
  <c r="AE46" i="72"/>
  <c r="U46" i="72" a="1"/>
  <c r="U46" i="72" s="1"/>
  <c r="K46" i="72" a="1"/>
  <c r="K46" i="72" s="1"/>
  <c r="AE76" i="4"/>
  <c r="E163" i="15"/>
  <c r="N665" i="15" a="1"/>
  <c r="N665" i="15" s="1"/>
  <c r="P34" i="9"/>
  <c r="N701" i="15" a="1"/>
  <c r="N701" i="15" s="1"/>
  <c r="AX1316" i="13"/>
  <c r="A1415" i="13"/>
  <c r="E273" i="15"/>
  <c r="DC81" i="4" a="1"/>
  <c r="DC81" i="4" s="1"/>
  <c r="L634" i="15" a="1"/>
  <c r="L634" i="15" s="1"/>
  <c r="P22" i="9"/>
  <c r="AU38" i="4" a="1"/>
  <c r="AU38" i="4" s="1"/>
  <c r="H38" i="69" s="1"/>
  <c r="Y38" i="4"/>
  <c r="AW38" i="4" a="1"/>
  <c r="AW38" i="4" s="1"/>
  <c r="C38" i="69" s="1"/>
  <c r="AV38" i="4"/>
  <c r="BR38" i="4"/>
  <c r="DA38" i="4"/>
  <c r="DB38" i="4" s="1"/>
  <c r="P40" i="9" s="1"/>
  <c r="AX1365" i="13"/>
  <c r="A1464" i="13"/>
  <c r="Y7" i="4"/>
  <c r="AU7" i="4" a="1"/>
  <c r="AU7" i="4" s="1"/>
  <c r="AV7" i="4"/>
  <c r="AW7" i="4" a="1"/>
  <c r="AW7" i="4" s="1"/>
  <c r="BR7" i="4"/>
  <c r="AU58" i="72" a="1"/>
  <c r="AU58" i="72" s="1"/>
  <c r="AL58" i="72" a="1"/>
  <c r="AL58" i="72" s="1"/>
  <c r="BP58" i="72"/>
  <c r="BF58" i="72" s="1" a="1"/>
  <c r="BF58" i="72" s="1"/>
  <c r="BW58" i="72" a="1"/>
  <c r="BW58" i="72" s="1"/>
  <c r="R58" i="72"/>
  <c r="AY58" i="72" a="1"/>
  <c r="AY58" i="72" s="1"/>
  <c r="BM58" i="72"/>
  <c r="AT58" i="72" a="1"/>
  <c r="AT58" i="72" s="1"/>
  <c r="BV58" i="72" a="1"/>
  <c r="BV58" i="72" s="1"/>
  <c r="AS58" i="72" a="1"/>
  <c r="AS58" i="72" s="1"/>
  <c r="AW58" i="72"/>
  <c r="BM58" i="69" a="1"/>
  <c r="BM58" i="69" s="1"/>
  <c r="Y33" i="4"/>
  <c r="AV33" i="4"/>
  <c r="AU33" i="4" a="1"/>
  <c r="AU33" i="4" s="1"/>
  <c r="H33" i="72" s="1"/>
  <c r="AW33" i="4" a="1"/>
  <c r="AW33" i="4" s="1"/>
  <c r="C33" i="72" s="1"/>
  <c r="D33" i="72" s="1" a="1"/>
  <c r="D33" i="72" s="1"/>
  <c r="DA33" i="4"/>
  <c r="DB33" i="4" s="1"/>
  <c r="P35" i="9" s="1"/>
  <c r="BR33" i="4"/>
  <c r="P29" i="9"/>
  <c r="BE4" i="72" a="1"/>
  <c r="BE4" i="72" s="1"/>
  <c r="DC76" i="4" a="1"/>
  <c r="DC76" i="4" s="1"/>
  <c r="AU37" i="4" a="1"/>
  <c r="AU37" i="4" s="1"/>
  <c r="H37" i="69" s="1"/>
  <c r="Y37" i="4"/>
  <c r="AW37" i="4" a="1"/>
  <c r="AW37" i="4" s="1"/>
  <c r="C37" i="69" s="1"/>
  <c r="AV37" i="4"/>
  <c r="BR37" i="4"/>
  <c r="DA37" i="4"/>
  <c r="DB37" i="4" s="1"/>
  <c r="P39" i="9" s="1"/>
  <c r="F571" i="15" a="1"/>
  <c r="F571" i="15" s="1"/>
  <c r="DX53" i="4"/>
  <c r="AV555" i="13"/>
  <c r="BM53" i="4"/>
  <c r="BN53" i="4" s="1"/>
  <c r="BF53" i="4" s="1" a="1"/>
  <c r="BF53" i="4" s="1"/>
  <c r="BI53" i="4"/>
  <c r="K667" i="15" a="1"/>
  <c r="K667" i="15" s="1"/>
  <c r="AQ81" i="4"/>
  <c r="AV383" i="13" s="1"/>
  <c r="AU17" i="4" a="1"/>
  <c r="AU17" i="4" s="1"/>
  <c r="H17" i="72" s="1"/>
  <c r="Y17" i="4"/>
  <c r="AW17" i="4" a="1"/>
  <c r="AW17" i="4" s="1"/>
  <c r="C17" i="72" s="1"/>
  <c r="AV17" i="4"/>
  <c r="BR17" i="4"/>
  <c r="AQ67" i="4"/>
  <c r="AV369" i="13" s="1"/>
  <c r="BG50" i="4"/>
  <c r="BG27" i="4"/>
  <c r="BS12" i="4"/>
  <c r="BK12" i="69" s="1"/>
  <c r="BH12" i="4"/>
  <c r="AV1110" i="13" s="1"/>
  <c r="X12" i="4"/>
  <c r="L41" i="4"/>
  <c r="BS41" i="4"/>
  <c r="O41" i="72" s="1"/>
  <c r="BH41" i="4"/>
  <c r="AV1139" i="13" s="1"/>
  <c r="X41" i="4"/>
  <c r="DD97" i="4"/>
  <c r="AQ3" i="1" a="1"/>
  <c r="AQ3" i="1" s="1"/>
  <c r="AQ101" i="1" s="1"/>
  <c r="BH22" i="4"/>
  <c r="AV1120" i="13" s="1"/>
  <c r="X22" i="4"/>
  <c r="BH42" i="4"/>
  <c r="AV1140" i="13" s="1"/>
  <c r="BS42" i="4"/>
  <c r="BH15" i="4"/>
  <c r="AV1113" i="13" s="1"/>
  <c r="X15" i="4"/>
  <c r="BN95" i="72"/>
  <c r="F615" i="15" a="1"/>
  <c r="F615" i="15" s="1"/>
  <c r="I615" i="15" a="1"/>
  <c r="I615" i="15" s="1"/>
  <c r="H615" i="15" a="1"/>
  <c r="H615" i="15" s="1"/>
  <c r="K655" i="15" a="1"/>
  <c r="K655" i="15" s="1"/>
  <c r="F655" i="15" a="1"/>
  <c r="F655" i="15" s="1"/>
  <c r="E366" i="15"/>
  <c r="C55" i="1"/>
  <c r="K103" i="1" a="1"/>
  <c r="K103" i="1" s="1"/>
  <c r="Q3" i="1" a="1"/>
  <c r="Q3" i="1" s="1"/>
  <c r="Q101" i="1" s="1"/>
  <c r="K3" i="1" a="1"/>
  <c r="AK3" i="1" a="1"/>
  <c r="AK3" i="1" s="1"/>
  <c r="AK101" i="1" s="1"/>
  <c r="Y3" i="1" a="1"/>
  <c r="Y3" i="1" s="1"/>
  <c r="Y101" i="1" s="1"/>
  <c r="K115" i="1" a="1"/>
  <c r="K115" i="1" s="1"/>
  <c r="AC3" i="1" a="1"/>
  <c r="AC3" i="1" s="1"/>
  <c r="AC101" i="1" s="1"/>
  <c r="AA3" i="1" a="1"/>
  <c r="AA3" i="1" s="1"/>
  <c r="AA101" i="1" s="1"/>
  <c r="U3" i="1" a="1"/>
  <c r="U3" i="1" s="1"/>
  <c r="U101" i="1" s="1"/>
  <c r="I103" i="1" a="1"/>
  <c r="I103" i="1" s="1"/>
  <c r="I115" i="1" a="1"/>
  <c r="I115" i="1" s="1"/>
  <c r="I3" i="1" a="1"/>
  <c r="AS3" i="1" a="1"/>
  <c r="AS3" i="1" s="1"/>
  <c r="AS101" i="1" s="1"/>
  <c r="AW9" i="4" a="1"/>
  <c r="AW9" i="4" s="1"/>
  <c r="AU9" i="4" a="1"/>
  <c r="AU9" i="4" s="1"/>
  <c r="AV9" i="4"/>
  <c r="Y9" i="4"/>
  <c r="DA9" i="4"/>
  <c r="DB9" i="4" s="1"/>
  <c r="BR9" i="4"/>
  <c r="CB9" i="4"/>
  <c r="Z83" i="4"/>
  <c r="AV1280" i="13" s="1"/>
  <c r="F648" i="15" a="1"/>
  <c r="F648" i="15" s="1"/>
  <c r="AX1328" i="13"/>
  <c r="A1427" i="13"/>
  <c r="A1406" i="13"/>
  <c r="AX1307" i="13"/>
  <c r="K512" i="15" a="1"/>
  <c r="K512" i="15" s="1"/>
  <c r="X26" i="72"/>
  <c r="W26" i="72"/>
  <c r="AO26" i="72"/>
  <c r="L26" i="72"/>
  <c r="P26" i="72"/>
  <c r="Y26" i="72"/>
  <c r="BK26" i="72"/>
  <c r="AA26" i="72" a="1"/>
  <c r="AA26" i="72" s="1"/>
  <c r="S26" i="72"/>
  <c r="T26" i="72"/>
  <c r="AC26" i="72"/>
  <c r="Z26" i="72"/>
  <c r="N26" i="72" a="1"/>
  <c r="N26" i="72" s="1"/>
  <c r="BA26" i="72"/>
  <c r="BL26" i="72"/>
  <c r="J26" i="72"/>
  <c r="Q26" i="72"/>
  <c r="M26" i="72"/>
  <c r="B26" i="72"/>
  <c r="A26" i="72"/>
  <c r="AE26" i="72"/>
  <c r="BB26" i="72"/>
  <c r="AG26" i="72"/>
  <c r="AB26" i="72"/>
  <c r="AQ26" i="72"/>
  <c r="G26" i="72"/>
  <c r="U26" i="72" a="1"/>
  <c r="U26" i="72" s="1"/>
  <c r="AN26" i="72"/>
  <c r="K26" i="72" a="1"/>
  <c r="K26" i="72" s="1"/>
  <c r="H26" i="72"/>
  <c r="C26" i="72"/>
  <c r="Z65" i="4"/>
  <c r="AV1262" i="13" s="1"/>
  <c r="T95" i="72"/>
  <c r="BO95" i="72" s="1"/>
  <c r="AV197" i="13"/>
  <c r="Z13" i="69"/>
  <c r="BC13" i="69"/>
  <c r="AR13" i="69"/>
  <c r="AA13" i="69"/>
  <c r="G13" i="69"/>
  <c r="N13" i="69" a="1"/>
  <c r="N13" i="69" s="1"/>
  <c r="T13" i="69"/>
  <c r="BB13" i="69"/>
  <c r="AS13" i="69"/>
  <c r="Q13" i="69"/>
  <c r="P13" i="69"/>
  <c r="K13" i="69" a="1"/>
  <c r="K13" i="69" s="1"/>
  <c r="W13" i="69"/>
  <c r="L13" i="69" s="1"/>
  <c r="S13" i="69"/>
  <c r="BU13" i="69"/>
  <c r="Y13" i="69"/>
  <c r="V13" i="69"/>
  <c r="B13" i="69" s="1"/>
  <c r="AC13" i="69"/>
  <c r="AB13" i="69" a="1"/>
  <c r="AB13" i="69" s="1"/>
  <c r="J13" i="69"/>
  <c r="M13" i="69"/>
  <c r="A13" i="69"/>
  <c r="U13" i="69" a="1"/>
  <c r="U13" i="69" s="1"/>
  <c r="BI13" i="69"/>
  <c r="AQ18" i="72"/>
  <c r="U18" i="72" a="1"/>
  <c r="U18" i="72" s="1"/>
  <c r="BL18" i="72"/>
  <c r="AC18" i="72"/>
  <c r="P18" i="72"/>
  <c r="BA18" i="72"/>
  <c r="AB18" i="72"/>
  <c r="Y18" i="72"/>
  <c r="BY18" i="72" s="1"/>
  <c r="G18" i="72"/>
  <c r="J18" i="72"/>
  <c r="BK18" i="72"/>
  <c r="W18" i="72"/>
  <c r="AN18" i="72"/>
  <c r="AA18" i="72" a="1"/>
  <c r="AA18" i="72" s="1"/>
  <c r="B18" i="72"/>
  <c r="N18" i="72" a="1"/>
  <c r="N18" i="72" s="1"/>
  <c r="X18" i="72"/>
  <c r="A18" i="72"/>
  <c r="M18" i="72"/>
  <c r="T18" i="72"/>
  <c r="AO18" i="72"/>
  <c r="Z18" i="72"/>
  <c r="AG18" i="72"/>
  <c r="Q18" i="72"/>
  <c r="AE18" i="72"/>
  <c r="S18" i="72"/>
  <c r="BB18" i="72"/>
  <c r="K18" i="72" a="1"/>
  <c r="K18" i="72" s="1"/>
  <c r="I52" i="69"/>
  <c r="BE39" i="4"/>
  <c r="X39" i="4" s="1"/>
  <c r="BU39" i="4"/>
  <c r="M481" i="15" a="1"/>
  <c r="M481" i="15" s="1"/>
  <c r="AV25" i="13"/>
  <c r="F23" i="4"/>
  <c r="Z1319" i="13"/>
  <c r="L23" i="4"/>
  <c r="CB23" i="4" s="1"/>
  <c r="AZ23" i="4"/>
  <c r="AX23" i="4"/>
  <c r="AQ23" i="4"/>
  <c r="AV325" i="13" s="1"/>
  <c r="V38" i="22"/>
  <c r="W38" i="22"/>
  <c r="Y38" i="22" s="1"/>
  <c r="AO61" i="72"/>
  <c r="BB61" i="72"/>
  <c r="AB61" i="72"/>
  <c r="J61" i="72"/>
  <c r="BK61" i="72"/>
  <c r="AC61" i="72"/>
  <c r="P61" i="72"/>
  <c r="BA61" i="72"/>
  <c r="N61" i="72" a="1"/>
  <c r="N61" i="72" s="1"/>
  <c r="T61" i="72"/>
  <c r="AN61" i="72"/>
  <c r="BL61" i="72"/>
  <c r="Y61" i="72"/>
  <c r="BY61" i="72" s="1"/>
  <c r="M61" i="72"/>
  <c r="L61" i="72"/>
  <c r="Q61" i="72"/>
  <c r="AA61" i="72" a="1"/>
  <c r="AA61" i="72" s="1"/>
  <c r="W61" i="72"/>
  <c r="X61" i="72"/>
  <c r="A61" i="72"/>
  <c r="AE61" i="72"/>
  <c r="AG61" i="72"/>
  <c r="AQ61" i="72"/>
  <c r="Z61" i="72"/>
  <c r="S61" i="72"/>
  <c r="B61" i="72"/>
  <c r="AI94" i="4"/>
  <c r="M675" i="15" a="1"/>
  <c r="M675" i="15" s="1"/>
  <c r="Q22" i="72"/>
  <c r="AA22" i="72" a="1"/>
  <c r="AA22" i="72" s="1"/>
  <c r="B22" i="72"/>
  <c r="K22" i="72" a="1"/>
  <c r="K22" i="72" s="1"/>
  <c r="X22" i="72"/>
  <c r="P22" i="72"/>
  <c r="AE22" i="72"/>
  <c r="N22" i="72" a="1"/>
  <c r="N22" i="72" s="1"/>
  <c r="W22" i="72"/>
  <c r="AG22" i="72"/>
  <c r="BL22" i="72"/>
  <c r="BK22" i="72"/>
  <c r="AB22" i="72"/>
  <c r="S22" i="72"/>
  <c r="A22" i="72"/>
  <c r="BB22" i="72"/>
  <c r="M22" i="72"/>
  <c r="T22" i="72"/>
  <c r="BA22" i="72"/>
  <c r="G22" i="72"/>
  <c r="U22" i="72" a="1"/>
  <c r="U22" i="72" s="1"/>
  <c r="J22" i="72"/>
  <c r="AQ22" i="72"/>
  <c r="AC22" i="72"/>
  <c r="AO22" i="72"/>
  <c r="Z22" i="72"/>
  <c r="AN22" i="72"/>
  <c r="Y22" i="72"/>
  <c r="BY22" i="72" s="1"/>
  <c r="I5" i="69"/>
  <c r="E94" i="15"/>
  <c r="F653" i="15" a="1"/>
  <c r="F653" i="15" s="1"/>
  <c r="AQ68" i="72"/>
  <c r="BB68" i="72"/>
  <c r="J68" i="72"/>
  <c r="AE68" i="72"/>
  <c r="Q68" i="72"/>
  <c r="X68" i="72"/>
  <c r="AA68" i="72" a="1"/>
  <c r="AA68" i="72" s="1"/>
  <c r="M68" i="72"/>
  <c r="AB68" i="72"/>
  <c r="Z68" i="72"/>
  <c r="Y68" i="72"/>
  <c r="A68" i="72"/>
  <c r="BA68" i="72"/>
  <c r="BK68" i="72"/>
  <c r="W68" i="72"/>
  <c r="AC68" i="72"/>
  <c r="P68" i="72"/>
  <c r="AG68" i="72"/>
  <c r="AO68" i="72"/>
  <c r="AN68" i="72"/>
  <c r="L68" i="72"/>
  <c r="N68" i="72" a="1"/>
  <c r="N68" i="72" s="1"/>
  <c r="BL68" i="72"/>
  <c r="T68" i="72"/>
  <c r="S68" i="72"/>
  <c r="G68" i="72"/>
  <c r="B68" i="72"/>
  <c r="BE34" i="4"/>
  <c r="X34" i="4" s="1"/>
  <c r="P27" i="9"/>
  <c r="F554" i="15" a="1"/>
  <c r="F554" i="15" s="1"/>
  <c r="M628" i="15" a="1"/>
  <c r="M628" i="15" s="1"/>
  <c r="N646" i="15" a="1"/>
  <c r="N646" i="15" s="1"/>
  <c r="AX1364" i="13"/>
  <c r="A1463" i="13"/>
  <c r="AQ51" i="72"/>
  <c r="Y51" i="72"/>
  <c r="M51" i="72"/>
  <c r="X51" i="72"/>
  <c r="U51" i="72" a="1"/>
  <c r="U51" i="72" s="1"/>
  <c r="P51" i="72"/>
  <c r="B51" i="72"/>
  <c r="AA51" i="72" a="1"/>
  <c r="AA51" i="72" s="1"/>
  <c r="J51" i="72"/>
  <c r="AN51" i="72"/>
  <c r="AB51" i="72"/>
  <c r="T51" i="72"/>
  <c r="BA51" i="72"/>
  <c r="BK51" i="72"/>
  <c r="BL51" i="72"/>
  <c r="BB51" i="72"/>
  <c r="AE51" i="72"/>
  <c r="L51" i="72"/>
  <c r="AO51" i="72"/>
  <c r="AC51" i="72"/>
  <c r="AG51" i="72"/>
  <c r="W51" i="72"/>
  <c r="G51" i="72"/>
  <c r="N51" i="72" a="1"/>
  <c r="N51" i="72" s="1"/>
  <c r="Z51" i="72"/>
  <c r="S51" i="72"/>
  <c r="A51" i="72"/>
  <c r="Q51" i="72"/>
  <c r="K51" i="72" a="1"/>
  <c r="K51" i="72" s="1"/>
  <c r="H51" i="72"/>
  <c r="C51" i="72"/>
  <c r="F30" i="69"/>
  <c r="N603" i="15" a="1"/>
  <c r="N603" i="15" s="1"/>
  <c r="K603" i="15" a="1"/>
  <c r="K603" i="15" s="1"/>
  <c r="M603" i="15" a="1"/>
  <c r="M603" i="15" s="1"/>
  <c r="N497" i="15" a="1"/>
  <c r="N497" i="15" s="1"/>
  <c r="BE26" i="4"/>
  <c r="F440" i="15" a="1"/>
  <c r="F440" i="15" s="1"/>
  <c r="BU28" i="4"/>
  <c r="BE28" i="4"/>
  <c r="AA66" i="72" a="1"/>
  <c r="AA66" i="72" s="1"/>
  <c r="N66" i="72" a="1"/>
  <c r="N66" i="72" s="1"/>
  <c r="AC66" i="72"/>
  <c r="AN66" i="72"/>
  <c r="AG66" i="72"/>
  <c r="Y66" i="72"/>
  <c r="T66" i="72"/>
  <c r="Q66" i="72"/>
  <c r="L66" i="72"/>
  <c r="BA66" i="72"/>
  <c r="BL66" i="72"/>
  <c r="AO66" i="72"/>
  <c r="AE66" i="72"/>
  <c r="AQ66" i="72"/>
  <c r="M66" i="72"/>
  <c r="BB66" i="72"/>
  <c r="X66" i="72"/>
  <c r="AB66" i="72"/>
  <c r="W66" i="72"/>
  <c r="BK66" i="72"/>
  <c r="J66" i="72"/>
  <c r="P66" i="72"/>
  <c r="A66" i="72"/>
  <c r="Z66" i="72"/>
  <c r="G66" i="72"/>
  <c r="FE32" i="71"/>
  <c r="AX1370" i="13"/>
  <c r="A1469" i="13"/>
  <c r="DC82" i="4" a="1"/>
  <c r="DC82" i="4" s="1"/>
  <c r="E82" i="4"/>
  <c r="DG82" i="4"/>
  <c r="BT4" i="72"/>
  <c r="O4" i="69"/>
  <c r="BK4" i="69"/>
  <c r="O4" i="72"/>
  <c r="J46" i="69"/>
  <c r="AB46" i="69" a="1"/>
  <c r="AB46" i="69" s="1"/>
  <c r="S46" i="69"/>
  <c r="W46" i="69"/>
  <c r="BP46" i="69" s="1"/>
  <c r="M46" i="69"/>
  <c r="A46" i="69"/>
  <c r="BU46" i="69"/>
  <c r="Y46" i="69"/>
  <c r="Q46" i="69"/>
  <c r="AA46" i="69"/>
  <c r="BB46" i="69"/>
  <c r="N46" i="69" a="1"/>
  <c r="N46" i="69" s="1"/>
  <c r="Z46" i="69"/>
  <c r="U46" i="69" a="1"/>
  <c r="U46" i="69" s="1"/>
  <c r="V46" i="69"/>
  <c r="B46" i="69" s="1"/>
  <c r="AS46" i="69"/>
  <c r="T46" i="69"/>
  <c r="P46" i="69"/>
  <c r="G46" i="69"/>
  <c r="AR46" i="69"/>
  <c r="AC46" i="69"/>
  <c r="BC46" i="69"/>
  <c r="K46" i="69" a="1"/>
  <c r="K46" i="69" s="1"/>
  <c r="I56" i="69"/>
  <c r="L665" i="15" a="1"/>
  <c r="L665" i="15" s="1"/>
  <c r="E222" i="15"/>
  <c r="P23" i="9"/>
  <c r="DC77" i="4" a="1"/>
  <c r="DC77" i="4" s="1"/>
  <c r="M634" i="15" a="1"/>
  <c r="M634" i="15" s="1"/>
  <c r="DX6" i="4"/>
  <c r="BM6" i="4"/>
  <c r="BI6" i="4"/>
  <c r="AV508" i="13"/>
  <c r="Y48" i="4"/>
  <c r="AV48" i="4"/>
  <c r="AW48" i="4" a="1"/>
  <c r="AW48" i="4" s="1"/>
  <c r="AU48" i="4" a="1"/>
  <c r="AU48" i="4" s="1"/>
  <c r="BR48" i="4"/>
  <c r="F64" i="4"/>
  <c r="AV509" i="13"/>
  <c r="BI7" i="4"/>
  <c r="BM7" i="4"/>
  <c r="DX7" i="4"/>
  <c r="AK58" i="72" a="1"/>
  <c r="AK58" i="72" s="1"/>
  <c r="Y52" i="4"/>
  <c r="AU52" i="4" a="1"/>
  <c r="AU52" i="4" s="1"/>
  <c r="H52" i="72" s="1"/>
  <c r="AV52" i="4"/>
  <c r="AW52" i="4" a="1"/>
  <c r="AW52" i="4" s="1"/>
  <c r="C52" i="72" s="1"/>
  <c r="DA52" i="4"/>
  <c r="DB52" i="4" s="1"/>
  <c r="P54" i="9" s="1"/>
  <c r="BR52" i="4"/>
  <c r="BH58" i="69"/>
  <c r="AW42" i="4" a="1"/>
  <c r="AW42" i="4" s="1"/>
  <c r="AU42" i="4" a="1"/>
  <c r="AU42" i="4" s="1"/>
  <c r="Y42" i="4"/>
  <c r="AV42" i="4"/>
  <c r="BR42" i="4"/>
  <c r="DX33" i="4"/>
  <c r="AV535" i="13"/>
  <c r="BM33" i="4"/>
  <c r="BN33" i="4" s="1"/>
  <c r="BF33" i="4" s="1" a="1"/>
  <c r="BF33" i="4" s="1"/>
  <c r="BI33" i="4"/>
  <c r="BM35" i="4"/>
  <c r="BN35" i="4" s="1"/>
  <c r="BF35" i="4" s="1" a="1"/>
  <c r="BF35" i="4" s="1"/>
  <c r="AV537" i="13"/>
  <c r="BI35" i="4"/>
  <c r="DX35" i="4"/>
  <c r="AX1376" i="13"/>
  <c r="A1475" i="13"/>
  <c r="BM37" i="4"/>
  <c r="BN37" i="4" s="1"/>
  <c r="BF37" i="4" s="1" a="1"/>
  <c r="BF37" i="4" s="1"/>
  <c r="BI37" i="4"/>
  <c r="DX37" i="4"/>
  <c r="AV539" i="13"/>
  <c r="Y29" i="4"/>
  <c r="AU29" i="4" a="1"/>
  <c r="AU29" i="4" s="1"/>
  <c r="AW29" i="4" a="1"/>
  <c r="AW29" i="4" s="1"/>
  <c r="AV29" i="4"/>
  <c r="DA29" i="4"/>
  <c r="DB29" i="4" s="1"/>
  <c r="BR29" i="4"/>
  <c r="M667" i="15" a="1"/>
  <c r="M667" i="15" s="1"/>
  <c r="F56" i="4"/>
  <c r="F75" i="4"/>
  <c r="L50" i="4"/>
  <c r="BH50" i="4"/>
  <c r="AV1148" i="13" s="1"/>
  <c r="BH14" i="4"/>
  <c r="AV1112" i="13" s="1"/>
  <c r="X54" i="4"/>
  <c r="BS54" i="4"/>
  <c r="O54" i="72" s="1"/>
  <c r="BH54" i="4"/>
  <c r="AV1152" i="13" s="1"/>
  <c r="L6" i="4"/>
  <c r="X6" i="4"/>
  <c r="BH6" i="4"/>
  <c r="AV1104" i="13" s="1"/>
  <c r="BS6" i="4"/>
  <c r="O6" i="72" s="1"/>
  <c r="Z23" i="4"/>
  <c r="AV1220" i="13" s="1"/>
  <c r="BG5" i="4"/>
  <c r="AX1360" i="13"/>
  <c r="A1459" i="13"/>
  <c r="BU93" i="69"/>
  <c r="BB93" i="69"/>
  <c r="L93" i="69"/>
  <c r="U93" i="69" a="1"/>
  <c r="U93" i="69" s="1"/>
  <c r="N93" i="69" a="1"/>
  <c r="N93" i="69" s="1"/>
  <c r="M93" i="69"/>
  <c r="P93" i="69"/>
  <c r="BC93" i="69"/>
  <c r="AR93" i="69"/>
  <c r="AA93" i="69"/>
  <c r="V93" i="69"/>
  <c r="J93" i="69"/>
  <c r="AS93" i="69"/>
  <c r="W93" i="69"/>
  <c r="BP93" i="69" s="1"/>
  <c r="T93" i="69"/>
  <c r="AB93" i="69" a="1"/>
  <c r="AB93" i="69" s="1"/>
  <c r="Z93" i="69"/>
  <c r="AC93" i="69"/>
  <c r="Y93" i="69"/>
  <c r="A93" i="69"/>
  <c r="Q93" i="69"/>
  <c r="N38" i="69" a="1"/>
  <c r="N38" i="69" s="1"/>
  <c r="G38" i="69"/>
  <c r="Z38" i="69"/>
  <c r="U38" i="69" a="1"/>
  <c r="U38" i="69" s="1"/>
  <c r="AS38" i="69"/>
  <c r="Y38" i="69"/>
  <c r="T38" i="69"/>
  <c r="BB38" i="69"/>
  <c r="BU38" i="69"/>
  <c r="Q38" i="69"/>
  <c r="J38" i="69"/>
  <c r="S38" i="69"/>
  <c r="AR38" i="69"/>
  <c r="W38" i="69"/>
  <c r="BQ38" i="69" s="1" a="1"/>
  <c r="BQ38" i="69" s="1"/>
  <c r="AA38" i="69"/>
  <c r="M38" i="69"/>
  <c r="BC38" i="69"/>
  <c r="AB38" i="69" a="1"/>
  <c r="AB38" i="69" s="1"/>
  <c r="A38" i="69"/>
  <c r="AC38" i="69"/>
  <c r="P38" i="69"/>
  <c r="V38" i="69"/>
  <c r="B38" i="69" s="1"/>
  <c r="K38" i="69" a="1"/>
  <c r="K38" i="69" s="1"/>
  <c r="CY65" i="4"/>
  <c r="CZ65" i="4" s="1"/>
  <c r="F281" i="15" a="1"/>
  <c r="F281" i="15" s="1"/>
  <c r="IN37" i="71"/>
  <c r="K500" i="15" a="1"/>
  <c r="K500" i="15" s="1"/>
  <c r="L78" i="69"/>
  <c r="BU78" i="69"/>
  <c r="Y78" i="69"/>
  <c r="AB78" i="69" a="1"/>
  <c r="AB78" i="69" s="1"/>
  <c r="AR78" i="69"/>
  <c r="A78" i="69"/>
  <c r="T78" i="69"/>
  <c r="BC78" i="69"/>
  <c r="N78" i="69" a="1"/>
  <c r="N78" i="69" s="1"/>
  <c r="AC78" i="69"/>
  <c r="W78" i="69"/>
  <c r="BP78" i="69" s="1"/>
  <c r="Z78" i="69"/>
  <c r="Q78" i="69"/>
  <c r="M78" i="69"/>
  <c r="P78" i="69"/>
  <c r="J78" i="69"/>
  <c r="AS78" i="69"/>
  <c r="BB78" i="69"/>
  <c r="V78" i="69"/>
  <c r="B78" i="69" s="1"/>
  <c r="AA78" i="69"/>
  <c r="G78" i="69"/>
  <c r="S78" i="69"/>
  <c r="Q15" i="72"/>
  <c r="L15" i="72"/>
  <c r="U15" i="72" a="1"/>
  <c r="U15" i="72" s="1"/>
  <c r="M15" i="72"/>
  <c r="S15" i="72"/>
  <c r="K15" i="72" a="1"/>
  <c r="K15" i="72" s="1"/>
  <c r="N15" i="72" a="1"/>
  <c r="N15" i="72" s="1"/>
  <c r="W15" i="72"/>
  <c r="BB15" i="72"/>
  <c r="P15" i="72"/>
  <c r="G15" i="72"/>
  <c r="J15" i="72"/>
  <c r="Z15" i="72"/>
  <c r="Y15" i="72"/>
  <c r="BY15" i="72" s="1"/>
  <c r="AO15" i="72"/>
  <c r="AE15" i="72"/>
  <c r="AC15" i="72"/>
  <c r="AQ15" i="72"/>
  <c r="B15" i="72"/>
  <c r="T15" i="72"/>
  <c r="AG15" i="72"/>
  <c r="AN15" i="72"/>
  <c r="BL15" i="72"/>
  <c r="X15" i="72"/>
  <c r="BK15" i="72"/>
  <c r="BA15" i="72"/>
  <c r="AA15" i="72" a="1"/>
  <c r="AA15" i="72" s="1"/>
  <c r="AB15" i="72"/>
  <c r="A15" i="72"/>
  <c r="I40" i="69"/>
  <c r="I30" i="72"/>
  <c r="FE14" i="71"/>
  <c r="E430" i="15"/>
  <c r="F497" i="15" a="1"/>
  <c r="F497" i="15" s="1"/>
  <c r="L670" i="15" a="1"/>
  <c r="L670" i="15" s="1"/>
  <c r="AX1327" i="13"/>
  <c r="A1426" i="13"/>
  <c r="BE14" i="4"/>
  <c r="X14" i="4" s="1"/>
  <c r="BU14" i="4"/>
  <c r="N702" i="15" a="1"/>
  <c r="N702" i="15" s="1"/>
  <c r="F228" i="15" a="1"/>
  <c r="F228" i="15" s="1"/>
  <c r="F269" i="15" a="1"/>
  <c r="F269" i="15" s="1"/>
  <c r="F498" i="15" a="1"/>
  <c r="F498" i="15" s="1"/>
  <c r="A1252" i="13"/>
  <c r="AX1153" i="13"/>
  <c r="DC69" i="4" a="1"/>
  <c r="DC69" i="4" s="1"/>
  <c r="AG93" i="72"/>
  <c r="J93" i="72"/>
  <c r="B93" i="72"/>
  <c r="M93" i="72"/>
  <c r="Y93" i="72"/>
  <c r="BY93" i="72" s="1"/>
  <c r="U93" i="72" a="1"/>
  <c r="U93" i="72" s="1"/>
  <c r="BK93" i="72"/>
  <c r="W93" i="72"/>
  <c r="Z93" i="72"/>
  <c r="AA93" i="72" a="1"/>
  <c r="AA93" i="72" s="1"/>
  <c r="S93" i="72"/>
  <c r="X93" i="72"/>
  <c r="A93" i="72"/>
  <c r="AB93" i="72"/>
  <c r="Q93" i="72"/>
  <c r="AQ93" i="72"/>
  <c r="BL93" i="72"/>
  <c r="AN93" i="72"/>
  <c r="AO93" i="72"/>
  <c r="AE93" i="72"/>
  <c r="L93" i="72"/>
  <c r="P93" i="72"/>
  <c r="BA93" i="72"/>
  <c r="N93" i="72" a="1"/>
  <c r="N93" i="72" s="1"/>
  <c r="AC93" i="72"/>
  <c r="T93" i="72"/>
  <c r="BB93" i="72"/>
  <c r="F34" i="72"/>
  <c r="F47" i="72"/>
  <c r="E411" i="15"/>
  <c r="F405" i="15" s="1" a="1"/>
  <c r="F405" i="15" s="1"/>
  <c r="F445" i="15" a="1"/>
  <c r="F445" i="15" s="1"/>
  <c r="E55" i="4"/>
  <c r="DG55" i="4"/>
  <c r="AE66" i="4"/>
  <c r="BE66" i="4"/>
  <c r="E59" i="15"/>
  <c r="DG66" i="4"/>
  <c r="E161" i="15"/>
  <c r="E66" i="4"/>
  <c r="BU66" i="4" s="1"/>
  <c r="AV1101" i="13"/>
  <c r="F89" i="4"/>
  <c r="E683" i="15"/>
  <c r="L677" i="15" s="1" a="1"/>
  <c r="L677" i="15" s="1"/>
  <c r="E511" i="15"/>
  <c r="L509" i="15" s="1" a="1"/>
  <c r="L509" i="15" s="1"/>
  <c r="DG89" i="4"/>
  <c r="BE89" i="4"/>
  <c r="E432" i="15"/>
  <c r="E670" i="15"/>
  <c r="E89" i="4"/>
  <c r="BU89" i="4" s="1"/>
  <c r="L512" i="15" a="1"/>
  <c r="L512" i="15" s="1"/>
  <c r="T26" i="69"/>
  <c r="N26" i="69" a="1"/>
  <c r="N26" i="69" s="1"/>
  <c r="V26" i="69"/>
  <c r="B26" i="69" s="1"/>
  <c r="J26" i="69"/>
  <c r="AS26" i="69"/>
  <c r="BB26" i="69"/>
  <c r="U26" i="69" a="1"/>
  <c r="U26" i="69" s="1"/>
  <c r="W26" i="69"/>
  <c r="BC26" i="69"/>
  <c r="BU26" i="69"/>
  <c r="Q26" i="69"/>
  <c r="S26" i="69"/>
  <c r="Z26" i="69"/>
  <c r="A26" i="69"/>
  <c r="Y26" i="69"/>
  <c r="M26" i="69"/>
  <c r="G26" i="69"/>
  <c r="P26" i="69"/>
  <c r="AC26" i="69"/>
  <c r="AA26" i="69"/>
  <c r="L26" i="69"/>
  <c r="AB26" i="69" a="1"/>
  <c r="AB26" i="69" s="1"/>
  <c r="AR26" i="69"/>
  <c r="K26" i="69" a="1"/>
  <c r="K26" i="69" s="1"/>
  <c r="H26" i="69"/>
  <c r="C26" i="69"/>
  <c r="AR37" i="69"/>
  <c r="S37" i="69"/>
  <c r="W37" i="69"/>
  <c r="BP37" i="69" s="1"/>
  <c r="BB37" i="69"/>
  <c r="A37" i="69"/>
  <c r="AA37" i="69"/>
  <c r="AS37" i="69"/>
  <c r="U37" i="69" a="1"/>
  <c r="U37" i="69" s="1"/>
  <c r="M37" i="69"/>
  <c r="V37" i="69"/>
  <c r="B37" i="69" s="1"/>
  <c r="T37" i="69"/>
  <c r="J37" i="69"/>
  <c r="Z37" i="69"/>
  <c r="Q37" i="69"/>
  <c r="G37" i="69"/>
  <c r="P37" i="69"/>
  <c r="Y37" i="69"/>
  <c r="AB37" i="69" a="1"/>
  <c r="AB37" i="69" s="1"/>
  <c r="L37" i="69"/>
  <c r="AC37" i="69"/>
  <c r="BC37" i="69"/>
  <c r="BU37" i="69"/>
  <c r="N37" i="69" a="1"/>
  <c r="N37" i="69" s="1"/>
  <c r="K37" i="69" a="1"/>
  <c r="K37" i="69" s="1"/>
  <c r="F5" i="72"/>
  <c r="AM89" i="4"/>
  <c r="W3" i="1" a="1"/>
  <c r="W3" i="1" s="1"/>
  <c r="W101" i="1" s="1"/>
  <c r="A1448" i="13"/>
  <c r="AX1349" i="13"/>
  <c r="E143" i="15"/>
  <c r="DG95" i="4"/>
  <c r="E95" i="4"/>
  <c r="E678" i="15"/>
  <c r="P13" i="72"/>
  <c r="Y13" i="72"/>
  <c r="L13" i="72" s="1"/>
  <c r="BB13" i="72"/>
  <c r="M13" i="72"/>
  <c r="AG13" i="72"/>
  <c r="AC13" i="72"/>
  <c r="W13" i="72"/>
  <c r="AQ13" i="72"/>
  <c r="A13" i="72"/>
  <c r="N13" i="72" a="1"/>
  <c r="N13" i="72" s="1"/>
  <c r="X13" i="72"/>
  <c r="BL13" i="72"/>
  <c r="BA13" i="72"/>
  <c r="U13" i="72" a="1"/>
  <c r="U13" i="72" s="1"/>
  <c r="S13" i="72"/>
  <c r="G13" i="72"/>
  <c r="Q13" i="72"/>
  <c r="BK13" i="72"/>
  <c r="K13" i="72" a="1"/>
  <c r="K13" i="72" s="1"/>
  <c r="AN13" i="72"/>
  <c r="J13" i="72"/>
  <c r="AA13" i="72" a="1"/>
  <c r="AA13" i="72" s="1"/>
  <c r="B13" i="72"/>
  <c r="AO13" i="72"/>
  <c r="AE13" i="72"/>
  <c r="AB13" i="72"/>
  <c r="Z13" i="72"/>
  <c r="T13" i="72"/>
  <c r="BR13" i="72"/>
  <c r="F87" i="72"/>
  <c r="AX1363" i="13"/>
  <c r="A1462" i="13"/>
  <c r="F613" i="15" a="1"/>
  <c r="F613" i="15" s="1"/>
  <c r="I613" i="15" a="1"/>
  <c r="I613" i="15" s="1"/>
  <c r="H613" i="15" a="1"/>
  <c r="H613" i="15" s="1"/>
  <c r="AX1220" i="13"/>
  <c r="A1319" i="13"/>
  <c r="BU84" i="69"/>
  <c r="AR84" i="69"/>
  <c r="P84" i="69"/>
  <c r="G84" i="69"/>
  <c r="BC84" i="69"/>
  <c r="S84" i="69"/>
  <c r="BB84" i="69"/>
  <c r="AB84" i="69" a="1"/>
  <c r="AB84" i="69" s="1"/>
  <c r="V84" i="69"/>
  <c r="B84" i="69" s="1"/>
  <c r="AC84" i="69"/>
  <c r="M84" i="69"/>
  <c r="J84" i="69"/>
  <c r="N84" i="69" a="1"/>
  <c r="N84" i="69" s="1"/>
  <c r="W84" i="69"/>
  <c r="BP84" i="69" s="1"/>
  <c r="Y84" i="69"/>
  <c r="Q84" i="69"/>
  <c r="A84" i="69"/>
  <c r="T84" i="69"/>
  <c r="AS84" i="69"/>
  <c r="AA84" i="69"/>
  <c r="Z84" i="69"/>
  <c r="U84" i="69" a="1"/>
  <c r="U84" i="69" s="1"/>
  <c r="F82" i="69"/>
  <c r="I33" i="69"/>
  <c r="N598" i="15" a="1"/>
  <c r="N598" i="15" s="1"/>
  <c r="N608" i="15" a="1"/>
  <c r="N608" i="15" s="1"/>
  <c r="K608" i="15" a="1"/>
  <c r="K608" i="15" s="1"/>
  <c r="AQ94" i="4"/>
  <c r="N675" i="15" a="1"/>
  <c r="N675" i="15" s="1"/>
  <c r="AO53" i="72"/>
  <c r="Z53" i="72"/>
  <c r="AG53" i="72"/>
  <c r="P53" i="72"/>
  <c r="U53" i="72" a="1"/>
  <c r="U53" i="72" s="1"/>
  <c r="AE53" i="72"/>
  <c r="BK53" i="72"/>
  <c r="X53" i="72"/>
  <c r="J53" i="72"/>
  <c r="S53" i="72"/>
  <c r="AC53" i="72"/>
  <c r="W53" i="72"/>
  <c r="N53" i="72" a="1"/>
  <c r="N53" i="72" s="1"/>
  <c r="BB53" i="72"/>
  <c r="M53" i="72"/>
  <c r="AN53" i="72"/>
  <c r="AQ53" i="72"/>
  <c r="AB53" i="72"/>
  <c r="BL53" i="72"/>
  <c r="AA53" i="72" a="1"/>
  <c r="AA53" i="72" s="1"/>
  <c r="T53" i="72"/>
  <c r="Y53" i="72"/>
  <c r="BY53" i="72" s="1"/>
  <c r="G53" i="72"/>
  <c r="A53" i="72"/>
  <c r="BA53" i="72"/>
  <c r="B53" i="72"/>
  <c r="Q53" i="72"/>
  <c r="K53" i="72" a="1"/>
  <c r="K53" i="72" s="1"/>
  <c r="F51" i="72"/>
  <c r="I22" i="72"/>
  <c r="K583" i="15" a="1"/>
  <c r="K583" i="15" s="1"/>
  <c r="E287" i="15"/>
  <c r="F249" i="15" a="1"/>
  <c r="F249" i="15" s="1"/>
  <c r="F574" i="15" a="1"/>
  <c r="F574" i="15" s="1"/>
  <c r="N655" i="15" a="1"/>
  <c r="N655" i="15" s="1"/>
  <c r="AN52" i="72"/>
  <c r="A52" i="72"/>
  <c r="Y52" i="72"/>
  <c r="L52" i="72" s="1"/>
  <c r="BL52" i="72"/>
  <c r="B52" i="72"/>
  <c r="AA52" i="72" a="1"/>
  <c r="AA52" i="72" s="1"/>
  <c r="X52" i="72"/>
  <c r="AE52" i="72"/>
  <c r="Z52" i="72"/>
  <c r="P52" i="72"/>
  <c r="T52" i="72"/>
  <c r="AB52" i="72"/>
  <c r="S52" i="72"/>
  <c r="M52" i="72"/>
  <c r="BK52" i="72"/>
  <c r="AC52" i="72"/>
  <c r="U52" i="72" a="1"/>
  <c r="U52" i="72" s="1"/>
  <c r="W52" i="72"/>
  <c r="BB52" i="72"/>
  <c r="G52" i="72"/>
  <c r="N52" i="72" a="1"/>
  <c r="N52" i="72" s="1"/>
  <c r="AQ52" i="72"/>
  <c r="BA52" i="72"/>
  <c r="AG52" i="72"/>
  <c r="Q52" i="72"/>
  <c r="AO52" i="72"/>
  <c r="J52" i="72"/>
  <c r="AM81" i="4"/>
  <c r="N482" i="15" a="1"/>
  <c r="N482" i="15" s="1"/>
  <c r="M482" i="15" a="1"/>
  <c r="M482" i="15" s="1"/>
  <c r="K482" i="15" a="1"/>
  <c r="K482" i="15" s="1"/>
  <c r="M641" i="15" a="1"/>
  <c r="M641" i="15" s="1"/>
  <c r="M646" i="15" a="1"/>
  <c r="M646" i="15" s="1"/>
  <c r="E426" i="15"/>
  <c r="AT96" i="69" a="1"/>
  <c r="AT96" i="69" s="1"/>
  <c r="Z51" i="69"/>
  <c r="U51" i="69" a="1"/>
  <c r="U51" i="69" s="1"/>
  <c r="BC51" i="69"/>
  <c r="AR51" i="69"/>
  <c r="T51" i="69"/>
  <c r="AC51" i="69"/>
  <c r="AB51" i="69" a="1"/>
  <c r="AB51" i="69" s="1"/>
  <c r="L51" i="69"/>
  <c r="A51" i="69"/>
  <c r="P51" i="69"/>
  <c r="Q51" i="69"/>
  <c r="M51" i="69"/>
  <c r="Y51" i="69"/>
  <c r="AS51" i="69"/>
  <c r="V51" i="69"/>
  <c r="B51" i="69" s="1"/>
  <c r="S51" i="69"/>
  <c r="G51" i="69"/>
  <c r="BB51" i="69"/>
  <c r="AA51" i="69"/>
  <c r="W51" i="69"/>
  <c r="BQ51" i="69" s="1" a="1"/>
  <c r="BQ51" i="69" s="1"/>
  <c r="N51" i="69" a="1"/>
  <c r="N51" i="69" s="1"/>
  <c r="BU51" i="69"/>
  <c r="J51" i="69"/>
  <c r="BI51" i="69"/>
  <c r="AD51" i="69"/>
  <c r="K51" i="69" a="1"/>
  <c r="K51" i="69" s="1"/>
  <c r="BK51" i="69"/>
  <c r="O51" i="69"/>
  <c r="C51" i="69"/>
  <c r="H51" i="69"/>
  <c r="I64" i="72"/>
  <c r="F90" i="72"/>
  <c r="DC95" i="4" a="1"/>
  <c r="DC95" i="4" s="1"/>
  <c r="M497" i="15" a="1"/>
  <c r="M497" i="15" s="1"/>
  <c r="F488" i="15" a="1"/>
  <c r="F488" i="15" s="1"/>
  <c r="H702" i="15" a="1"/>
  <c r="H702" i="15" s="1"/>
  <c r="A1484" i="13"/>
  <c r="AX1385" i="13"/>
  <c r="AS66" i="69"/>
  <c r="Y66" i="69"/>
  <c r="Q66" i="69"/>
  <c r="W66" i="69"/>
  <c r="AB66" i="69" a="1"/>
  <c r="AB66" i="69" s="1"/>
  <c r="A66" i="69"/>
  <c r="M66" i="69"/>
  <c r="L66" i="69"/>
  <c r="J66" i="69"/>
  <c r="BC66" i="69"/>
  <c r="P66" i="69"/>
  <c r="N66" i="69" a="1"/>
  <c r="N66" i="69" s="1"/>
  <c r="AC66" i="69"/>
  <c r="T66" i="69"/>
  <c r="BU66" i="69"/>
  <c r="V66" i="69"/>
  <c r="AA66" i="69"/>
  <c r="BB66" i="69"/>
  <c r="G66" i="69"/>
  <c r="Z66" i="69"/>
  <c r="AR66" i="69"/>
  <c r="AI89" i="4"/>
  <c r="AV1385" i="13" s="1"/>
  <c r="AE65" i="4"/>
  <c r="AM87" i="4"/>
  <c r="FE21" i="71"/>
  <c r="DG84" i="4"/>
  <c r="E84" i="4"/>
  <c r="L653" i="15" a="1"/>
  <c r="L653" i="15" s="1"/>
  <c r="I25" i="69"/>
  <c r="L698" i="15" a="1"/>
  <c r="L698" i="15" s="1"/>
  <c r="E64" i="15"/>
  <c r="CY77" i="4"/>
  <c r="CZ77" i="4" s="1"/>
  <c r="AU4" i="69" a="1"/>
  <c r="AU4" i="69" s="1"/>
  <c r="AF4" i="69" a="1"/>
  <c r="AF4" i="69" s="1"/>
  <c r="AI4" i="69" a="1"/>
  <c r="AI4" i="69" s="1"/>
  <c r="AZ4" i="69" a="1"/>
  <c r="AZ4" i="69" s="1"/>
  <c r="AK4" i="69" a="1"/>
  <c r="AK4" i="69" s="1"/>
  <c r="AH4" i="69" a="1"/>
  <c r="AH4" i="69" s="1"/>
  <c r="BA4" i="69" a="1"/>
  <c r="BA4" i="69" s="1"/>
  <c r="AQ4" i="69" a="1"/>
  <c r="AQ4" i="69" s="1"/>
  <c r="AN4" i="69" a="1"/>
  <c r="AN4" i="69" s="1"/>
  <c r="AV4" i="69" a="1"/>
  <c r="AV4" i="69" s="1"/>
  <c r="AX4" i="69" a="1"/>
  <c r="AX4" i="69" s="1"/>
  <c r="N634" i="15" a="1"/>
  <c r="N634" i="15" s="1"/>
  <c r="Y44" i="4"/>
  <c r="AV44" i="4"/>
  <c r="AW44" i="4" a="1"/>
  <c r="AW44" i="4" s="1"/>
  <c r="AU44" i="4" a="1"/>
  <c r="AU44" i="4" s="1"/>
  <c r="BR44" i="4"/>
  <c r="DX52" i="4"/>
  <c r="BM52" i="4"/>
  <c r="BN52" i="4" s="1"/>
  <c r="BF52" i="4" s="1" a="1"/>
  <c r="BF52" i="4" s="1"/>
  <c r="BI52" i="4"/>
  <c r="AV554" i="13"/>
  <c r="J58" i="69"/>
  <c r="F573" i="15" a="1"/>
  <c r="F573" i="15" s="1"/>
  <c r="Y31" i="4"/>
  <c r="AV31" i="4"/>
  <c r="AW31" i="4" a="1"/>
  <c r="AW31" i="4" s="1"/>
  <c r="C31" i="72" s="1"/>
  <c r="D31" i="72" s="1" a="1"/>
  <c r="D31" i="72" s="1"/>
  <c r="AU31" i="4" a="1"/>
  <c r="AU31" i="4" s="1"/>
  <c r="H31" i="69" s="1"/>
  <c r="DA31" i="4"/>
  <c r="DB31" i="4" s="1"/>
  <c r="P33" i="9" s="1"/>
  <c r="BR31" i="4"/>
  <c r="AW34" i="4" a="1"/>
  <c r="AW34" i="4" s="1"/>
  <c r="C34" i="72" s="1"/>
  <c r="D34" i="72" s="1" a="1"/>
  <c r="D34" i="72" s="1"/>
  <c r="AU34" i="4" a="1"/>
  <c r="AU34" i="4" s="1"/>
  <c r="H34" i="72" s="1"/>
  <c r="Y34" i="4"/>
  <c r="AV34" i="4"/>
  <c r="BR34" i="4"/>
  <c r="DX54" i="4"/>
  <c r="AV556" i="13"/>
  <c r="BM54" i="4"/>
  <c r="BN54" i="4" s="1"/>
  <c r="BF54" i="4" s="1" a="1"/>
  <c r="BF54" i="4" s="1"/>
  <c r="BI54" i="4"/>
  <c r="L663" i="15" a="1"/>
  <c r="L663" i="15" s="1"/>
  <c r="AQ62" i="4"/>
  <c r="AV364" i="13" s="1"/>
  <c r="AU24" i="4" a="1"/>
  <c r="AU24" i="4" s="1"/>
  <c r="H24" i="69" s="1"/>
  <c r="Y24" i="4"/>
  <c r="AW24" i="4" a="1"/>
  <c r="AW24" i="4" s="1"/>
  <c r="C24" i="72" s="1"/>
  <c r="D24" i="72" s="1" a="1"/>
  <c r="D24" i="72" s="1"/>
  <c r="AV24" i="4"/>
  <c r="BR24" i="4"/>
  <c r="DA24" i="4"/>
  <c r="DB24" i="4" s="1"/>
  <c r="AX1313" i="13"/>
  <c r="A1412" i="13"/>
  <c r="BM29" i="4"/>
  <c r="BN29" i="4" s="1"/>
  <c r="BF29" i="4" s="1" a="1"/>
  <c r="BF29" i="4" s="1"/>
  <c r="BI29" i="4"/>
  <c r="AV531" i="13"/>
  <c r="DX29" i="4"/>
  <c r="DX26" i="4"/>
  <c r="BI26" i="4"/>
  <c r="AV528" i="13"/>
  <c r="BM26" i="4"/>
  <c r="BN26" i="4" s="1"/>
  <c r="BF26" i="4" s="1" a="1"/>
  <c r="BF26" i="4" s="1"/>
  <c r="F87" i="4"/>
  <c r="N667" i="15" a="1"/>
  <c r="N667" i="15" s="1"/>
  <c r="A1470" i="13"/>
  <c r="AX1371" i="13"/>
  <c r="BO95" i="69"/>
  <c r="BR95" i="69" s="1"/>
  <c r="BS44" i="4"/>
  <c r="BH44" i="4"/>
  <c r="AV1142" i="13" s="1"/>
  <c r="X44" i="4"/>
  <c r="BG35" i="4"/>
  <c r="BG28" i="4"/>
  <c r="L40" i="4"/>
  <c r="BH40" i="4"/>
  <c r="AV1138" i="13" s="1"/>
  <c r="X40" i="4"/>
  <c r="AV1392" i="13"/>
  <c r="G96" i="72"/>
  <c r="F241" i="15" a="1"/>
  <c r="F241" i="15" s="1"/>
  <c r="N38" i="72" a="1"/>
  <c r="N38" i="72" s="1"/>
  <c r="BL38" i="72"/>
  <c r="AO38" i="72"/>
  <c r="U38" i="72" a="1"/>
  <c r="U38" i="72" s="1"/>
  <c r="M38" i="72"/>
  <c r="AE38" i="72"/>
  <c r="BK38" i="72"/>
  <c r="B38" i="72"/>
  <c r="W38" i="72"/>
  <c r="AC38" i="72"/>
  <c r="BB38" i="72"/>
  <c r="G38" i="72"/>
  <c r="Q38" i="72"/>
  <c r="P38" i="72"/>
  <c r="X38" i="72"/>
  <c r="AB38" i="72"/>
  <c r="BA38" i="72"/>
  <c r="AN38" i="72"/>
  <c r="J38" i="72"/>
  <c r="Y38" i="72"/>
  <c r="BY38" i="72" s="1"/>
  <c r="AG38" i="72"/>
  <c r="AA38" i="72" a="1"/>
  <c r="AA38" i="72" s="1"/>
  <c r="AQ38" i="72"/>
  <c r="Z38" i="72"/>
  <c r="T38" i="72"/>
  <c r="S38" i="72"/>
  <c r="A38" i="72"/>
  <c r="K38" i="72" a="1"/>
  <c r="K38" i="72" s="1"/>
  <c r="C38" i="72"/>
  <c r="H38" i="72"/>
  <c r="BG94" i="72" a="1"/>
  <c r="BG94" i="72" s="1"/>
  <c r="AJ94" i="72" a="1"/>
  <c r="AJ94" i="72" s="1"/>
  <c r="BD94" i="72" a="1"/>
  <c r="BD94" i="72" s="1"/>
  <c r="BJ94" i="72" a="1"/>
  <c r="BJ94" i="72" s="1"/>
  <c r="BF94" i="72" a="1"/>
  <c r="BF94" i="72" s="1"/>
  <c r="BI94" i="72" a="1"/>
  <c r="BI94" i="72" s="1"/>
  <c r="BE94" i="72" a="1"/>
  <c r="BE94" i="72" s="1"/>
  <c r="AX94" i="72" a="1"/>
  <c r="AX94" i="72" s="1"/>
  <c r="AZ94" i="72" a="1"/>
  <c r="AZ94" i="72" s="1"/>
  <c r="AS30" i="69"/>
  <c r="Y30" i="69"/>
  <c r="AR30" i="69"/>
  <c r="Q30" i="69"/>
  <c r="BC30" i="69"/>
  <c r="S30" i="69"/>
  <c r="AA30" i="69"/>
  <c r="AC30" i="69"/>
  <c r="T30" i="69"/>
  <c r="Z30" i="69"/>
  <c r="N30" i="69" a="1"/>
  <c r="N30" i="69" s="1"/>
  <c r="J30" i="69"/>
  <c r="BB30" i="69"/>
  <c r="U30" i="69" a="1"/>
  <c r="U30" i="69" s="1"/>
  <c r="M30" i="69"/>
  <c r="A30" i="69"/>
  <c r="AB30" i="69" a="1"/>
  <c r="AB30" i="69" s="1"/>
  <c r="G30" i="69"/>
  <c r="V30" i="69"/>
  <c r="B30" i="69" s="1"/>
  <c r="BU30" i="69"/>
  <c r="W30" i="69"/>
  <c r="L30" i="69" s="1"/>
  <c r="P30" i="69"/>
  <c r="K30" i="69" a="1"/>
  <c r="K30" i="69" s="1"/>
  <c r="H30" i="69"/>
  <c r="C30" i="69"/>
  <c r="H620" i="15" a="1"/>
  <c r="H620" i="15" s="1"/>
  <c r="E552" i="15"/>
  <c r="M702" i="15" a="1"/>
  <c r="M702" i="15" s="1"/>
  <c r="F675" i="15" a="1"/>
  <c r="F675" i="15" s="1"/>
  <c r="M49" i="72"/>
  <c r="A49" i="72"/>
  <c r="N49" i="72" a="1"/>
  <c r="N49" i="72" s="1"/>
  <c r="X49" i="72"/>
  <c r="AC49" i="72"/>
  <c r="L49" i="72"/>
  <c r="AE49" i="72"/>
  <c r="AN49" i="72"/>
  <c r="AG49" i="72"/>
  <c r="AA49" i="72" a="1"/>
  <c r="AA49" i="72" s="1"/>
  <c r="Y49" i="72"/>
  <c r="AO49" i="72"/>
  <c r="G49" i="72"/>
  <c r="J49" i="72"/>
  <c r="BK49" i="72"/>
  <c r="P49" i="72"/>
  <c r="S49" i="72"/>
  <c r="AQ49" i="72"/>
  <c r="BL49" i="72"/>
  <c r="Q49" i="72"/>
  <c r="U49" i="72" a="1"/>
  <c r="U49" i="72" s="1"/>
  <c r="BB49" i="72"/>
  <c r="AB49" i="72"/>
  <c r="T49" i="72"/>
  <c r="BA49" i="72"/>
  <c r="W49" i="72"/>
  <c r="Z49" i="72"/>
  <c r="B49" i="72"/>
  <c r="O49" i="72"/>
  <c r="K49" i="72" a="1"/>
  <c r="K49" i="72" s="1"/>
  <c r="F22" i="69"/>
  <c r="AI72" i="4"/>
  <c r="AV1368" i="13" s="1"/>
  <c r="HS37" i="71"/>
  <c r="F367" i="15" a="1"/>
  <c r="F367" i="15" s="1"/>
  <c r="H701" i="15" a="1"/>
  <c r="H701" i="15" s="1"/>
  <c r="T79" i="72"/>
  <c r="A79" i="72"/>
  <c r="AA79" i="72" a="1"/>
  <c r="AA79" i="72" s="1"/>
  <c r="AN79" i="72"/>
  <c r="G79" i="72"/>
  <c r="AB79" i="72"/>
  <c r="AG79" i="72"/>
  <c r="P79" i="72"/>
  <c r="AO79" i="72"/>
  <c r="B79" i="72"/>
  <c r="AQ79" i="72"/>
  <c r="AC79" i="72"/>
  <c r="BL79" i="72"/>
  <c r="S79" i="72"/>
  <c r="Z79" i="72"/>
  <c r="J79" i="72"/>
  <c r="N79" i="72" a="1"/>
  <c r="N79" i="72" s="1"/>
  <c r="X79" i="72"/>
  <c r="BK79" i="72"/>
  <c r="W79" i="72"/>
  <c r="AE79" i="72"/>
  <c r="BA79" i="72"/>
  <c r="Y79" i="72"/>
  <c r="M79" i="72"/>
  <c r="BB79" i="72"/>
  <c r="Q79" i="72"/>
  <c r="F472" i="15" a="1"/>
  <c r="F472" i="15" s="1"/>
  <c r="A1452" i="13"/>
  <c r="AX1353" i="13"/>
  <c r="BU47" i="4"/>
  <c r="BE47" i="4"/>
  <c r="BS47" i="4" s="1"/>
  <c r="M512" i="15" a="1"/>
  <c r="M512" i="15" s="1"/>
  <c r="AO40" i="72"/>
  <c r="T40" i="72"/>
  <c r="B40" i="72"/>
  <c r="L40" i="72"/>
  <c r="A40" i="72"/>
  <c r="W40" i="72"/>
  <c r="U40" i="72" a="1"/>
  <c r="U40" i="72" s="1"/>
  <c r="AG40" i="72"/>
  <c r="J40" i="72"/>
  <c r="BB40" i="72"/>
  <c r="S40" i="72"/>
  <c r="N40" i="72" a="1"/>
  <c r="N40" i="72" s="1"/>
  <c r="AA40" i="72" a="1"/>
  <c r="AA40" i="72" s="1"/>
  <c r="BA40" i="72"/>
  <c r="AB40" i="72"/>
  <c r="P40" i="72"/>
  <c r="Q40" i="72"/>
  <c r="AC40" i="72"/>
  <c r="O40" i="72"/>
  <c r="Z40" i="72"/>
  <c r="X40" i="72"/>
  <c r="BL40" i="72"/>
  <c r="Y40" i="72"/>
  <c r="BY40" i="72" s="1"/>
  <c r="AQ40" i="72"/>
  <c r="BK40" i="72"/>
  <c r="AN40" i="72"/>
  <c r="M40" i="72"/>
  <c r="AE40" i="72"/>
  <c r="G40" i="72"/>
  <c r="K40" i="72" a="1"/>
  <c r="K40" i="72" s="1"/>
  <c r="AE37" i="72"/>
  <c r="AA37" i="72" a="1"/>
  <c r="AA37" i="72" s="1"/>
  <c r="B37" i="72"/>
  <c r="Z37" i="72"/>
  <c r="G37" i="72"/>
  <c r="BL37" i="72"/>
  <c r="Q37" i="72"/>
  <c r="S37" i="72"/>
  <c r="AC37" i="72"/>
  <c r="Y37" i="72"/>
  <c r="BY37" i="72" s="1"/>
  <c r="M37" i="72"/>
  <c r="BA37" i="72"/>
  <c r="BB37" i="72"/>
  <c r="AB37" i="72"/>
  <c r="L37" i="72"/>
  <c r="AN37" i="72"/>
  <c r="AG37" i="72"/>
  <c r="A37" i="72"/>
  <c r="U37" i="72" a="1"/>
  <c r="U37" i="72" s="1"/>
  <c r="W37" i="72"/>
  <c r="X37" i="72"/>
  <c r="J37" i="72"/>
  <c r="BK37" i="72"/>
  <c r="AO37" i="72"/>
  <c r="T37" i="72"/>
  <c r="AQ37" i="72"/>
  <c r="P37" i="72"/>
  <c r="N37" i="72" a="1"/>
  <c r="N37" i="72" s="1"/>
  <c r="K37" i="72" a="1"/>
  <c r="K37" i="72" s="1"/>
  <c r="BR37" i="72"/>
  <c r="C37" i="72"/>
  <c r="H37" i="72"/>
  <c r="A1446" i="13"/>
  <c r="AX1347" i="13"/>
  <c r="M500" i="15" a="1"/>
  <c r="M500" i="15" s="1"/>
  <c r="AQ64" i="72"/>
  <c r="BK64" i="72"/>
  <c r="BB64" i="72"/>
  <c r="Y64" i="72"/>
  <c r="BY64" i="72" s="1"/>
  <c r="Z64" i="72"/>
  <c r="W64" i="72"/>
  <c r="U64" i="72" a="1"/>
  <c r="U64" i="72" s="1"/>
  <c r="AB64" i="72"/>
  <c r="A64" i="72"/>
  <c r="T64" i="72"/>
  <c r="X64" i="72"/>
  <c r="AG64" i="72"/>
  <c r="N64" i="72" a="1"/>
  <c r="N64" i="72" s="1"/>
  <c r="AE64" i="72"/>
  <c r="BA64" i="72"/>
  <c r="BL64" i="72"/>
  <c r="P64" i="72"/>
  <c r="J64" i="72"/>
  <c r="AA64" i="72" a="1"/>
  <c r="AA64" i="72" s="1"/>
  <c r="G64" i="72"/>
  <c r="L64" i="72"/>
  <c r="M64" i="72"/>
  <c r="AO64" i="72"/>
  <c r="AN64" i="72"/>
  <c r="AC64" i="72"/>
  <c r="Q64" i="72"/>
  <c r="I38" i="72"/>
  <c r="BB81" i="69"/>
  <c r="A81" i="69"/>
  <c r="AA81" i="69"/>
  <c r="AR81" i="69"/>
  <c r="AC81" i="69"/>
  <c r="J81" i="69"/>
  <c r="M81" i="69"/>
  <c r="N81" i="69" a="1"/>
  <c r="N81" i="69" s="1"/>
  <c r="Q81" i="69"/>
  <c r="P81" i="69"/>
  <c r="BC81" i="69"/>
  <c r="AS81" i="69"/>
  <c r="AB81" i="69" a="1"/>
  <c r="AB81" i="69" s="1"/>
  <c r="W81" i="69"/>
  <c r="Z81" i="69"/>
  <c r="Y81" i="69"/>
  <c r="S81" i="69"/>
  <c r="BU81" i="69"/>
  <c r="G81" i="69"/>
  <c r="T81" i="69"/>
  <c r="V81" i="69"/>
  <c r="B81" i="69" s="1"/>
  <c r="U81" i="69" a="1"/>
  <c r="U81" i="69" s="1"/>
  <c r="FE13" i="71"/>
  <c r="J84" i="72"/>
  <c r="T84" i="72"/>
  <c r="AG84" i="72"/>
  <c r="AN84" i="72"/>
  <c r="AB84" i="72"/>
  <c r="AQ84" i="72"/>
  <c r="AE84" i="72"/>
  <c r="X84" i="72"/>
  <c r="M84" i="72"/>
  <c r="BK84" i="72"/>
  <c r="AO84" i="72"/>
  <c r="BB84" i="72"/>
  <c r="S84" i="72"/>
  <c r="G84" i="72"/>
  <c r="W84" i="72"/>
  <c r="Y84" i="72"/>
  <c r="BY84" i="72" s="1"/>
  <c r="P84" i="72"/>
  <c r="BA84" i="72"/>
  <c r="N84" i="72" a="1"/>
  <c r="N84" i="72" s="1"/>
  <c r="Z84" i="72"/>
  <c r="A84" i="72"/>
  <c r="AA84" i="72" a="1"/>
  <c r="AA84" i="72" s="1"/>
  <c r="Q84" i="72"/>
  <c r="BL84" i="72"/>
  <c r="B84" i="72"/>
  <c r="AC84" i="72"/>
  <c r="U84" i="72" a="1"/>
  <c r="U84" i="72" s="1"/>
  <c r="AM67" i="4"/>
  <c r="C56" i="14"/>
  <c r="E531" i="15"/>
  <c r="BE59" i="4"/>
  <c r="E541" i="15"/>
  <c r="E59" i="4"/>
  <c r="BU59" i="4" s="1"/>
  <c r="AS53" i="69"/>
  <c r="Q53" i="69"/>
  <c r="AA53" i="69"/>
  <c r="V53" i="69"/>
  <c r="B53" i="69" s="1"/>
  <c r="AC53" i="69"/>
  <c r="Z53" i="69"/>
  <c r="N53" i="69" a="1"/>
  <c r="N53" i="69" s="1"/>
  <c r="BB53" i="69"/>
  <c r="A53" i="69"/>
  <c r="W53" i="69"/>
  <c r="BQ53" i="69" s="1" a="1"/>
  <c r="BQ53" i="69" s="1"/>
  <c r="Y53" i="69"/>
  <c r="G53" i="69"/>
  <c r="BU53" i="69"/>
  <c r="BC53" i="69"/>
  <c r="AR53" i="69"/>
  <c r="P53" i="69"/>
  <c r="AB53" i="69" a="1"/>
  <c r="AB53" i="69" s="1"/>
  <c r="S53" i="69"/>
  <c r="J53" i="69"/>
  <c r="U53" i="69" a="1"/>
  <c r="U53" i="69" s="1"/>
  <c r="T53" i="69"/>
  <c r="M53" i="69"/>
  <c r="K53" i="69" a="1"/>
  <c r="K53" i="69" s="1"/>
  <c r="BI53" i="69"/>
  <c r="I6" i="69"/>
  <c r="N583" i="15" a="1"/>
  <c r="N583" i="15" s="1"/>
  <c r="F107" i="15" a="1"/>
  <c r="F107" i="15" s="1"/>
  <c r="M655" i="15" a="1"/>
  <c r="M655" i="15" s="1"/>
  <c r="FE18" i="71"/>
  <c r="AV1453" i="13"/>
  <c r="A1552" i="13"/>
  <c r="AX1453" i="13"/>
  <c r="Z1557" i="13"/>
  <c r="A1420" i="13"/>
  <c r="AX1321" i="13"/>
  <c r="AS52" i="69"/>
  <c r="A52" i="69"/>
  <c r="N52" i="69" a="1"/>
  <c r="N52" i="69" s="1"/>
  <c r="Q52" i="69"/>
  <c r="Y52" i="69"/>
  <c r="BU52" i="69"/>
  <c r="BB52" i="69"/>
  <c r="AA52" i="69"/>
  <c r="BC52" i="69"/>
  <c r="U52" i="69" a="1"/>
  <c r="U52" i="69" s="1"/>
  <c r="J52" i="69"/>
  <c r="AC52" i="69"/>
  <c r="T52" i="69"/>
  <c r="AB52" i="69" a="1"/>
  <c r="AB52" i="69" s="1"/>
  <c r="AR52" i="69"/>
  <c r="G52" i="69"/>
  <c r="S52" i="69"/>
  <c r="M52" i="69"/>
  <c r="Z52" i="69"/>
  <c r="P52" i="69"/>
  <c r="V52" i="69"/>
  <c r="B52" i="69" s="1"/>
  <c r="W52" i="69"/>
  <c r="F478" i="15" a="1"/>
  <c r="F478" i="15" s="1"/>
  <c r="L641" i="15" a="1"/>
  <c r="L641" i="15" s="1"/>
  <c r="FE27" i="71"/>
  <c r="P88" i="9"/>
  <c r="A1402" i="13"/>
  <c r="AX1303" i="13"/>
  <c r="DC60" i="4" a="1"/>
  <c r="DC60" i="4" s="1"/>
  <c r="AV62" i="13"/>
  <c r="F60" i="4"/>
  <c r="AZ60" i="4"/>
  <c r="Z1356" i="13"/>
  <c r="L60" i="4"/>
  <c r="CB60" i="4" s="1"/>
  <c r="AX60" i="4"/>
  <c r="AQ60" i="4"/>
  <c r="AV362" i="13" s="1"/>
  <c r="AX1338" i="13"/>
  <c r="A1437" i="13"/>
  <c r="K497" i="15" a="1"/>
  <c r="K497" i="15" s="1"/>
  <c r="I632" i="15" a="1"/>
  <c r="I632" i="15" s="1"/>
  <c r="BV95" i="69"/>
  <c r="AE95" i="69" a="1"/>
  <c r="AE95" i="69" s="1"/>
  <c r="AO95" i="69" s="1" a="1"/>
  <c r="AO95" i="69" s="1"/>
  <c r="BE27" i="4"/>
  <c r="X27" i="4" s="1"/>
  <c r="A1482" i="13"/>
  <c r="AX1383" i="13"/>
  <c r="DC59" i="4" a="1"/>
  <c r="DC59" i="4" s="1"/>
  <c r="A1425" i="13"/>
  <c r="AX1326" i="13"/>
  <c r="S19" i="69"/>
  <c r="A19" i="69"/>
  <c r="Q19" i="69"/>
  <c r="AB19" i="69" a="1"/>
  <c r="AB19" i="69" s="1"/>
  <c r="U19" i="69" a="1"/>
  <c r="U19" i="69" s="1"/>
  <c r="BC19" i="69"/>
  <c r="V19" i="69"/>
  <c r="B19" i="69" s="1"/>
  <c r="K19" i="69" a="1"/>
  <c r="K19" i="69" s="1"/>
  <c r="AR19" i="69"/>
  <c r="AS19" i="69"/>
  <c r="M19" i="69"/>
  <c r="G19" i="69"/>
  <c r="N19" i="69" a="1"/>
  <c r="N19" i="69" s="1"/>
  <c r="BU19" i="69"/>
  <c r="Y19" i="69"/>
  <c r="BB19" i="69"/>
  <c r="T19" i="69"/>
  <c r="J19" i="69"/>
  <c r="AC19" i="69"/>
  <c r="AA19" i="69"/>
  <c r="W19" i="69"/>
  <c r="Z19" i="69"/>
  <c r="P19" i="69"/>
  <c r="AB42" i="69" a="1"/>
  <c r="AB42" i="69" s="1"/>
  <c r="N42" i="69" a="1"/>
  <c r="N42" i="69" s="1"/>
  <c r="G42" i="69"/>
  <c r="AS42" i="69"/>
  <c r="Y42" i="69"/>
  <c r="S42" i="69"/>
  <c r="Z42" i="69"/>
  <c r="T42" i="69"/>
  <c r="J42" i="69"/>
  <c r="BU42" i="69"/>
  <c r="M42" i="69"/>
  <c r="Q42" i="69"/>
  <c r="AA42" i="69"/>
  <c r="BC42" i="69"/>
  <c r="P42" i="69"/>
  <c r="AC42" i="69"/>
  <c r="A42" i="69"/>
  <c r="BB42" i="69"/>
  <c r="U42" i="69" a="1"/>
  <c r="U42" i="69" s="1"/>
  <c r="W42" i="69"/>
  <c r="L42" i="69" s="1"/>
  <c r="V42" i="69"/>
  <c r="B42" i="69" s="1"/>
  <c r="AR42" i="69"/>
  <c r="K42" i="69" a="1"/>
  <c r="K42" i="69" s="1"/>
  <c r="H42" i="69"/>
  <c r="O42" i="69"/>
  <c r="C42" i="69"/>
  <c r="BK42" i="69"/>
  <c r="Z77" i="4"/>
  <c r="AV1274" i="13" s="1"/>
  <c r="Z64" i="4"/>
  <c r="AV1261" i="13" s="1"/>
  <c r="E463" i="15"/>
  <c r="A1441" i="13"/>
  <c r="AX1342" i="13"/>
  <c r="N677" i="15" a="1"/>
  <c r="N677" i="15" s="1"/>
  <c r="E435" i="15"/>
  <c r="M653" i="15" a="1"/>
  <c r="M653" i="15" s="1"/>
  <c r="BN4" i="4"/>
  <c r="BF4" i="4" s="1" a="1"/>
  <c r="BF4" i="4" s="1"/>
  <c r="BI4" i="69"/>
  <c r="BR4" i="72"/>
  <c r="AD4" i="69"/>
  <c r="AD4" i="72"/>
  <c r="F41" i="72"/>
  <c r="E173" i="15"/>
  <c r="K698" i="15" a="1"/>
  <c r="K698" i="15" s="1"/>
  <c r="F195" i="15" a="1"/>
  <c r="F195" i="15" s="1"/>
  <c r="E92" i="15"/>
  <c r="AX1361" i="13"/>
  <c r="A1460" i="13"/>
  <c r="AV527" i="13"/>
  <c r="BI25" i="4"/>
  <c r="DX25" i="4"/>
  <c r="BM25" i="4"/>
  <c r="BN25" i="4" s="1"/>
  <c r="BF25" i="4" s="1" a="1"/>
  <c r="BF25" i="4" s="1"/>
  <c r="AV588" i="13"/>
  <c r="BM86" i="4"/>
  <c r="BN86" i="4" s="1"/>
  <c r="BF86" i="4" s="1" a="1"/>
  <c r="BF86" i="4" s="1"/>
  <c r="DX86" i="4"/>
  <c r="BI86" i="4"/>
  <c r="BG58" i="72" a="1"/>
  <c r="BG58" i="72" s="1"/>
  <c r="AV58" i="72" a="1"/>
  <c r="AV58" i="72" s="1"/>
  <c r="AP58" i="72"/>
  <c r="CD58" i="72"/>
  <c r="CE58" i="72" a="1"/>
  <c r="CE58" i="72" s="1"/>
  <c r="BZ58" i="72" a="1"/>
  <c r="BZ58" i="72" s="1"/>
  <c r="AM58" i="72"/>
  <c r="F235" i="15" a="1"/>
  <c r="F235" i="15" s="1"/>
  <c r="E3" i="1" a="1"/>
  <c r="AV532" i="13"/>
  <c r="DX30" i="4"/>
  <c r="BI30" i="4"/>
  <c r="BM30" i="4"/>
  <c r="BN30" i="4" s="1"/>
  <c r="BF30" i="4" s="1" a="1"/>
  <c r="BF30" i="4" s="1"/>
  <c r="AU15" i="4" a="1"/>
  <c r="AU15" i="4" s="1"/>
  <c r="H15" i="72" s="1"/>
  <c r="AV15" i="4"/>
  <c r="AW15" i="4" a="1"/>
  <c r="AW15" i="4" s="1"/>
  <c r="C15" i="72" s="1"/>
  <c r="Y15" i="4"/>
  <c r="DA15" i="4"/>
  <c r="DB15" i="4" s="1"/>
  <c r="P17" i="9" s="1"/>
  <c r="BR15" i="4"/>
  <c r="AW49" i="4" a="1"/>
  <c r="AW49" i="4" s="1"/>
  <c r="C49" i="69" s="1"/>
  <c r="AU49" i="4" a="1"/>
  <c r="AU49" i="4" s="1"/>
  <c r="H49" i="72" s="1"/>
  <c r="AV49" i="4"/>
  <c r="Y49" i="4"/>
  <c r="BR49" i="4"/>
  <c r="DA49" i="4"/>
  <c r="DB49" i="4" s="1"/>
  <c r="P51" i="9" s="1"/>
  <c r="HP37" i="71"/>
  <c r="AQ88" i="4"/>
  <c r="AV390" i="13" s="1"/>
  <c r="DG58" i="4"/>
  <c r="E58" i="4"/>
  <c r="AM58" i="4"/>
  <c r="AE58" i="4"/>
  <c r="Z58" i="4"/>
  <c r="AI58" i="4"/>
  <c r="BV96" i="72" a="1"/>
  <c r="BV96" i="72" s="1"/>
  <c r="AQ65" i="4"/>
  <c r="AV367" i="13" s="1"/>
  <c r="AQ76" i="4"/>
  <c r="AV378" i="13" s="1"/>
  <c r="AV520" i="13"/>
  <c r="BI18" i="4"/>
  <c r="DX18" i="4"/>
  <c r="BM18" i="4"/>
  <c r="BN18" i="4" s="1"/>
  <c r="BF18" i="4" s="1" a="1"/>
  <c r="BF18" i="4" s="1"/>
  <c r="L667" i="15" a="1"/>
  <c r="L667" i="15" s="1"/>
  <c r="F81" i="4"/>
  <c r="BI11" i="4"/>
  <c r="BM11" i="4"/>
  <c r="BN11" i="4" s="1"/>
  <c r="BF11" i="4" s="1" a="1"/>
  <c r="BF11" i="4" s="1"/>
  <c r="AV513" i="13"/>
  <c r="DX11" i="4"/>
  <c r="X11" i="4"/>
  <c r="BI80" i="4"/>
  <c r="BM80" i="4"/>
  <c r="BN80" i="4" s="1"/>
  <c r="BF80" i="4" s="1" a="1"/>
  <c r="BF80" i="4" s="1"/>
  <c r="AV582" i="13"/>
  <c r="DX80" i="4"/>
  <c r="F67" i="4"/>
  <c r="V60" i="72"/>
  <c r="X60" i="69"/>
  <c r="BH27" i="4"/>
  <c r="AV1125" i="13" s="1"/>
  <c r="BS27" i="4"/>
  <c r="BK27" i="69" s="1"/>
  <c r="BG14" i="4"/>
  <c r="AM60" i="4"/>
  <c r="I60" i="69" s="1"/>
  <c r="X24" i="4"/>
  <c r="BH24" i="4"/>
  <c r="AV1122" i="13" s="1"/>
  <c r="BS24" i="4"/>
  <c r="BK24" i="69" s="1"/>
  <c r="BH35" i="4"/>
  <c r="AV1133" i="13" s="1"/>
  <c r="BH7" i="4"/>
  <c r="AV1105" i="13" s="1"/>
  <c r="BS7" i="4"/>
  <c r="L5" i="4"/>
  <c r="BH5" i="4"/>
  <c r="AV1103" i="13" s="1"/>
  <c r="BS194" i="4"/>
  <c r="BH48" i="4"/>
  <c r="AV1146" i="13" s="1"/>
  <c r="F694" i="15" a="1"/>
  <c r="F694" i="15" s="1"/>
  <c r="I694" i="15" a="1"/>
  <c r="I694" i="15" s="1"/>
  <c r="H694" i="15" a="1"/>
  <c r="H694" i="15" s="1"/>
  <c r="W41" i="69"/>
  <c r="BP41" i="69" s="1"/>
  <c r="G41" i="69"/>
  <c r="BC41" i="69"/>
  <c r="BU41" i="69"/>
  <c r="AR41" i="69"/>
  <c r="Z41" i="69"/>
  <c r="T41" i="69"/>
  <c r="P41" i="69"/>
  <c r="U41" i="69" a="1"/>
  <c r="U41" i="69" s="1"/>
  <c r="BB41" i="69"/>
  <c r="AC41" i="69"/>
  <c r="S41" i="69"/>
  <c r="V41" i="69"/>
  <c r="B41" i="69" s="1"/>
  <c r="AS41" i="69"/>
  <c r="M41" i="69"/>
  <c r="A41" i="69"/>
  <c r="N41" i="69" a="1"/>
  <c r="N41" i="69" s="1"/>
  <c r="BK41" i="69"/>
  <c r="Q41" i="69"/>
  <c r="O41" i="69"/>
  <c r="J41" i="69"/>
  <c r="L41" i="69"/>
  <c r="AB41" i="69" a="1"/>
  <c r="AB41" i="69" s="1"/>
  <c r="AA41" i="69"/>
  <c r="Y41" i="69"/>
  <c r="K41" i="69" a="1"/>
  <c r="K41" i="69" s="1"/>
  <c r="CI95" i="72"/>
  <c r="BC95" i="72" a="1"/>
  <c r="BC95" i="72" s="1"/>
  <c r="CE95" i="72" a="1"/>
  <c r="CE95" i="72" s="1"/>
  <c r="N560" i="15" a="1"/>
  <c r="N560" i="15" s="1"/>
  <c r="K560" i="15" a="1"/>
  <c r="K560" i="15" s="1"/>
  <c r="M560" i="15" a="1"/>
  <c r="M560" i="15" s="1"/>
  <c r="L560" i="15" a="1"/>
  <c r="L560" i="15" s="1"/>
  <c r="L702" i="15" a="1"/>
  <c r="L702" i="15" s="1"/>
  <c r="F421" i="15" a="1"/>
  <c r="F421" i="15" s="1"/>
  <c r="F452" i="15" a="1"/>
  <c r="F452" i="15" s="1"/>
  <c r="A1436" i="13"/>
  <c r="AX1337" i="13"/>
  <c r="Y49" i="69"/>
  <c r="AB49" i="69" a="1"/>
  <c r="AB49" i="69" s="1"/>
  <c r="BC49" i="69"/>
  <c r="BU49" i="69"/>
  <c r="BB49" i="69"/>
  <c r="U49" i="69" a="1"/>
  <c r="U49" i="69" s="1"/>
  <c r="AS49" i="69"/>
  <c r="Q49" i="69"/>
  <c r="Z49" i="69"/>
  <c r="AR49" i="69"/>
  <c r="N49" i="69" a="1"/>
  <c r="N49" i="69" s="1"/>
  <c r="S49" i="69"/>
  <c r="A49" i="69"/>
  <c r="V49" i="69"/>
  <c r="B49" i="69" s="1"/>
  <c r="P49" i="69"/>
  <c r="M49" i="69"/>
  <c r="J49" i="69"/>
  <c r="AA49" i="69"/>
  <c r="W49" i="69"/>
  <c r="BP49" i="69" s="1"/>
  <c r="AC49" i="69"/>
  <c r="G49" i="69"/>
  <c r="L49" i="69"/>
  <c r="T49" i="69"/>
  <c r="BK49" i="69"/>
  <c r="O49" i="69"/>
  <c r="K49" i="69" a="1"/>
  <c r="K49" i="69" s="1"/>
  <c r="BE94" i="69"/>
  <c r="BF94" i="69"/>
  <c r="F254" i="15" a="1"/>
  <c r="F254" i="15" s="1"/>
  <c r="FE12" i="71"/>
  <c r="E56" i="15"/>
  <c r="S79" i="69"/>
  <c r="BB79" i="69"/>
  <c r="P79" i="69"/>
  <c r="Z79" i="69"/>
  <c r="AR79" i="69"/>
  <c r="T79" i="69"/>
  <c r="AB79" i="69" a="1"/>
  <c r="AB79" i="69" s="1"/>
  <c r="Q79" i="69"/>
  <c r="M79" i="69"/>
  <c r="J79" i="69"/>
  <c r="G79" i="69"/>
  <c r="AS79" i="69"/>
  <c r="BC79" i="69"/>
  <c r="AA79" i="69"/>
  <c r="BU79" i="69"/>
  <c r="AC79" i="69"/>
  <c r="W79" i="69"/>
  <c r="BP79" i="69" s="1"/>
  <c r="N79" i="69" a="1"/>
  <c r="N79" i="69" s="1"/>
  <c r="A79" i="69"/>
  <c r="Y79" i="69"/>
  <c r="V79" i="69"/>
  <c r="B79" i="69" s="1"/>
  <c r="O9" i="69"/>
  <c r="O9" i="72"/>
  <c r="BT9" i="72"/>
  <c r="BK9" i="69"/>
  <c r="F38" i="69"/>
  <c r="F52" i="69"/>
  <c r="HD37" i="71"/>
  <c r="AX1379" i="13"/>
  <c r="A1478" i="13"/>
  <c r="P18" i="9"/>
  <c r="BA96" i="72"/>
  <c r="F526" i="15" a="1"/>
  <c r="F526" i="15" s="1"/>
  <c r="BC40" i="69"/>
  <c r="Q40" i="69"/>
  <c r="U40" i="69" a="1"/>
  <c r="U40" i="69" s="1"/>
  <c r="Z40" i="69"/>
  <c r="O40" i="69"/>
  <c r="W40" i="69"/>
  <c r="BQ40" i="69" s="1" a="1"/>
  <c r="BQ40" i="69" s="1"/>
  <c r="N40" i="69" a="1"/>
  <c r="N40" i="69" s="1"/>
  <c r="P40" i="69"/>
  <c r="A40" i="69"/>
  <c r="AS40" i="69"/>
  <c r="T40" i="69"/>
  <c r="M40" i="69"/>
  <c r="BU40" i="69"/>
  <c r="V40" i="69"/>
  <c r="B40" i="69" s="1"/>
  <c r="BK40" i="69"/>
  <c r="G40" i="69"/>
  <c r="AC40" i="69"/>
  <c r="L40" i="69"/>
  <c r="J40" i="69"/>
  <c r="AA40" i="69"/>
  <c r="Y40" i="69"/>
  <c r="BB40" i="69"/>
  <c r="AR40" i="69"/>
  <c r="S40" i="69"/>
  <c r="AB40" i="69" a="1"/>
  <c r="AB40" i="69" s="1"/>
  <c r="K40" i="69" a="1"/>
  <c r="K40" i="69" s="1"/>
  <c r="P17" i="72"/>
  <c r="U17" i="72" a="1"/>
  <c r="U17" i="72" s="1"/>
  <c r="AA17" i="72" a="1"/>
  <c r="AA17" i="72" s="1"/>
  <c r="S17" i="72"/>
  <c r="A17" i="72"/>
  <c r="N17" i="72" a="1"/>
  <c r="N17" i="72" s="1"/>
  <c r="J17" i="72"/>
  <c r="AQ17" i="72"/>
  <c r="AB17" i="72"/>
  <c r="BR17" i="72"/>
  <c r="AG17" i="72"/>
  <c r="AC17" i="72"/>
  <c r="BB17" i="72"/>
  <c r="M17" i="72"/>
  <c r="G17" i="72"/>
  <c r="BK17" i="72"/>
  <c r="Y17" i="72"/>
  <c r="BY17" i="72" s="1"/>
  <c r="AE17" i="72"/>
  <c r="W17" i="72"/>
  <c r="X17" i="72"/>
  <c r="B17" i="72"/>
  <c r="K17" i="72" a="1"/>
  <c r="K17" i="72" s="1"/>
  <c r="Z17" i="72"/>
  <c r="Q17" i="72"/>
  <c r="T17" i="72"/>
  <c r="AO17" i="72"/>
  <c r="BL17" i="72"/>
  <c r="AN17" i="72"/>
  <c r="BA17" i="72"/>
  <c r="BN94" i="72"/>
  <c r="BX94" i="72"/>
  <c r="CA94" i="72" s="1"/>
  <c r="JX37" i="71"/>
  <c r="AR64" i="69"/>
  <c r="AB64" i="69" a="1"/>
  <c r="AB64" i="69" s="1"/>
  <c r="N64" i="69" a="1"/>
  <c r="N64" i="69" s="1"/>
  <c r="AC64" i="69"/>
  <c r="P64" i="69"/>
  <c r="Z64" i="69"/>
  <c r="J64" i="69"/>
  <c r="M64" i="69"/>
  <c r="BC64" i="69"/>
  <c r="T64" i="69"/>
  <c r="L64" i="69"/>
  <c r="A64" i="69"/>
  <c r="V64" i="69"/>
  <c r="U64" i="69" a="1"/>
  <c r="U64" i="69" s="1"/>
  <c r="W64" i="69"/>
  <c r="BP64" i="69" s="1"/>
  <c r="G64" i="69"/>
  <c r="Y64" i="69"/>
  <c r="AA64" i="69"/>
  <c r="BU64" i="69"/>
  <c r="AS64" i="69"/>
  <c r="Q64" i="69"/>
  <c r="BB64" i="69"/>
  <c r="W81" i="72"/>
  <c r="AQ81" i="72"/>
  <c r="Q81" i="72"/>
  <c r="AC81" i="72"/>
  <c r="AG81" i="72"/>
  <c r="P81" i="72"/>
  <c r="M81" i="72"/>
  <c r="AO81" i="72"/>
  <c r="BL81" i="72"/>
  <c r="Z81" i="72"/>
  <c r="AA81" i="72" a="1"/>
  <c r="AA81" i="72" s="1"/>
  <c r="T81" i="72"/>
  <c r="BB81" i="72"/>
  <c r="B81" i="72"/>
  <c r="Y81" i="72"/>
  <c r="BY81" i="72" s="1"/>
  <c r="X81" i="72"/>
  <c r="J81" i="72"/>
  <c r="BA81" i="72"/>
  <c r="N81" i="72" a="1"/>
  <c r="N81" i="72" s="1"/>
  <c r="AE81" i="72"/>
  <c r="S81" i="72"/>
  <c r="AB81" i="72"/>
  <c r="G81" i="72"/>
  <c r="BK81" i="72"/>
  <c r="AN81" i="72"/>
  <c r="A81" i="72"/>
  <c r="U81" i="72" a="1"/>
  <c r="U81" i="72" s="1"/>
  <c r="L690" i="15" a="1"/>
  <c r="L690" i="15" s="1"/>
  <c r="BH95" i="72" a="1"/>
  <c r="BH95" i="72" s="1"/>
  <c r="HY37" i="71"/>
  <c r="E180" i="15"/>
  <c r="E159" i="15"/>
  <c r="F154" i="15" s="1" a="1"/>
  <c r="F154" i="15" s="1"/>
  <c r="E61" i="4"/>
  <c r="DG61" i="4"/>
  <c r="BE61" i="4"/>
  <c r="E262" i="15"/>
  <c r="E68" i="15"/>
  <c r="DG85" i="4"/>
  <c r="E85" i="4"/>
  <c r="BU85" i="4" s="1"/>
  <c r="O32" i="69"/>
  <c r="L32" i="69"/>
  <c r="P32" i="69"/>
  <c r="Q32" i="69"/>
  <c r="U32" i="69" a="1"/>
  <c r="U32" i="69" s="1"/>
  <c r="S32" i="69"/>
  <c r="AB32" i="69" a="1"/>
  <c r="AB32" i="69" s="1"/>
  <c r="J32" i="69"/>
  <c r="W32" i="69"/>
  <c r="BC32" i="69"/>
  <c r="T32" i="69"/>
  <c r="Z32" i="69"/>
  <c r="M32" i="69"/>
  <c r="AR32" i="69"/>
  <c r="A32" i="69"/>
  <c r="Y32" i="69"/>
  <c r="AA32" i="69"/>
  <c r="AS32" i="69"/>
  <c r="BU32" i="69"/>
  <c r="V32" i="69"/>
  <c r="B32" i="69" s="1"/>
  <c r="AC32" i="69"/>
  <c r="BB32" i="69"/>
  <c r="N32" i="69" a="1"/>
  <c r="N32" i="69" s="1"/>
  <c r="G32" i="69"/>
  <c r="BK32" i="69"/>
  <c r="K32" i="69" a="1"/>
  <c r="K32" i="69" s="1"/>
  <c r="F85" i="72"/>
  <c r="I5" i="72"/>
  <c r="M94" i="69"/>
  <c r="F38" i="14"/>
  <c r="P38" i="14" s="1"/>
  <c r="L648" i="15" a="1"/>
  <c r="L648" i="15" s="1"/>
  <c r="F660" i="15" a="1"/>
  <c r="F660" i="15" s="1"/>
  <c r="F94" i="4"/>
  <c r="E523" i="15"/>
  <c r="E93" i="4"/>
  <c r="DG93" i="4"/>
  <c r="G70" i="69"/>
  <c r="AB70" i="69" a="1"/>
  <c r="AB70" i="69" s="1"/>
  <c r="V70" i="69"/>
  <c r="B70" i="69" s="1"/>
  <c r="AR70" i="69"/>
  <c r="Q70" i="69"/>
  <c r="BB70" i="69"/>
  <c r="BU70" i="69"/>
  <c r="T70" i="69"/>
  <c r="A70" i="69"/>
  <c r="AA70" i="69"/>
  <c r="AC70" i="69"/>
  <c r="L70" i="69"/>
  <c r="J70" i="69"/>
  <c r="P70" i="69"/>
  <c r="W70" i="69"/>
  <c r="BQ70" i="69" s="1" a="1"/>
  <c r="BQ70" i="69" s="1"/>
  <c r="Z70" i="69"/>
  <c r="BC70" i="69"/>
  <c r="AS70" i="69"/>
  <c r="N70" i="69" a="1"/>
  <c r="N70" i="69" s="1"/>
  <c r="M70" i="69"/>
  <c r="Y70" i="69"/>
  <c r="S70" i="69"/>
  <c r="BI70" i="69"/>
  <c r="M583" i="15" a="1"/>
  <c r="M583" i="15" s="1"/>
  <c r="JU37" i="71"/>
  <c r="F436" i="15" a="1"/>
  <c r="F436" i="15" s="1"/>
  <c r="AX1368" i="13"/>
  <c r="A1467" i="13"/>
  <c r="J50" i="72"/>
  <c r="T50" i="72"/>
  <c r="BA50" i="72"/>
  <c r="AC50" i="72"/>
  <c r="U50" i="72" a="1"/>
  <c r="U50" i="72" s="1"/>
  <c r="AQ50" i="72"/>
  <c r="X50" i="72"/>
  <c r="S50" i="72"/>
  <c r="AG50" i="72"/>
  <c r="BL50" i="72"/>
  <c r="AO50" i="72"/>
  <c r="B50" i="72"/>
  <c r="W50" i="72"/>
  <c r="G50" i="72"/>
  <c r="BB50" i="72"/>
  <c r="Z50" i="72"/>
  <c r="P50" i="72"/>
  <c r="L50" i="72"/>
  <c r="BK50" i="72"/>
  <c r="AA50" i="72" a="1"/>
  <c r="AA50" i="72" s="1"/>
  <c r="Y50" i="72"/>
  <c r="BY50" i="72" s="1"/>
  <c r="AN50" i="72"/>
  <c r="A50" i="72"/>
  <c r="N50" i="72" a="1"/>
  <c r="N50" i="72" s="1"/>
  <c r="M50" i="72"/>
  <c r="AE50" i="72"/>
  <c r="AB50" i="72"/>
  <c r="Q50" i="72"/>
  <c r="K50" i="72" a="1"/>
  <c r="K50" i="72" s="1"/>
  <c r="AI69" i="4"/>
  <c r="AV1365" i="13" s="1"/>
  <c r="AX1335" i="13"/>
  <c r="A1434" i="13"/>
  <c r="N641" i="15" a="1"/>
  <c r="N641" i="15" s="1"/>
  <c r="CY71" i="4"/>
  <c r="CZ71" i="4" s="1"/>
  <c r="E58" i="14"/>
  <c r="Y50" i="27"/>
  <c r="Y43" i="27"/>
  <c r="Y47" i="27"/>
  <c r="Y44" i="27"/>
  <c r="Y21" i="27"/>
  <c r="Y49" i="27"/>
  <c r="Y40" i="27"/>
  <c r="Y39" i="27"/>
  <c r="Y33" i="27"/>
  <c r="Y38" i="27"/>
  <c r="Y36" i="27"/>
  <c r="Y24" i="27"/>
  <c r="Y25" i="27"/>
  <c r="Y37" i="27"/>
  <c r="Y29" i="27"/>
  <c r="Y34" i="27"/>
  <c r="Y28" i="27"/>
  <c r="Y27" i="27"/>
  <c r="Y41" i="27"/>
  <c r="Y23" i="27"/>
  <c r="Y26" i="27"/>
  <c r="Y45" i="27"/>
  <c r="U20" i="27"/>
  <c r="Y20" i="27" s="1"/>
  <c r="Y31" i="27"/>
  <c r="Y46" i="27"/>
  <c r="Y35" i="27"/>
  <c r="Y42" i="27"/>
  <c r="Y30" i="27"/>
  <c r="Y48" i="27"/>
  <c r="Y22" i="27"/>
  <c r="Y32" i="27"/>
  <c r="AI95" i="4"/>
  <c r="AV1391" i="13" s="1"/>
  <c r="E192" i="15"/>
  <c r="FE25" i="71"/>
  <c r="L497" i="15" a="1"/>
  <c r="L497" i="15" s="1"/>
  <c r="H632" i="15" a="1"/>
  <c r="H632" i="15" s="1"/>
  <c r="N480" i="15" a="1"/>
  <c r="N480" i="15" s="1"/>
  <c r="CY59" i="4"/>
  <c r="CZ59" i="4" s="1"/>
  <c r="AQ79" i="4"/>
  <c r="AV381" i="13" s="1"/>
  <c r="DG79" i="4"/>
  <c r="E79" i="4"/>
  <c r="BI79" i="4" s="1"/>
  <c r="E115" i="15"/>
  <c r="E608" i="15"/>
  <c r="E130" i="15"/>
  <c r="F120" i="15" s="1" a="1"/>
  <c r="F120" i="15" s="1"/>
  <c r="E221" i="15"/>
  <c r="W19" i="72"/>
  <c r="P19" i="72"/>
  <c r="AO19" i="72"/>
  <c r="T19" i="72"/>
  <c r="Q19" i="72"/>
  <c r="Y19" i="72"/>
  <c r="L19" i="72" s="1"/>
  <c r="BA19" i="72"/>
  <c r="X19" i="72"/>
  <c r="M19" i="72"/>
  <c r="BB19" i="72"/>
  <c r="AE19" i="72"/>
  <c r="AQ19" i="72"/>
  <c r="BK19" i="72"/>
  <c r="K19" i="72" a="1"/>
  <c r="K19" i="72" s="1"/>
  <c r="A19" i="72"/>
  <c r="AB19" i="72"/>
  <c r="G19" i="72"/>
  <c r="J19" i="72"/>
  <c r="B19" i="72"/>
  <c r="U19" i="72" a="1"/>
  <c r="U19" i="72" s="1"/>
  <c r="AA19" i="72" a="1"/>
  <c r="AA19" i="72" s="1"/>
  <c r="BL19" i="72"/>
  <c r="AG19" i="72"/>
  <c r="S19" i="72"/>
  <c r="AN19" i="72"/>
  <c r="AC19" i="72"/>
  <c r="Z19" i="72"/>
  <c r="N19" i="72" a="1"/>
  <c r="N19" i="72" s="1"/>
  <c r="Q42" i="72"/>
  <c r="BB42" i="72"/>
  <c r="J42" i="72"/>
  <c r="X42" i="72"/>
  <c r="Z42" i="72"/>
  <c r="BL42" i="72"/>
  <c r="U42" i="72" a="1"/>
  <c r="U42" i="72" s="1"/>
  <c r="M42" i="72"/>
  <c r="BK42" i="72"/>
  <c r="T42" i="72"/>
  <c r="N42" i="72" a="1"/>
  <c r="N42" i="72" s="1"/>
  <c r="B42" i="72"/>
  <c r="AE42" i="72"/>
  <c r="G42" i="72"/>
  <c r="BA42" i="72"/>
  <c r="AN42" i="72"/>
  <c r="AG42" i="72"/>
  <c r="Y42" i="72"/>
  <c r="BY42" i="72" s="1"/>
  <c r="AO42" i="72"/>
  <c r="A42" i="72"/>
  <c r="AB42" i="72"/>
  <c r="AC42" i="72"/>
  <c r="AA42" i="72" a="1"/>
  <c r="AA42" i="72" s="1"/>
  <c r="P42" i="72"/>
  <c r="S42" i="72"/>
  <c r="AQ42" i="72"/>
  <c r="W42" i="72"/>
  <c r="K42" i="72" a="1"/>
  <c r="K42" i="72" s="1"/>
  <c r="H42" i="72"/>
  <c r="O42" i="72"/>
  <c r="C42" i="72"/>
  <c r="Z71" i="4"/>
  <c r="AV1268" i="13" s="1"/>
  <c r="F419" i="15" a="1"/>
  <c r="F419" i="15" s="1"/>
  <c r="A1414" i="13"/>
  <c r="AX1315" i="13"/>
  <c r="K653" i="15" a="1"/>
  <c r="K653" i="15" s="1"/>
  <c r="M88" i="69"/>
  <c r="A88" i="69"/>
  <c r="T88" i="69"/>
  <c r="W88" i="69"/>
  <c r="BQ88" i="69" s="1" a="1"/>
  <c r="BQ88" i="69" s="1"/>
  <c r="Y88" i="69"/>
  <c r="AS88" i="69"/>
  <c r="Q88" i="69"/>
  <c r="Z88" i="69"/>
  <c r="S88" i="69"/>
  <c r="BU88" i="69"/>
  <c r="G88" i="69"/>
  <c r="BC88" i="69"/>
  <c r="N88" i="69" a="1"/>
  <c r="N88" i="69" s="1"/>
  <c r="J88" i="69"/>
  <c r="AB88" i="69" a="1"/>
  <c r="AB88" i="69" s="1"/>
  <c r="AC88" i="69"/>
  <c r="BB88" i="69"/>
  <c r="AA88" i="69"/>
  <c r="AR88" i="69"/>
  <c r="V88" i="69"/>
  <c r="B88" i="69" s="1"/>
  <c r="P88" i="69"/>
  <c r="F21" i="72"/>
  <c r="E58" i="15"/>
  <c r="F226" i="15" a="1"/>
  <c r="F226" i="15" s="1"/>
  <c r="A1419" i="13"/>
  <c r="AX1320" i="13"/>
  <c r="AQ68" i="4"/>
  <c r="AV370" i="13" s="1"/>
  <c r="AQ59" i="4"/>
  <c r="AV361" i="13" s="1"/>
  <c r="F85" i="4"/>
  <c r="BY58" i="72"/>
  <c r="BX58" i="72" s="1"/>
  <c r="CA58" i="72" s="1"/>
  <c r="CI58" i="72"/>
  <c r="BC58" i="72" a="1"/>
  <c r="BC58" i="72" s="1"/>
  <c r="AV552" i="13"/>
  <c r="BI50" i="4"/>
  <c r="DX50" i="4"/>
  <c r="BM50" i="4"/>
  <c r="BR50" i="72" s="1"/>
  <c r="AV28" i="4"/>
  <c r="AU28" i="4" a="1"/>
  <c r="AU28" i="4" s="1"/>
  <c r="H28" i="72" s="1"/>
  <c r="AW28" i="4" a="1"/>
  <c r="AW28" i="4" s="1"/>
  <c r="C28" i="72" s="1"/>
  <c r="Y28" i="4"/>
  <c r="BR28" i="4"/>
  <c r="AW8" i="4" a="1"/>
  <c r="AW8" i="4" s="1"/>
  <c r="C8" i="72" s="1"/>
  <c r="Y8" i="4"/>
  <c r="AV8" i="4"/>
  <c r="AU8" i="4" a="1"/>
  <c r="AU8" i="4" s="1"/>
  <c r="H8" i="72" s="1"/>
  <c r="DA8" i="4"/>
  <c r="DB8" i="4" s="1"/>
  <c r="BR8" i="4"/>
  <c r="AW47" i="4" a="1"/>
  <c r="AW47" i="4" s="1"/>
  <c r="C47" i="69" s="1"/>
  <c r="AU47" i="4" a="1"/>
  <c r="AU47" i="4" s="1"/>
  <c r="H47" i="69" s="1"/>
  <c r="AV47" i="4"/>
  <c r="Y47" i="4"/>
  <c r="BR47" i="4"/>
  <c r="E58" i="69"/>
  <c r="BI43" i="4"/>
  <c r="DX43" i="4"/>
  <c r="BM43" i="4"/>
  <c r="BN43" i="4" s="1"/>
  <c r="BF43" i="4" s="1" a="1"/>
  <c r="BF43" i="4" s="1"/>
  <c r="AV545" i="13"/>
  <c r="AQ78" i="4"/>
  <c r="AV380" i="13" s="1"/>
  <c r="AV13" i="4"/>
  <c r="Y13" i="4"/>
  <c r="AU13" i="4" a="1"/>
  <c r="AU13" i="4" s="1"/>
  <c r="H13" i="69" s="1"/>
  <c r="AW13" i="4" a="1"/>
  <c r="AW13" i="4" s="1"/>
  <c r="C13" i="72" s="1"/>
  <c r="D13" i="72" s="1" a="1"/>
  <c r="D13" i="72" s="1"/>
  <c r="BR13" i="4"/>
  <c r="DA13" i="4"/>
  <c r="DB13" i="4" s="1"/>
  <c r="BI15" i="4"/>
  <c r="AV517" i="13"/>
  <c r="DX15" i="4"/>
  <c r="BM15" i="4"/>
  <c r="BN15" i="4" s="1"/>
  <c r="BF15" i="4" s="1" a="1"/>
  <c r="BF15" i="4" s="1"/>
  <c r="AX1387" i="13"/>
  <c r="A1486" i="13"/>
  <c r="AU12" i="4" a="1"/>
  <c r="AU12" i="4" s="1"/>
  <c r="H12" i="72" s="1"/>
  <c r="Y12" i="4"/>
  <c r="AV12" i="4"/>
  <c r="AW12" i="4" a="1"/>
  <c r="AW12" i="4" s="1"/>
  <c r="C12" i="69" s="1"/>
  <c r="D12" i="69" s="1" a="1"/>
  <c r="D12" i="69" s="1"/>
  <c r="BR12" i="4"/>
  <c r="F373" i="15" a="1"/>
  <c r="F373" i="15" s="1"/>
  <c r="AQ82" i="4"/>
  <c r="AV384" i="13" s="1"/>
  <c r="AQ61" i="4"/>
  <c r="AV363" i="13" s="1"/>
  <c r="AM23" i="4"/>
  <c r="I23" i="69" s="1"/>
  <c r="X28" i="4"/>
  <c r="BH28" i="4"/>
  <c r="AV1126" i="13" s="1"/>
  <c r="BS28" i="4"/>
  <c r="BK28" i="69" s="1"/>
  <c r="L46" i="4"/>
  <c r="BS46" i="4"/>
  <c r="O46" i="72" s="1"/>
  <c r="BH46" i="4"/>
  <c r="AV1144" i="13" s="1"/>
  <c r="X46" i="4"/>
  <c r="BH31" i="4"/>
  <c r="AV1129" i="13" s="1"/>
  <c r="BG48" i="4"/>
  <c r="X17" i="4"/>
  <c r="BS17" i="4"/>
  <c r="BK17" i="69" s="1"/>
  <c r="BH17" i="4"/>
  <c r="AV1115" i="13" s="1"/>
  <c r="DG74" i="4"/>
  <c r="E74" i="4"/>
  <c r="BU74" i="4" s="1"/>
  <c r="BE74" i="4"/>
  <c r="X74" i="4" s="1"/>
  <c r="E592" i="15"/>
  <c r="L588" i="15" s="1" a="1"/>
  <c r="L588" i="15" s="1"/>
  <c r="E392" i="15"/>
  <c r="F390" i="15" s="1" a="1"/>
  <c r="F390" i="15" s="1"/>
  <c r="I698" i="15" a="1"/>
  <c r="I698" i="15" s="1"/>
  <c r="F698" i="15" a="1"/>
  <c r="F698" i="15" s="1"/>
  <c r="H698" i="15" a="1"/>
  <c r="H698" i="15" s="1"/>
  <c r="M21" i="69"/>
  <c r="N21" i="69" a="1"/>
  <c r="N21" i="69" s="1"/>
  <c r="BB21" i="69"/>
  <c r="V21" i="69"/>
  <c r="B21" i="69" s="1"/>
  <c r="T21" i="69"/>
  <c r="Y21" i="69"/>
  <c r="BU21" i="69"/>
  <c r="L21" i="69"/>
  <c r="Z21" i="69"/>
  <c r="AS21" i="69"/>
  <c r="AA21" i="69"/>
  <c r="G21" i="69"/>
  <c r="S21" i="69"/>
  <c r="Q21" i="69"/>
  <c r="K21" i="69" a="1"/>
  <c r="K21" i="69" s="1"/>
  <c r="W21" i="69"/>
  <c r="BC21" i="69"/>
  <c r="P21" i="69"/>
  <c r="U21" i="69" a="1"/>
  <c r="U21" i="69" s="1"/>
  <c r="AB21" i="69" a="1"/>
  <c r="AB21" i="69" s="1"/>
  <c r="AC21" i="69"/>
  <c r="A21" i="69"/>
  <c r="AR21" i="69"/>
  <c r="J21" i="69"/>
  <c r="BI21" i="69"/>
  <c r="BK21" i="69"/>
  <c r="AD21" i="69"/>
  <c r="O21" i="69"/>
  <c r="DC65" i="4" a="1"/>
  <c r="DC65" i="4" s="1"/>
  <c r="L686" i="15" a="1"/>
  <c r="L686" i="15" s="1"/>
  <c r="F69" i="4"/>
  <c r="E548" i="15"/>
  <c r="E152" i="15"/>
  <c r="E87" i="15"/>
  <c r="E69" i="4"/>
  <c r="DG69" i="4"/>
  <c r="AN82" i="72"/>
  <c r="S82" i="72"/>
  <c r="BA82" i="72"/>
  <c r="AB82" i="72"/>
  <c r="AO82" i="72"/>
  <c r="Q82" i="72"/>
  <c r="BK82" i="72"/>
  <c r="BB82" i="72"/>
  <c r="AE82" i="72"/>
  <c r="BL82" i="72"/>
  <c r="A82" i="72"/>
  <c r="Y82" i="72"/>
  <c r="BY82" i="72" s="1"/>
  <c r="AC82" i="72"/>
  <c r="W82" i="72"/>
  <c r="B82" i="72"/>
  <c r="P82" i="72"/>
  <c r="AA82" i="72" a="1"/>
  <c r="AA82" i="72" s="1"/>
  <c r="N82" i="72" a="1"/>
  <c r="N82" i="72" s="1"/>
  <c r="L82" i="72"/>
  <c r="Z82" i="72"/>
  <c r="J82" i="72"/>
  <c r="AQ82" i="72"/>
  <c r="X82" i="72"/>
  <c r="AG82" i="72"/>
  <c r="T82" i="72"/>
  <c r="G82" i="72"/>
  <c r="M82" i="72"/>
  <c r="A1445" i="13"/>
  <c r="AX1346" i="13"/>
  <c r="H57" i="9"/>
  <c r="I57" i="9"/>
  <c r="AG91" i="72"/>
  <c r="AB91" i="72"/>
  <c r="AO91" i="72"/>
  <c r="BB91" i="72"/>
  <c r="BL91" i="72"/>
  <c r="A91" i="72"/>
  <c r="W91" i="72"/>
  <c r="M91" i="72"/>
  <c r="N91" i="72" a="1"/>
  <c r="N91" i="72" s="1"/>
  <c r="BA91" i="72"/>
  <c r="S91" i="72"/>
  <c r="T91" i="72"/>
  <c r="J91" i="72"/>
  <c r="Z91" i="72"/>
  <c r="AE91" i="72"/>
  <c r="AA91" i="72" a="1"/>
  <c r="AA91" i="72" s="1"/>
  <c r="B91" i="72"/>
  <c r="BK91" i="72"/>
  <c r="AC91" i="72"/>
  <c r="X91" i="72"/>
  <c r="P91" i="72"/>
  <c r="Q91" i="72"/>
  <c r="G91" i="72"/>
  <c r="AQ91" i="72"/>
  <c r="Y91" i="72"/>
  <c r="BY91" i="72" s="1"/>
  <c r="AN91" i="72"/>
  <c r="I29" i="69"/>
  <c r="K536" i="15" a="1"/>
  <c r="K536" i="15" s="1"/>
  <c r="Y29" i="69"/>
  <c r="BI29" i="69"/>
  <c r="L29" i="69"/>
  <c r="AC29" i="69"/>
  <c r="J29" i="69"/>
  <c r="G29" i="69"/>
  <c r="Q29" i="69"/>
  <c r="BU29" i="69"/>
  <c r="BC29" i="69"/>
  <c r="T29" i="69"/>
  <c r="Z29" i="69"/>
  <c r="AB29" i="69" a="1"/>
  <c r="AB29" i="69" s="1"/>
  <c r="U29" i="69" a="1"/>
  <c r="U29" i="69" s="1"/>
  <c r="P29" i="69"/>
  <c r="AR29" i="69"/>
  <c r="S29" i="69"/>
  <c r="AA29" i="69"/>
  <c r="W29" i="69"/>
  <c r="V29" i="69"/>
  <c r="B29" i="69" s="1"/>
  <c r="A29" i="69"/>
  <c r="M29" i="69"/>
  <c r="AS29" i="69"/>
  <c r="N29" i="69" a="1"/>
  <c r="N29" i="69" s="1"/>
  <c r="BB29" i="69"/>
  <c r="K29" i="69" a="1"/>
  <c r="K29" i="69" s="1"/>
  <c r="C29" i="69"/>
  <c r="H29" i="69"/>
  <c r="I48" i="69"/>
  <c r="U17" i="69" a="1"/>
  <c r="U17" i="69" s="1"/>
  <c r="P17" i="69"/>
  <c r="Q17" i="69"/>
  <c r="S17" i="69"/>
  <c r="Z17" i="69"/>
  <c r="J17" i="69"/>
  <c r="A17" i="69"/>
  <c r="V17" i="69"/>
  <c r="B17" i="69" s="1"/>
  <c r="AA17" i="69"/>
  <c r="K17" i="69" a="1"/>
  <c r="K17" i="69" s="1"/>
  <c r="M17" i="69"/>
  <c r="W17" i="69"/>
  <c r="BP17" i="69" s="1"/>
  <c r="T17" i="69"/>
  <c r="N17" i="69" a="1"/>
  <c r="N17" i="69" s="1"/>
  <c r="BC17" i="69"/>
  <c r="AR17" i="69"/>
  <c r="BU17" i="69"/>
  <c r="Y17" i="69"/>
  <c r="AC17" i="69"/>
  <c r="AB17" i="69" a="1"/>
  <c r="AB17" i="69" s="1"/>
  <c r="AS17" i="69"/>
  <c r="G17" i="69"/>
  <c r="BB17" i="69"/>
  <c r="BI17" i="69"/>
  <c r="C17" i="69"/>
  <c r="H17" i="69"/>
  <c r="AX1348" i="13"/>
  <c r="A1447" i="13"/>
  <c r="FE7" i="71"/>
  <c r="M11" i="72"/>
  <c r="A11" i="72"/>
  <c r="AB11" i="72"/>
  <c r="BB11" i="72"/>
  <c r="W11" i="72"/>
  <c r="AN11" i="72"/>
  <c r="AQ11" i="72"/>
  <c r="B11" i="72"/>
  <c r="N11" i="72" a="1"/>
  <c r="N11" i="72" s="1"/>
  <c r="AG11" i="72"/>
  <c r="T11" i="72"/>
  <c r="AA11" i="72" a="1"/>
  <c r="AA11" i="72" s="1"/>
  <c r="X11" i="72"/>
  <c r="K11" i="72" a="1"/>
  <c r="K11" i="72" s="1"/>
  <c r="J11" i="72"/>
  <c r="AC11" i="72"/>
  <c r="BL11" i="72"/>
  <c r="U11" i="72" a="1"/>
  <c r="U11" i="72" s="1"/>
  <c r="S11" i="72"/>
  <c r="Y11" i="72"/>
  <c r="BY11" i="72" s="1"/>
  <c r="Q11" i="72"/>
  <c r="P11" i="72"/>
  <c r="AE11" i="72"/>
  <c r="BA11" i="72"/>
  <c r="Z11" i="72"/>
  <c r="G11" i="72"/>
  <c r="AO11" i="72"/>
  <c r="BK11" i="72"/>
  <c r="O11" i="72"/>
  <c r="F75" i="72"/>
  <c r="M490" i="15" a="1"/>
  <c r="M490" i="15" s="1"/>
  <c r="K490" i="15" a="1"/>
  <c r="K490" i="15" s="1"/>
  <c r="N490" i="15" a="1"/>
  <c r="N490" i="15" s="1"/>
  <c r="M690" i="15" a="1"/>
  <c r="M690" i="15" s="1"/>
  <c r="BN96" i="72"/>
  <c r="BX96" i="72"/>
  <c r="CA96" i="72" s="1"/>
  <c r="BO96" i="72"/>
  <c r="IK37" i="71"/>
  <c r="A32" i="72"/>
  <c r="W32" i="72"/>
  <c r="AE32" i="72"/>
  <c r="AQ32" i="72"/>
  <c r="AB32" i="72"/>
  <c r="O32" i="72"/>
  <c r="AN32" i="72"/>
  <c r="J32" i="72"/>
  <c r="U32" i="72" a="1"/>
  <c r="U32" i="72" s="1"/>
  <c r="AC32" i="72"/>
  <c r="L32" i="72"/>
  <c r="Z32" i="72"/>
  <c r="X32" i="72"/>
  <c r="S32" i="72"/>
  <c r="Q32" i="72"/>
  <c r="G32" i="72"/>
  <c r="BA32" i="72"/>
  <c r="BK32" i="72"/>
  <c r="BL32" i="72"/>
  <c r="AG32" i="72"/>
  <c r="P32" i="72"/>
  <c r="B32" i="72"/>
  <c r="N32" i="72" a="1"/>
  <c r="N32" i="72" s="1"/>
  <c r="Y32" i="72"/>
  <c r="BY32" i="72" s="1"/>
  <c r="M32" i="72"/>
  <c r="AO32" i="72"/>
  <c r="T32" i="72"/>
  <c r="BB32" i="72"/>
  <c r="AA32" i="72" a="1"/>
  <c r="AA32" i="72" s="1"/>
  <c r="K32" i="72" a="1"/>
  <c r="K32" i="72" s="1"/>
  <c r="AM65" i="4"/>
  <c r="D56" i="14"/>
  <c r="FE29" i="71"/>
  <c r="BE50" i="4"/>
  <c r="X50" i="4" s="1"/>
  <c r="AM94" i="4"/>
  <c r="E604" i="15"/>
  <c r="BB70" i="72"/>
  <c r="M70" i="72"/>
  <c r="Q70" i="72"/>
  <c r="AN70" i="72"/>
  <c r="BK70" i="72"/>
  <c r="N70" i="72" a="1"/>
  <c r="N70" i="72" s="1"/>
  <c r="AO70" i="72"/>
  <c r="J70" i="72"/>
  <c r="P70" i="72"/>
  <c r="AA70" i="72" a="1"/>
  <c r="AA70" i="72" s="1"/>
  <c r="AC70" i="72"/>
  <c r="AQ70" i="72"/>
  <c r="BL70" i="72"/>
  <c r="A70" i="72"/>
  <c r="AG70" i="72"/>
  <c r="L70" i="72"/>
  <c r="AB70" i="72"/>
  <c r="T70" i="72"/>
  <c r="Z70" i="72"/>
  <c r="AE70" i="72"/>
  <c r="X70" i="72"/>
  <c r="G70" i="72"/>
  <c r="Y70" i="72"/>
  <c r="BY70" i="72" s="1"/>
  <c r="BA70" i="72"/>
  <c r="W70" i="72"/>
  <c r="B70" i="72"/>
  <c r="S70" i="72"/>
  <c r="BR70" i="72"/>
  <c r="I76" i="72"/>
  <c r="F43" i="72"/>
  <c r="R96" i="69"/>
  <c r="BD96" i="69"/>
  <c r="BG96" i="69"/>
  <c r="AW96" i="69" s="1" a="1"/>
  <c r="AW96" i="69" s="1"/>
  <c r="AP96" i="69" a="1"/>
  <c r="AP96" i="69" s="1"/>
  <c r="BT96" i="69"/>
  <c r="BN96" i="69" a="1"/>
  <c r="BN96" i="69" s="1"/>
  <c r="BM96" i="69" a="1"/>
  <c r="BM96" i="69" s="1"/>
  <c r="BP96" i="69"/>
  <c r="BO96" i="69" s="1"/>
  <c r="BR96" i="69" s="1"/>
  <c r="BQ96" i="69" a="1"/>
  <c r="BQ96" i="69" s="1"/>
  <c r="E96" i="69"/>
  <c r="BH96" i="69"/>
  <c r="N50" i="69" a="1"/>
  <c r="N50" i="69" s="1"/>
  <c r="L50" i="69"/>
  <c r="G50" i="69"/>
  <c r="AS50" i="69"/>
  <c r="J50" i="69"/>
  <c r="Y50" i="69"/>
  <c r="A50" i="69"/>
  <c r="T50" i="69"/>
  <c r="AA50" i="69"/>
  <c r="S50" i="69"/>
  <c r="BB50" i="69"/>
  <c r="P50" i="69"/>
  <c r="M50" i="69"/>
  <c r="BC50" i="69"/>
  <c r="AB50" i="69" a="1"/>
  <c r="AB50" i="69" s="1"/>
  <c r="AC50" i="69"/>
  <c r="U50" i="69" a="1"/>
  <c r="U50" i="69" s="1"/>
  <c r="Q50" i="69"/>
  <c r="W50" i="69"/>
  <c r="Z50" i="69"/>
  <c r="AR50" i="69"/>
  <c r="V50" i="69"/>
  <c r="B50" i="69" s="1"/>
  <c r="BU50" i="69"/>
  <c r="K50" i="69" a="1"/>
  <c r="K50" i="69" s="1"/>
  <c r="N538" i="15" a="1"/>
  <c r="N538" i="15" s="1"/>
  <c r="K641" i="15" a="1"/>
  <c r="K641" i="15" s="1"/>
  <c r="F490" i="15" a="1"/>
  <c r="F490" i="15" s="1"/>
  <c r="K588" i="15" a="1"/>
  <c r="K588" i="15" s="1"/>
  <c r="AX96" i="69" a="1"/>
  <c r="AX96" i="69" s="1"/>
  <c r="AG56" i="72"/>
  <c r="L56" i="72"/>
  <c r="S56" i="72"/>
  <c r="A56" i="72"/>
  <c r="W56" i="72"/>
  <c r="BB56" i="72"/>
  <c r="P56" i="72"/>
  <c r="AQ56" i="72"/>
  <c r="N56" i="72" a="1"/>
  <c r="N56" i="72" s="1"/>
  <c r="T56" i="72"/>
  <c r="BA56" i="72"/>
  <c r="M56" i="72"/>
  <c r="AC56" i="72"/>
  <c r="BK56" i="72"/>
  <c r="AB56" i="72"/>
  <c r="BL56" i="72"/>
  <c r="AE56" i="72"/>
  <c r="Y56" i="72"/>
  <c r="Z56" i="72"/>
  <c r="Q56" i="72"/>
  <c r="AA56" i="72" a="1"/>
  <c r="AA56" i="72" s="1"/>
  <c r="J56" i="72"/>
  <c r="AN56" i="72"/>
  <c r="B56" i="72"/>
  <c r="X56" i="72"/>
  <c r="AO56" i="72"/>
  <c r="U56" i="72" a="1"/>
  <c r="U56" i="72" s="1"/>
  <c r="G56" i="72"/>
  <c r="F32" i="69"/>
  <c r="AX1350" i="13"/>
  <c r="A1449" i="13"/>
  <c r="AE95" i="4"/>
  <c r="B53" i="14"/>
  <c r="A1433" i="13"/>
  <c r="AX1334" i="13"/>
  <c r="L480" i="15" a="1"/>
  <c r="L480" i="15" s="1"/>
  <c r="E79" i="15"/>
  <c r="A1468" i="13"/>
  <c r="AX1369" i="13"/>
  <c r="J47" i="69"/>
  <c r="AS47" i="69"/>
  <c r="P47" i="69"/>
  <c r="AR47" i="69"/>
  <c r="Q47" i="69"/>
  <c r="BU47" i="69"/>
  <c r="S47" i="69"/>
  <c r="V47" i="69"/>
  <c r="B47" i="69" s="1"/>
  <c r="BC47" i="69"/>
  <c r="U47" i="69" a="1"/>
  <c r="U47" i="69" s="1"/>
  <c r="AA47" i="69"/>
  <c r="Y47" i="69"/>
  <c r="M47" i="69"/>
  <c r="N47" i="69" a="1"/>
  <c r="N47" i="69" s="1"/>
  <c r="AB47" i="69" a="1"/>
  <c r="AB47" i="69" s="1"/>
  <c r="BB47" i="69"/>
  <c r="A47" i="69"/>
  <c r="BI47" i="69"/>
  <c r="G47" i="69"/>
  <c r="Z47" i="69"/>
  <c r="W47" i="69"/>
  <c r="L47" i="69" s="1"/>
  <c r="AC47" i="69"/>
  <c r="T47" i="69"/>
  <c r="K47" i="69" a="1"/>
  <c r="K47" i="69" s="1"/>
  <c r="JO37" i="71"/>
  <c r="M613" i="15" a="1"/>
  <c r="M613" i="15" s="1"/>
  <c r="AX1333" i="13"/>
  <c r="A1432" i="13"/>
  <c r="E224" i="15"/>
  <c r="H223" i="15" s="1" a="1"/>
  <c r="H223" i="15" s="1"/>
  <c r="A1474" i="13"/>
  <c r="AX1375" i="13"/>
  <c r="BB88" i="72"/>
  <c r="BA88" i="72"/>
  <c r="BL88" i="72"/>
  <c r="N88" i="72" a="1"/>
  <c r="N88" i="72" s="1"/>
  <c r="AE88" i="72"/>
  <c r="AB88" i="72"/>
  <c r="P88" i="72"/>
  <c r="A88" i="72"/>
  <c r="AN88" i="72"/>
  <c r="Z88" i="72"/>
  <c r="AA88" i="72" a="1"/>
  <c r="AA88" i="72" s="1"/>
  <c r="AG88" i="72"/>
  <c r="W88" i="72"/>
  <c r="AO88" i="72"/>
  <c r="X88" i="72"/>
  <c r="AQ88" i="72"/>
  <c r="M88" i="72"/>
  <c r="BK88" i="72"/>
  <c r="Y88" i="72"/>
  <c r="T88" i="72"/>
  <c r="Q88" i="72"/>
  <c r="J88" i="72"/>
  <c r="AC88" i="72"/>
  <c r="B88" i="72"/>
  <c r="S88" i="72"/>
  <c r="G88" i="72"/>
  <c r="Z63" i="4"/>
  <c r="AV1260" i="13" s="1"/>
  <c r="E691" i="15"/>
  <c r="H690" i="15" s="1" a="1"/>
  <c r="H690" i="15" s="1"/>
  <c r="F257" i="15" a="1"/>
  <c r="F257" i="15" s="1"/>
  <c r="GU37" i="71"/>
  <c r="E521" i="15"/>
  <c r="DC83" i="4" a="1"/>
  <c r="DC83" i="4" s="1"/>
  <c r="AV521" i="13"/>
  <c r="BI19" i="4"/>
  <c r="DX19" i="4"/>
  <c r="BM19" i="4"/>
  <c r="BN19" i="4" s="1"/>
  <c r="BF19" i="4" s="1" a="1"/>
  <c r="BF19" i="4" s="1"/>
  <c r="AV550" i="13"/>
  <c r="DX48" i="4"/>
  <c r="BI48" i="4"/>
  <c r="BM48" i="4"/>
  <c r="BN48" i="4" s="1"/>
  <c r="BF48" i="4" s="1" a="1"/>
  <c r="BF48" i="4" s="1"/>
  <c r="DX38" i="4"/>
  <c r="BI38" i="4"/>
  <c r="BM38" i="4"/>
  <c r="BN38" i="4" s="1"/>
  <c r="BF38" i="4" s="1" a="1"/>
  <c r="BF38" i="4" s="1"/>
  <c r="AV540" i="13"/>
  <c r="AQ89" i="4"/>
  <c r="AV391" i="13" s="1"/>
  <c r="F674" i="15" a="1"/>
  <c r="F674" i="15" s="1"/>
  <c r="F395" i="15" a="1"/>
  <c r="F395" i="15" s="1"/>
  <c r="U58" i="72" a="1"/>
  <c r="U58" i="72" s="1"/>
  <c r="BI46" i="4"/>
  <c r="AV548" i="13"/>
  <c r="BM46" i="4"/>
  <c r="BN46" i="4" s="1"/>
  <c r="BF46" i="4" s="1" a="1"/>
  <c r="BF46" i="4" s="1"/>
  <c r="DX46" i="4"/>
  <c r="F369" i="15" a="1"/>
  <c r="F369" i="15" s="1"/>
  <c r="BM42" i="4"/>
  <c r="BN42" i="4" s="1"/>
  <c r="BF42" i="4" s="1" a="1"/>
  <c r="BF42" i="4" s="1"/>
  <c r="BI42" i="4"/>
  <c r="AV544" i="13"/>
  <c r="DX42" i="4"/>
  <c r="F63" i="4"/>
  <c r="AU27" i="4" a="1"/>
  <c r="AU27" i="4" s="1"/>
  <c r="H27" i="69" s="1"/>
  <c r="AV27" i="4"/>
  <c r="AW27" i="4" a="1"/>
  <c r="AW27" i="4" s="1"/>
  <c r="C27" i="69" s="1"/>
  <c r="Y27" i="4"/>
  <c r="BR27" i="4"/>
  <c r="BM24" i="4"/>
  <c r="BN24" i="4" s="1"/>
  <c r="BF24" i="4" s="1" a="1"/>
  <c r="BF24" i="4" s="1"/>
  <c r="AV526" i="13"/>
  <c r="BI24" i="4"/>
  <c r="DX24" i="4"/>
  <c r="CG96" i="72" a="1"/>
  <c r="CG96" i="72" s="1"/>
  <c r="F65" i="4"/>
  <c r="A1483" i="13"/>
  <c r="AX1384" i="13"/>
  <c r="AI60" i="4"/>
  <c r="AV1356" i="13" s="1"/>
  <c r="BG17" i="4"/>
  <c r="F141" i="15" a="1"/>
  <c r="F141" i="15" s="1"/>
  <c r="W15" i="69"/>
  <c r="P15" i="69"/>
  <c r="L15" i="69"/>
  <c r="V15" i="69"/>
  <c r="B15" i="69" s="1"/>
  <c r="BC15" i="69"/>
  <c r="AR15" i="69"/>
  <c r="A15" i="69"/>
  <c r="Y15" i="69"/>
  <c r="BB15" i="69"/>
  <c r="AA15" i="69"/>
  <c r="G15" i="69"/>
  <c r="M15" i="69"/>
  <c r="J15" i="69"/>
  <c r="S15" i="69"/>
  <c r="K15" i="69" a="1"/>
  <c r="K15" i="69" s="1"/>
  <c r="AB15" i="69" a="1"/>
  <c r="AB15" i="69" s="1"/>
  <c r="U15" i="69" a="1"/>
  <c r="U15" i="69" s="1"/>
  <c r="Z15" i="69"/>
  <c r="BU15" i="69"/>
  <c r="Q15" i="69"/>
  <c r="AS15" i="69"/>
  <c r="N15" i="69" a="1"/>
  <c r="N15" i="69" s="1"/>
  <c r="T15" i="69"/>
  <c r="AC15" i="69"/>
  <c r="O15" i="69"/>
  <c r="BK15" i="69"/>
  <c r="N494" i="15" a="1"/>
  <c r="N494" i="15" s="1"/>
  <c r="L474" i="15" a="1"/>
  <c r="L474" i="15" s="1"/>
  <c r="N474" i="15" a="1"/>
  <c r="N474" i="15" s="1"/>
  <c r="K474" i="15" a="1"/>
  <c r="K474" i="15" s="1"/>
  <c r="AN44" i="72"/>
  <c r="A44" i="72"/>
  <c r="W44" i="72"/>
  <c r="O44" i="72"/>
  <c r="M44" i="72"/>
  <c r="BL44" i="72"/>
  <c r="L44" i="72"/>
  <c r="J44" i="72"/>
  <c r="BK44" i="72"/>
  <c r="AA44" i="72" a="1"/>
  <c r="AA44" i="72" s="1"/>
  <c r="Y44" i="72"/>
  <c r="N44" i="72" a="1"/>
  <c r="N44" i="72" s="1"/>
  <c r="AE44" i="72"/>
  <c r="Q44" i="72"/>
  <c r="U44" i="72" a="1"/>
  <c r="U44" i="72" s="1"/>
  <c r="AC44" i="72"/>
  <c r="S44" i="72"/>
  <c r="BB44" i="72"/>
  <c r="T44" i="72"/>
  <c r="P44" i="72"/>
  <c r="AG44" i="72"/>
  <c r="B44" i="72"/>
  <c r="Z44" i="72"/>
  <c r="AO44" i="72"/>
  <c r="G44" i="72"/>
  <c r="AB44" i="72"/>
  <c r="AQ44" i="72"/>
  <c r="BA44" i="72"/>
  <c r="X44" i="72"/>
  <c r="K44" i="72" a="1"/>
  <c r="K44" i="72" s="1"/>
  <c r="C44" i="72"/>
  <c r="H44" i="72"/>
  <c r="AV1230" i="13"/>
  <c r="AV1197" i="13" s="1" a="1"/>
  <c r="AV1197" i="13" s="1"/>
  <c r="I8" i="27"/>
  <c r="I85" i="69"/>
  <c r="IQ37" i="71"/>
  <c r="F536" i="15" a="1"/>
  <c r="F536" i="15" s="1"/>
  <c r="IZ37" i="71"/>
  <c r="AO25" i="72"/>
  <c r="AC25" i="72"/>
  <c r="N25" i="72" a="1"/>
  <c r="N25" i="72" s="1"/>
  <c r="U25" i="72" a="1"/>
  <c r="U25" i="72" s="1"/>
  <c r="AB25" i="72"/>
  <c r="AE25" i="72"/>
  <c r="BB25" i="72"/>
  <c r="T25" i="72"/>
  <c r="S25" i="72"/>
  <c r="W25" i="72"/>
  <c r="Q25" i="72"/>
  <c r="M25" i="72"/>
  <c r="A25" i="72"/>
  <c r="G25" i="72"/>
  <c r="AA25" i="72" a="1"/>
  <c r="AA25" i="72" s="1"/>
  <c r="BK25" i="72"/>
  <c r="J25" i="72"/>
  <c r="AN25" i="72"/>
  <c r="C25" i="72"/>
  <c r="Z25" i="72"/>
  <c r="H25" i="72"/>
  <c r="Y25" i="72"/>
  <c r="BY25" i="72" s="1"/>
  <c r="B25" i="72"/>
  <c r="P25" i="72"/>
  <c r="BL25" i="72"/>
  <c r="AG25" i="72"/>
  <c r="BA25" i="72"/>
  <c r="AQ25" i="72"/>
  <c r="X25" i="72"/>
  <c r="K25" i="72" a="1"/>
  <c r="K25" i="72" s="1"/>
  <c r="I66" i="69"/>
  <c r="I82" i="69"/>
  <c r="M686" i="15" a="1"/>
  <c r="M686" i="15" s="1"/>
  <c r="F14" i="27"/>
  <c r="S96" i="72"/>
  <c r="AV1293" i="13"/>
  <c r="S96" i="69"/>
  <c r="B96" i="69"/>
  <c r="AX1339" i="13"/>
  <c r="A1438" i="13"/>
  <c r="AQ91" i="4"/>
  <c r="AV393" i="13" s="1"/>
  <c r="E505" i="15"/>
  <c r="I498" i="15" s="1" a="1"/>
  <c r="I498" i="15" s="1"/>
  <c r="DG91" i="4"/>
  <c r="E91" i="4"/>
  <c r="BU91" i="4" s="1"/>
  <c r="AD9" i="72"/>
  <c r="M44" i="69"/>
  <c r="L44" i="69"/>
  <c r="AB44" i="69" a="1"/>
  <c r="AB44" i="69" s="1"/>
  <c r="J44" i="69"/>
  <c r="U44" i="69" a="1"/>
  <c r="U44" i="69" s="1"/>
  <c r="AA44" i="69"/>
  <c r="AC44" i="69"/>
  <c r="W44" i="69"/>
  <c r="BP44" i="69" s="1"/>
  <c r="Q44" i="69"/>
  <c r="T44" i="69"/>
  <c r="BC44" i="69"/>
  <c r="BU44" i="69"/>
  <c r="AS44" i="69"/>
  <c r="N44" i="69" a="1"/>
  <c r="N44" i="69" s="1"/>
  <c r="G44" i="69"/>
  <c r="A44" i="69"/>
  <c r="V44" i="69"/>
  <c r="B44" i="69" s="1"/>
  <c r="Z44" i="69"/>
  <c r="BK44" i="69"/>
  <c r="Y44" i="69"/>
  <c r="P44" i="69"/>
  <c r="AR44" i="69"/>
  <c r="S44" i="69"/>
  <c r="O44" i="69"/>
  <c r="K44" i="69" a="1"/>
  <c r="K44" i="69" s="1"/>
  <c r="BB44" i="69"/>
  <c r="C44" i="69"/>
  <c r="H44" i="69"/>
  <c r="Z74" i="4"/>
  <c r="AV1271" i="13" s="1"/>
  <c r="DC92" i="4" a="1"/>
  <c r="DC92" i="4" s="1"/>
  <c r="F519" i="15" a="1"/>
  <c r="F519" i="15" s="1"/>
  <c r="AI21" i="27"/>
  <c r="AC82" i="69"/>
  <c r="BB82" i="69"/>
  <c r="N82" i="69" a="1"/>
  <c r="N82" i="69" s="1"/>
  <c r="L82" i="69"/>
  <c r="BU82" i="69"/>
  <c r="BC82" i="69"/>
  <c r="AA82" i="69"/>
  <c r="Q82" i="69"/>
  <c r="Y82" i="69"/>
  <c r="P82" i="69"/>
  <c r="W82" i="69"/>
  <c r="BP82" i="69" s="1"/>
  <c r="T82" i="69"/>
  <c r="S82" i="69"/>
  <c r="Z82" i="69"/>
  <c r="M82" i="69"/>
  <c r="V82" i="69"/>
  <c r="B82" i="69" s="1"/>
  <c r="A82" i="69"/>
  <c r="G82" i="69"/>
  <c r="AS82" i="69"/>
  <c r="AB82" i="69" a="1"/>
  <c r="AB82" i="69" s="1"/>
  <c r="J82" i="69"/>
  <c r="AR82" i="69"/>
  <c r="I20" i="72"/>
  <c r="F93" i="69"/>
  <c r="F39" i="69"/>
  <c r="A1454" i="13"/>
  <c r="AX1355" i="13"/>
  <c r="F361" i="15" a="1"/>
  <c r="F361" i="15" s="1"/>
  <c r="P45" i="9"/>
  <c r="AQ70" i="4"/>
  <c r="AV372" i="13" s="1"/>
  <c r="DG70" i="4"/>
  <c r="E70" i="4"/>
  <c r="E378" i="15"/>
  <c r="AT55" i="4"/>
  <c r="AV657" i="13" s="1"/>
  <c r="AX1367" i="13"/>
  <c r="A1466" i="13"/>
  <c r="N91" i="69" a="1"/>
  <c r="N91" i="69" s="1"/>
  <c r="BC91" i="69"/>
  <c r="M91" i="69"/>
  <c r="Q91" i="69"/>
  <c r="G91" i="69"/>
  <c r="Y91" i="69"/>
  <c r="T91" i="69"/>
  <c r="BB91" i="69"/>
  <c r="A91" i="69"/>
  <c r="AC91" i="69"/>
  <c r="V91" i="69"/>
  <c r="B91" i="69" s="1"/>
  <c r="W91" i="69"/>
  <c r="Z91" i="69"/>
  <c r="AA91" i="69"/>
  <c r="AB91" i="69" a="1"/>
  <c r="AB91" i="69" s="1"/>
  <c r="J91" i="69"/>
  <c r="P91" i="69"/>
  <c r="AR91" i="69"/>
  <c r="BU91" i="69"/>
  <c r="AS91" i="69"/>
  <c r="S91" i="69"/>
  <c r="I73" i="69"/>
  <c r="H581" i="15" a="1"/>
  <c r="H581" i="15" s="1"/>
  <c r="L536" i="15" a="1"/>
  <c r="L536" i="15" s="1"/>
  <c r="AG29" i="72"/>
  <c r="Q29" i="72"/>
  <c r="G29" i="72"/>
  <c r="J29" i="72"/>
  <c r="BA29" i="72"/>
  <c r="AC29" i="72"/>
  <c r="U29" i="72" a="1"/>
  <c r="U29" i="72" s="1"/>
  <c r="BL29" i="72"/>
  <c r="X29" i="72"/>
  <c r="B29" i="72"/>
  <c r="AQ29" i="72"/>
  <c r="BK29" i="72"/>
  <c r="AO29" i="72"/>
  <c r="P29" i="72"/>
  <c r="Z29" i="72"/>
  <c r="AB29" i="72"/>
  <c r="AA29" i="72" a="1"/>
  <c r="AA29" i="72" s="1"/>
  <c r="Y29" i="72"/>
  <c r="BY29" i="72" s="1"/>
  <c r="BB29" i="72"/>
  <c r="S29" i="72"/>
  <c r="M29" i="72"/>
  <c r="T29" i="72"/>
  <c r="N29" i="72" a="1"/>
  <c r="N29" i="72" s="1"/>
  <c r="BR29" i="72"/>
  <c r="L29" i="72"/>
  <c r="W29" i="72"/>
  <c r="A29" i="72"/>
  <c r="AN29" i="72"/>
  <c r="AE29" i="72"/>
  <c r="K29" i="72" a="1"/>
  <c r="K29" i="72" s="1"/>
  <c r="C29" i="72"/>
  <c r="H29" i="72"/>
  <c r="F54" i="72"/>
  <c r="I50" i="72"/>
  <c r="BE23" i="4"/>
  <c r="E131" i="15"/>
  <c r="FE17" i="71"/>
  <c r="FE34" i="71"/>
  <c r="A1488" i="13"/>
  <c r="AX1389" i="13"/>
  <c r="E88" i="4"/>
  <c r="BU88" i="4" s="1"/>
  <c r="DG88" i="4"/>
  <c r="M11" i="69"/>
  <c r="G11" i="69"/>
  <c r="K11" i="69" a="1"/>
  <c r="K11" i="69" s="1"/>
  <c r="U11" i="69" a="1"/>
  <c r="U11" i="69" s="1"/>
  <c r="AS11" i="69"/>
  <c r="AA11" i="69"/>
  <c r="N11" i="69" a="1"/>
  <c r="N11" i="69" s="1"/>
  <c r="P11" i="69"/>
  <c r="AC11" i="69"/>
  <c r="W11" i="69"/>
  <c r="Z11" i="69"/>
  <c r="J11" i="69"/>
  <c r="V11" i="69"/>
  <c r="B11" i="69" s="1"/>
  <c r="AB11" i="69" a="1"/>
  <c r="AB11" i="69" s="1"/>
  <c r="T11" i="69"/>
  <c r="BU11" i="69"/>
  <c r="BC11" i="69"/>
  <c r="BB11" i="69"/>
  <c r="A11" i="69"/>
  <c r="AR11" i="69"/>
  <c r="Y11" i="69"/>
  <c r="S11" i="69"/>
  <c r="Q11" i="69"/>
  <c r="AD11" i="69"/>
  <c r="BK11" i="69"/>
  <c r="O11" i="69"/>
  <c r="I86" i="72"/>
  <c r="F63" i="72"/>
  <c r="I37" i="72"/>
  <c r="F256" i="15" a="1"/>
  <c r="F256" i="15" s="1"/>
  <c r="F295" i="15" a="1"/>
  <c r="F295" i="15" s="1"/>
  <c r="E349" i="15"/>
  <c r="F348" i="15" s="1" a="1"/>
  <c r="F348" i="15" s="1"/>
  <c r="E169" i="15"/>
  <c r="F166" i="15" s="1" a="1"/>
  <c r="F166" i="15" s="1"/>
  <c r="AB8" i="72"/>
  <c r="Y8" i="72"/>
  <c r="BY8" i="72" s="1"/>
  <c r="BA8" i="72"/>
  <c r="N8" i="72" a="1"/>
  <c r="N8" i="72" s="1"/>
  <c r="J8" i="72"/>
  <c r="M8" i="72"/>
  <c r="AN8" i="72"/>
  <c r="Q8" i="72"/>
  <c r="T8" i="72"/>
  <c r="BK8" i="72"/>
  <c r="AQ8" i="72"/>
  <c r="A8" i="72"/>
  <c r="P8" i="72"/>
  <c r="W8" i="72"/>
  <c r="AA8" i="72" a="1"/>
  <c r="AA8" i="72" s="1"/>
  <c r="AG8" i="72"/>
  <c r="AC8" i="72"/>
  <c r="U8" i="72" a="1"/>
  <c r="U8" i="72" s="1"/>
  <c r="AO8" i="72"/>
  <c r="Z8" i="72"/>
  <c r="X8" i="72"/>
  <c r="K8" i="72" a="1"/>
  <c r="K8" i="72" s="1"/>
  <c r="S8" i="72"/>
  <c r="BB8" i="72"/>
  <c r="B8" i="72"/>
  <c r="AE8" i="72"/>
  <c r="G8" i="72"/>
  <c r="BL8" i="72"/>
  <c r="BR8" i="72"/>
  <c r="F50" i="72"/>
  <c r="B56" i="14"/>
  <c r="K629" i="15" a="1"/>
  <c r="K629" i="15" s="1"/>
  <c r="K648" i="15" a="1"/>
  <c r="K648" i="15" s="1"/>
  <c r="P90" i="9"/>
  <c r="Z94" i="4"/>
  <c r="B94" i="72" s="1"/>
  <c r="A1473" i="13"/>
  <c r="AX1374" i="13"/>
  <c r="AX1330" i="13"/>
  <c r="A1429" i="13"/>
  <c r="BK28" i="72"/>
  <c r="U28" i="72" a="1"/>
  <c r="U28" i="72" s="1"/>
  <c r="AO28" i="72"/>
  <c r="N28" i="72" a="1"/>
  <c r="N28" i="72" s="1"/>
  <c r="AB28" i="72"/>
  <c r="BL28" i="72"/>
  <c r="Z28" i="72"/>
  <c r="T28" i="72"/>
  <c r="L28" i="72"/>
  <c r="P28" i="72"/>
  <c r="AC28" i="72"/>
  <c r="W28" i="72"/>
  <c r="Y28" i="72"/>
  <c r="BY28" i="72" s="1"/>
  <c r="A28" i="72"/>
  <c r="X28" i="72"/>
  <c r="AG28" i="72"/>
  <c r="G28" i="72"/>
  <c r="Q28" i="72"/>
  <c r="AE28" i="72"/>
  <c r="B28" i="72"/>
  <c r="M28" i="72"/>
  <c r="AA28" i="72" a="1"/>
  <c r="AA28" i="72" s="1"/>
  <c r="J28" i="72"/>
  <c r="BA28" i="72"/>
  <c r="AN28" i="72"/>
  <c r="AQ28" i="72"/>
  <c r="S28" i="72"/>
  <c r="BB28" i="72"/>
  <c r="K28" i="72" a="1"/>
  <c r="K28" i="72" s="1"/>
  <c r="A362" i="13"/>
  <c r="AX362" i="13" s="1"/>
  <c r="AX262" i="13"/>
  <c r="BK62" i="72"/>
  <c r="M62" i="72"/>
  <c r="Y62" i="72"/>
  <c r="BY62" i="72" s="1"/>
  <c r="AA62" i="72" a="1"/>
  <c r="AA62" i="72" s="1"/>
  <c r="BA62" i="72"/>
  <c r="A62" i="72"/>
  <c r="P62" i="72"/>
  <c r="W62" i="72"/>
  <c r="AO62" i="72"/>
  <c r="X62" i="72"/>
  <c r="AG62" i="72"/>
  <c r="AC62" i="72"/>
  <c r="T62" i="72"/>
  <c r="N62" i="72" a="1"/>
  <c r="N62" i="72" s="1"/>
  <c r="AQ62" i="72"/>
  <c r="J62" i="72"/>
  <c r="BL62" i="72"/>
  <c r="AN62" i="72"/>
  <c r="AB62" i="72"/>
  <c r="Z62" i="72"/>
  <c r="AE62" i="72"/>
  <c r="BB62" i="72"/>
  <c r="Q62" i="72"/>
  <c r="G62" i="72"/>
  <c r="S62" i="72"/>
  <c r="B62" i="72"/>
  <c r="AE61" i="4"/>
  <c r="I28" i="72"/>
  <c r="L538" i="15" a="1"/>
  <c r="L538" i="15" s="1"/>
  <c r="L581" i="15" a="1"/>
  <c r="L581" i="15" s="1"/>
  <c r="BE31" i="4"/>
  <c r="X31" i="4" s="1"/>
  <c r="H405" i="15" a="1"/>
  <c r="H405" i="15" s="1"/>
  <c r="DC71" i="4" a="1"/>
  <c r="DC71" i="4" s="1"/>
  <c r="E546" i="15"/>
  <c r="M588" i="15" a="1"/>
  <c r="M588" i="15" s="1"/>
  <c r="DC93" i="4" a="1"/>
  <c r="DC93" i="4" s="1"/>
  <c r="Z56" i="69"/>
  <c r="W56" i="69"/>
  <c r="BQ56" i="69" s="1" a="1"/>
  <c r="BQ56" i="69" s="1"/>
  <c r="T56" i="69"/>
  <c r="Q56" i="69"/>
  <c r="P56" i="69"/>
  <c r="AB56" i="69" a="1"/>
  <c r="AB56" i="69" s="1"/>
  <c r="S56" i="69"/>
  <c r="AS56" i="69"/>
  <c r="M56" i="69"/>
  <c r="V56" i="69"/>
  <c r="B56" i="69" s="1"/>
  <c r="BB56" i="69"/>
  <c r="AC56" i="69"/>
  <c r="Y56" i="69"/>
  <c r="J56" i="69"/>
  <c r="BU56" i="69"/>
  <c r="L56" i="69"/>
  <c r="BC56" i="69"/>
  <c r="AR56" i="69"/>
  <c r="A56" i="69"/>
  <c r="AA56" i="69"/>
  <c r="N56" i="69" a="1"/>
  <c r="N56" i="69" s="1"/>
  <c r="U56" i="69" a="1"/>
  <c r="U56" i="69" s="1"/>
  <c r="G56" i="69"/>
  <c r="AI61" i="4"/>
  <c r="AV1357" i="13" s="1"/>
  <c r="AM95" i="4"/>
  <c r="C54" i="14"/>
  <c r="M664" i="15" a="1"/>
  <c r="M664" i="15" s="1"/>
  <c r="E446" i="15"/>
  <c r="DC61" i="4" a="1"/>
  <c r="DC61" i="4" s="1"/>
  <c r="W92" i="72"/>
  <c r="A92" i="72"/>
  <c r="J92" i="72"/>
  <c r="AC92" i="72"/>
  <c r="BA92" i="72"/>
  <c r="X92" i="72"/>
  <c r="T92" i="72"/>
  <c r="Z92" i="72"/>
  <c r="AG92" i="72"/>
  <c r="AN92" i="72"/>
  <c r="AO92" i="72"/>
  <c r="P92" i="72"/>
  <c r="AQ92" i="72"/>
  <c r="AE92" i="72"/>
  <c r="Q92" i="72"/>
  <c r="N92" i="72" a="1"/>
  <c r="N92" i="72" s="1"/>
  <c r="AA92" i="72" a="1"/>
  <c r="AA92" i="72" s="1"/>
  <c r="BK92" i="72"/>
  <c r="BL92" i="72"/>
  <c r="BB92" i="72"/>
  <c r="AB92" i="72"/>
  <c r="L92" i="72"/>
  <c r="M92" i="72"/>
  <c r="Y92" i="72"/>
  <c r="BY92" i="72" s="1"/>
  <c r="U92" i="72" a="1"/>
  <c r="U92" i="72" s="1"/>
  <c r="B47" i="72"/>
  <c r="N47" i="72" a="1"/>
  <c r="N47" i="72" s="1"/>
  <c r="AE47" i="72"/>
  <c r="J47" i="72"/>
  <c r="W47" i="72"/>
  <c r="M47" i="72"/>
  <c r="AA47" i="72" a="1"/>
  <c r="AA47" i="72" s="1"/>
  <c r="BL47" i="72"/>
  <c r="Z47" i="72"/>
  <c r="P47" i="72"/>
  <c r="AQ47" i="72"/>
  <c r="X47" i="72"/>
  <c r="BB47" i="72"/>
  <c r="AG47" i="72"/>
  <c r="AN47" i="72"/>
  <c r="Y47" i="72"/>
  <c r="AO47" i="72"/>
  <c r="AB47" i="72"/>
  <c r="U47" i="72" a="1"/>
  <c r="U47" i="72" s="1"/>
  <c r="T47" i="72"/>
  <c r="S47" i="72"/>
  <c r="BK47" i="72"/>
  <c r="Q47" i="72"/>
  <c r="A47" i="72"/>
  <c r="BA47" i="72"/>
  <c r="AC47" i="72"/>
  <c r="G47" i="72"/>
  <c r="K47" i="72" a="1"/>
  <c r="K47" i="72" s="1"/>
  <c r="BR47" i="72"/>
  <c r="F6" i="69"/>
  <c r="Z89" i="4"/>
  <c r="AV1286" i="13" s="1"/>
  <c r="E298" i="15"/>
  <c r="I295" i="15" s="1" a="1"/>
  <c r="I295" i="15" s="1"/>
  <c r="E357" i="15"/>
  <c r="IH37" i="71"/>
  <c r="K594" i="15" a="1"/>
  <c r="K594" i="15" s="1"/>
  <c r="CF94" i="72" a="1"/>
  <c r="CF94" i="72" s="1"/>
  <c r="AC80" i="69"/>
  <c r="AA80" i="69"/>
  <c r="A80" i="69"/>
  <c r="BC80" i="69"/>
  <c r="Q80" i="69"/>
  <c r="Z80" i="69"/>
  <c r="P80" i="69"/>
  <c r="AR80" i="69"/>
  <c r="BB80" i="69"/>
  <c r="U80" i="69" a="1"/>
  <c r="U80" i="69" s="1"/>
  <c r="N80" i="69" a="1"/>
  <c r="N80" i="69" s="1"/>
  <c r="W80" i="69"/>
  <c r="BP80" i="69" s="1"/>
  <c r="AB80" i="69" a="1"/>
  <c r="AB80" i="69" s="1"/>
  <c r="M80" i="69"/>
  <c r="Y80" i="69"/>
  <c r="V80" i="69"/>
  <c r="B80" i="69" s="1"/>
  <c r="J80" i="69"/>
  <c r="AS80" i="69"/>
  <c r="BU80" i="69"/>
  <c r="L80" i="69"/>
  <c r="T80" i="69"/>
  <c r="G80" i="69"/>
  <c r="S80" i="69"/>
  <c r="BI80" i="69"/>
  <c r="I17" i="72"/>
  <c r="AM62" i="4"/>
  <c r="E212" i="15"/>
  <c r="H208" i="15" s="1" a="1"/>
  <c r="H208" i="15" s="1"/>
  <c r="F51" i="14"/>
  <c r="P51" i="23"/>
  <c r="F91" i="15" a="1"/>
  <c r="F91" i="15" s="1"/>
  <c r="E72" i="15"/>
  <c r="A1442" i="13"/>
  <c r="AX1343" i="13"/>
  <c r="AW14" i="4" a="1"/>
  <c r="AW14" i="4" s="1"/>
  <c r="C14" i="69" s="1"/>
  <c r="D14" i="69" s="1" a="1"/>
  <c r="D14" i="69" s="1"/>
  <c r="Y14" i="4"/>
  <c r="AV14" i="4"/>
  <c r="AU14" i="4" a="1"/>
  <c r="AU14" i="4" s="1"/>
  <c r="H14" i="69" s="1"/>
  <c r="DA14" i="4"/>
  <c r="DB14" i="4" s="1"/>
  <c r="P16" i="9" s="1"/>
  <c r="BR14" i="4"/>
  <c r="CG58" i="72" a="1"/>
  <c r="CG58" i="72" s="1"/>
  <c r="CF58" i="72" a="1"/>
  <c r="CF58" i="72" s="1"/>
  <c r="E58" i="72"/>
  <c r="F93" i="4"/>
  <c r="CB22" i="4"/>
  <c r="Y22" i="4"/>
  <c r="AW22" i="4" a="1"/>
  <c r="AW22" i="4" s="1"/>
  <c r="C22" i="69" s="1"/>
  <c r="D22" i="69" s="1" a="1"/>
  <c r="D22" i="69" s="1"/>
  <c r="AU22" i="4" a="1"/>
  <c r="AU22" i="4" s="1"/>
  <c r="H22" i="69" s="1"/>
  <c r="AV22" i="4"/>
  <c r="BR22" i="4"/>
  <c r="A1476" i="13"/>
  <c r="AX1377" i="13"/>
  <c r="AX58" i="69" a="1"/>
  <c r="AX58" i="69" s="1"/>
  <c r="BA58" i="69" a="1"/>
  <c r="BA58" i="69" s="1"/>
  <c r="AQ58" i="69" a="1"/>
  <c r="AQ58" i="69" s="1"/>
  <c r="AZ58" i="69" a="1"/>
  <c r="AZ58" i="69" s="1"/>
  <c r="AF58" i="69" a="1"/>
  <c r="AF58" i="69" s="1"/>
  <c r="AI58" i="69" a="1"/>
  <c r="AI58" i="69" s="1"/>
  <c r="AU58" i="69" a="1"/>
  <c r="AU58" i="69" s="1"/>
  <c r="AO58" i="69" a="1"/>
  <c r="AO58" i="69" s="1"/>
  <c r="AH58" i="69" a="1"/>
  <c r="AH58" i="69" s="1"/>
  <c r="AK58" i="69" a="1"/>
  <c r="AK58" i="69" s="1"/>
  <c r="AG58" i="69" a="1"/>
  <c r="AG58" i="69" s="1"/>
  <c r="Y16" i="4"/>
  <c r="AW16" i="4" a="1"/>
  <c r="AW16" i="4" s="1"/>
  <c r="C16" i="69" s="1"/>
  <c r="D16" i="69" s="1" a="1"/>
  <c r="D16" i="69" s="1"/>
  <c r="AU16" i="4" a="1"/>
  <c r="AU16" i="4" s="1"/>
  <c r="H16" i="69" s="1"/>
  <c r="AV16" i="4"/>
  <c r="BR16" i="4"/>
  <c r="DX27" i="4"/>
  <c r="AV529" i="13"/>
  <c r="BM27" i="4"/>
  <c r="BN27" i="4" s="1"/>
  <c r="BF27" i="4" s="1" a="1"/>
  <c r="BF27" i="4" s="1"/>
  <c r="BI27" i="4"/>
  <c r="AV39" i="4"/>
  <c r="AW39" i="4" a="1"/>
  <c r="AW39" i="4" s="1"/>
  <c r="C39" i="69" s="1"/>
  <c r="D39" i="69" s="1" a="1"/>
  <c r="D39" i="69" s="1"/>
  <c r="Y39" i="4"/>
  <c r="AU39" i="4" a="1"/>
  <c r="AU39" i="4" s="1"/>
  <c r="H39" i="69" s="1"/>
  <c r="BR39" i="4"/>
  <c r="BM49" i="4"/>
  <c r="BN49" i="4" s="1"/>
  <c r="BF49" i="4" s="1" a="1"/>
  <c r="BF49" i="4" s="1"/>
  <c r="AV551" i="13"/>
  <c r="DX49" i="4"/>
  <c r="BI49" i="4"/>
  <c r="AX1372" i="13"/>
  <c r="A1471" i="13"/>
  <c r="BE48" i="4"/>
  <c r="BS48" i="4" s="1"/>
  <c r="BK48" i="69" s="1"/>
  <c r="AQ72" i="4"/>
  <c r="AV374" i="13" s="1"/>
  <c r="X45" i="4"/>
  <c r="BM45" i="4"/>
  <c r="BN45" i="4" s="1"/>
  <c r="BF45" i="4" s="1" a="1"/>
  <c r="BF45" i="4" s="1"/>
  <c r="AV547" i="13"/>
  <c r="BI45" i="4"/>
  <c r="DX45" i="4"/>
  <c r="AV514" i="13"/>
  <c r="DX12" i="4"/>
  <c r="BI12" i="4"/>
  <c r="BM12" i="4"/>
  <c r="BN12" i="4" s="1"/>
  <c r="BF12" i="4" s="1" a="1"/>
  <c r="BF12" i="4" s="1"/>
  <c r="F88" i="4"/>
  <c r="F76" i="4"/>
  <c r="AQ71" i="4"/>
  <c r="AV373" i="13" s="1"/>
  <c r="F58" i="4"/>
  <c r="AX1311" i="13"/>
  <c r="A1410" i="13"/>
  <c r="AU21" i="4" a="1"/>
  <c r="AU21" i="4" s="1"/>
  <c r="H21" i="69" s="1"/>
  <c r="AW21" i="4" a="1"/>
  <c r="AW21" i="4" s="1"/>
  <c r="C21" i="69" s="1"/>
  <c r="Y21" i="4"/>
  <c r="AV21" i="4"/>
  <c r="BR21" i="4"/>
  <c r="AP95" i="69" a="1"/>
  <c r="AP95" i="69" s="1"/>
  <c r="BS33" i="4"/>
  <c r="O33" i="69" s="1"/>
  <c r="X33" i="4"/>
  <c r="BH33" i="4"/>
  <c r="AV1131" i="13" s="1"/>
  <c r="L43" i="4"/>
  <c r="X43" i="4"/>
  <c r="BH43" i="4"/>
  <c r="AV1141" i="13" s="1"/>
  <c r="BS43" i="4"/>
  <c r="BG8" i="4"/>
  <c r="BX55" i="4"/>
  <c r="BG39" i="4"/>
  <c r="BG31" i="4"/>
  <c r="BG7" i="4"/>
  <c r="BG38" i="4"/>
  <c r="N694" i="15" a="1"/>
  <c r="N694" i="15" s="1"/>
  <c r="L694" i="15" a="1"/>
  <c r="L694" i="15" s="1"/>
  <c r="M694" i="15" a="1"/>
  <c r="M694" i="15" s="1"/>
  <c r="K694" i="15" a="1"/>
  <c r="K694" i="15" s="1"/>
  <c r="A14" i="72"/>
  <c r="Z14" i="72"/>
  <c r="AQ14" i="72"/>
  <c r="BA14" i="72"/>
  <c r="B14" i="72"/>
  <c r="AG14" i="72"/>
  <c r="AB14" i="72"/>
  <c r="K14" i="72" a="1"/>
  <c r="K14" i="72" s="1"/>
  <c r="U14" i="72" a="1"/>
  <c r="U14" i="72" s="1"/>
  <c r="S14" i="72"/>
  <c r="J14" i="72"/>
  <c r="AA14" i="72" a="1"/>
  <c r="AA14" i="72" s="1"/>
  <c r="AE14" i="72"/>
  <c r="M14" i="72"/>
  <c r="G14" i="72"/>
  <c r="Y14" i="72"/>
  <c r="BY14" i="72" s="1"/>
  <c r="T14" i="72"/>
  <c r="P14" i="72"/>
  <c r="X14" i="72"/>
  <c r="W14" i="72"/>
  <c r="AO14" i="72"/>
  <c r="AN14" i="72"/>
  <c r="Q14" i="72"/>
  <c r="BK14" i="72"/>
  <c r="BB14" i="72"/>
  <c r="N14" i="72" a="1"/>
  <c r="N14" i="72" s="1"/>
  <c r="BL14" i="72"/>
  <c r="L14" i="72"/>
  <c r="AC14" i="72"/>
  <c r="AG6" i="72"/>
  <c r="AB6" i="72"/>
  <c r="M6" i="72"/>
  <c r="U6" i="72" a="1"/>
  <c r="U6" i="72" s="1"/>
  <c r="T6" i="72"/>
  <c r="J6" i="72"/>
  <c r="Y6" i="72"/>
  <c r="X6" i="72"/>
  <c r="B6" i="72"/>
  <c r="W6" i="72"/>
  <c r="N6" i="72" a="1"/>
  <c r="N6" i="72" s="1"/>
  <c r="Q6" i="72"/>
  <c r="Z6" i="72"/>
  <c r="BL6" i="72"/>
  <c r="AQ6" i="72"/>
  <c r="P6" i="72"/>
  <c r="G6" i="72"/>
  <c r="S6" i="72"/>
  <c r="AA6" i="72" a="1"/>
  <c r="AA6" i="72" s="1"/>
  <c r="BK6" i="72"/>
  <c r="AO6" i="72"/>
  <c r="K6" i="72" a="1"/>
  <c r="K6" i="72" s="1"/>
  <c r="AN6" i="72"/>
  <c r="A6" i="72"/>
  <c r="M31" i="73" s="1"/>
  <c r="BA6" i="72"/>
  <c r="AC6" i="72"/>
  <c r="BB6" i="72"/>
  <c r="AE6" i="72"/>
  <c r="AD6" i="72"/>
  <c r="BR6" i="72"/>
  <c r="BY6" i="72"/>
  <c r="CY92" i="4"/>
  <c r="CZ92" i="4" s="1"/>
  <c r="E380" i="15"/>
  <c r="DG92" i="4"/>
  <c r="E92" i="4"/>
  <c r="BU92" i="4" s="1"/>
  <c r="BB78" i="72"/>
  <c r="M78" i="72"/>
  <c r="T78" i="72"/>
  <c r="W78" i="72"/>
  <c r="AG78" i="72"/>
  <c r="L78" i="72"/>
  <c r="A78" i="72"/>
  <c r="BA78" i="72"/>
  <c r="Z78" i="72"/>
  <c r="AA78" i="72" a="1"/>
  <c r="AA78" i="72" s="1"/>
  <c r="AO78" i="72"/>
  <c r="AN78" i="72"/>
  <c r="Y78" i="72"/>
  <c r="BY78" i="72" s="1"/>
  <c r="J78" i="72"/>
  <c r="AC78" i="72"/>
  <c r="AB78" i="72"/>
  <c r="BL78" i="72"/>
  <c r="N78" i="72" a="1"/>
  <c r="N78" i="72" s="1"/>
  <c r="X78" i="72"/>
  <c r="Q78" i="72"/>
  <c r="BK78" i="72"/>
  <c r="AE78" i="72"/>
  <c r="P78" i="72"/>
  <c r="AQ78" i="72"/>
  <c r="S78" i="72"/>
  <c r="B78" i="72"/>
  <c r="G78" i="72"/>
  <c r="E481" i="15"/>
  <c r="L481" i="15" s="1" a="1"/>
  <c r="L481" i="15" s="1"/>
  <c r="F91" i="69"/>
  <c r="W30" i="72"/>
  <c r="AA30" i="72" a="1"/>
  <c r="AA30" i="72" s="1"/>
  <c r="S30" i="72"/>
  <c r="T30" i="72"/>
  <c r="M30" i="72"/>
  <c r="G30" i="72"/>
  <c r="U30" i="72" a="1"/>
  <c r="U30" i="72" s="1"/>
  <c r="AB30" i="72"/>
  <c r="AQ30" i="72"/>
  <c r="Y30" i="72"/>
  <c r="BY30" i="72" s="1"/>
  <c r="AG30" i="72"/>
  <c r="Z30" i="72"/>
  <c r="BB30" i="72"/>
  <c r="BL30" i="72"/>
  <c r="J30" i="72"/>
  <c r="BA30" i="72"/>
  <c r="AN30" i="72"/>
  <c r="AC30" i="72"/>
  <c r="B30" i="72"/>
  <c r="A30" i="72"/>
  <c r="Q30" i="72"/>
  <c r="P30" i="72"/>
  <c r="X30" i="72"/>
  <c r="AE30" i="72"/>
  <c r="BK30" i="72"/>
  <c r="AO30" i="72"/>
  <c r="N30" i="72" a="1"/>
  <c r="N30" i="72" s="1"/>
  <c r="BR30" i="72"/>
  <c r="K30" i="72" a="1"/>
  <c r="K30" i="72" s="1"/>
  <c r="H30" i="72"/>
  <c r="C30" i="72"/>
  <c r="J21" i="72"/>
  <c r="A21" i="72"/>
  <c r="L21" i="72"/>
  <c r="T21" i="72"/>
  <c r="AN21" i="72"/>
  <c r="Z21" i="72"/>
  <c r="Y21" i="72"/>
  <c r="BY21" i="72" s="1"/>
  <c r="Q21" i="72"/>
  <c r="U21" i="72" a="1"/>
  <c r="U21" i="72" s="1"/>
  <c r="B21" i="72"/>
  <c r="X21" i="72"/>
  <c r="K21" i="72" a="1"/>
  <c r="K21" i="72" s="1"/>
  <c r="AC21" i="72"/>
  <c r="AO21" i="72"/>
  <c r="P21" i="72"/>
  <c r="AG21" i="72"/>
  <c r="M21" i="72"/>
  <c r="AE21" i="72"/>
  <c r="AA21" i="72" a="1"/>
  <c r="AA21" i="72" s="1"/>
  <c r="BL21" i="72"/>
  <c r="AQ21" i="72"/>
  <c r="S21" i="72"/>
  <c r="BR21" i="72"/>
  <c r="BK21" i="72"/>
  <c r="BB21" i="72"/>
  <c r="G21" i="72"/>
  <c r="AB21" i="72"/>
  <c r="BA21" i="72"/>
  <c r="N21" i="72" a="1"/>
  <c r="N21" i="72" s="1"/>
  <c r="W21" i="72"/>
  <c r="AD21" i="72"/>
  <c r="O21" i="72"/>
  <c r="I47" i="69"/>
  <c r="AM83" i="4"/>
  <c r="Q25" i="69"/>
  <c r="AS25" i="69"/>
  <c r="AA25" i="69"/>
  <c r="J25" i="69"/>
  <c r="S25" i="69"/>
  <c r="N25" i="69" a="1"/>
  <c r="N25" i="69" s="1"/>
  <c r="BB25" i="69"/>
  <c r="Y25" i="69"/>
  <c r="AC25" i="69"/>
  <c r="M25" i="69"/>
  <c r="Z25" i="69"/>
  <c r="H25" i="69"/>
  <c r="V25" i="69"/>
  <c r="B25" i="69" s="1"/>
  <c r="C25" i="69"/>
  <c r="G25" i="69"/>
  <c r="P25" i="69"/>
  <c r="BC25" i="69"/>
  <c r="T25" i="69"/>
  <c r="A25" i="69"/>
  <c r="BU25" i="69"/>
  <c r="U25" i="69" a="1"/>
  <c r="U25" i="69" s="1"/>
  <c r="W25" i="69"/>
  <c r="BQ25" i="69" s="1" a="1"/>
  <c r="BQ25" i="69" s="1"/>
  <c r="AR25" i="69"/>
  <c r="AB25" i="69" a="1"/>
  <c r="AB25" i="69" s="1"/>
  <c r="K25" i="69" a="1"/>
  <c r="K25" i="69" s="1"/>
  <c r="BI25" i="69"/>
  <c r="AI92" i="4"/>
  <c r="AV1388" i="13" s="1"/>
  <c r="I63" i="69"/>
  <c r="K686" i="15" a="1"/>
  <c r="K686" i="15" s="1"/>
  <c r="AH94" i="69" a="1"/>
  <c r="AH94" i="69" s="1"/>
  <c r="AF94" i="69" a="1"/>
  <c r="AF94" i="69" s="1"/>
  <c r="BA94" i="69" a="1"/>
  <c r="BA94" i="69" s="1"/>
  <c r="AK94" i="69" a="1"/>
  <c r="AK94" i="69" s="1"/>
  <c r="AZ94" i="69" a="1"/>
  <c r="AZ94" i="69" s="1"/>
  <c r="AQ94" i="69" a="1"/>
  <c r="AQ94" i="69" s="1"/>
  <c r="AI94" i="69" a="1"/>
  <c r="AI94" i="69" s="1"/>
  <c r="AU94" i="69" a="1"/>
  <c r="AU94" i="69" s="1"/>
  <c r="K488" i="15" a="1"/>
  <c r="K488" i="15" s="1"/>
  <c r="Z89" i="69"/>
  <c r="G89" i="69"/>
  <c r="AS89" i="69"/>
  <c r="M89" i="69"/>
  <c r="T89" i="69"/>
  <c r="W89" i="69"/>
  <c r="L89" i="69" s="1"/>
  <c r="AA89" i="69"/>
  <c r="AB89" i="69" a="1"/>
  <c r="AB89" i="69" s="1"/>
  <c r="BC89" i="69"/>
  <c r="BB89" i="69"/>
  <c r="Q89" i="69"/>
  <c r="Y89" i="69"/>
  <c r="P89" i="69"/>
  <c r="N89" i="69" a="1"/>
  <c r="N89" i="69" s="1"/>
  <c r="A89" i="69"/>
  <c r="AC89" i="69"/>
  <c r="BU89" i="69"/>
  <c r="V89" i="69"/>
  <c r="AR89" i="69"/>
  <c r="J89" i="69"/>
  <c r="K509" i="15" a="1"/>
  <c r="K509" i="15" s="1"/>
  <c r="F509" i="15" a="1"/>
  <c r="F509" i="15" s="1"/>
  <c r="A257" i="13"/>
  <c r="AX157" i="13"/>
  <c r="J27" i="69"/>
  <c r="Z27" i="69"/>
  <c r="AC27" i="69"/>
  <c r="AS27" i="69"/>
  <c r="N27" i="69" a="1"/>
  <c r="N27" i="69" s="1"/>
  <c r="U27" i="69" a="1"/>
  <c r="U27" i="69" s="1"/>
  <c r="S27" i="69"/>
  <c r="Q27" i="69"/>
  <c r="M27" i="69"/>
  <c r="G27" i="69"/>
  <c r="A27" i="69"/>
  <c r="Y27" i="69"/>
  <c r="P27" i="69"/>
  <c r="BB27" i="69"/>
  <c r="AR27" i="69"/>
  <c r="BC27" i="69"/>
  <c r="V27" i="69"/>
  <c r="B27" i="69" s="1"/>
  <c r="AB27" i="69" a="1"/>
  <c r="AB27" i="69" s="1"/>
  <c r="W27" i="69"/>
  <c r="L27" i="69" s="1"/>
  <c r="AA27" i="69"/>
  <c r="T27" i="69"/>
  <c r="BU27" i="69"/>
  <c r="O27" i="69"/>
  <c r="K27" i="69" a="1"/>
  <c r="K27" i="69" s="1"/>
  <c r="AM72" i="4"/>
  <c r="L598" i="15" a="1"/>
  <c r="L598" i="15" s="1"/>
  <c r="A1422" i="13"/>
  <c r="AX1323" i="13"/>
  <c r="M7" i="72"/>
  <c r="S7" i="72"/>
  <c r="AO7" i="72"/>
  <c r="BA7" i="72"/>
  <c r="Q7" i="72"/>
  <c r="AQ7" i="72"/>
  <c r="Y7" i="72"/>
  <c r="L7" i="72" s="1"/>
  <c r="BR7" i="72"/>
  <c r="AC7" i="72"/>
  <c r="AE7" i="72"/>
  <c r="J7" i="72"/>
  <c r="T7" i="72"/>
  <c r="U7" i="72" a="1"/>
  <c r="U7" i="72" s="1"/>
  <c r="K7" i="72" a="1"/>
  <c r="K7" i="72" s="1"/>
  <c r="G7" i="72"/>
  <c r="Z7" i="72"/>
  <c r="AB7" i="72"/>
  <c r="AA7" i="72" a="1"/>
  <c r="AA7" i="72" s="1"/>
  <c r="BB7" i="72"/>
  <c r="AN7" i="72"/>
  <c r="W7" i="72"/>
  <c r="BL7" i="72"/>
  <c r="A7" i="72"/>
  <c r="X7" i="72"/>
  <c r="P7" i="72"/>
  <c r="BK7" i="72"/>
  <c r="AG7" i="72"/>
  <c r="N7" i="72" a="1"/>
  <c r="N7" i="72" s="1"/>
  <c r="B7" i="72"/>
  <c r="H7" i="72"/>
  <c r="AD7" i="72"/>
  <c r="C7" i="72"/>
  <c r="O7" i="72"/>
  <c r="H500" i="15" a="1"/>
  <c r="H500" i="15" s="1"/>
  <c r="F500" i="15" a="1"/>
  <c r="F500" i="15" s="1"/>
  <c r="I500" i="15" a="1"/>
  <c r="I500" i="15" s="1"/>
  <c r="E60" i="4"/>
  <c r="N536" i="15" a="1"/>
  <c r="N536" i="15" s="1"/>
  <c r="AV196" i="13"/>
  <c r="M94" i="72"/>
  <c r="K554" i="15" a="1"/>
  <c r="K554" i="15" s="1"/>
  <c r="X48" i="72"/>
  <c r="U48" i="72" a="1"/>
  <c r="U48" i="72" s="1"/>
  <c r="BK48" i="72"/>
  <c r="AE48" i="72"/>
  <c r="AA48" i="72" a="1"/>
  <c r="AA48" i="72" s="1"/>
  <c r="N48" i="72" a="1"/>
  <c r="N48" i="72" s="1"/>
  <c r="A48" i="72"/>
  <c r="G48" i="72"/>
  <c r="Z48" i="72"/>
  <c r="Q48" i="72"/>
  <c r="BB48" i="72"/>
  <c r="J48" i="72"/>
  <c r="T48" i="72"/>
  <c r="AB48" i="72"/>
  <c r="BL48" i="72"/>
  <c r="Y48" i="72"/>
  <c r="BY48" i="72" s="1"/>
  <c r="AN48" i="72"/>
  <c r="M48" i="72"/>
  <c r="AG48" i="72"/>
  <c r="P48" i="72"/>
  <c r="W48" i="72"/>
  <c r="AQ48" i="72"/>
  <c r="BA48" i="72"/>
  <c r="BR48" i="72"/>
  <c r="AO48" i="72"/>
  <c r="B48" i="72"/>
  <c r="S48" i="72"/>
  <c r="AC48" i="72"/>
  <c r="K48" i="72" a="1"/>
  <c r="K48" i="72" s="1"/>
  <c r="H48" i="72"/>
  <c r="C48" i="72"/>
  <c r="AE69" i="4"/>
  <c r="F43" i="23"/>
  <c r="P43" i="23" s="1"/>
  <c r="Z43" i="23" s="1"/>
  <c r="F42" i="23"/>
  <c r="P42" i="23" s="1"/>
  <c r="Z42" i="23" s="1"/>
  <c r="F40" i="23"/>
  <c r="P40" i="23" s="1"/>
  <c r="F41" i="23"/>
  <c r="P41" i="23" s="1"/>
  <c r="Z41" i="23" s="1"/>
  <c r="H583" i="15" a="1"/>
  <c r="H583" i="15" s="1"/>
  <c r="AO74" i="72"/>
  <c r="AC74" i="72"/>
  <c r="P74" i="72"/>
  <c r="Q74" i="72"/>
  <c r="J74" i="72"/>
  <c r="Z74" i="72"/>
  <c r="AB74" i="72"/>
  <c r="X74" i="72"/>
  <c r="AN74" i="72"/>
  <c r="AA74" i="72" a="1"/>
  <c r="AA74" i="72" s="1"/>
  <c r="AE74" i="72"/>
  <c r="AQ74" i="72"/>
  <c r="T74" i="72"/>
  <c r="AG74" i="72"/>
  <c r="N74" i="72" a="1"/>
  <c r="N74" i="72" s="1"/>
  <c r="M74" i="72"/>
  <c r="W74" i="72"/>
  <c r="BA74" i="72"/>
  <c r="Y74" i="72"/>
  <c r="BB74" i="72"/>
  <c r="BL74" i="72"/>
  <c r="BK74" i="72"/>
  <c r="A74" i="72"/>
  <c r="F641" i="15" a="1"/>
  <c r="F641" i="15" s="1"/>
  <c r="F468" i="15" a="1"/>
  <c r="F468" i="15" s="1"/>
  <c r="F654" i="15" a="1"/>
  <c r="F654" i="15" s="1"/>
  <c r="E328" i="15"/>
  <c r="BE52" i="4"/>
  <c r="X52" i="4" s="1"/>
  <c r="BU52" i="4"/>
  <c r="L519" i="15" a="1"/>
  <c r="L519" i="15" s="1"/>
  <c r="E487" i="15"/>
  <c r="J8" i="69"/>
  <c r="N8" i="69" a="1"/>
  <c r="N8" i="69" s="1"/>
  <c r="T8" i="69"/>
  <c r="W8" i="69"/>
  <c r="BP8" i="69" s="1"/>
  <c r="G8" i="69"/>
  <c r="K8" i="69" a="1"/>
  <c r="K8" i="69" s="1"/>
  <c r="Z8" i="69"/>
  <c r="Y8" i="69"/>
  <c r="A8" i="69"/>
  <c r="U8" i="69" a="1"/>
  <c r="U8" i="69" s="1"/>
  <c r="BU8" i="69"/>
  <c r="AA8" i="69"/>
  <c r="AB8" i="69" a="1"/>
  <c r="AB8" i="69" s="1"/>
  <c r="S8" i="69"/>
  <c r="AS8" i="69"/>
  <c r="AC8" i="69"/>
  <c r="M8" i="69"/>
  <c r="AR8" i="69"/>
  <c r="V8" i="69"/>
  <c r="B8" i="69" s="1"/>
  <c r="BC8" i="69"/>
  <c r="Q8" i="69"/>
  <c r="P8" i="69"/>
  <c r="BB8" i="69"/>
  <c r="BI8" i="69"/>
  <c r="H8" i="69"/>
  <c r="C8" i="69"/>
  <c r="AX1341" i="13"/>
  <c r="A1440" i="13"/>
  <c r="N629" i="15" a="1"/>
  <c r="N629" i="15" s="1"/>
  <c r="N648" i="15" a="1"/>
  <c r="N648" i="15" s="1"/>
  <c r="M608" i="15" a="1"/>
  <c r="M608" i="15" s="1"/>
  <c r="H494" i="15" a="1"/>
  <c r="H494" i="15" s="1"/>
  <c r="BU28" i="69"/>
  <c r="A28" i="69"/>
  <c r="BB28" i="69"/>
  <c r="J28" i="69"/>
  <c r="AC28" i="69"/>
  <c r="U28" i="69" a="1"/>
  <c r="U28" i="69" s="1"/>
  <c r="M28" i="69"/>
  <c r="V28" i="69"/>
  <c r="B28" i="69" s="1"/>
  <c r="S28" i="69"/>
  <c r="AA28" i="69"/>
  <c r="P28" i="69"/>
  <c r="W28" i="69"/>
  <c r="BQ28" i="69" s="1" a="1"/>
  <c r="BQ28" i="69" s="1"/>
  <c r="Q28" i="69"/>
  <c r="G28" i="69"/>
  <c r="AR28" i="69"/>
  <c r="BC28" i="69"/>
  <c r="T28" i="69"/>
  <c r="AB28" i="69" a="1"/>
  <c r="AB28" i="69" s="1"/>
  <c r="Y28" i="69"/>
  <c r="Z28" i="69"/>
  <c r="N28" i="69" a="1"/>
  <c r="N28" i="69" s="1"/>
  <c r="L28" i="69"/>
  <c r="AS28" i="69"/>
  <c r="K28" i="69" a="1"/>
  <c r="K28" i="69" s="1"/>
  <c r="H28" i="69"/>
  <c r="C28" i="69"/>
  <c r="E113" i="15"/>
  <c r="AM78" i="4"/>
  <c r="DG78" i="4"/>
  <c r="E78" i="4"/>
  <c r="BU78" i="4" s="1"/>
  <c r="A1472" i="13"/>
  <c r="AX1373" i="13"/>
  <c r="A1456" i="13"/>
  <c r="AX1357" i="13"/>
  <c r="M62" i="69"/>
  <c r="J62" i="69"/>
  <c r="Z62" i="69"/>
  <c r="BB62" i="69"/>
  <c r="Q62" i="69"/>
  <c r="A62" i="69"/>
  <c r="AC62" i="69"/>
  <c r="BU62" i="69"/>
  <c r="T62" i="69"/>
  <c r="AR62" i="69"/>
  <c r="AB62" i="69" a="1"/>
  <c r="AB62" i="69" s="1"/>
  <c r="AS62" i="69"/>
  <c r="AA62" i="69"/>
  <c r="N62" i="69" a="1"/>
  <c r="N62" i="69" s="1"/>
  <c r="P62" i="69"/>
  <c r="Y62" i="69"/>
  <c r="V62" i="69"/>
  <c r="B62" i="69" s="1"/>
  <c r="W62" i="69"/>
  <c r="BC62" i="69"/>
  <c r="G62" i="69"/>
  <c r="U62" i="69" a="1"/>
  <c r="U62" i="69" s="1"/>
  <c r="S62" i="69"/>
  <c r="AI83" i="4"/>
  <c r="AV1379" i="13" s="1"/>
  <c r="P50" i="9"/>
  <c r="K538" i="15" a="1"/>
  <c r="K538" i="15" s="1"/>
  <c r="M581" i="15" a="1"/>
  <c r="M581" i="15" s="1"/>
  <c r="HM37" i="71"/>
  <c r="A1409" i="13"/>
  <c r="AX1310" i="13"/>
  <c r="CY93" i="4"/>
  <c r="CZ93" i="4" s="1"/>
  <c r="J63" i="69"/>
  <c r="P63" i="69"/>
  <c r="AC63" i="69"/>
  <c r="BU63" i="69"/>
  <c r="AB63" i="69" a="1"/>
  <c r="AB63" i="69" s="1"/>
  <c r="AA63" i="69"/>
  <c r="BB63" i="69"/>
  <c r="V63" i="69"/>
  <c r="W63" i="69"/>
  <c r="BQ63" i="69" s="1" a="1"/>
  <c r="BQ63" i="69" s="1"/>
  <c r="M63" i="69"/>
  <c r="A63" i="69"/>
  <c r="L63" i="69"/>
  <c r="N63" i="69" a="1"/>
  <c r="N63" i="69" s="1"/>
  <c r="AR63" i="69"/>
  <c r="BC63" i="69"/>
  <c r="Z63" i="69"/>
  <c r="T63" i="69"/>
  <c r="Y63" i="69"/>
  <c r="Q63" i="69"/>
  <c r="AS63" i="69"/>
  <c r="G63" i="69"/>
  <c r="F35" i="69"/>
  <c r="AQ95" i="4"/>
  <c r="CY95" i="4"/>
  <c r="CZ95" i="4" s="1"/>
  <c r="E399" i="15"/>
  <c r="H397" i="15" s="1" a="1"/>
  <c r="H397" i="15" s="1"/>
  <c r="C53" i="14"/>
  <c r="N664" i="15" a="1"/>
  <c r="N664" i="15" s="1"/>
  <c r="A1423" i="13"/>
  <c r="AX1324" i="13"/>
  <c r="AC92" i="69"/>
  <c r="J92" i="69"/>
  <c r="N92" i="69" a="1"/>
  <c r="N92" i="69" s="1"/>
  <c r="T92" i="69"/>
  <c r="Z92" i="69"/>
  <c r="BU92" i="69"/>
  <c r="Q92" i="69"/>
  <c r="M92" i="69"/>
  <c r="W92" i="69"/>
  <c r="BQ92" i="69" s="1" a="1"/>
  <c r="BQ92" i="69" s="1"/>
  <c r="AB92" i="69" a="1"/>
  <c r="AB92" i="69" s="1"/>
  <c r="V92" i="69"/>
  <c r="AS92" i="69"/>
  <c r="AR92" i="69"/>
  <c r="L92" i="69"/>
  <c r="BB92" i="69"/>
  <c r="P92" i="69"/>
  <c r="BC92" i="69"/>
  <c r="A92" i="69"/>
  <c r="Y92" i="69"/>
  <c r="AA92" i="69"/>
  <c r="U92" i="69" a="1"/>
  <c r="U92" i="69" s="1"/>
  <c r="P45" i="69"/>
  <c r="G45" i="69"/>
  <c r="J45" i="69"/>
  <c r="U45" i="69" a="1"/>
  <c r="U45" i="69" s="1"/>
  <c r="BC45" i="69"/>
  <c r="A45" i="69"/>
  <c r="AS45" i="69"/>
  <c r="M45" i="69"/>
  <c r="AB45" i="69" a="1"/>
  <c r="AB45" i="69" s="1"/>
  <c r="L45" i="69"/>
  <c r="W45" i="69"/>
  <c r="AC45" i="69"/>
  <c r="Y45" i="69"/>
  <c r="N45" i="69" a="1"/>
  <c r="N45" i="69" s="1"/>
  <c r="Q45" i="69"/>
  <c r="BB45" i="69"/>
  <c r="V45" i="69"/>
  <c r="B45" i="69" s="1"/>
  <c r="AA45" i="69"/>
  <c r="Z45" i="69"/>
  <c r="S45" i="69"/>
  <c r="AR45" i="69"/>
  <c r="T45" i="69"/>
  <c r="BU45" i="69"/>
  <c r="K45" i="69" a="1"/>
  <c r="K45" i="69" s="1"/>
  <c r="O45" i="69"/>
  <c r="BK45" i="69"/>
  <c r="AE72" i="4"/>
  <c r="BD94" i="69"/>
  <c r="R94" i="69"/>
  <c r="AO94" i="69" s="1" a="1"/>
  <c r="AO94" i="69" s="1"/>
  <c r="BG94" i="69"/>
  <c r="AW94" i="69" s="1" a="1"/>
  <c r="AW94" i="69" s="1"/>
  <c r="BN94" i="69" a="1"/>
  <c r="BN94" i="69" s="1"/>
  <c r="AP94" i="69" a="1"/>
  <c r="AP94" i="69" s="1"/>
  <c r="BM94" i="69" a="1"/>
  <c r="BM94" i="69" s="1"/>
  <c r="BT94" i="69"/>
  <c r="BP94" i="69"/>
  <c r="BO94" i="69" s="1"/>
  <c r="BR94" i="69" s="1"/>
  <c r="BQ94" i="69" a="1"/>
  <c r="BQ94" i="69" s="1"/>
  <c r="E94" i="69"/>
  <c r="E280" i="15"/>
  <c r="H279" i="15" s="1" a="1"/>
  <c r="H279" i="15" s="1"/>
  <c r="E343" i="15"/>
  <c r="AX1386" i="13"/>
  <c r="A1485" i="13"/>
  <c r="M594" i="15" a="1"/>
  <c r="M594" i="15" s="1"/>
  <c r="BL80" i="72"/>
  <c r="M80" i="72"/>
  <c r="AC80" i="72"/>
  <c r="AN80" i="72"/>
  <c r="J80" i="72"/>
  <c r="Q80" i="72"/>
  <c r="AA80" i="72" a="1"/>
  <c r="AA80" i="72" s="1"/>
  <c r="AB80" i="72"/>
  <c r="BB80" i="72"/>
  <c r="BA80" i="72"/>
  <c r="BK80" i="72"/>
  <c r="L80" i="72"/>
  <c r="AG80" i="72"/>
  <c r="A80" i="72"/>
  <c r="AQ80" i="72"/>
  <c r="X80" i="72"/>
  <c r="AO80" i="72"/>
  <c r="N80" i="72" a="1"/>
  <c r="N80" i="72" s="1"/>
  <c r="W80" i="72"/>
  <c r="AE80" i="72"/>
  <c r="Z80" i="72"/>
  <c r="T80" i="72"/>
  <c r="Y80" i="72"/>
  <c r="P80" i="72"/>
  <c r="U80" i="72" a="1"/>
  <c r="U80" i="72" s="1"/>
  <c r="S80" i="72"/>
  <c r="B80" i="72"/>
  <c r="G80" i="72"/>
  <c r="BR80" i="72"/>
  <c r="T59" i="72"/>
  <c r="Z59" i="72"/>
  <c r="B59" i="72"/>
  <c r="N59" i="72" a="1"/>
  <c r="N59" i="72" s="1"/>
  <c r="BL59" i="72"/>
  <c r="AQ59" i="72"/>
  <c r="Y59" i="72"/>
  <c r="BY59" i="72" s="1"/>
  <c r="AG59" i="72"/>
  <c r="G59" i="72"/>
  <c r="AC59" i="72"/>
  <c r="A59" i="72"/>
  <c r="Q59" i="72"/>
  <c r="U59" i="72" a="1"/>
  <c r="U59" i="72" s="1"/>
  <c r="W59" i="72"/>
  <c r="BA59" i="72"/>
  <c r="BK59" i="72"/>
  <c r="BB59" i="72"/>
  <c r="P59" i="72"/>
  <c r="X59" i="72"/>
  <c r="AN59" i="72"/>
  <c r="S59" i="72"/>
  <c r="AB59" i="72"/>
  <c r="AE59" i="72"/>
  <c r="J59" i="72"/>
  <c r="AA59" i="72" a="1"/>
  <c r="AA59" i="72" s="1"/>
  <c r="AO59" i="72"/>
  <c r="M59" i="72"/>
  <c r="F26" i="69"/>
  <c r="F443" i="15" a="1"/>
  <c r="F443" i="15" s="1"/>
  <c r="BV94" i="69"/>
  <c r="DX20" i="4"/>
  <c r="AV522" i="13"/>
  <c r="BI20" i="4"/>
  <c r="BM20" i="4"/>
  <c r="BN20" i="4" s="1"/>
  <c r="BF20" i="4" s="1" a="1"/>
  <c r="BF20" i="4" s="1"/>
  <c r="AW36" i="4" a="1"/>
  <c r="AW36" i="4" s="1"/>
  <c r="C36" i="72" s="1"/>
  <c r="Y36" i="4"/>
  <c r="AU36" i="4" a="1"/>
  <c r="AU36" i="4" s="1"/>
  <c r="H36" i="69" s="1"/>
  <c r="AV36" i="4"/>
  <c r="DA36" i="4"/>
  <c r="DB36" i="4" s="1"/>
  <c r="BR36" i="4"/>
  <c r="DX44" i="4"/>
  <c r="BM44" i="4"/>
  <c r="BN44" i="4" s="1"/>
  <c r="BF44" i="4" s="1" a="1"/>
  <c r="BF44" i="4" s="1"/>
  <c r="AV546" i="13"/>
  <c r="BI44" i="4"/>
  <c r="AQ74" i="4"/>
  <c r="AV376" i="13" s="1"/>
  <c r="BP58" i="69"/>
  <c r="BO58" i="69" s="1"/>
  <c r="BR58" i="69" s="1"/>
  <c r="R58" i="69"/>
  <c r="BD58" i="69"/>
  <c r="BG58" i="69"/>
  <c r="AV58" i="69" s="1" a="1"/>
  <c r="AV58" i="69" s="1"/>
  <c r="BN58" i="69" a="1"/>
  <c r="BN58" i="69" s="1"/>
  <c r="AP58" i="69" a="1"/>
  <c r="AP58" i="69" s="1"/>
  <c r="BT58" i="69"/>
  <c r="BC94" i="72" a="1"/>
  <c r="BC94" i="72" s="1"/>
  <c r="AV533" i="13"/>
  <c r="BI31" i="4"/>
  <c r="BM31" i="4"/>
  <c r="BN31" i="4" s="1"/>
  <c r="BF31" i="4" s="1" a="1"/>
  <c r="BF31" i="4" s="1"/>
  <c r="DX31" i="4"/>
  <c r="AQ83" i="4"/>
  <c r="AV385" i="13" s="1"/>
  <c r="F78" i="4"/>
  <c r="BM16" i="4"/>
  <c r="BN16" i="4" s="1"/>
  <c r="BF16" i="4" s="1" a="1"/>
  <c r="BF16" i="4" s="1"/>
  <c r="BI16" i="4"/>
  <c r="AV518" i="13"/>
  <c r="DX16" i="4"/>
  <c r="BI41" i="4"/>
  <c r="DX41" i="4"/>
  <c r="AV543" i="13"/>
  <c r="BM41" i="4"/>
  <c r="BN41" i="4" s="1"/>
  <c r="BF41" i="4" s="1" a="1"/>
  <c r="BF41" i="4" s="1"/>
  <c r="F172" i="15" a="1"/>
  <c r="F172" i="15" s="1"/>
  <c r="H172" i="15" a="1"/>
  <c r="H172" i="15" s="1"/>
  <c r="I172" i="15" a="1"/>
  <c r="I172" i="15" s="1"/>
  <c r="CF96" i="72" a="1"/>
  <c r="CF96" i="72" s="1"/>
  <c r="F82" i="4"/>
  <c r="F61" i="4"/>
  <c r="X26" i="4"/>
  <c r="BH26" i="4"/>
  <c r="AV1124" i="13" s="1"/>
  <c r="BS26" i="4"/>
  <c r="O26" i="69" s="1"/>
  <c r="X8" i="4"/>
  <c r="BH8" i="4"/>
  <c r="AV1106" i="13" s="1"/>
  <c r="BS8" i="4"/>
  <c r="O8" i="69" s="1"/>
  <c r="L18" i="4"/>
  <c r="BS18" i="4"/>
  <c r="O18" i="72" s="1"/>
  <c r="BH18" i="4"/>
  <c r="AV1116" i="13" s="1"/>
  <c r="X18" i="4"/>
  <c r="G55" i="4"/>
  <c r="DA55" i="4" s="1"/>
  <c r="DB55" i="4" s="1"/>
  <c r="BP55" i="4"/>
  <c r="BP97" i="4" s="1"/>
  <c r="BO97" i="4"/>
  <c r="L53" i="4"/>
  <c r="BH53" i="4"/>
  <c r="AV1151" i="13" s="1"/>
  <c r="BS53" i="4"/>
  <c r="O53" i="69" s="1"/>
  <c r="X53" i="4"/>
  <c r="BG52" i="4"/>
  <c r="AE23" i="4"/>
  <c r="F23" i="69" s="1"/>
  <c r="L19" i="4"/>
  <c r="BS19" i="4"/>
  <c r="BK19" i="69" s="1"/>
  <c r="BH19" i="4"/>
  <c r="AV1117" i="13" s="1"/>
  <c r="X19" i="4"/>
  <c r="BG36" i="4"/>
  <c r="V6" i="69"/>
  <c r="B6" i="69" s="1"/>
  <c r="BC6" i="69"/>
  <c r="G6" i="69"/>
  <c r="J6" i="69"/>
  <c r="Q6" i="69"/>
  <c r="BB6" i="69"/>
  <c r="A6" i="69"/>
  <c r="M6" i="69"/>
  <c r="T6" i="69"/>
  <c r="U6" i="69" a="1"/>
  <c r="U6" i="69" s="1"/>
  <c r="BU6" i="69"/>
  <c r="Z6" i="69"/>
  <c r="Y6" i="69"/>
  <c r="K6" i="69" a="1"/>
  <c r="K6" i="69" s="1"/>
  <c r="W6" i="69"/>
  <c r="N6" i="69" a="1"/>
  <c r="N6" i="69" s="1"/>
  <c r="P6" i="69"/>
  <c r="AR6" i="69"/>
  <c r="AC6" i="69"/>
  <c r="S6" i="69"/>
  <c r="AS6" i="69"/>
  <c r="AB6" i="69" a="1"/>
  <c r="AB6" i="69" s="1"/>
  <c r="AA6" i="69"/>
  <c r="BI6" i="69"/>
  <c r="O6" i="69"/>
  <c r="BK6" i="69"/>
  <c r="AD6" i="69"/>
  <c r="B7" i="27"/>
  <c r="G62" i="27"/>
  <c r="G19" i="27" s="1"/>
  <c r="H16" i="27" s="1"/>
  <c r="A6" i="27" s="1" a="1"/>
  <c r="A6" i="27" s="1"/>
  <c r="I69" i="69"/>
  <c r="J20" i="69"/>
  <c r="BC20" i="69"/>
  <c r="K20" i="69" a="1"/>
  <c r="K20" i="69" s="1"/>
  <c r="G20" i="69"/>
  <c r="Q20" i="69"/>
  <c r="Y20" i="69"/>
  <c r="AB20" i="69" a="1"/>
  <c r="AB20" i="69" s="1"/>
  <c r="AA20" i="69"/>
  <c r="S20" i="69"/>
  <c r="BB20" i="69"/>
  <c r="T20" i="69"/>
  <c r="AR20" i="69"/>
  <c r="V20" i="69"/>
  <c r="B20" i="69" s="1"/>
  <c r="M20" i="69"/>
  <c r="BU20" i="69"/>
  <c r="U20" i="69" a="1"/>
  <c r="U20" i="69" s="1"/>
  <c r="W20" i="69"/>
  <c r="P20" i="69"/>
  <c r="Z20" i="69"/>
  <c r="AC20" i="69"/>
  <c r="AS20" i="69"/>
  <c r="A20" i="69"/>
  <c r="N20" i="69" a="1"/>
  <c r="N20" i="69" s="1"/>
  <c r="O20" i="69"/>
  <c r="BK20" i="69"/>
  <c r="N686" i="15" a="1"/>
  <c r="N686" i="15" s="1"/>
  <c r="J94" i="72"/>
  <c r="DX96" i="4"/>
  <c r="BM96" i="4"/>
  <c r="AV598" i="13"/>
  <c r="AY598" i="13" s="1"/>
  <c r="F259" i="15" a="1"/>
  <c r="F259" i="15" s="1"/>
  <c r="AO89" i="72"/>
  <c r="N89" i="72" a="1"/>
  <c r="N89" i="72" s="1"/>
  <c r="Q89" i="72"/>
  <c r="P89" i="72"/>
  <c r="T89" i="72"/>
  <c r="J89" i="72"/>
  <c r="BK89" i="72"/>
  <c r="AE89" i="72"/>
  <c r="A89" i="72"/>
  <c r="G89" i="72"/>
  <c r="X89" i="72"/>
  <c r="AA89" i="72" a="1"/>
  <c r="AA89" i="72" s="1"/>
  <c r="Z89" i="72"/>
  <c r="Y89" i="72"/>
  <c r="BY89" i="72" s="1"/>
  <c r="AG89" i="72"/>
  <c r="AC89" i="72"/>
  <c r="AQ89" i="72"/>
  <c r="AN89" i="72"/>
  <c r="AB89" i="72"/>
  <c r="BB89" i="72"/>
  <c r="M89" i="72"/>
  <c r="BL89" i="72"/>
  <c r="W89" i="72"/>
  <c r="BA89" i="72"/>
  <c r="U89" i="72" a="1"/>
  <c r="U89" i="72" s="1"/>
  <c r="Z92" i="4"/>
  <c r="AV1289" i="13" s="1"/>
  <c r="J95" i="69"/>
  <c r="AV697" i="13"/>
  <c r="J95" i="72"/>
  <c r="AQ57" i="4"/>
  <c r="AV359" i="13" s="1"/>
  <c r="E80" i="15"/>
  <c r="E341" i="15"/>
  <c r="E111" i="15"/>
  <c r="E278" i="15"/>
  <c r="H267" i="15" s="1" a="1"/>
  <c r="H267" i="15" s="1"/>
  <c r="E57" i="4"/>
  <c r="BU57" i="4" s="1"/>
  <c r="BE57" i="4"/>
  <c r="BS57" i="4" s="1"/>
  <c r="BK57" i="69" s="1"/>
  <c r="DG57" i="4"/>
  <c r="P27" i="72"/>
  <c r="AB27" i="72"/>
  <c r="AO27" i="72"/>
  <c r="B27" i="72"/>
  <c r="AC27" i="72"/>
  <c r="BK27" i="72"/>
  <c r="Z27" i="72"/>
  <c r="S27" i="72"/>
  <c r="G27" i="72"/>
  <c r="J27" i="72"/>
  <c r="A27" i="72"/>
  <c r="W27" i="72"/>
  <c r="U27" i="72" a="1"/>
  <c r="U27" i="72" s="1"/>
  <c r="AE27" i="72"/>
  <c r="T27" i="72"/>
  <c r="BB27" i="72"/>
  <c r="N27" i="72" a="1"/>
  <c r="N27" i="72" s="1"/>
  <c r="AN27" i="72"/>
  <c r="Y27" i="72"/>
  <c r="BY27" i="72" s="1"/>
  <c r="BL27" i="72"/>
  <c r="X27" i="72"/>
  <c r="BA27" i="72"/>
  <c r="Q27" i="72"/>
  <c r="AG27" i="72"/>
  <c r="AA27" i="72" a="1"/>
  <c r="AA27" i="72" s="1"/>
  <c r="AQ27" i="72"/>
  <c r="M27" i="72"/>
  <c r="O27" i="72"/>
  <c r="K27" i="72" a="1"/>
  <c r="K27" i="72" s="1"/>
  <c r="H27" i="72"/>
  <c r="I18" i="72"/>
  <c r="Z38" i="14"/>
  <c r="I628" i="15" a="1"/>
  <c r="I628" i="15" s="1"/>
  <c r="P30" i="9"/>
  <c r="L540" i="15" a="1"/>
  <c r="L540" i="15" s="1"/>
  <c r="BE35" i="4"/>
  <c r="X35" i="4" s="1"/>
  <c r="BC7" i="69"/>
  <c r="Y7" i="69"/>
  <c r="AR7" i="69"/>
  <c r="U7" i="69" a="1"/>
  <c r="U7" i="69" s="1"/>
  <c r="A7" i="69"/>
  <c r="W7" i="69"/>
  <c r="K7" i="69" a="1"/>
  <c r="K7" i="69" s="1"/>
  <c r="G7" i="69"/>
  <c r="N7" i="69" a="1"/>
  <c r="N7" i="69" s="1"/>
  <c r="T7" i="69"/>
  <c r="AS7" i="69"/>
  <c r="Z7" i="69"/>
  <c r="AA7" i="69"/>
  <c r="AB7" i="69" a="1"/>
  <c r="AB7" i="69" s="1"/>
  <c r="Q7" i="69"/>
  <c r="BI7" i="69"/>
  <c r="M7" i="69"/>
  <c r="V7" i="69"/>
  <c r="B7" i="69" s="1"/>
  <c r="BB7" i="69"/>
  <c r="J7" i="69"/>
  <c r="S7" i="69"/>
  <c r="P7" i="69"/>
  <c r="BU7" i="69"/>
  <c r="AC7" i="69"/>
  <c r="H7" i="69"/>
  <c r="AD7" i="69"/>
  <c r="O7" i="69"/>
  <c r="BK7" i="69"/>
  <c r="C7" i="69"/>
  <c r="Z66" i="4"/>
  <c r="AV1263" i="13" s="1"/>
  <c r="BW103" i="4"/>
  <c r="H703" i="15" a="1"/>
  <c r="H703" i="15" s="1"/>
  <c r="I703" i="15" a="1"/>
  <c r="I703" i="15" s="1"/>
  <c r="F703" i="15" a="1"/>
  <c r="F703" i="15" s="1"/>
  <c r="G703" i="15" s="1"/>
  <c r="E94" i="4"/>
  <c r="BU94" i="4" s="1"/>
  <c r="DG94" i="4"/>
  <c r="BN10" i="4"/>
  <c r="BF10" i="4" s="1" a="1"/>
  <c r="BF10" i="4" s="1"/>
  <c r="BR10" i="72"/>
  <c r="BI10" i="69"/>
  <c r="AD10" i="69"/>
  <c r="AD10" i="72"/>
  <c r="M554" i="15" a="1"/>
  <c r="M554" i="15" s="1"/>
  <c r="AQ63" i="4"/>
  <c r="AV365" i="13" s="1"/>
  <c r="DG63" i="4"/>
  <c r="E63" i="4"/>
  <c r="BU63" i="4" s="1"/>
  <c r="E270" i="15"/>
  <c r="H268" i="15" s="1" a="1"/>
  <c r="H268" i="15" s="1"/>
  <c r="BB48" i="69"/>
  <c r="N48" i="69" a="1"/>
  <c r="N48" i="69" s="1"/>
  <c r="AC48" i="69"/>
  <c r="T48" i="69"/>
  <c r="U48" i="69" a="1"/>
  <c r="U48" i="69" s="1"/>
  <c r="AR48" i="69"/>
  <c r="V48" i="69"/>
  <c r="B48" i="69" s="1"/>
  <c r="S48" i="69"/>
  <c r="Z48" i="69"/>
  <c r="BC48" i="69"/>
  <c r="M48" i="69"/>
  <c r="AA48" i="69"/>
  <c r="AB48" i="69" a="1"/>
  <c r="AB48" i="69" s="1"/>
  <c r="W48" i="69"/>
  <c r="BP48" i="69" s="1"/>
  <c r="AS48" i="69"/>
  <c r="G48" i="69"/>
  <c r="Y48" i="69"/>
  <c r="A48" i="69"/>
  <c r="P48" i="69"/>
  <c r="BU48" i="69"/>
  <c r="J48" i="69"/>
  <c r="Q48" i="69"/>
  <c r="K48" i="69" a="1"/>
  <c r="K48" i="69" s="1"/>
  <c r="H48" i="69"/>
  <c r="C48" i="69"/>
  <c r="F25" i="69"/>
  <c r="M673" i="15" a="1"/>
  <c r="M673" i="15" s="1"/>
  <c r="AX1366" i="13"/>
  <c r="A1465" i="13"/>
  <c r="DC72" i="4" a="1"/>
  <c r="DC72" i="4" s="1"/>
  <c r="AS74" i="69"/>
  <c r="V74" i="69"/>
  <c r="B74" i="69" s="1"/>
  <c r="BB74" i="69"/>
  <c r="Y74" i="69"/>
  <c r="N74" i="69" a="1"/>
  <c r="N74" i="69" s="1"/>
  <c r="Z74" i="69"/>
  <c r="AA74" i="69"/>
  <c r="Q74" i="69"/>
  <c r="AC74" i="69"/>
  <c r="J74" i="69"/>
  <c r="AR74" i="69"/>
  <c r="W74" i="69"/>
  <c r="L74" i="69" s="1"/>
  <c r="AB74" i="69" a="1"/>
  <c r="AB74" i="69" s="1"/>
  <c r="A74" i="69"/>
  <c r="M74" i="69"/>
  <c r="P74" i="69"/>
  <c r="BC74" i="69"/>
  <c r="S74" i="69"/>
  <c r="BU74" i="69"/>
  <c r="T74" i="69"/>
  <c r="I8" i="72"/>
  <c r="BP95" i="72"/>
  <c r="BF95" i="72" s="1" a="1"/>
  <c r="BF95" i="72" s="1"/>
  <c r="BM95" i="72"/>
  <c r="AU95" i="72" a="1"/>
  <c r="AU95" i="72" s="1"/>
  <c r="AT95" i="72" a="1"/>
  <c r="AT95" i="72" s="1"/>
  <c r="AS95" i="72" a="1"/>
  <c r="AS95" i="72" s="1"/>
  <c r="AW95" i="72"/>
  <c r="BV95" i="72" a="1"/>
  <c r="BV95" i="72" s="1"/>
  <c r="AL95" i="72" a="1"/>
  <c r="AL95" i="72" s="1"/>
  <c r="BW95" i="72" a="1"/>
  <c r="BW95" i="72" s="1"/>
  <c r="AY95" i="72" a="1"/>
  <c r="AY95" i="72" s="1"/>
  <c r="R95" i="72"/>
  <c r="BY95" i="72"/>
  <c r="BX95" i="72" s="1"/>
  <c r="CA95" i="72" s="1"/>
  <c r="E95" i="72"/>
  <c r="BZ95" i="72" a="1"/>
  <c r="BZ95" i="72" s="1"/>
  <c r="CG95" i="72" a="1"/>
  <c r="CG95" i="72" s="1"/>
  <c r="CF95" i="72" a="1"/>
  <c r="CF95" i="72" s="1"/>
  <c r="AH95" i="72" s="1" a="1"/>
  <c r="AH95" i="72" s="1"/>
  <c r="BQ95" i="72"/>
  <c r="N75" i="72" a="1"/>
  <c r="N75" i="72" s="1"/>
  <c r="M75" i="72"/>
  <c r="AB75" i="72"/>
  <c r="AA75" i="72" a="1"/>
  <c r="AA75" i="72" s="1"/>
  <c r="AO75" i="72"/>
  <c r="Q75" i="72"/>
  <c r="S75" i="72"/>
  <c r="AQ75" i="72"/>
  <c r="Y75" i="72"/>
  <c r="B75" i="72"/>
  <c r="AG75" i="72"/>
  <c r="BA75" i="72"/>
  <c r="J75" i="72"/>
  <c r="BK75" i="72"/>
  <c r="X75" i="72"/>
  <c r="Z75" i="72"/>
  <c r="T75" i="72"/>
  <c r="AN75" i="72"/>
  <c r="BB75" i="72"/>
  <c r="P75" i="72"/>
  <c r="AE75" i="72"/>
  <c r="AC75" i="72"/>
  <c r="W75" i="72"/>
  <c r="BL75" i="72"/>
  <c r="G75" i="72"/>
  <c r="A75" i="72"/>
  <c r="U75" i="72" a="1"/>
  <c r="U75" i="72" s="1"/>
  <c r="AE71" i="4"/>
  <c r="P19" i="9"/>
  <c r="P77" i="9"/>
  <c r="L629" i="15" a="1"/>
  <c r="L629" i="15" s="1"/>
  <c r="E69" i="15"/>
  <c r="JR37" i="71"/>
  <c r="F336" i="15" a="1"/>
  <c r="F336" i="15" s="1"/>
  <c r="DC89" i="4" a="1"/>
  <c r="DC89" i="4" s="1"/>
  <c r="T90" i="69"/>
  <c r="A90" i="69"/>
  <c r="Y90" i="69"/>
  <c r="Q90" i="69"/>
  <c r="M90" i="69"/>
  <c r="AC90" i="69"/>
  <c r="J90" i="69"/>
  <c r="AA90" i="69"/>
  <c r="L90" i="69"/>
  <c r="BU90" i="69"/>
  <c r="AB90" i="69" a="1"/>
  <c r="AB90" i="69" s="1"/>
  <c r="AS90" i="69"/>
  <c r="BC90" i="69"/>
  <c r="AR90" i="69"/>
  <c r="BB90" i="69"/>
  <c r="S90" i="69"/>
  <c r="Z90" i="69"/>
  <c r="P90" i="69"/>
  <c r="N90" i="69" a="1"/>
  <c r="N90" i="69" s="1"/>
  <c r="W90" i="69"/>
  <c r="V90" i="69"/>
  <c r="B90" i="69" s="1"/>
  <c r="G90" i="69"/>
  <c r="U90" i="69" a="1"/>
  <c r="U90" i="69" s="1"/>
  <c r="BI90" i="69"/>
  <c r="P5" i="9"/>
  <c r="H242" i="15" a="1"/>
  <c r="H242" i="15" s="1"/>
  <c r="F267" i="15" a="1"/>
  <c r="F267" i="15" s="1"/>
  <c r="L703" i="15" a="1"/>
  <c r="L703" i="15" s="1"/>
  <c r="M703" i="15" a="1"/>
  <c r="M703" i="15" s="1"/>
  <c r="N703" i="15" a="1"/>
  <c r="N703" i="15" s="1"/>
  <c r="K703" i="15" a="1"/>
  <c r="K703" i="15" s="1"/>
  <c r="I209" i="15" a="1"/>
  <c r="I209" i="15" s="1"/>
  <c r="A1403" i="13"/>
  <c r="AX1304" i="13"/>
  <c r="J54" i="69"/>
  <c r="BI54" i="69"/>
  <c r="U54" i="69" a="1"/>
  <c r="U54" i="69" s="1"/>
  <c r="P54" i="69"/>
  <c r="N54" i="69" a="1"/>
  <c r="N54" i="69" s="1"/>
  <c r="BU54" i="69"/>
  <c r="AS54" i="69"/>
  <c r="T54" i="69"/>
  <c r="Q54" i="69"/>
  <c r="Y54" i="69"/>
  <c r="A54" i="69"/>
  <c r="W54" i="69"/>
  <c r="BB54" i="69"/>
  <c r="Z54" i="69"/>
  <c r="V54" i="69"/>
  <c r="B54" i="69" s="1"/>
  <c r="BC54" i="69"/>
  <c r="AC54" i="69"/>
  <c r="AB54" i="69" a="1"/>
  <c r="AB54" i="69" s="1"/>
  <c r="AR54" i="69"/>
  <c r="M54" i="69"/>
  <c r="G54" i="69"/>
  <c r="S54" i="69"/>
  <c r="AA54" i="69"/>
  <c r="AD54" i="69"/>
  <c r="O54" i="69"/>
  <c r="K54" i="69" a="1"/>
  <c r="K54" i="69" s="1"/>
  <c r="BK54" i="69"/>
  <c r="C54" i="69"/>
  <c r="H54" i="69"/>
  <c r="W85" i="72"/>
  <c r="X85" i="72"/>
  <c r="P85" i="72"/>
  <c r="T85" i="72"/>
  <c r="M85" i="72"/>
  <c r="BA85" i="72"/>
  <c r="BL85" i="72"/>
  <c r="Y85" i="72"/>
  <c r="BY85" i="72" s="1"/>
  <c r="AC85" i="72"/>
  <c r="Q85" i="72"/>
  <c r="AA85" i="72" a="1"/>
  <c r="AA85" i="72" s="1"/>
  <c r="BK85" i="72"/>
  <c r="AB85" i="72"/>
  <c r="Z85" i="72"/>
  <c r="A85" i="72"/>
  <c r="AG85" i="72"/>
  <c r="L85" i="72"/>
  <c r="AQ85" i="72"/>
  <c r="BB85" i="72"/>
  <c r="AO85" i="72"/>
  <c r="AE85" i="72"/>
  <c r="AN85" i="72"/>
  <c r="N85" i="72" a="1"/>
  <c r="N85" i="72" s="1"/>
  <c r="G85" i="72"/>
  <c r="J85" i="72"/>
  <c r="U85" i="72" a="1"/>
  <c r="U85" i="72" s="1"/>
  <c r="AE89" i="4"/>
  <c r="M538" i="15" a="1"/>
  <c r="M538" i="15" s="1"/>
  <c r="E81" i="15"/>
  <c r="K581" i="15" a="1"/>
  <c r="K581" i="15" s="1"/>
  <c r="H233" i="15" a="1"/>
  <c r="H233" i="15" s="1"/>
  <c r="F233" i="15" a="1"/>
  <c r="F233" i="15" s="1"/>
  <c r="GL37" i="71"/>
  <c r="BE83" i="4"/>
  <c r="X83" i="4" s="1"/>
  <c r="Y63" i="72"/>
  <c r="Z63" i="72"/>
  <c r="AG63" i="72"/>
  <c r="BB63" i="72"/>
  <c r="AO63" i="72"/>
  <c r="X63" i="72"/>
  <c r="BA63" i="72"/>
  <c r="L63" i="72"/>
  <c r="AC63" i="72"/>
  <c r="Q63" i="72"/>
  <c r="W63" i="72"/>
  <c r="P63" i="72"/>
  <c r="AN63" i="72"/>
  <c r="AB63" i="72"/>
  <c r="BL63" i="72"/>
  <c r="M63" i="72"/>
  <c r="J63" i="72"/>
  <c r="T63" i="72"/>
  <c r="N63" i="72" a="1"/>
  <c r="N63" i="72" s="1"/>
  <c r="A63" i="72"/>
  <c r="AE63" i="72"/>
  <c r="AA63" i="72" a="1"/>
  <c r="AA63" i="72" s="1"/>
  <c r="BK63" i="72"/>
  <c r="AQ63" i="72"/>
  <c r="S63" i="72"/>
  <c r="G63" i="72"/>
  <c r="B63" i="72"/>
  <c r="Z69" i="4"/>
  <c r="AV1266" i="13" s="1"/>
  <c r="Z85" i="4"/>
  <c r="AV1282" i="13" s="1"/>
  <c r="L479" i="15" a="1"/>
  <c r="L479" i="15" s="1"/>
  <c r="M479" i="15" a="1"/>
  <c r="M479" i="15" s="1"/>
  <c r="N479" i="15" a="1"/>
  <c r="N479" i="15" s="1"/>
  <c r="K664" i="15" a="1"/>
  <c r="K664" i="15" s="1"/>
  <c r="AQ77" i="4"/>
  <c r="AV379" i="13" s="1"/>
  <c r="E482" i="15"/>
  <c r="L482" i="15" s="1" a="1"/>
  <c r="L482" i="15" s="1"/>
  <c r="E379" i="15"/>
  <c r="I358" i="15" s="1" a="1"/>
  <c r="I358" i="15" s="1"/>
  <c r="DG77" i="4"/>
  <c r="E77" i="4"/>
  <c r="BU77" i="4" s="1"/>
  <c r="BE77" i="4"/>
  <c r="BS77" i="4" s="1"/>
  <c r="BK77" i="69" s="1"/>
  <c r="E339" i="15"/>
  <c r="F337" i="15" s="1" a="1"/>
  <c r="F337" i="15" s="1"/>
  <c r="A1424" i="13"/>
  <c r="AX1325" i="13"/>
  <c r="F247" i="15" a="1"/>
  <c r="F247" i="15" s="1"/>
  <c r="DG59" i="4"/>
  <c r="JI37" i="71"/>
  <c r="AQ86" i="72"/>
  <c r="BA86" i="72"/>
  <c r="S86" i="72"/>
  <c r="A86" i="72"/>
  <c r="M86" i="72"/>
  <c r="AN86" i="72"/>
  <c r="Y86" i="72"/>
  <c r="AB86" i="72"/>
  <c r="N86" i="72" a="1"/>
  <c r="N86" i="72" s="1"/>
  <c r="P86" i="72"/>
  <c r="Z86" i="72"/>
  <c r="AG86" i="72"/>
  <c r="AA86" i="72" a="1"/>
  <c r="AA86" i="72" s="1"/>
  <c r="G86" i="72"/>
  <c r="AO86" i="72"/>
  <c r="BL86" i="72"/>
  <c r="B86" i="72"/>
  <c r="X86" i="72"/>
  <c r="J86" i="72"/>
  <c r="Q86" i="72"/>
  <c r="BK86" i="72"/>
  <c r="T86" i="72"/>
  <c r="BB86" i="72"/>
  <c r="W86" i="72"/>
  <c r="AE86" i="72"/>
  <c r="L86" i="72"/>
  <c r="AC86" i="72"/>
  <c r="U86" i="72" a="1"/>
  <c r="U86" i="72" s="1"/>
  <c r="BR86" i="72"/>
  <c r="AO45" i="72"/>
  <c r="S45" i="72"/>
  <c r="A45" i="72"/>
  <c r="P45" i="72"/>
  <c r="AC45" i="72"/>
  <c r="AG45" i="72"/>
  <c r="BA45" i="72"/>
  <c r="BL45" i="72"/>
  <c r="M45" i="72"/>
  <c r="J45" i="72"/>
  <c r="AE45" i="72"/>
  <c r="AB45" i="72"/>
  <c r="BB45" i="72"/>
  <c r="Y45" i="72"/>
  <c r="T45" i="72"/>
  <c r="AN45" i="72"/>
  <c r="L45" i="72"/>
  <c r="N45" i="72" a="1"/>
  <c r="N45" i="72" s="1"/>
  <c r="Z45" i="72"/>
  <c r="B45" i="72"/>
  <c r="AA45" i="72" a="1"/>
  <c r="AA45" i="72" s="1"/>
  <c r="BK45" i="72"/>
  <c r="X45" i="72"/>
  <c r="U45" i="72" a="1"/>
  <c r="U45" i="72" s="1"/>
  <c r="Q45" i="72"/>
  <c r="W45" i="72"/>
  <c r="AQ45" i="72"/>
  <c r="G45" i="72"/>
  <c r="K45" i="72" a="1"/>
  <c r="K45" i="72" s="1"/>
  <c r="O45" i="72"/>
  <c r="F465" i="15" a="1"/>
  <c r="F465" i="15" s="1"/>
  <c r="E550" i="15"/>
  <c r="L549" i="15" s="1" a="1"/>
  <c r="L549" i="15" s="1"/>
  <c r="F665" i="15" a="1"/>
  <c r="F665" i="15" s="1"/>
  <c r="I665" i="15" a="1"/>
  <c r="I665" i="15" s="1"/>
  <c r="H665" i="15" a="1"/>
  <c r="H665" i="15" s="1"/>
  <c r="F108" i="15" a="1"/>
  <c r="F108" i="15" s="1"/>
  <c r="AE68" i="4"/>
  <c r="E68" i="4"/>
  <c r="DG68" i="4"/>
  <c r="E60" i="15"/>
  <c r="E479" i="15"/>
  <c r="H472" i="15" s="1" a="1"/>
  <c r="H472" i="15" s="1"/>
  <c r="E679" i="15"/>
  <c r="F677" i="15" s="1" a="1"/>
  <c r="F677" i="15" s="1"/>
  <c r="Z36" i="72"/>
  <c r="BK36" i="72"/>
  <c r="Y36" i="72"/>
  <c r="BY36" i="72" s="1"/>
  <c r="AG36" i="72"/>
  <c r="B36" i="72"/>
  <c r="J36" i="72"/>
  <c r="AQ36" i="72"/>
  <c r="M36" i="72"/>
  <c r="T36" i="72"/>
  <c r="W36" i="72"/>
  <c r="BB36" i="72"/>
  <c r="A36" i="72"/>
  <c r="BA36" i="72"/>
  <c r="AO36" i="72"/>
  <c r="AA36" i="72" a="1"/>
  <c r="AA36" i="72" s="1"/>
  <c r="AC36" i="72"/>
  <c r="BL36" i="72"/>
  <c r="N36" i="72" a="1"/>
  <c r="N36" i="72" s="1"/>
  <c r="L36" i="72"/>
  <c r="AB36" i="72"/>
  <c r="U36" i="72" a="1"/>
  <c r="U36" i="72" s="1"/>
  <c r="P36" i="72"/>
  <c r="AN36" i="72"/>
  <c r="G36" i="72"/>
  <c r="AE36" i="72"/>
  <c r="X36" i="72"/>
  <c r="S36" i="72"/>
  <c r="Q36" i="72"/>
  <c r="K36" i="72" a="1"/>
  <c r="K36" i="72" s="1"/>
  <c r="BR36" i="72"/>
  <c r="AD36" i="72"/>
  <c r="AC43" i="69"/>
  <c r="S43" i="69"/>
  <c r="J43" i="69"/>
  <c r="Z43" i="69"/>
  <c r="AS43" i="69"/>
  <c r="T43" i="69"/>
  <c r="G43" i="69"/>
  <c r="BI43" i="69"/>
  <c r="AA43" i="69"/>
  <c r="W43" i="69"/>
  <c r="L43" i="69" s="1"/>
  <c r="A43" i="69"/>
  <c r="BC43" i="69"/>
  <c r="V43" i="69"/>
  <c r="B43" i="69" s="1"/>
  <c r="Q43" i="69"/>
  <c r="N43" i="69" a="1"/>
  <c r="N43" i="69" s="1"/>
  <c r="M43" i="69"/>
  <c r="P43" i="69"/>
  <c r="U43" i="69" a="1"/>
  <c r="U43" i="69" s="1"/>
  <c r="BB43" i="69"/>
  <c r="Y43" i="69"/>
  <c r="AR43" i="69"/>
  <c r="AB43" i="69" a="1"/>
  <c r="AB43" i="69" s="1"/>
  <c r="BU43" i="69"/>
  <c r="O43" i="69"/>
  <c r="K43" i="69" a="1"/>
  <c r="K43" i="69" s="1"/>
  <c r="G59" i="69"/>
  <c r="J59" i="69"/>
  <c r="BC59" i="69"/>
  <c r="AS59" i="69"/>
  <c r="A59" i="69"/>
  <c r="W59" i="69"/>
  <c r="BQ59" i="69" s="1" a="1"/>
  <c r="BQ59" i="69" s="1"/>
  <c r="Q59" i="69"/>
  <c r="BU59" i="69"/>
  <c r="V59" i="69"/>
  <c r="B59" i="69" s="1"/>
  <c r="BB59" i="69"/>
  <c r="N59" i="69" a="1"/>
  <c r="N59" i="69" s="1"/>
  <c r="Y59" i="69"/>
  <c r="M59" i="69"/>
  <c r="T59" i="69"/>
  <c r="P59" i="69"/>
  <c r="AB59" i="69" a="1"/>
  <c r="AB59" i="69" s="1"/>
  <c r="AA59" i="69"/>
  <c r="AR59" i="69"/>
  <c r="U59" i="69" a="1"/>
  <c r="U59" i="69" s="1"/>
  <c r="Z59" i="69"/>
  <c r="AC59" i="69"/>
  <c r="S59" i="69"/>
  <c r="AE92" i="4"/>
  <c r="AI74" i="4"/>
  <c r="AV1370" i="13" s="1"/>
  <c r="A325" i="13"/>
  <c r="AX325" i="13" s="1"/>
  <c r="AX225" i="13"/>
  <c r="BE95" i="69"/>
  <c r="AN95" i="69" s="1" a="1"/>
  <c r="AN95" i="69" s="1"/>
  <c r="BF95" i="69"/>
  <c r="AX1302" i="13"/>
  <c r="A1401" i="13"/>
  <c r="L632" i="15" a="1"/>
  <c r="L632" i="15" s="1"/>
  <c r="F274" i="15" a="1"/>
  <c r="F274" i="15" s="1"/>
  <c r="I274" i="15" a="1"/>
  <c r="I274" i="15" s="1"/>
  <c r="H274" i="15" a="1"/>
  <c r="H274" i="15" s="1"/>
  <c r="AI73" i="4"/>
  <c r="AV1369" i="13" s="1"/>
  <c r="E73" i="4"/>
  <c r="BU73" i="4" s="1"/>
  <c r="DG73" i="4"/>
  <c r="DX14" i="4"/>
  <c r="AV516" i="13"/>
  <c r="BM14" i="4"/>
  <c r="BN14" i="4" s="1"/>
  <c r="BF14" i="4" s="1" a="1"/>
  <c r="BF14" i="4" s="1"/>
  <c r="BI14" i="4"/>
  <c r="F59" i="4"/>
  <c r="AX1331" i="13"/>
  <c r="A1430" i="13"/>
  <c r="AQ66" i="4"/>
  <c r="AV368" i="13" s="1"/>
  <c r="J58" i="72"/>
  <c r="BN58" i="72"/>
  <c r="AR58" i="72" s="1" a="1"/>
  <c r="AR58" i="72" s="1"/>
  <c r="BO58" i="72"/>
  <c r="DX28" i="4"/>
  <c r="BI28" i="4"/>
  <c r="AV530" i="13"/>
  <c r="BM28" i="4"/>
  <c r="BN28" i="4" s="1"/>
  <c r="BF28" i="4" s="1" a="1"/>
  <c r="BF28" i="4" s="1"/>
  <c r="CW97" i="4"/>
  <c r="BM22" i="4"/>
  <c r="BN22" i="4" s="1"/>
  <c r="BF22" i="4" s="1" a="1"/>
  <c r="BF22" i="4" s="1"/>
  <c r="DX22" i="4"/>
  <c r="BI22" i="4"/>
  <c r="AV524" i="13"/>
  <c r="BM40" i="4"/>
  <c r="BN40" i="4" s="1"/>
  <c r="BF40" i="4" s="1" a="1"/>
  <c r="BF40" i="4" s="1"/>
  <c r="AV542" i="13"/>
  <c r="BI40" i="4"/>
  <c r="DX40" i="4"/>
  <c r="BS58" i="69"/>
  <c r="BV58" i="69"/>
  <c r="AT58" i="69" a="1"/>
  <c r="AT58" i="69" s="1"/>
  <c r="H549" i="15" a="1"/>
  <c r="H549" i="15" s="1"/>
  <c r="BU5" i="4"/>
  <c r="BE5" i="4"/>
  <c r="BE76" i="4"/>
  <c r="F442" i="15" a="1"/>
  <c r="F442" i="15" s="1"/>
  <c r="AV534" i="13"/>
  <c r="BI32" i="4"/>
  <c r="BM32" i="4"/>
  <c r="BN32" i="4" s="1"/>
  <c r="BF32" i="4" s="1" a="1"/>
  <c r="BF32" i="4" s="1"/>
  <c r="DX32" i="4"/>
  <c r="CB26" i="4"/>
  <c r="K486" i="15" a="1"/>
  <c r="K486" i="15" s="1"/>
  <c r="AX1329" i="13"/>
  <c r="A1428" i="13"/>
  <c r="R95" i="69"/>
  <c r="AF96" i="72" a="1"/>
  <c r="AF96" i="72" s="1"/>
  <c r="BC96" i="72" s="1" a="1"/>
  <c r="BC96" i="72" s="1"/>
  <c r="BH37" i="4"/>
  <c r="AV1135" i="13" s="1"/>
  <c r="BS37" i="4"/>
  <c r="BK37" i="69" s="1"/>
  <c r="X30" i="4"/>
  <c r="BH30" i="4"/>
  <c r="AV1128" i="13" s="1"/>
  <c r="BS30" i="4"/>
  <c r="BK30" i="69" s="1"/>
  <c r="BS25" i="4"/>
  <c r="O25" i="72" s="1"/>
  <c r="X25" i="4"/>
  <c r="BH25" i="4"/>
  <c r="AV1123" i="13" s="1"/>
  <c r="BG45" i="4"/>
  <c r="BG29" i="4"/>
  <c r="AE60" i="4"/>
  <c r="F60" i="69" s="1"/>
  <c r="BS13" i="4"/>
  <c r="O13" i="69" s="1"/>
  <c r="BH13" i="4"/>
  <c r="AV1111" i="13" s="1"/>
  <c r="X13" i="4"/>
  <c r="BH38" i="4"/>
  <c r="AV1136" i="13" s="1"/>
  <c r="X38" i="4"/>
  <c r="BS38" i="4"/>
  <c r="O38" i="69" s="1"/>
  <c r="BG11" i="4"/>
  <c r="BJ55" i="4" a="1"/>
  <c r="DH55" i="4" a="1"/>
  <c r="BL55" i="4" a="1"/>
  <c r="BK55" i="4" a="1"/>
  <c r="AD45" i="72" l="1"/>
  <c r="C15" i="69"/>
  <c r="AN96" i="69" a="1"/>
  <c r="AN96" i="69" s="1"/>
  <c r="O28" i="69"/>
  <c r="S63" i="69"/>
  <c r="B63" i="69"/>
  <c r="C47" i="72"/>
  <c r="BS76" i="4"/>
  <c r="BT76" i="72" s="1"/>
  <c r="H52" i="69"/>
  <c r="G93" i="69"/>
  <c r="B74" i="72"/>
  <c r="BR53" i="72"/>
  <c r="AI96" i="69" a="1"/>
  <c r="AI96" i="69" s="1"/>
  <c r="BR45" i="72"/>
  <c r="K31" i="69" a="1"/>
  <c r="K31" i="69" s="1"/>
  <c r="U88" i="72" a="1"/>
  <c r="U88" i="72" s="1"/>
  <c r="S89" i="72"/>
  <c r="H15" i="69"/>
  <c r="H47" i="72"/>
  <c r="U78" i="72" a="1"/>
  <c r="U78" i="72" s="1"/>
  <c r="BI48" i="69"/>
  <c r="K39" i="69" a="1"/>
  <c r="K39" i="69" s="1"/>
  <c r="U82" i="69" a="1"/>
  <c r="U82" i="69" s="1"/>
  <c r="K41" i="72" a="1"/>
  <c r="K41" i="72" s="1"/>
  <c r="BR51" i="72"/>
  <c r="AD43" i="69"/>
  <c r="AD51" i="72"/>
  <c r="I79" i="69"/>
  <c r="BS96" i="69"/>
  <c r="AT94" i="69" a="1"/>
  <c r="AT94" i="69" s="1"/>
  <c r="I425" i="15" a="1"/>
  <c r="I425" i="15" s="1"/>
  <c r="I464" i="15" a="1"/>
  <c r="I464" i="15" s="1"/>
  <c r="H304" i="15" a="1"/>
  <c r="H304" i="15" s="1"/>
  <c r="BD1768" i="13" a="1"/>
  <c r="BD1768" i="13" s="1"/>
  <c r="BE67" i="4"/>
  <c r="H448" i="15" a="1"/>
  <c r="H448" i="15" s="1"/>
  <c r="I269" i="15" a="1"/>
  <c r="I269" i="15" s="1"/>
  <c r="H354" i="15" a="1"/>
  <c r="H354" i="15" s="1"/>
  <c r="H141" i="15" a="1"/>
  <c r="H141" i="15" s="1"/>
  <c r="H440" i="15" a="1"/>
  <c r="H440" i="15" s="1"/>
  <c r="I43" i="15" a="1"/>
  <c r="I43" i="15" s="1"/>
  <c r="K677" i="15" a="1"/>
  <c r="K677" i="15" s="1"/>
  <c r="F549" i="15" a="1"/>
  <c r="F549" i="15" s="1"/>
  <c r="I110" i="15" a="1"/>
  <c r="I110" i="15" s="1"/>
  <c r="C27" i="72"/>
  <c r="F340" i="15" a="1"/>
  <c r="F340" i="15" s="1"/>
  <c r="H210" i="15" a="1"/>
  <c r="H210" i="15" s="1"/>
  <c r="BE72" i="4"/>
  <c r="BS72" i="4" s="1"/>
  <c r="O72" i="72" s="1"/>
  <c r="I215" i="15" a="1"/>
  <c r="I215" i="15" s="1"/>
  <c r="I185" i="15" a="1"/>
  <c r="I185" i="15" s="1"/>
  <c r="BE85" i="4"/>
  <c r="H648" i="15" a="1"/>
  <c r="H648" i="15" s="1"/>
  <c r="H535" i="15" a="1"/>
  <c r="H535" i="15" s="1"/>
  <c r="H142" i="15" a="1"/>
  <c r="H142" i="15" s="1"/>
  <c r="H238" i="15" a="1"/>
  <c r="H238" i="15" s="1"/>
  <c r="H540" i="15" a="1"/>
  <c r="H540" i="15" s="1"/>
  <c r="I516" i="15" a="1"/>
  <c r="I516" i="15" s="1"/>
  <c r="H421" i="15" a="1"/>
  <c r="H421" i="15" s="1"/>
  <c r="E97" i="4"/>
  <c r="BC105" i="4" s="1"/>
  <c r="C1754" i="13" s="1"/>
  <c r="H360" i="15" a="1"/>
  <c r="H360" i="15" s="1"/>
  <c r="I240" i="15" a="1"/>
  <c r="I240" i="15" s="1"/>
  <c r="H306" i="15" a="1"/>
  <c r="H306" i="15" s="1"/>
  <c r="B93" i="69"/>
  <c r="U62" i="72" a="1"/>
  <c r="U62" i="72" s="1"/>
  <c r="BR27" i="72"/>
  <c r="U89" i="69" a="1"/>
  <c r="U89" i="69" s="1"/>
  <c r="D21" i="69" a="1"/>
  <c r="D21" i="69" s="1"/>
  <c r="D15" i="72" a="1"/>
  <c r="D15" i="72" s="1"/>
  <c r="AD27" i="72"/>
  <c r="G93" i="72"/>
  <c r="BK43" i="69"/>
  <c r="H36" i="72"/>
  <c r="BR25" i="72"/>
  <c r="C52" i="69"/>
  <c r="BR11" i="72"/>
  <c r="U88" i="69" a="1"/>
  <c r="U88" i="69" s="1"/>
  <c r="O48" i="69"/>
  <c r="BI11" i="69"/>
  <c r="BI52" i="69"/>
  <c r="AD48" i="69"/>
  <c r="O48" i="72"/>
  <c r="I23" i="72"/>
  <c r="AD48" i="72"/>
  <c r="BP92" i="69"/>
  <c r="H49" i="69"/>
  <c r="S94" i="72"/>
  <c r="BP85" i="69"/>
  <c r="BO85" i="69" s="1"/>
  <c r="BR85" i="69" s="1"/>
  <c r="BQ89" i="69" a="1"/>
  <c r="BQ89" i="69" s="1"/>
  <c r="E66" i="69"/>
  <c r="E27" i="69"/>
  <c r="BS89" i="69"/>
  <c r="BH85" i="69"/>
  <c r="E61" i="69"/>
  <c r="AY46" i="69" a="1"/>
  <c r="AY46" i="69" s="1"/>
  <c r="AF68" i="72" a="1"/>
  <c r="AF68" i="72" s="1"/>
  <c r="BQ31" i="69" a="1"/>
  <c r="BQ31" i="69" s="1"/>
  <c r="AF20" i="72" a="1"/>
  <c r="AF20" i="72" s="1"/>
  <c r="L46" i="69"/>
  <c r="BS84" i="69"/>
  <c r="BQ8" i="72"/>
  <c r="AD15" i="69"/>
  <c r="BI50" i="69"/>
  <c r="S93" i="69"/>
  <c r="BX35" i="72"/>
  <c r="CA35" i="72" s="1"/>
  <c r="BQ45" i="72"/>
  <c r="BI15" i="69"/>
  <c r="AW95" i="69" a="1"/>
  <c r="AW95" i="69" s="1"/>
  <c r="C35" i="69"/>
  <c r="BQ71" i="69" a="1"/>
  <c r="BQ71" i="69" s="1"/>
  <c r="AD11" i="72"/>
  <c r="BI37" i="69"/>
  <c r="BH35" i="69"/>
  <c r="BH90" i="69"/>
  <c r="BH25" i="69"/>
  <c r="AE71" i="69" a="1"/>
  <c r="AE71" i="69" s="1"/>
  <c r="BX8" i="72"/>
  <c r="CA8" i="72" s="1"/>
  <c r="BH91" i="69"/>
  <c r="D25" i="72" a="1"/>
  <c r="D25" i="72" s="1"/>
  <c r="BS87" i="69"/>
  <c r="B89" i="72"/>
  <c r="BQ27" i="69" a="1"/>
  <c r="BQ27" i="69" s="1"/>
  <c r="BY19" i="72"/>
  <c r="BS18" i="69"/>
  <c r="BS71" i="69"/>
  <c r="AD45" i="69"/>
  <c r="BS59" i="69"/>
  <c r="BP5" i="69"/>
  <c r="AE65" i="69" a="1"/>
  <c r="AE65" i="69" s="1"/>
  <c r="AF86" i="72" a="1"/>
  <c r="AF86" i="72" s="1"/>
  <c r="BI45" i="69"/>
  <c r="BQ44" i="72"/>
  <c r="BQ46" i="72"/>
  <c r="AY67" i="69" a="1"/>
  <c r="AY67" i="69" s="1"/>
  <c r="BH76" i="69"/>
  <c r="L33" i="69"/>
  <c r="BK16" i="69"/>
  <c r="BY20" i="72"/>
  <c r="BX20" i="72" s="1"/>
  <c r="CA20" i="72" s="1"/>
  <c r="BQ19" i="72"/>
  <c r="BQ79" i="72"/>
  <c r="L84" i="69"/>
  <c r="BQ37" i="69" a="1"/>
  <c r="BQ37" i="69" s="1"/>
  <c r="AY75" i="69" a="1"/>
  <c r="AY75" i="69" s="1"/>
  <c r="BI20" i="69"/>
  <c r="BH71" i="72" a="1"/>
  <c r="BH71" i="72" s="1"/>
  <c r="BH81" i="69"/>
  <c r="E84" i="69"/>
  <c r="E69" i="69"/>
  <c r="AF36" i="72" a="1"/>
  <c r="AF36" i="72" s="1"/>
  <c r="BQ63" i="72"/>
  <c r="AF7" i="72" a="1"/>
  <c r="AF7" i="72" s="1"/>
  <c r="BQ30" i="72"/>
  <c r="BS93" i="69"/>
  <c r="K35" i="72" a="1"/>
  <c r="K35" i="72" s="1"/>
  <c r="BS88" i="69"/>
  <c r="BX42" i="72"/>
  <c r="CA42" i="72" s="1"/>
  <c r="BH81" i="72" a="1"/>
  <c r="BH81" i="72" s="1"/>
  <c r="BQ54" i="72"/>
  <c r="AF26" i="72" a="1"/>
  <c r="AF26" i="72" s="1"/>
  <c r="BG26" i="72" s="1" a="1"/>
  <c r="BG26" i="72" s="1"/>
  <c r="AE22" i="69" a="1"/>
  <c r="AE22" i="69" s="1"/>
  <c r="G92" i="69"/>
  <c r="BP28" i="69"/>
  <c r="BO28" i="69" s="1"/>
  <c r="BR28" i="69" s="1"/>
  <c r="BI27" i="69"/>
  <c r="AE84" i="69" a="1"/>
  <c r="AE84" i="69" s="1"/>
  <c r="E46" i="69"/>
  <c r="H35" i="69"/>
  <c r="E16" i="69"/>
  <c r="CI42" i="72"/>
  <c r="L17" i="72"/>
  <c r="BO79" i="69"/>
  <c r="BR79" i="69" s="1"/>
  <c r="BN95" i="69" a="1"/>
  <c r="BN95" i="69" s="1"/>
  <c r="BS66" i="69"/>
  <c r="BH37" i="69"/>
  <c r="BH93" i="72" a="1"/>
  <c r="BH93" i="72" s="1"/>
  <c r="BH68" i="72" a="1"/>
  <c r="BH68" i="72" s="1"/>
  <c r="AY69" i="69" a="1"/>
  <c r="AY69" i="69" s="1"/>
  <c r="BS77" i="69"/>
  <c r="K39" i="72" a="1"/>
  <c r="K39" i="72" s="1"/>
  <c r="AF39" i="72" a="1"/>
  <c r="AF39" i="72" s="1"/>
  <c r="BQ39" i="72"/>
  <c r="BQ33" i="72"/>
  <c r="CI82" i="72"/>
  <c r="AE38" i="69" a="1"/>
  <c r="AE38" i="69" s="1"/>
  <c r="AX38" i="69" s="1" a="1"/>
  <c r="AX38" i="69" s="1"/>
  <c r="BS86" i="69"/>
  <c r="CI54" i="72"/>
  <c r="O17" i="69"/>
  <c r="AE70" i="69" a="1"/>
  <c r="AE70" i="69" s="1"/>
  <c r="AF49" i="72" a="1"/>
  <c r="AF49" i="72" s="1"/>
  <c r="AE30" i="69" a="1"/>
  <c r="AE30" i="69" s="1"/>
  <c r="BH66" i="72" a="1"/>
  <c r="BH66" i="72" s="1"/>
  <c r="BX65" i="72"/>
  <c r="CA65" i="72" s="1"/>
  <c r="BQ89" i="72"/>
  <c r="BH69" i="69"/>
  <c r="BQ43" i="72"/>
  <c r="BS54" i="69"/>
  <c r="S89" i="69"/>
  <c r="BH70" i="69"/>
  <c r="BH34" i="72" a="1"/>
  <c r="BH34" i="72" s="1"/>
  <c r="L18" i="69"/>
  <c r="BH87" i="72" a="1"/>
  <c r="BH87" i="72" s="1"/>
  <c r="BH54" i="69"/>
  <c r="BX62" i="72"/>
  <c r="CA62" i="72" s="1"/>
  <c r="BH17" i="69"/>
  <c r="BH79" i="72" a="1"/>
  <c r="BH79" i="72" s="1"/>
  <c r="AF71" i="72" a="1"/>
  <c r="AF71" i="72" s="1"/>
  <c r="BY33" i="72"/>
  <c r="BN79" i="4"/>
  <c r="BF79" i="4" s="1" a="1"/>
  <c r="BF79" i="4" s="1"/>
  <c r="BI79" i="69"/>
  <c r="BR79" i="72"/>
  <c r="BN84" i="4"/>
  <c r="BF84" i="4" s="1" a="1"/>
  <c r="BF84" i="4" s="1"/>
  <c r="BR84" i="72"/>
  <c r="BI84" i="69"/>
  <c r="BO80" i="69"/>
  <c r="BR80" i="69" s="1"/>
  <c r="AK8" i="72" a="1"/>
  <c r="AK8" i="72" s="1"/>
  <c r="BQ52" i="72"/>
  <c r="AF76" i="72" a="1"/>
  <c r="AF76" i="72" s="1"/>
  <c r="BG76" i="72" s="1" a="1"/>
  <c r="BG76" i="72" s="1"/>
  <c r="AY16" i="69" a="1"/>
  <c r="AY16" i="69" s="1"/>
  <c r="B67" i="69"/>
  <c r="BH67" i="69"/>
  <c r="BH34" i="69"/>
  <c r="L16" i="72"/>
  <c r="BH89" i="72" a="1"/>
  <c r="BH89" i="72" s="1"/>
  <c r="AE8" i="69" a="1"/>
  <c r="AE8" i="69" s="1"/>
  <c r="BY7" i="72"/>
  <c r="AE47" i="69" a="1"/>
  <c r="AE47" i="69" s="1"/>
  <c r="BH19" i="72" a="1"/>
  <c r="BH19" i="72" s="1"/>
  <c r="BP42" i="69"/>
  <c r="BO42" i="69" s="1"/>
  <c r="BR42" i="69" s="1"/>
  <c r="BY13" i="72"/>
  <c r="BX13" i="72" s="1"/>
  <c r="CA13" i="72" s="1"/>
  <c r="BS46" i="69"/>
  <c r="BO18" i="69"/>
  <c r="BR18" i="69" s="1"/>
  <c r="BH20" i="72" a="1"/>
  <c r="BH20" i="72" s="1"/>
  <c r="BS36" i="69"/>
  <c r="BP34" i="69"/>
  <c r="BH16" i="72" a="1"/>
  <c r="BH16" i="72" s="1"/>
  <c r="AY43" i="69" a="1"/>
  <c r="AY43" i="69" s="1"/>
  <c r="AF27" i="72" a="1"/>
  <c r="AF27" i="72" s="1"/>
  <c r="BQ74" i="69" a="1"/>
  <c r="BQ74" i="69" s="1"/>
  <c r="AE48" i="69" a="1"/>
  <c r="AE48" i="69" s="1"/>
  <c r="BH7" i="69"/>
  <c r="D27" i="72" a="1"/>
  <c r="D27" i="72" s="1"/>
  <c r="BS20" i="69"/>
  <c r="BV92" i="69"/>
  <c r="AE28" i="69" a="1"/>
  <c r="AE28" i="69" s="1"/>
  <c r="H14" i="72"/>
  <c r="BH80" i="69"/>
  <c r="BQ92" i="72"/>
  <c r="E56" i="69"/>
  <c r="O28" i="72"/>
  <c r="BX82" i="72"/>
  <c r="CA82" i="72" s="1"/>
  <c r="E64" i="69"/>
  <c r="D30" i="69" a="1"/>
  <c r="D30" i="69" s="1"/>
  <c r="L53" i="72"/>
  <c r="AF12" i="72" a="1"/>
  <c r="AF12" i="72" s="1"/>
  <c r="BS16" i="69"/>
  <c r="BH90" i="72" a="1"/>
  <c r="BH90" i="72" s="1"/>
  <c r="E28" i="69"/>
  <c r="AF74" i="72" a="1"/>
  <c r="AF74" i="72" s="1"/>
  <c r="BG74" i="72" s="1" a="1"/>
  <c r="BG74" i="72" s="1"/>
  <c r="BQ48" i="72"/>
  <c r="BH27" i="69"/>
  <c r="E89" i="69"/>
  <c r="AF47" i="72" a="1"/>
  <c r="AF47" i="72" s="1"/>
  <c r="AK92" i="72" a="1"/>
  <c r="AK92" i="72" s="1"/>
  <c r="BH11" i="69"/>
  <c r="AY91" i="69" a="1"/>
  <c r="AY91" i="69" s="1"/>
  <c r="AE15" i="69" a="1"/>
  <c r="AE15" i="69" s="1"/>
  <c r="AF56" i="72" a="1"/>
  <c r="AF56" i="72" s="1"/>
  <c r="AE64" i="69" a="1"/>
  <c r="AE64" i="69" s="1"/>
  <c r="AX64" i="69" s="1" a="1"/>
  <c r="AX64" i="69" s="1"/>
  <c r="AY79" i="69" a="1"/>
  <c r="AY79" i="69" s="1"/>
  <c r="BS19" i="69"/>
  <c r="AF64" i="72" a="1"/>
  <c r="AF64" i="72" s="1"/>
  <c r="BG64" i="72" s="1" a="1"/>
  <c r="BG64" i="72" s="1"/>
  <c r="BS30" i="69"/>
  <c r="BQ38" i="72"/>
  <c r="D52" i="72" a="1"/>
  <c r="D52" i="72" s="1"/>
  <c r="BH52" i="72" a="1"/>
  <c r="BH52" i="72" s="1"/>
  <c r="AE13" i="69" a="1"/>
  <c r="AE13" i="69" s="1"/>
  <c r="BQ69" i="69" a="1"/>
  <c r="BQ69" i="69" s="1"/>
  <c r="BP35" i="69"/>
  <c r="BH12" i="69"/>
  <c r="BH67" i="72" a="1"/>
  <c r="BH67" i="72" s="1"/>
  <c r="AF54" i="72" a="1"/>
  <c r="AF54" i="72" s="1"/>
  <c r="L33" i="72"/>
  <c r="AF16" i="72" a="1"/>
  <c r="AF16" i="72" s="1"/>
  <c r="BS74" i="69"/>
  <c r="AE74" i="69" a="1"/>
  <c r="AE74" i="69" s="1"/>
  <c r="L27" i="72"/>
  <c r="L89" i="72"/>
  <c r="BH6" i="69"/>
  <c r="AD27" i="69"/>
  <c r="BH78" i="72" a="1"/>
  <c r="BH78" i="72" s="1"/>
  <c r="AK6" i="72" a="1"/>
  <c r="AK6" i="72" s="1"/>
  <c r="BX14" i="72"/>
  <c r="CA14" i="72" s="1"/>
  <c r="AF38" i="72" a="1"/>
  <c r="AF38" i="72" s="1"/>
  <c r="E37" i="69"/>
  <c r="BH26" i="69"/>
  <c r="AF15" i="72" a="1"/>
  <c r="AF15" i="72" s="1"/>
  <c r="BO93" i="69"/>
  <c r="BR93" i="69" s="1"/>
  <c r="AF61" i="72" a="1"/>
  <c r="AF61" i="72" s="1"/>
  <c r="BH41" i="72" a="1"/>
  <c r="BH41" i="72" s="1"/>
  <c r="E35" i="69"/>
  <c r="BH73" i="72" a="1"/>
  <c r="BH73" i="72" s="1"/>
  <c r="AF75" i="72" a="1"/>
  <c r="AF75" i="72" s="1"/>
  <c r="E74" i="69"/>
  <c r="AE11" i="69" a="1"/>
  <c r="AE11" i="69" s="1"/>
  <c r="AX11" i="69" s="1" a="1"/>
  <c r="AX11" i="69" s="1"/>
  <c r="BH29" i="72" a="1"/>
  <c r="BH29" i="72" s="1"/>
  <c r="BH56" i="72" a="1"/>
  <c r="BH56" i="72" s="1"/>
  <c r="BH5" i="72" a="1"/>
  <c r="BH5" i="72" s="1"/>
  <c r="AY59" i="69" a="1"/>
  <c r="AY59" i="69" s="1"/>
  <c r="AE43" i="69" a="1"/>
  <c r="AE43" i="69" s="1"/>
  <c r="AX43" i="69" s="1" a="1"/>
  <c r="AX43" i="69" s="1"/>
  <c r="AF85" i="72" a="1"/>
  <c r="AF85" i="72" s="1"/>
  <c r="AY54" i="69" a="1"/>
  <c r="AY54" i="69" s="1"/>
  <c r="BS92" i="69"/>
  <c r="BH63" i="69"/>
  <c r="BY56" i="72"/>
  <c r="AD17" i="69"/>
  <c r="BQ91" i="72"/>
  <c r="BH50" i="72" a="1"/>
  <c r="BH50" i="72" s="1"/>
  <c r="BX81" i="72"/>
  <c r="CA81" i="72" s="1"/>
  <c r="AF81" i="72" a="1"/>
  <c r="AF81" i="72" s="1"/>
  <c r="BS41" i="69"/>
  <c r="BX37" i="72"/>
  <c r="CA37" i="72" s="1"/>
  <c r="BH40" i="72" a="1"/>
  <c r="BH40" i="72" s="1"/>
  <c r="BP51" i="69"/>
  <c r="AF53" i="72" a="1"/>
  <c r="AF53" i="72" s="1"/>
  <c r="AE37" i="69" a="1"/>
  <c r="AE37" i="69" s="1"/>
  <c r="BS37" i="69"/>
  <c r="BS78" i="69"/>
  <c r="E39" i="69"/>
  <c r="AE14" i="69" a="1"/>
  <c r="AE14" i="69" s="1"/>
  <c r="BS33" i="69"/>
  <c r="AF30" i="72" a="1"/>
  <c r="AF30" i="72" s="1"/>
  <c r="BH32" i="69"/>
  <c r="BO49" i="69"/>
  <c r="BR49" i="69" s="1"/>
  <c r="BS42" i="69"/>
  <c r="L79" i="72"/>
  <c r="BH30" i="69"/>
  <c r="BS13" i="69"/>
  <c r="AE68" i="69" a="1"/>
  <c r="AE68" i="69" s="1"/>
  <c r="BO68" i="69"/>
  <c r="BR68" i="69" s="1"/>
  <c r="BS83" i="69"/>
  <c r="BQ31" i="72"/>
  <c r="AF31" i="72" a="1"/>
  <c r="AF31" i="72" s="1"/>
  <c r="AJ31" i="72" s="1" a="1"/>
  <c r="AJ31" i="72" s="1"/>
  <c r="BH36" i="69"/>
  <c r="S67" i="69"/>
  <c r="AF63" i="72" a="1"/>
  <c r="AF63" i="72" s="1"/>
  <c r="AY45" i="69" a="1"/>
  <c r="AY45" i="69" s="1"/>
  <c r="AE21" i="69" a="1"/>
  <c r="AE21" i="69" s="1"/>
  <c r="AX21" i="69" s="1" a="1"/>
  <c r="AX21" i="69" s="1"/>
  <c r="AE41" i="69" a="1"/>
  <c r="AE41" i="69" s="1"/>
  <c r="AT95" i="69" a="1"/>
  <c r="AT95" i="69" s="1"/>
  <c r="AF79" i="72" a="1"/>
  <c r="AF79" i="72" s="1"/>
  <c r="BG79" i="72" s="1" a="1"/>
  <c r="BG79" i="72" s="1"/>
  <c r="AE51" i="69" a="1"/>
  <c r="AE51" i="69" s="1"/>
  <c r="AX51" i="69" s="1" a="1"/>
  <c r="AX51" i="69" s="1"/>
  <c r="AF69" i="72" a="1"/>
  <c r="AF69" i="72" s="1"/>
  <c r="BO71" i="69"/>
  <c r="BR71" i="69" s="1"/>
  <c r="BQ87" i="69" a="1"/>
  <c r="BQ87" i="69" s="1"/>
  <c r="AE87" i="69" a="1"/>
  <c r="AE87" i="69" s="1"/>
  <c r="AX87" i="69" s="1" a="1"/>
  <c r="AX87" i="69" s="1"/>
  <c r="L43" i="72"/>
  <c r="D36" i="72" a="1"/>
  <c r="D36" i="72" s="1"/>
  <c r="AF92" i="72" a="1"/>
  <c r="AF92" i="72" s="1"/>
  <c r="BS49" i="69"/>
  <c r="AY34" i="69" a="1"/>
  <c r="AY34" i="69" s="1"/>
  <c r="BH5" i="69"/>
  <c r="E48" i="69"/>
  <c r="BP89" i="69"/>
  <c r="BO89" i="69" s="1"/>
  <c r="BR89" i="69" s="1"/>
  <c r="L25" i="69"/>
  <c r="AE25" i="69" a="1"/>
  <c r="AE25" i="69" s="1"/>
  <c r="AH25" i="69" s="1" a="1"/>
  <c r="AH25" i="69" s="1"/>
  <c r="BS11" i="69"/>
  <c r="BQ82" i="69" a="1"/>
  <c r="BQ82" i="69" s="1"/>
  <c r="BO44" i="69"/>
  <c r="BR44" i="69" s="1"/>
  <c r="BH50" i="69"/>
  <c r="L88" i="69"/>
  <c r="BS64" i="69"/>
  <c r="AF84" i="72" a="1"/>
  <c r="AF84" i="72" s="1"/>
  <c r="AX84" i="72" s="1" a="1"/>
  <c r="AX84" i="72" s="1"/>
  <c r="BQ13" i="72"/>
  <c r="AY31" i="69" a="1"/>
  <c r="AY31" i="69" s="1"/>
  <c r="E22" i="69"/>
  <c r="BS69" i="69"/>
  <c r="BX31" i="72"/>
  <c r="CA31" i="72" s="1"/>
  <c r="BQ24" i="72"/>
  <c r="BH87" i="69"/>
  <c r="AE86" i="69" a="1"/>
  <c r="AE86" i="69" s="1"/>
  <c r="BH28" i="69"/>
  <c r="BS8" i="69"/>
  <c r="D27" i="69" a="1"/>
  <c r="D27" i="69" s="1"/>
  <c r="BS56" i="69"/>
  <c r="AF25" i="72" a="1"/>
  <c r="AF25" i="72" s="1"/>
  <c r="AE50" i="69" a="1"/>
  <c r="AE50" i="69" s="1"/>
  <c r="BX70" i="72"/>
  <c r="CA70" i="72" s="1"/>
  <c r="BQ72" i="72"/>
  <c r="BS5" i="69"/>
  <c r="BN72" i="4"/>
  <c r="BF72" i="4" s="1" a="1"/>
  <c r="BF72" i="4" s="1"/>
  <c r="AD72" i="69"/>
  <c r="BI72" i="69"/>
  <c r="BR72" i="72"/>
  <c r="AD72" i="72"/>
  <c r="BN68" i="4"/>
  <c r="BF68" i="4" s="1" a="1"/>
  <c r="BF68" i="4" s="1"/>
  <c r="BR68" i="72"/>
  <c r="BI68" i="69"/>
  <c r="BS48" i="69"/>
  <c r="S85" i="72"/>
  <c r="BH85" i="72" a="1"/>
  <c r="BH85" i="72" s="1"/>
  <c r="AE54" i="69" a="1"/>
  <c r="AE54" i="69" s="1"/>
  <c r="AI54" i="69" s="1" a="1"/>
  <c r="AI54" i="69" s="1"/>
  <c r="BH75" i="72" a="1"/>
  <c r="BH75" i="72" s="1"/>
  <c r="AE7" i="69" a="1"/>
  <c r="AE7" i="69" s="1"/>
  <c r="AX7" i="69" s="1" a="1"/>
  <c r="AX7" i="69" s="1"/>
  <c r="AD8" i="69"/>
  <c r="BQ7" i="72"/>
  <c r="E80" i="69"/>
  <c r="BX29" i="72"/>
  <c r="CA29" i="72" s="1"/>
  <c r="BO82" i="69"/>
  <c r="BR82" i="69" s="1"/>
  <c r="AK44" i="72" a="1"/>
  <c r="AK44" i="72" s="1"/>
  <c r="BS47" i="69"/>
  <c r="AK70" i="72" a="1"/>
  <c r="AK70" i="72" s="1"/>
  <c r="D17" i="69" a="1"/>
  <c r="D17" i="69" s="1"/>
  <c r="AR94" i="72" a="1"/>
  <c r="AR94" i="72" s="1"/>
  <c r="L19" i="69"/>
  <c r="BQ83" i="72"/>
  <c r="AE76" i="69" a="1"/>
  <c r="AE76" i="69" s="1"/>
  <c r="AY85" i="69" a="1"/>
  <c r="AY85" i="69" s="1"/>
  <c r="AF73" i="72" a="1"/>
  <c r="AF73" i="72" s="1"/>
  <c r="AZ73" i="72" s="1" a="1"/>
  <c r="AZ73" i="72" s="1"/>
  <c r="AY48" i="69" a="1"/>
  <c r="AY48" i="69" s="1"/>
  <c r="BQ85" i="72"/>
  <c r="B85" i="72"/>
  <c r="AE20" i="69" a="1"/>
  <c r="AE20" i="69" s="1"/>
  <c r="AK20" i="69" s="1" a="1"/>
  <c r="AK20" i="69" s="1"/>
  <c r="S74" i="72"/>
  <c r="BS25" i="69"/>
  <c r="C21" i="72"/>
  <c r="D21" i="72" s="1" a="1"/>
  <c r="D21" i="72" s="1"/>
  <c r="BQ47" i="72"/>
  <c r="BS91" i="69"/>
  <c r="AY44" i="69" a="1"/>
  <c r="AY44" i="69" s="1"/>
  <c r="BV44" i="69"/>
  <c r="AY15" i="69" a="1"/>
  <c r="AY15" i="69" s="1"/>
  <c r="BS15" i="69"/>
  <c r="BQ88" i="72"/>
  <c r="AF88" i="72" a="1"/>
  <c r="AF88" i="72" s="1"/>
  <c r="BG88" i="72" s="1" a="1"/>
  <c r="BG88" i="72" s="1"/>
  <c r="O17" i="72"/>
  <c r="BP19" i="69"/>
  <c r="BX38" i="72"/>
  <c r="CA38" i="72" s="1"/>
  <c r="BO37" i="69"/>
  <c r="BR37" i="69" s="1"/>
  <c r="AY26" i="69" a="1"/>
  <c r="AY26" i="69" s="1"/>
  <c r="BS26" i="69"/>
  <c r="E78" i="69"/>
  <c r="BH22" i="72" a="1"/>
  <c r="BH22" i="72" s="1"/>
  <c r="BQ14" i="69" a="1"/>
  <c r="BQ14" i="69" s="1"/>
  <c r="BH31" i="72" a="1"/>
  <c r="BH31" i="72" s="1"/>
  <c r="AE77" i="69" a="1"/>
  <c r="AE77" i="69" s="1"/>
  <c r="AU77" i="69" s="1" a="1"/>
  <c r="AU77" i="69" s="1"/>
  <c r="AF67" i="72" a="1"/>
  <c r="AF67" i="72" s="1"/>
  <c r="AZ67" i="72" s="1" a="1"/>
  <c r="AZ67" i="72" s="1"/>
  <c r="AY71" i="69" a="1"/>
  <c r="AY71" i="69" s="1"/>
  <c r="AE33" i="69" a="1"/>
  <c r="AE33" i="69" s="1"/>
  <c r="AK33" i="69" s="1" a="1"/>
  <c r="AK33" i="69" s="1"/>
  <c r="BQ16" i="69" a="1"/>
  <c r="BQ16" i="69" s="1"/>
  <c r="BH43" i="72" a="1"/>
  <c r="BH43" i="72" s="1"/>
  <c r="AF90" i="72" a="1"/>
  <c r="AF90" i="72" s="1"/>
  <c r="AJ90" i="72" s="1" a="1"/>
  <c r="AJ90" i="72" s="1"/>
  <c r="BV24" i="69"/>
  <c r="BQ73" i="72"/>
  <c r="E43" i="69"/>
  <c r="AY74" i="69" a="1"/>
  <c r="AY74" i="69" s="1"/>
  <c r="BH43" i="69"/>
  <c r="BH63" i="72" a="1"/>
  <c r="BH63" i="72" s="1"/>
  <c r="AK59" i="72" a="1"/>
  <c r="AK59" i="72" s="1"/>
  <c r="AY19" i="69" a="1"/>
  <c r="AY19" i="69" s="1"/>
  <c r="AY53" i="69" a="1"/>
  <c r="AY53" i="69" s="1"/>
  <c r="BQ18" i="72"/>
  <c r="BH31" i="69"/>
  <c r="AE39" i="69" a="1"/>
  <c r="AE39" i="69" s="1"/>
  <c r="BA39" i="69" s="1" a="1"/>
  <c r="BA39" i="69" s="1"/>
  <c r="BH14" i="69"/>
  <c r="BY72" i="72"/>
  <c r="E86" i="69"/>
  <c r="BP24" i="69"/>
  <c r="BH33" i="72" a="1"/>
  <c r="BH33" i="72" s="1"/>
  <c r="AY90" i="69" a="1"/>
  <c r="AY90" i="69" s="1"/>
  <c r="AF89" i="72" a="1"/>
  <c r="AF89" i="72" s="1"/>
  <c r="AJ89" i="72" s="1" a="1"/>
  <c r="AJ89" i="72" s="1"/>
  <c r="AY92" i="69" a="1"/>
  <c r="AY92" i="69" s="1"/>
  <c r="AE63" i="69" a="1"/>
  <c r="AE63" i="69" s="1"/>
  <c r="BA63" i="69" s="1" a="1"/>
  <c r="BA63" i="69" s="1"/>
  <c r="AY8" i="69" a="1"/>
  <c r="AY8" i="69" s="1"/>
  <c r="AK7" i="72" a="1"/>
  <c r="AK7" i="72" s="1"/>
  <c r="AE27" i="69" a="1"/>
  <c r="AE27" i="69" s="1"/>
  <c r="AQ27" i="69" s="1" a="1"/>
  <c r="AQ27" i="69" s="1"/>
  <c r="AE89" i="69" a="1"/>
  <c r="AE89" i="69" s="1"/>
  <c r="AX89" i="69" s="1" a="1"/>
  <c r="AX89" i="69" s="1"/>
  <c r="AK21" i="72" a="1"/>
  <c r="AK21" i="72" s="1"/>
  <c r="AF29" i="72" a="1"/>
  <c r="AF29" i="72" s="1"/>
  <c r="BI29" i="72" s="1" a="1"/>
  <c r="BI29" i="72" s="1"/>
  <c r="U91" i="69" a="1"/>
  <c r="U91" i="69" s="1"/>
  <c r="AE82" i="69" a="1"/>
  <c r="AE82" i="69" s="1"/>
  <c r="AF82" i="69" s="1" a="1"/>
  <c r="AF82" i="69" s="1"/>
  <c r="BP50" i="69"/>
  <c r="BO50" i="69" s="1"/>
  <c r="BR50" i="69" s="1"/>
  <c r="BX17" i="72"/>
  <c r="CA17" i="72" s="1"/>
  <c r="E40" i="69"/>
  <c r="E49" i="69"/>
  <c r="BH84" i="72" a="1"/>
  <c r="BH84" i="72" s="1"/>
  <c r="AK84" i="72" a="1"/>
  <c r="AK84" i="72" s="1"/>
  <c r="AY51" i="69" a="1"/>
  <c r="AY51" i="69" s="1"/>
  <c r="BR52" i="72"/>
  <c r="BQ66" i="72"/>
  <c r="L18" i="72"/>
  <c r="BH26" i="72" a="1"/>
  <c r="BH26" i="72" s="1"/>
  <c r="AE31" i="69" a="1"/>
  <c r="AE31" i="69" s="1"/>
  <c r="AQ31" i="69" s="1" a="1"/>
  <c r="AQ31" i="69" s="1"/>
  <c r="AY68" i="69" a="1"/>
  <c r="AY68" i="69" s="1"/>
  <c r="AY83" i="69" a="1"/>
  <c r="AY83" i="69" s="1"/>
  <c r="AY39" i="69" a="1"/>
  <c r="AY39" i="69" s="1"/>
  <c r="AY14" i="69" a="1"/>
  <c r="AY14" i="69" s="1"/>
  <c r="AE12" i="69" a="1"/>
  <c r="AE12" i="69" s="1"/>
  <c r="AX12" i="69" s="1" a="1"/>
  <c r="AX12" i="69" s="1"/>
  <c r="E72" i="69"/>
  <c r="AY77" i="69" a="1"/>
  <c r="AY77" i="69" s="1"/>
  <c r="AF57" i="72" a="1"/>
  <c r="AF57" i="72" s="1"/>
  <c r="AX57" i="72" s="1" a="1"/>
  <c r="AX57" i="72" s="1"/>
  <c r="BQ57" i="72"/>
  <c r="BQ5" i="72"/>
  <c r="BS75" i="69"/>
  <c r="AY5" i="69" a="1"/>
  <c r="AY5" i="69" s="1"/>
  <c r="E44" i="69"/>
  <c r="BH70" i="72" a="1"/>
  <c r="BH70" i="72" s="1"/>
  <c r="AF11" i="72" a="1"/>
  <c r="AF11" i="72" s="1"/>
  <c r="BD11" i="72" s="1" a="1"/>
  <c r="BD11" i="72" s="1"/>
  <c r="BY66" i="72"/>
  <c r="BO61" i="69"/>
  <c r="BR61" i="69" s="1"/>
  <c r="AE18" i="69" a="1"/>
  <c r="AE18" i="69" s="1"/>
  <c r="AU18" i="69" s="1" a="1"/>
  <c r="AU18" i="69" s="1"/>
  <c r="BH72" i="72" a="1"/>
  <c r="BH72" i="72" s="1"/>
  <c r="BH77" i="72" a="1"/>
  <c r="BH77" i="72" s="1"/>
  <c r="D7" i="69" a="1"/>
  <c r="D7" i="69" s="1"/>
  <c r="BH59" i="72" a="1"/>
  <c r="BH59" i="72" s="1"/>
  <c r="S92" i="69"/>
  <c r="BP63" i="69"/>
  <c r="AK74" i="72" a="1"/>
  <c r="AK74" i="72" s="1"/>
  <c r="AK30" i="72" a="1"/>
  <c r="AK30" i="72" s="1"/>
  <c r="BQ14" i="72"/>
  <c r="BS80" i="69"/>
  <c r="BH28" i="72" a="1"/>
  <c r="BH28" i="72" s="1"/>
  <c r="AE44" i="69" a="1"/>
  <c r="AE44" i="69" s="1"/>
  <c r="AX44" i="69" s="1" a="1"/>
  <c r="AX44" i="69" s="1"/>
  <c r="AK56" i="72" a="1"/>
  <c r="AK56" i="72" s="1"/>
  <c r="BH32" i="72" a="1"/>
  <c r="BH32" i="72" s="1"/>
  <c r="BQ11" i="72"/>
  <c r="BH91" i="72" a="1"/>
  <c r="BH91" i="72" s="1"/>
  <c r="BR42" i="72"/>
  <c r="E19" i="69"/>
  <c r="D37" i="72" a="1"/>
  <c r="D37" i="72" s="1"/>
  <c r="AK37" i="72" a="1"/>
  <c r="AK37" i="72" s="1"/>
  <c r="I60" i="72"/>
  <c r="BH66" i="69"/>
  <c r="BX53" i="72"/>
  <c r="CA53" i="72" s="1"/>
  <c r="BX93" i="72"/>
  <c r="CA93" i="72" s="1"/>
  <c r="BH38" i="69"/>
  <c r="BH61" i="72" a="1"/>
  <c r="BH61" i="72" s="1"/>
  <c r="E13" i="69"/>
  <c r="BY46" i="72"/>
  <c r="BX46" i="72" s="1"/>
  <c r="CA46" i="72" s="1"/>
  <c r="BQ12" i="72"/>
  <c r="BQ77" i="69" a="1"/>
  <c r="BQ77" i="69" s="1"/>
  <c r="BH83" i="72" a="1"/>
  <c r="BH83" i="72" s="1"/>
  <c r="D35" i="72" a="1"/>
  <c r="D35" i="72" s="1"/>
  <c r="BH69" i="72" a="1"/>
  <c r="BH69" i="72" s="1"/>
  <c r="BH35" i="72" a="1"/>
  <c r="BH35" i="72" s="1"/>
  <c r="BY57" i="72"/>
  <c r="BX57" i="72" s="1"/>
  <c r="CA57" i="72" s="1"/>
  <c r="O36" i="69"/>
  <c r="BS67" i="69"/>
  <c r="BQ65" i="69" a="1"/>
  <c r="BQ65" i="69" s="1"/>
  <c r="AE45" i="69" a="1"/>
  <c r="AE45" i="69" s="1"/>
  <c r="AQ45" i="69" s="1" a="1"/>
  <c r="AQ45" i="69" s="1"/>
  <c r="AF21" i="72" a="1"/>
  <c r="AF21" i="72" s="1"/>
  <c r="BI21" i="72" s="1" a="1"/>
  <c r="BI21" i="72" s="1"/>
  <c r="BH21" i="72" a="1"/>
  <c r="BH21" i="72" s="1"/>
  <c r="G92" i="72"/>
  <c r="BQ44" i="69" a="1"/>
  <c r="BQ44" i="69" s="1"/>
  <c r="BY44" i="72"/>
  <c r="BH88" i="72" a="1"/>
  <c r="BH88" i="72" s="1"/>
  <c r="AF82" i="72" a="1"/>
  <c r="AF82" i="72" s="1"/>
  <c r="BG82" i="72" s="1" a="1"/>
  <c r="BG82" i="72" s="1"/>
  <c r="BH64" i="69"/>
  <c r="AE49" i="69" a="1"/>
  <c r="AE49" i="69" s="1"/>
  <c r="AH49" i="69" s="1" a="1"/>
  <c r="AH49" i="69" s="1"/>
  <c r="D49" i="69" a="1"/>
  <c r="D49" i="69" s="1"/>
  <c r="BS53" i="69"/>
  <c r="AF40" i="72" a="1"/>
  <c r="AF40" i="72" s="1"/>
  <c r="BG40" i="72" s="1" a="1"/>
  <c r="BG40" i="72" s="1"/>
  <c r="BH49" i="72" a="1"/>
  <c r="BH49" i="72" s="1"/>
  <c r="AY30" i="69" a="1"/>
  <c r="AY30" i="69" s="1"/>
  <c r="D51" i="69" a="1"/>
  <c r="D51" i="69" s="1"/>
  <c r="E93" i="69"/>
  <c r="BH51" i="72" a="1"/>
  <c r="BH51" i="72" s="1"/>
  <c r="AR95" i="72" a="1"/>
  <c r="AR95" i="72" s="1"/>
  <c r="E31" i="69"/>
  <c r="BP22" i="69"/>
  <c r="BO22" i="69" s="1"/>
  <c r="BR22" i="69" s="1"/>
  <c r="AK39" i="72" a="1"/>
  <c r="AK39" i="72" s="1"/>
  <c r="CI72" i="72"/>
  <c r="BK36" i="69"/>
  <c r="E85" i="69"/>
  <c r="BS65" i="69"/>
  <c r="AY80" i="69" a="1"/>
  <c r="AY80" i="69" s="1"/>
  <c r="AF44" i="72" a="1"/>
  <c r="AF44" i="72" s="1"/>
  <c r="BJ44" i="72" s="1" a="1"/>
  <c r="BJ44" i="72" s="1"/>
  <c r="BS21" i="69"/>
  <c r="BP70" i="69"/>
  <c r="BO70" i="69" s="1"/>
  <c r="BR70" i="69" s="1"/>
  <c r="BP32" i="69"/>
  <c r="BO32" i="69" s="1"/>
  <c r="BR32" i="69" s="1"/>
  <c r="BQ64" i="69" a="1"/>
  <c r="BQ64" i="69" s="1"/>
  <c r="S64" i="69"/>
  <c r="BH17" i="72" a="1"/>
  <c r="BH17" i="72" s="1"/>
  <c r="AY52" i="69" a="1"/>
  <c r="AY52" i="69" s="1"/>
  <c r="BQ81" i="69" a="1"/>
  <c r="BQ81" i="69" s="1"/>
  <c r="BH38" i="72" a="1"/>
  <c r="BH38" i="72" s="1"/>
  <c r="BH51" i="69"/>
  <c r="AF52" i="72" a="1"/>
  <c r="AF52" i="72" s="1"/>
  <c r="AJ52" i="72" s="1" a="1"/>
  <c r="AJ52" i="72" s="1"/>
  <c r="BH53" i="72" a="1"/>
  <c r="BH53" i="72" s="1"/>
  <c r="AF13" i="72" a="1"/>
  <c r="AF13" i="72" s="1"/>
  <c r="AH13" i="72" s="1" a="1"/>
  <c r="AH13" i="72" s="1"/>
  <c r="AY38" i="69" a="1"/>
  <c r="AY38" i="69" s="1"/>
  <c r="AK46" i="72" a="1"/>
  <c r="AK46" i="72" s="1"/>
  <c r="BH22" i="69"/>
  <c r="BH39" i="69"/>
  <c r="BQ35" i="72"/>
  <c r="AK67" i="72" a="1"/>
  <c r="AK67" i="72" s="1"/>
  <c r="BH24" i="69"/>
  <c r="AF33" i="72" a="1"/>
  <c r="AF33" i="72" s="1"/>
  <c r="AJ33" i="72" s="1" a="1"/>
  <c r="AJ33" i="72" s="1"/>
  <c r="BH30" i="72" a="1"/>
  <c r="BH30" i="72" s="1"/>
  <c r="BP11" i="69"/>
  <c r="BO11" i="69" s="1"/>
  <c r="BR11" i="69" s="1"/>
  <c r="BH25" i="72" a="1"/>
  <c r="BH25" i="72" s="1"/>
  <c r="BH44" i="72" a="1"/>
  <c r="BH44" i="72" s="1"/>
  <c r="BS50" i="69"/>
  <c r="BH21" i="69"/>
  <c r="E32" i="69"/>
  <c r="BO64" i="69"/>
  <c r="BR64" i="69" s="1"/>
  <c r="B64" i="69"/>
  <c r="AY49" i="69" a="1"/>
  <c r="AY49" i="69" s="1"/>
  <c r="AY42" i="69" a="1"/>
  <c r="AY42" i="69" s="1"/>
  <c r="BH64" i="72" a="1"/>
  <c r="BH64" i="72" s="1"/>
  <c r="AF93" i="72" a="1"/>
  <c r="AF93" i="72" s="1"/>
  <c r="BJ93" i="72" s="1" a="1"/>
  <c r="BJ93" i="72" s="1"/>
  <c r="BP39" i="69"/>
  <c r="BI39" i="69"/>
  <c r="AF41" i="72" a="1"/>
  <c r="AF41" i="72" s="1"/>
  <c r="BI41" i="72" s="1" a="1"/>
  <c r="BI41" i="72" s="1"/>
  <c r="D35" i="69" a="1"/>
  <c r="D35" i="69" s="1"/>
  <c r="E12" i="69"/>
  <c r="AF35" i="72" a="1"/>
  <c r="AF35" i="72" s="1"/>
  <c r="AJ35" i="72" s="1" a="1"/>
  <c r="AJ35" i="72" s="1"/>
  <c r="BQ67" i="72"/>
  <c r="BP36" i="69"/>
  <c r="AY86" i="69" a="1"/>
  <c r="AY86" i="69" s="1"/>
  <c r="BQ16" i="72"/>
  <c r="AY6" i="69" a="1"/>
  <c r="AY6" i="69" s="1"/>
  <c r="BH80" i="72" a="1"/>
  <c r="BH80" i="72" s="1"/>
  <c r="AY62" i="69" a="1"/>
  <c r="AY62" i="69" s="1"/>
  <c r="BH8" i="69"/>
  <c r="D30" i="72" a="1"/>
  <c r="D30" i="72" s="1"/>
  <c r="BQ78" i="72"/>
  <c r="BH47" i="72" a="1"/>
  <c r="BH47" i="72" s="1"/>
  <c r="BH92" i="72" a="1"/>
  <c r="BH92" i="72" s="1"/>
  <c r="BH8" i="72" a="1"/>
  <c r="BH8" i="72" s="1"/>
  <c r="AF91" i="72" a="1"/>
  <c r="AF91" i="72" s="1"/>
  <c r="BD91" i="72" s="1" a="1"/>
  <c r="BD91" i="72" s="1"/>
  <c r="AK82" i="72" a="1"/>
  <c r="AK82" i="72" s="1"/>
  <c r="BH42" i="72" a="1"/>
  <c r="BH42" i="72" s="1"/>
  <c r="BX19" i="72"/>
  <c r="CA19" i="72" s="1"/>
  <c r="BQ32" i="69" a="1"/>
  <c r="BQ32" i="69" s="1"/>
  <c r="L81" i="69"/>
  <c r="BQ64" i="72"/>
  <c r="BP66" i="69"/>
  <c r="E51" i="69"/>
  <c r="AK68" i="72" a="1"/>
  <c r="AK68" i="72" s="1"/>
  <c r="BH46" i="72" a="1"/>
  <c r="BH46" i="72" s="1"/>
  <c r="O12" i="72"/>
  <c r="AY22" i="69" a="1"/>
  <c r="AY22" i="69" s="1"/>
  <c r="BS61" i="69"/>
  <c r="BS14" i="69"/>
  <c r="AY35" i="69" a="1"/>
  <c r="AY35" i="69" s="1"/>
  <c r="E77" i="69"/>
  <c r="BY83" i="72"/>
  <c r="E71" i="69"/>
  <c r="AF65" i="72" a="1"/>
  <c r="AF65" i="72" s="1"/>
  <c r="AX65" i="72" s="1" a="1"/>
  <c r="AX65" i="72" s="1"/>
  <c r="AE36" i="69" a="1"/>
  <c r="AE36" i="69" s="1"/>
  <c r="AI36" i="69" s="1" a="1"/>
  <c r="AI36" i="69" s="1"/>
  <c r="AE67" i="69" a="1"/>
  <c r="AE67" i="69" s="1"/>
  <c r="AZ67" i="69" s="1" a="1"/>
  <c r="AZ67" i="69" s="1"/>
  <c r="AE75" i="69" a="1"/>
  <c r="AE75" i="69" s="1"/>
  <c r="AU75" i="69" s="1" a="1"/>
  <c r="AU75" i="69" s="1"/>
  <c r="BS24" i="69"/>
  <c r="E34" i="69"/>
  <c r="AE59" i="69" a="1"/>
  <c r="AE59" i="69" s="1"/>
  <c r="AH59" i="69" s="1" a="1"/>
  <c r="AH59" i="69" s="1"/>
  <c r="BH48" i="69"/>
  <c r="AE90" i="69" a="1"/>
  <c r="AE90" i="69" s="1"/>
  <c r="BN90" i="69" s="1" a="1"/>
  <c r="BN90" i="69" s="1"/>
  <c r="BP59" i="69"/>
  <c r="BO59" i="69" s="1"/>
  <c r="BR59" i="69" s="1"/>
  <c r="BS43" i="69"/>
  <c r="BX36" i="72"/>
  <c r="CA36" i="72" s="1"/>
  <c r="AY27" i="69" a="1"/>
  <c r="AY27" i="69" s="1"/>
  <c r="H21" i="72"/>
  <c r="BH6" i="72" a="1"/>
  <c r="BH6" i="72" s="1"/>
  <c r="AY56" i="69" a="1"/>
  <c r="AY56" i="69" s="1"/>
  <c r="BH62" i="72" a="1"/>
  <c r="BH62" i="72" s="1"/>
  <c r="BP91" i="69"/>
  <c r="BO91" i="69" s="1"/>
  <c r="BR91" i="69" s="1"/>
  <c r="AE88" i="69" a="1"/>
  <c r="AE88" i="69" s="1"/>
  <c r="AI88" i="69" s="1" a="1"/>
  <c r="AI88" i="69" s="1"/>
  <c r="AF50" i="72" a="1"/>
  <c r="AF50" i="72" s="1"/>
  <c r="AZ50" i="72" s="1" a="1"/>
  <c r="AZ50" i="72" s="1"/>
  <c r="AY32" i="69" a="1"/>
  <c r="AY32" i="69" s="1"/>
  <c r="BS52" i="69"/>
  <c r="AE81" i="69" a="1"/>
  <c r="AE81" i="69" s="1"/>
  <c r="AU81" i="69" s="1" a="1"/>
  <c r="AU81" i="69" s="1"/>
  <c r="BH37" i="72" a="1"/>
  <c r="BH37" i="72" s="1"/>
  <c r="BQ40" i="72"/>
  <c r="AE66" i="69" a="1"/>
  <c r="AE66" i="69" s="1"/>
  <c r="AY66" i="69" a="1"/>
  <c r="AY66" i="69" s="1"/>
  <c r="BQ93" i="72"/>
  <c r="AY93" i="69" a="1"/>
  <c r="AY93" i="69" s="1"/>
  <c r="AF46" i="72" a="1"/>
  <c r="AF46" i="72" s="1"/>
  <c r="AX46" i="72" s="1" a="1"/>
  <c r="AX46" i="72" s="1"/>
  <c r="AK12" i="72" a="1"/>
  <c r="AK12" i="72" s="1"/>
  <c r="AE72" i="69" a="1"/>
  <c r="AE72" i="69" s="1"/>
  <c r="AF72" i="69" s="1" a="1"/>
  <c r="AF72" i="69" s="1"/>
  <c r="AF83" i="72" a="1"/>
  <c r="AF83" i="72" s="1"/>
  <c r="BH24" i="72" a="1"/>
  <c r="BH24" i="72" s="1"/>
  <c r="AY87" i="69" a="1"/>
  <c r="AY87" i="69" s="1"/>
  <c r="BQ87" i="72"/>
  <c r="BS90" i="69"/>
  <c r="BQ86" i="72"/>
  <c r="BS6" i="69"/>
  <c r="E63" i="69"/>
  <c r="BH7" i="72" a="1"/>
  <c r="BH7" i="72" s="1"/>
  <c r="AF78" i="72" a="1"/>
  <c r="AF78" i="72" s="1"/>
  <c r="AJ78" i="72" s="1" a="1"/>
  <c r="AJ78" i="72" s="1"/>
  <c r="AF32" i="72" a="1"/>
  <c r="AF32" i="72" s="1"/>
  <c r="AJ32" i="72" s="1" a="1"/>
  <c r="AJ32" i="72" s="1"/>
  <c r="BR19" i="72"/>
  <c r="BQ53" i="72"/>
  <c r="BH13" i="72" a="1"/>
  <c r="BH13" i="72" s="1"/>
  <c r="E26" i="69"/>
  <c r="BS89" i="4"/>
  <c r="BH15" i="72" a="1"/>
  <c r="BH15" i="72" s="1"/>
  <c r="AK66" i="72" a="1"/>
  <c r="AK66" i="72" s="1"/>
  <c r="AK41" i="72" a="1"/>
  <c r="AK41" i="72" s="1"/>
  <c r="BH65" i="72" a="1"/>
  <c r="BH65" i="72" s="1"/>
  <c r="BK55" i="4"/>
  <c r="BK97" i="4" s="1"/>
  <c r="BL55" i="4"/>
  <c r="DH55" i="4"/>
  <c r="BJ55" i="4"/>
  <c r="BG55" i="4" s="1"/>
  <c r="AH77" i="69" a="1"/>
  <c r="AH77" i="69" s="1"/>
  <c r="BA33" i="69" a="1"/>
  <c r="BA33" i="69" s="1"/>
  <c r="AF33" i="69" a="1"/>
  <c r="AF33" i="69" s="1"/>
  <c r="AU33" i="69" a="1"/>
  <c r="AU33" i="69" s="1"/>
  <c r="AX33" i="69" a="1"/>
  <c r="AX33" i="69" s="1"/>
  <c r="AJ56" i="72" a="1"/>
  <c r="AJ56" i="72" s="1"/>
  <c r="BJ56" i="72" a="1"/>
  <c r="BJ56" i="72" s="1"/>
  <c r="BI56" i="72" a="1"/>
  <c r="BI56" i="72" s="1"/>
  <c r="BD56" i="72" a="1"/>
  <c r="BD56" i="72" s="1"/>
  <c r="AX56" i="72" a="1"/>
  <c r="AX56" i="72" s="1"/>
  <c r="AZ56" i="72" a="1"/>
  <c r="AZ56" i="72" s="1"/>
  <c r="BG56" i="72" a="1"/>
  <c r="BG56" i="72" s="1"/>
  <c r="BG84" i="72" a="1"/>
  <c r="BG84" i="72" s="1"/>
  <c r="BJ84" i="72" a="1"/>
  <c r="BJ84" i="72" s="1"/>
  <c r="AZ84" i="72" a="1"/>
  <c r="AZ84" i="72" s="1"/>
  <c r="AJ84" i="72" a="1"/>
  <c r="AJ84" i="72" s="1"/>
  <c r="BI84" i="72" a="1"/>
  <c r="BI84" i="72" s="1"/>
  <c r="BN28" i="69" a="1"/>
  <c r="BN28" i="69" s="1"/>
  <c r="AZ28" i="69" a="1"/>
  <c r="AZ28" i="69" s="1"/>
  <c r="AI28" i="69" a="1"/>
  <c r="AI28" i="69" s="1"/>
  <c r="BA28" i="69" a="1"/>
  <c r="BA28" i="69" s="1"/>
  <c r="AK28" i="69" a="1"/>
  <c r="AK28" i="69" s="1"/>
  <c r="AQ28" i="69" a="1"/>
  <c r="AQ28" i="69" s="1"/>
  <c r="AU28" i="69" a="1"/>
  <c r="AU28" i="69" s="1"/>
  <c r="AF28" i="69" a="1"/>
  <c r="AF28" i="69" s="1"/>
  <c r="AO28" i="69" a="1"/>
  <c r="AO28" i="69" s="1"/>
  <c r="AH28" i="69" a="1"/>
  <c r="AH28" i="69" s="1"/>
  <c r="AX28" i="69" a="1"/>
  <c r="AX28" i="69" s="1"/>
  <c r="AX29" i="72" a="1"/>
  <c r="AX29" i="72" s="1"/>
  <c r="AX68" i="72" a="1"/>
  <c r="AX68" i="72" s="1"/>
  <c r="BD68" i="72" a="1"/>
  <c r="BD68" i="72" s="1"/>
  <c r="BI68" i="72" a="1"/>
  <c r="BI68" i="72" s="1"/>
  <c r="AJ68" i="72" a="1"/>
  <c r="AJ68" i="72" s="1"/>
  <c r="BJ68" i="72" a="1"/>
  <c r="BJ68" i="72" s="1"/>
  <c r="AZ68" i="72" a="1"/>
  <c r="AZ68" i="72" s="1"/>
  <c r="BG68" i="72" a="1"/>
  <c r="BG68" i="72" s="1"/>
  <c r="BG27" i="72" a="1"/>
  <c r="BG27" i="72" s="1"/>
  <c r="BD27" i="72" a="1"/>
  <c r="BD27" i="72" s="1"/>
  <c r="BJ27" i="72" a="1"/>
  <c r="BJ27" i="72" s="1"/>
  <c r="AZ27" i="72" a="1"/>
  <c r="AZ27" i="72" s="1"/>
  <c r="BI27" i="72" a="1"/>
  <c r="BI27" i="72" s="1"/>
  <c r="AH27" i="72" a="1"/>
  <c r="AH27" i="72" s="1"/>
  <c r="AJ27" i="72" a="1"/>
  <c r="AJ27" i="72" s="1"/>
  <c r="AX27" i="72" a="1"/>
  <c r="AX27" i="72" s="1"/>
  <c r="AQ25" i="69" a="1"/>
  <c r="AQ25" i="69" s="1"/>
  <c r="BA25" i="69" a="1"/>
  <c r="BA25" i="69" s="1"/>
  <c r="AI25" i="69" a="1"/>
  <c r="AI25" i="69" s="1"/>
  <c r="AF25" i="69" a="1"/>
  <c r="AF25" i="69" s="1"/>
  <c r="AK25" i="69" a="1"/>
  <c r="AK25" i="69" s="1"/>
  <c r="AZ25" i="69" a="1"/>
  <c r="AZ25" i="69" s="1"/>
  <c r="AU25" i="69" a="1"/>
  <c r="AU25" i="69" s="1"/>
  <c r="AX25" i="69" a="1"/>
  <c r="AX25" i="69" s="1"/>
  <c r="BG30" i="72" a="1"/>
  <c r="BG30" i="72" s="1"/>
  <c r="BD30" i="72" a="1"/>
  <c r="BD30" i="72" s="1"/>
  <c r="BJ30" i="72" a="1"/>
  <c r="BJ30" i="72" s="1"/>
  <c r="AZ30" i="72" a="1"/>
  <c r="AZ30" i="72" s="1"/>
  <c r="AX30" i="72" a="1"/>
  <c r="AX30" i="72" s="1"/>
  <c r="BI30" i="72" a="1"/>
  <c r="BI30" i="72" s="1"/>
  <c r="AJ30" i="72" a="1"/>
  <c r="AJ30" i="72" s="1"/>
  <c r="AU11" i="69" a="1"/>
  <c r="AU11" i="69" s="1"/>
  <c r="AH11" i="69" a="1"/>
  <c r="AH11" i="69" s="1"/>
  <c r="AZ11" i="69" a="1"/>
  <c r="AZ11" i="69" s="1"/>
  <c r="AK11" i="69" a="1"/>
  <c r="AK11" i="69" s="1"/>
  <c r="AI11" i="69" a="1"/>
  <c r="AI11" i="69" s="1"/>
  <c r="AQ11" i="69" a="1"/>
  <c r="AQ11" i="69" s="1"/>
  <c r="BA11" i="69" a="1"/>
  <c r="BA11" i="69" s="1"/>
  <c r="AF11" i="69" a="1"/>
  <c r="AF11" i="69" s="1"/>
  <c r="AF70" i="69" a="1"/>
  <c r="AF70" i="69" s="1"/>
  <c r="AZ70" i="69" a="1"/>
  <c r="AZ70" i="69" s="1"/>
  <c r="AO70" i="69" a="1"/>
  <c r="AO70" i="69" s="1"/>
  <c r="BA70" i="69" a="1"/>
  <c r="BA70" i="69" s="1"/>
  <c r="AH70" i="69" a="1"/>
  <c r="AH70" i="69" s="1"/>
  <c r="AK70" i="69" a="1"/>
  <c r="AK70" i="69" s="1"/>
  <c r="AU70" i="69" a="1"/>
  <c r="AU70" i="69" s="1"/>
  <c r="AQ70" i="69" a="1"/>
  <c r="AQ70" i="69" s="1"/>
  <c r="AI70" i="69" a="1"/>
  <c r="AI70" i="69" s="1"/>
  <c r="AX70" i="69" a="1"/>
  <c r="AX70" i="69" s="1"/>
  <c r="AP84" i="69" a="1"/>
  <c r="AP84" i="69" s="1"/>
  <c r="BA84" i="69" a="1"/>
  <c r="BA84" i="69" s="1"/>
  <c r="AF84" i="69" a="1"/>
  <c r="AF84" i="69" s="1"/>
  <c r="AZ84" i="69" a="1"/>
  <c r="AZ84" i="69" s="1"/>
  <c r="AK84" i="69" a="1"/>
  <c r="AK84" i="69" s="1"/>
  <c r="AU84" i="69" a="1"/>
  <c r="AU84" i="69" s="1"/>
  <c r="AH84" i="69" a="1"/>
  <c r="AH84" i="69" s="1"/>
  <c r="AI84" i="69" a="1"/>
  <c r="AI84" i="69" s="1"/>
  <c r="AO84" i="69" a="1"/>
  <c r="AO84" i="69" s="1"/>
  <c r="AQ84" i="69" a="1"/>
  <c r="AQ84" i="69" s="1"/>
  <c r="AX84" i="69" a="1"/>
  <c r="AX84" i="69" s="1"/>
  <c r="AF18" i="69" a="1"/>
  <c r="AF18" i="69" s="1"/>
  <c r="BA18" i="69" a="1"/>
  <c r="BA18" i="69" s="1"/>
  <c r="AX18" i="69" a="1"/>
  <c r="AX18" i="69" s="1"/>
  <c r="AX31" i="72" a="1"/>
  <c r="AX31" i="72" s="1"/>
  <c r="BI31" i="72" a="1"/>
  <c r="BI31" i="72" s="1"/>
  <c r="AZ31" i="72" a="1"/>
  <c r="AZ31" i="72" s="1"/>
  <c r="BD31" i="72" a="1"/>
  <c r="BD31" i="72" s="1"/>
  <c r="BJ31" i="72" a="1"/>
  <c r="BJ31" i="72" s="1"/>
  <c r="AH31" i="72" a="1"/>
  <c r="AH31" i="72" s="1"/>
  <c r="BG39" i="72" a="1"/>
  <c r="BG39" i="72" s="1"/>
  <c r="BJ39" i="72" a="1"/>
  <c r="BJ39" i="72" s="1"/>
  <c r="BD39" i="72" a="1"/>
  <c r="BD39" i="72" s="1"/>
  <c r="BI39" i="72" a="1"/>
  <c r="BI39" i="72" s="1"/>
  <c r="AJ39" i="72" a="1"/>
  <c r="AJ39" i="72" s="1"/>
  <c r="AX39" i="72" a="1"/>
  <c r="AX39" i="72" s="1"/>
  <c r="AZ39" i="72" a="1"/>
  <c r="AZ39" i="72" s="1"/>
  <c r="BD69" i="72" a="1"/>
  <c r="BD69" i="72" s="1"/>
  <c r="AZ69" i="72" a="1"/>
  <c r="AZ69" i="72" s="1"/>
  <c r="AX69" i="72" a="1"/>
  <c r="AX69" i="72" s="1"/>
  <c r="BJ69" i="72" a="1"/>
  <c r="BJ69" i="72" s="1"/>
  <c r="BI69" i="72" a="1"/>
  <c r="BI69" i="72" s="1"/>
  <c r="AJ69" i="72" a="1"/>
  <c r="AJ69" i="72" s="1"/>
  <c r="BG69" i="72" a="1"/>
  <c r="BG69" i="72" s="1"/>
  <c r="BC54" i="72" a="1"/>
  <c r="BC54" i="72" s="1"/>
  <c r="AZ54" i="72" a="1"/>
  <c r="AZ54" i="72" s="1"/>
  <c r="AJ54" i="72" a="1"/>
  <c r="AJ54" i="72" s="1"/>
  <c r="BI54" i="72" a="1"/>
  <c r="BI54" i="72" s="1"/>
  <c r="BD54" i="72" a="1"/>
  <c r="BD54" i="72" s="1"/>
  <c r="BJ54" i="72" a="1"/>
  <c r="BJ54" i="72" s="1"/>
  <c r="AX54" i="72" a="1"/>
  <c r="AX54" i="72" s="1"/>
  <c r="BG54" i="72" a="1"/>
  <c r="BG54" i="72" s="1"/>
  <c r="BG89" i="72" a="1"/>
  <c r="BG89" i="72" s="1"/>
  <c r="BD89" i="72" a="1"/>
  <c r="BD89" i="72" s="1"/>
  <c r="BI89" i="72" a="1"/>
  <c r="BI89" i="72" s="1"/>
  <c r="AI63" i="69" a="1"/>
  <c r="AI63" i="69" s="1"/>
  <c r="AQ63" i="69" a="1"/>
  <c r="AQ63" i="69" s="1"/>
  <c r="AH63" i="69" a="1"/>
  <c r="AH63" i="69" s="1"/>
  <c r="AK63" i="69" a="1"/>
  <c r="AK63" i="69" s="1"/>
  <c r="AF63" i="69" a="1"/>
  <c r="AF63" i="69" s="1"/>
  <c r="AU63" i="69" a="1"/>
  <c r="AU63" i="69" s="1"/>
  <c r="AX63" i="69" a="1"/>
  <c r="AX63" i="69" s="1"/>
  <c r="BD86" i="72" a="1"/>
  <c r="BD86" i="72" s="1"/>
  <c r="AX86" i="72" a="1"/>
  <c r="AX86" i="72" s="1"/>
  <c r="AZ86" i="72" a="1"/>
  <c r="AZ86" i="72" s="1"/>
  <c r="BJ86" i="72" a="1"/>
  <c r="BJ86" i="72" s="1"/>
  <c r="AJ86" i="72" a="1"/>
  <c r="AJ86" i="72" s="1"/>
  <c r="BI86" i="72" a="1"/>
  <c r="BI86" i="72" s="1"/>
  <c r="BG86" i="72" a="1"/>
  <c r="BG86" i="72" s="1"/>
  <c r="BI85" i="72" a="1"/>
  <c r="BI85" i="72" s="1"/>
  <c r="AJ85" i="72" a="1"/>
  <c r="AJ85" i="72" s="1"/>
  <c r="AZ85" i="72" a="1"/>
  <c r="AZ85" i="72" s="1"/>
  <c r="BD85" i="72" a="1"/>
  <c r="BD85" i="72" s="1"/>
  <c r="BJ85" i="72" a="1"/>
  <c r="BJ85" i="72" s="1"/>
  <c r="AX85" i="72" a="1"/>
  <c r="AX85" i="72" s="1"/>
  <c r="BG85" i="72" a="1"/>
  <c r="BG85" i="72" s="1"/>
  <c r="BC38" i="72" a="1"/>
  <c r="BC38" i="72" s="1"/>
  <c r="AZ38" i="72" a="1"/>
  <c r="AZ38" i="72" s="1"/>
  <c r="BI38" i="72" a="1"/>
  <c r="BI38" i="72" s="1"/>
  <c r="BJ38" i="72" a="1"/>
  <c r="BJ38" i="72" s="1"/>
  <c r="AH38" i="72" a="1"/>
  <c r="AH38" i="72" s="1"/>
  <c r="AJ38" i="72" a="1"/>
  <c r="AJ38" i="72" s="1"/>
  <c r="BD38" i="72" a="1"/>
  <c r="BD38" i="72" s="1"/>
  <c r="AX38" i="72" a="1"/>
  <c r="AX38" i="72" s="1"/>
  <c r="BG38" i="72" a="1"/>
  <c r="BG38" i="72" s="1"/>
  <c r="BC75" i="72" a="1"/>
  <c r="BC75" i="72" s="1"/>
  <c r="BI75" i="72" a="1"/>
  <c r="BI75" i="72" s="1"/>
  <c r="BD75" i="72" a="1"/>
  <c r="BD75" i="72" s="1"/>
  <c r="BJ75" i="72" a="1"/>
  <c r="BJ75" i="72" s="1"/>
  <c r="AJ75" i="72" a="1"/>
  <c r="AJ75" i="72" s="1"/>
  <c r="AX75" i="72" a="1"/>
  <c r="AX75" i="72" s="1"/>
  <c r="AZ75" i="72" a="1"/>
  <c r="AZ75" i="72" s="1"/>
  <c r="BG75" i="72" a="1"/>
  <c r="BG75" i="72" s="1"/>
  <c r="AT45" i="69" a="1"/>
  <c r="AT45" i="69" s="1"/>
  <c r="BD21" i="72" a="1"/>
  <c r="BD21" i="72" s="1"/>
  <c r="BI47" i="72" a="1"/>
  <c r="BI47" i="72" s="1"/>
  <c r="AH47" i="72" a="1"/>
  <c r="AH47" i="72" s="1"/>
  <c r="AJ47" i="72" a="1"/>
  <c r="AJ47" i="72" s="1"/>
  <c r="AX47" i="72" a="1"/>
  <c r="AX47" i="72" s="1"/>
  <c r="AZ47" i="72" a="1"/>
  <c r="AZ47" i="72" s="1"/>
  <c r="BD47" i="72" a="1"/>
  <c r="BD47" i="72" s="1"/>
  <c r="BJ47" i="72" a="1"/>
  <c r="BJ47" i="72" s="1"/>
  <c r="BG47" i="72" a="1"/>
  <c r="BG47" i="72" s="1"/>
  <c r="BI40" i="72" a="1"/>
  <c r="BI40" i="72" s="1"/>
  <c r="AF65" i="69" a="1"/>
  <c r="AF65" i="69" s="1"/>
  <c r="BA65" i="69" a="1"/>
  <c r="BA65" i="69" s="1"/>
  <c r="AK65" i="69" a="1"/>
  <c r="AK65" i="69" s="1"/>
  <c r="AI65" i="69" a="1"/>
  <c r="AI65" i="69" s="1"/>
  <c r="AU65" i="69" a="1"/>
  <c r="AU65" i="69" s="1"/>
  <c r="AH65" i="69" a="1"/>
  <c r="AH65" i="69" s="1"/>
  <c r="AQ65" i="69" a="1"/>
  <c r="AQ65" i="69" s="1"/>
  <c r="AZ65" i="69" a="1"/>
  <c r="AZ65" i="69" s="1"/>
  <c r="AX65" i="69" a="1"/>
  <c r="AX65" i="69" s="1"/>
  <c r="BA74" i="69" a="1"/>
  <c r="BA74" i="69" s="1"/>
  <c r="AI74" i="69" a="1"/>
  <c r="AI74" i="69" s="1"/>
  <c r="AF74" i="69" a="1"/>
  <c r="AF74" i="69" s="1"/>
  <c r="AQ74" i="69" a="1"/>
  <c r="AQ74" i="69" s="1"/>
  <c r="AK74" i="69" a="1"/>
  <c r="AK74" i="69" s="1"/>
  <c r="AH74" i="69" a="1"/>
  <c r="AH74" i="69" s="1"/>
  <c r="AU74" i="69" a="1"/>
  <c r="AU74" i="69" s="1"/>
  <c r="AZ74" i="69" a="1"/>
  <c r="AZ74" i="69" s="1"/>
  <c r="AX74" i="69" a="1"/>
  <c r="AX74" i="69" s="1"/>
  <c r="O47" i="69"/>
  <c r="AD47" i="72"/>
  <c r="BK47" i="69"/>
  <c r="O47" i="72"/>
  <c r="AD47" i="69"/>
  <c r="AU13" i="69" a="1"/>
  <c r="AU13" i="69" s="1"/>
  <c r="AQ13" i="69" a="1"/>
  <c r="AQ13" i="69" s="1"/>
  <c r="AZ13" i="69" a="1"/>
  <c r="AZ13" i="69" s="1"/>
  <c r="AK13" i="69" a="1"/>
  <c r="AK13" i="69" s="1"/>
  <c r="AH13" i="69" a="1"/>
  <c r="AH13" i="69" s="1"/>
  <c r="BA13" i="69" a="1"/>
  <c r="BA13" i="69" s="1"/>
  <c r="AI13" i="69" a="1"/>
  <c r="AI13" i="69" s="1"/>
  <c r="AF13" i="69" a="1"/>
  <c r="AF13" i="69" s="1"/>
  <c r="AX13" i="69" a="1"/>
  <c r="AX13" i="69" s="1"/>
  <c r="AP47" i="69" a="1"/>
  <c r="AP47" i="69" s="1"/>
  <c r="BA47" i="69" a="1"/>
  <c r="BA47" i="69" s="1"/>
  <c r="AF47" i="69" a="1"/>
  <c r="AF47" i="69" s="1"/>
  <c r="AK47" i="69" a="1"/>
  <c r="AK47" i="69" s="1"/>
  <c r="AH47" i="69" a="1"/>
  <c r="AH47" i="69" s="1"/>
  <c r="AU47" i="69" a="1"/>
  <c r="AU47" i="69" s="1"/>
  <c r="AQ47" i="69" a="1"/>
  <c r="AQ47" i="69" s="1"/>
  <c r="AZ47" i="69" a="1"/>
  <c r="AZ47" i="69" s="1"/>
  <c r="AI47" i="69" a="1"/>
  <c r="AI47" i="69" s="1"/>
  <c r="AX47" i="69" a="1"/>
  <c r="AX47" i="69" s="1"/>
  <c r="AF54" i="69" a="1"/>
  <c r="AF54" i="69" s="1"/>
  <c r="AH54" i="69" a="1"/>
  <c r="AH54" i="69" s="1"/>
  <c r="AQ54" i="69" a="1"/>
  <c r="AQ54" i="69" s="1"/>
  <c r="AO54" i="69" a="1"/>
  <c r="AO54" i="69" s="1"/>
  <c r="BA54" i="69" a="1"/>
  <c r="BA54" i="69" s="1"/>
  <c r="AZ54" i="69" a="1"/>
  <c r="AZ54" i="69" s="1"/>
  <c r="AK54" i="69" a="1"/>
  <c r="AK54" i="69" s="1"/>
  <c r="AU54" i="69" a="1"/>
  <c r="AU54" i="69" s="1"/>
  <c r="AX54" i="69" a="1"/>
  <c r="AX54" i="69" s="1"/>
  <c r="AU7" i="69" a="1"/>
  <c r="AU7" i="69" s="1"/>
  <c r="AQ7" i="69" a="1"/>
  <c r="AQ7" i="69" s="1"/>
  <c r="AF7" i="69" a="1"/>
  <c r="AF7" i="69" s="1"/>
  <c r="AO7" i="69" a="1"/>
  <c r="AO7" i="69" s="1"/>
  <c r="AH7" i="69" a="1"/>
  <c r="AH7" i="69" s="1"/>
  <c r="AK7" i="69" a="1"/>
  <c r="AK7" i="69" s="1"/>
  <c r="AZ7" i="69" a="1"/>
  <c r="AZ7" i="69" s="1"/>
  <c r="BA7" i="69" a="1"/>
  <c r="BA7" i="69" s="1"/>
  <c r="AP15" i="69" a="1"/>
  <c r="AP15" i="69" s="1"/>
  <c r="AU15" i="69" a="1"/>
  <c r="AU15" i="69" s="1"/>
  <c r="AQ15" i="69" a="1"/>
  <c r="AQ15" i="69" s="1"/>
  <c r="AO15" i="69" a="1"/>
  <c r="AO15" i="69" s="1"/>
  <c r="AK15" i="69" a="1"/>
  <c r="AK15" i="69" s="1"/>
  <c r="AZ15" i="69" a="1"/>
  <c r="AZ15" i="69" s="1"/>
  <c r="AF15" i="69" a="1"/>
  <c r="AF15" i="69" s="1"/>
  <c r="AI15" i="69" a="1"/>
  <c r="AI15" i="69" s="1"/>
  <c r="BA15" i="69" a="1"/>
  <c r="BA15" i="69" s="1"/>
  <c r="AH15" i="69" a="1"/>
  <c r="AH15" i="69" s="1"/>
  <c r="AX15" i="69" a="1"/>
  <c r="AX15" i="69" s="1"/>
  <c r="AQ30" i="69" a="1"/>
  <c r="AQ30" i="69" s="1"/>
  <c r="AO30" i="69" a="1"/>
  <c r="AO30" i="69" s="1"/>
  <c r="AF30" i="69" a="1"/>
  <c r="AF30" i="69" s="1"/>
  <c r="AZ30" i="69" a="1"/>
  <c r="AZ30" i="69" s="1"/>
  <c r="AH30" i="69" a="1"/>
  <c r="AH30" i="69" s="1"/>
  <c r="AK30" i="69" a="1"/>
  <c r="AK30" i="69" s="1"/>
  <c r="AI30" i="69" a="1"/>
  <c r="AI30" i="69" s="1"/>
  <c r="AU30" i="69" a="1"/>
  <c r="AU30" i="69" s="1"/>
  <c r="BA30" i="69" a="1"/>
  <c r="BA30" i="69" s="1"/>
  <c r="AX30" i="69" a="1"/>
  <c r="AX30" i="69" s="1"/>
  <c r="AI37" i="69" a="1"/>
  <c r="AI37" i="69" s="1"/>
  <c r="AK37" i="69" a="1"/>
  <c r="AK37" i="69" s="1"/>
  <c r="AH37" i="69" a="1"/>
  <c r="AH37" i="69" s="1"/>
  <c r="AQ37" i="69" a="1"/>
  <c r="AQ37" i="69" s="1"/>
  <c r="AU37" i="69" a="1"/>
  <c r="AU37" i="69" s="1"/>
  <c r="AF37" i="69" a="1"/>
  <c r="AF37" i="69" s="1"/>
  <c r="AO37" i="69" a="1"/>
  <c r="AO37" i="69" s="1"/>
  <c r="BA37" i="69" a="1"/>
  <c r="BA37" i="69" s="1"/>
  <c r="AZ37" i="69" a="1"/>
  <c r="AZ37" i="69" s="1"/>
  <c r="AX37" i="69" a="1"/>
  <c r="AX37" i="69" s="1"/>
  <c r="AF76" i="69" a="1"/>
  <c r="AF76" i="69" s="1"/>
  <c r="BA76" i="69" a="1"/>
  <c r="BA76" i="69" s="1"/>
  <c r="AZ76" i="69" a="1"/>
  <c r="AZ76" i="69" s="1"/>
  <c r="AI76" i="69" a="1"/>
  <c r="AI76" i="69" s="1"/>
  <c r="AQ76" i="69" a="1"/>
  <c r="AQ76" i="69" s="1"/>
  <c r="AU76" i="69" a="1"/>
  <c r="AU76" i="69" s="1"/>
  <c r="AK76" i="69" a="1"/>
  <c r="AK76" i="69" s="1"/>
  <c r="AH76" i="69" a="1"/>
  <c r="AH76" i="69" s="1"/>
  <c r="AX76" i="69" a="1"/>
  <c r="AX76" i="69" s="1"/>
  <c r="BG73" i="72" a="1"/>
  <c r="BG73" i="72" s="1"/>
  <c r="BD73" i="72" a="1"/>
  <c r="BD73" i="72" s="1"/>
  <c r="BI73" i="72" a="1"/>
  <c r="BI73" i="72" s="1"/>
  <c r="BJ73" i="72" a="1"/>
  <c r="BJ73" i="72" s="1"/>
  <c r="CI45" i="72"/>
  <c r="BI63" i="72" a="1"/>
  <c r="BI63" i="72" s="1"/>
  <c r="AX63" i="72" a="1"/>
  <c r="AX63" i="72" s="1"/>
  <c r="BJ63" i="72" a="1"/>
  <c r="BJ63" i="72" s="1"/>
  <c r="BD63" i="72" a="1"/>
  <c r="BD63" i="72" s="1"/>
  <c r="AZ63" i="72" a="1"/>
  <c r="AZ63" i="72" s="1"/>
  <c r="AJ63" i="72" a="1"/>
  <c r="AJ63" i="72" s="1"/>
  <c r="BH45" i="72" a="1"/>
  <c r="BH45" i="72" s="1"/>
  <c r="CI63" i="72"/>
  <c r="BC63" i="72" a="1"/>
  <c r="BC63" i="72" s="1"/>
  <c r="AK85" i="72" a="1"/>
  <c r="AK85" i="72" s="1"/>
  <c r="Z1532" i="13"/>
  <c r="AV1428" i="13"/>
  <c r="A1527" i="13"/>
  <c r="AX1428" i="13"/>
  <c r="BH59" i="69"/>
  <c r="DX59" i="4"/>
  <c r="AV561" i="13"/>
  <c r="BI59" i="4"/>
  <c r="BM59" i="4"/>
  <c r="BE43" i="69"/>
  <c r="BF43" i="69"/>
  <c r="AK45" i="72" a="1"/>
  <c r="AK45" i="72" s="1"/>
  <c r="BP45" i="72"/>
  <c r="AL45" i="72" a="1"/>
  <c r="AL45" i="72" s="1"/>
  <c r="BV45" i="72" a="1"/>
  <c r="BV45" i="72" s="1"/>
  <c r="BM45" i="72"/>
  <c r="AW45" i="72"/>
  <c r="AU45" i="72" a="1"/>
  <c r="AU45" i="72" s="1"/>
  <c r="AT45" i="72" a="1"/>
  <c r="AT45" i="72" s="1"/>
  <c r="R45" i="72"/>
  <c r="AS45" i="72" a="1"/>
  <c r="AS45" i="72" s="1"/>
  <c r="BH86" i="72" a="1"/>
  <c r="BH86" i="72" s="1"/>
  <c r="AX1424" i="13"/>
  <c r="AV1424" i="13"/>
  <c r="A1523" i="13"/>
  <c r="Z1528" i="13"/>
  <c r="U63" i="72" a="1"/>
  <c r="U63" i="72" s="1"/>
  <c r="BQ90" i="69" a="1"/>
  <c r="BQ90" i="69" s="1"/>
  <c r="BG90" i="69"/>
  <c r="R90" i="69"/>
  <c r="BT90" i="69"/>
  <c r="BM90" i="69" a="1"/>
  <c r="BM90" i="69" s="1"/>
  <c r="BD90" i="69"/>
  <c r="E90" i="69"/>
  <c r="L75" i="72"/>
  <c r="AL75" i="72" a="1"/>
  <c r="AL75" i="72" s="1"/>
  <c r="BP75" i="72"/>
  <c r="BE75" i="72" s="1" a="1"/>
  <c r="BE75" i="72" s="1"/>
  <c r="BV75" i="72" a="1"/>
  <c r="BV75" i="72" s="1"/>
  <c r="BM75" i="72"/>
  <c r="AU75" i="72" a="1"/>
  <c r="AU75" i="72" s="1"/>
  <c r="AW75" i="72"/>
  <c r="AT75" i="72" a="1"/>
  <c r="AT75" i="72" s="1"/>
  <c r="R75" i="72"/>
  <c r="AS75" i="72" a="1"/>
  <c r="AS75" i="72" s="1"/>
  <c r="BW75" i="72" a="1"/>
  <c r="BW75" i="72" s="1"/>
  <c r="AY75" i="72" a="1"/>
  <c r="AY75" i="72" s="1"/>
  <c r="U74" i="69" a="1"/>
  <c r="U74" i="69" s="1"/>
  <c r="G74" i="69"/>
  <c r="E7" i="69"/>
  <c r="CG27" i="72" a="1"/>
  <c r="CG27" i="72" s="1"/>
  <c r="CF27" i="72" a="1"/>
  <c r="CF27" i="72" s="1"/>
  <c r="E27" i="72"/>
  <c r="I278" i="15" a="1"/>
  <c r="I278" i="15" s="1"/>
  <c r="F278" i="15" a="1"/>
  <c r="F278" i="15" s="1"/>
  <c r="H278" i="15" a="1"/>
  <c r="H278" i="15" s="1"/>
  <c r="AK89" i="72" a="1"/>
  <c r="AK89" i="72" s="1"/>
  <c r="CG89" i="72" a="1"/>
  <c r="CG89" i="72" s="1"/>
  <c r="CF89" i="72" a="1"/>
  <c r="CF89" i="72" s="1"/>
  <c r="AH89" i="72" s="1" a="1"/>
  <c r="AH89" i="72" s="1"/>
  <c r="E89" i="72"/>
  <c r="I259" i="15" a="1"/>
  <c r="I259" i="15" s="1"/>
  <c r="BQ6" i="69" a="1"/>
  <c r="BQ6" i="69" s="1"/>
  <c r="BP45" i="69"/>
  <c r="E45" i="69"/>
  <c r="E92" i="69"/>
  <c r="BE28" i="69"/>
  <c r="AG28" i="69" s="1" a="1"/>
  <c r="AG28" i="69" s="1"/>
  <c r="BF28" i="69"/>
  <c r="BH48" i="72" a="1"/>
  <c r="BH48" i="72" s="1"/>
  <c r="BP25" i="69"/>
  <c r="BO25" i="69" s="1"/>
  <c r="BR25" i="69" s="1"/>
  <c r="D25" i="69" a="1"/>
  <c r="D25" i="69" s="1"/>
  <c r="R21" i="72"/>
  <c r="AU21" i="72" a="1"/>
  <c r="AU21" i="72" s="1"/>
  <c r="AS21" i="72" a="1"/>
  <c r="AS21" i="72" s="1"/>
  <c r="AL21" i="72" a="1"/>
  <c r="AL21" i="72" s="1"/>
  <c r="BP21" i="72"/>
  <c r="BF21" i="72" s="1" a="1"/>
  <c r="BF21" i="72" s="1"/>
  <c r="BV21" i="72" a="1"/>
  <c r="BV21" i="72" s="1"/>
  <c r="AT21" i="72" a="1"/>
  <c r="AT21" i="72" s="1"/>
  <c r="BM21" i="72"/>
  <c r="AW21" i="72"/>
  <c r="BW21" i="72" a="1"/>
  <c r="BW21" i="72" s="1"/>
  <c r="O30" i="72"/>
  <c r="AV590" i="13"/>
  <c r="BI88" i="4"/>
  <c r="DX88" i="4"/>
  <c r="BM88" i="4"/>
  <c r="AX1471" i="13"/>
  <c r="A1570" i="13"/>
  <c r="Z1575" i="13"/>
  <c r="H337" i="15" a="1"/>
  <c r="H337" i="15" s="1"/>
  <c r="H91" i="15" a="1"/>
  <c r="H91" i="15" s="1"/>
  <c r="F296" i="15" a="1"/>
  <c r="F296" i="15" s="1"/>
  <c r="I296" i="15" a="1"/>
  <c r="I296" i="15" s="1"/>
  <c r="H296" i="15" a="1"/>
  <c r="H296" i="15" s="1"/>
  <c r="BN47" i="72"/>
  <c r="BO47" i="72"/>
  <c r="CI62" i="72"/>
  <c r="O8" i="72"/>
  <c r="BI44" i="69"/>
  <c r="BM65" i="4"/>
  <c r="AV567" i="13"/>
  <c r="DX65" i="4"/>
  <c r="BI65" i="4"/>
  <c r="H395" i="15" a="1"/>
  <c r="H395" i="15" s="1"/>
  <c r="E47" i="69"/>
  <c r="AX1449" i="13"/>
  <c r="AV1449" i="13"/>
  <c r="A1548" i="13"/>
  <c r="Z1553" i="13"/>
  <c r="AL56" i="72" a="1"/>
  <c r="AL56" i="72" s="1"/>
  <c r="BP56" i="72"/>
  <c r="BF56" i="72" s="1" a="1"/>
  <c r="BF56" i="72" s="1"/>
  <c r="AW56" i="72"/>
  <c r="AU56" i="72" a="1"/>
  <c r="AU56" i="72" s="1"/>
  <c r="AT56" i="72" a="1"/>
  <c r="AT56" i="72" s="1"/>
  <c r="R56" i="72"/>
  <c r="BV56" i="72" a="1"/>
  <c r="BV56" i="72" s="1"/>
  <c r="AS56" i="72" a="1"/>
  <c r="AS56" i="72" s="1"/>
  <c r="BM56" i="72"/>
  <c r="AY56" i="72" a="1"/>
  <c r="AY56" i="72" s="1"/>
  <c r="BW56" i="72" a="1"/>
  <c r="BW56" i="72" s="1"/>
  <c r="AF70" i="72" a="1"/>
  <c r="AF70" i="72" s="1"/>
  <c r="BC70" i="72" s="1" a="1"/>
  <c r="BC70" i="72" s="1"/>
  <c r="CI70" i="72"/>
  <c r="BG17" i="69"/>
  <c r="BT17" i="69"/>
  <c r="BM17" i="69" a="1"/>
  <c r="BM17" i="69" s="1"/>
  <c r="BD17" i="69"/>
  <c r="R17" i="69"/>
  <c r="BE29" i="69"/>
  <c r="BF29" i="69"/>
  <c r="BB1766" i="13" a="1"/>
  <c r="BB1766" i="13" s="1"/>
  <c r="BN91" i="72"/>
  <c r="BO91" i="72"/>
  <c r="BX91" i="72"/>
  <c r="CA91" i="72" s="1"/>
  <c r="E21" i="69"/>
  <c r="BQ81" i="72"/>
  <c r="BH40" i="69"/>
  <c r="U79" i="69" a="1"/>
  <c r="U79" i="69" s="1"/>
  <c r="F110" i="15" a="1"/>
  <c r="F110" i="15" s="1"/>
  <c r="BH49" i="69"/>
  <c r="BG49" i="69"/>
  <c r="AV49" i="69" s="1" a="1"/>
  <c r="AV49" i="69" s="1"/>
  <c r="BT49" i="69"/>
  <c r="AP49" i="69" a="1"/>
  <c r="AP49" i="69" s="1"/>
  <c r="BM49" i="69" a="1"/>
  <c r="BM49" i="69" s="1"/>
  <c r="R49" i="69"/>
  <c r="BD49" i="69"/>
  <c r="AO49" i="69" s="1" a="1"/>
  <c r="AO49" i="69" s="1"/>
  <c r="BS5" i="4"/>
  <c r="AS27" i="4"/>
  <c r="AR27" i="4"/>
  <c r="AY527" i="13"/>
  <c r="AD42" i="69"/>
  <c r="BI42" i="69"/>
  <c r="BV42" i="69"/>
  <c r="BH19" i="69"/>
  <c r="BQ52" i="69" a="1"/>
  <c r="BQ52" i="69" s="1"/>
  <c r="AE53" i="69" a="1"/>
  <c r="AE53" i="69" s="1"/>
  <c r="AT53" i="69" s="1" a="1"/>
  <c r="AT53" i="69" s="1"/>
  <c r="E53" i="69"/>
  <c r="BN84" i="72"/>
  <c r="BO84" i="72"/>
  <c r="BX84" i="72"/>
  <c r="CA84" i="72" s="1"/>
  <c r="AY81" i="69" a="1"/>
  <c r="AY81" i="69" s="1"/>
  <c r="AP64" i="72"/>
  <c r="CB64" i="72"/>
  <c r="CD64" i="72"/>
  <c r="CE64" i="72" a="1"/>
  <c r="CE64" i="72" s="1"/>
  <c r="BZ64" i="72" a="1"/>
  <c r="BZ64" i="72" s="1"/>
  <c r="AV64" i="72" a="1"/>
  <c r="AV64" i="72" s="1"/>
  <c r="AM64" i="72"/>
  <c r="B64" i="72"/>
  <c r="E37" i="72"/>
  <c r="CG37" i="72" a="1"/>
  <c r="CG37" i="72" s="1"/>
  <c r="CF37" i="72" a="1"/>
  <c r="CF37" i="72" s="1"/>
  <c r="AL79" i="72" a="1"/>
  <c r="AL79" i="72" s="1"/>
  <c r="AW79" i="72"/>
  <c r="AS79" i="72" a="1"/>
  <c r="AS79" i="72" s="1"/>
  <c r="R79" i="72"/>
  <c r="AU79" i="72" a="1"/>
  <c r="AU79" i="72" s="1"/>
  <c r="BV79" i="72" a="1"/>
  <c r="BV79" i="72" s="1"/>
  <c r="BP79" i="72"/>
  <c r="BM79" i="72"/>
  <c r="AT79" i="72" a="1"/>
  <c r="AT79" i="72" s="1"/>
  <c r="BW79" i="72" a="1"/>
  <c r="BW79" i="72" s="1"/>
  <c r="C49" i="72"/>
  <c r="D49" i="72" s="1" a="1"/>
  <c r="D49" i="72" s="1"/>
  <c r="CD38" i="72"/>
  <c r="CE38" i="72" a="1"/>
  <c r="CE38" i="72" s="1"/>
  <c r="CB38" i="72"/>
  <c r="AM38" i="72"/>
  <c r="AP38" i="72"/>
  <c r="BT38" i="72"/>
  <c r="BZ38" i="72" a="1"/>
  <c r="BZ38" i="72" s="1"/>
  <c r="AV38" i="72" a="1"/>
  <c r="AV38" i="72" s="1"/>
  <c r="BM87" i="4"/>
  <c r="AV589" i="13"/>
  <c r="DX87" i="4"/>
  <c r="BI87" i="4"/>
  <c r="AX1412" i="13"/>
  <c r="Z1516" i="13"/>
  <c r="AV1412" i="13"/>
  <c r="A1511" i="13"/>
  <c r="AS56" i="4"/>
  <c r="AR56" i="4"/>
  <c r="AY556" i="13"/>
  <c r="BU84" i="4"/>
  <c r="BE84" i="4"/>
  <c r="I488" i="15" a="1"/>
  <c r="I488" i="15" s="1"/>
  <c r="AK52" i="72" a="1"/>
  <c r="AK52" i="72" s="1"/>
  <c r="F284" i="15" a="1"/>
  <c r="F284" i="15" s="1"/>
  <c r="I284" i="15" a="1"/>
  <c r="I284" i="15" s="1"/>
  <c r="H284" i="15" a="1"/>
  <c r="H284" i="15" s="1"/>
  <c r="AD53" i="72"/>
  <c r="BT84" i="69"/>
  <c r="BG84" i="69"/>
  <c r="AW84" i="69" s="1" a="1"/>
  <c r="AW84" i="69" s="1"/>
  <c r="BM84" i="69" a="1"/>
  <c r="BM84" i="69" s="1"/>
  <c r="R84" i="69"/>
  <c r="BD84" i="69"/>
  <c r="BN84" i="69" a="1"/>
  <c r="BN84" i="69" s="1"/>
  <c r="H13" i="72"/>
  <c r="AT13" i="72" a="1"/>
  <c r="AT13" i="72" s="1"/>
  <c r="AS13" i="72" a="1"/>
  <c r="AS13" i="72" s="1"/>
  <c r="AU13" i="72" a="1"/>
  <c r="AU13" i="72" s="1"/>
  <c r="BM13" i="72"/>
  <c r="R13" i="72"/>
  <c r="AY13" i="72" a="1"/>
  <c r="AY13" i="72" s="1"/>
  <c r="AW13" i="72"/>
  <c r="BP13" i="72"/>
  <c r="AL13" i="72" a="1"/>
  <c r="AL13" i="72" s="1"/>
  <c r="BV13" i="72" a="1"/>
  <c r="BV13" i="72" s="1"/>
  <c r="I89" i="72"/>
  <c r="I89" i="69"/>
  <c r="AT37" i="69" a="1"/>
  <c r="AT37" i="69" s="1"/>
  <c r="BV37" i="69"/>
  <c r="I445" i="15" a="1"/>
  <c r="I445" i="15" s="1"/>
  <c r="AK93" i="72" a="1"/>
  <c r="AK93" i="72" s="1"/>
  <c r="H498" i="15" a="1"/>
  <c r="H498" i="15" s="1"/>
  <c r="BN15" i="72"/>
  <c r="BO15" i="72"/>
  <c r="CI15" i="72"/>
  <c r="BC15" i="72" a="1"/>
  <c r="BC15" i="72" s="1"/>
  <c r="D38" i="69" a="1"/>
  <c r="D38" i="69" s="1"/>
  <c r="BV93" i="69"/>
  <c r="A1558" i="13"/>
  <c r="AV1459" i="13"/>
  <c r="AX1459" i="13"/>
  <c r="Z1563" i="13"/>
  <c r="AE46" i="69" a="1"/>
  <c r="AE46" i="69" s="1"/>
  <c r="AD46" i="69"/>
  <c r="CI51" i="72"/>
  <c r="CG51" i="72" a="1"/>
  <c r="CG51" i="72" s="1"/>
  <c r="CF51" i="72" a="1"/>
  <c r="CF51" i="72" s="1"/>
  <c r="E51" i="72"/>
  <c r="CI68" i="72"/>
  <c r="BC68" i="72" a="1"/>
  <c r="BC68" i="72" s="1"/>
  <c r="BP13" i="69"/>
  <c r="BD13" i="69"/>
  <c r="R13" i="69"/>
  <c r="AO13" i="69" s="1" a="1"/>
  <c r="AO13" i="69" s="1"/>
  <c r="BT13" i="69"/>
  <c r="BG13" i="69"/>
  <c r="AW13" i="69" s="1" a="1"/>
  <c r="AW13" i="69" s="1"/>
  <c r="BM13" i="69" a="1"/>
  <c r="BM13" i="69" s="1"/>
  <c r="BN13" i="69" a="1"/>
  <c r="BN13" i="69" s="1"/>
  <c r="AP13" i="69" a="1"/>
  <c r="AP13" i="69" s="1"/>
  <c r="O26" i="72"/>
  <c r="BO26" i="72"/>
  <c r="BN26" i="72"/>
  <c r="H571" i="15" a="1"/>
  <c r="H571" i="15" s="1"/>
  <c r="BN46" i="72"/>
  <c r="BO46" i="72"/>
  <c r="F400" i="15" a="1"/>
  <c r="F400" i="15" s="1"/>
  <c r="H400" i="15" a="1"/>
  <c r="H400" i="15" s="1"/>
  <c r="I400" i="15" a="1"/>
  <c r="I400" i="15" s="1"/>
  <c r="H461" i="15" a="1"/>
  <c r="H461" i="15" s="1"/>
  <c r="BQ22" i="69" a="1"/>
  <c r="BQ22" i="69" s="1"/>
  <c r="R22" i="69"/>
  <c r="BG22" i="69"/>
  <c r="BM22" i="69" a="1"/>
  <c r="BM22" i="69" s="1"/>
  <c r="BD22" i="69"/>
  <c r="BT22" i="69"/>
  <c r="BN22" i="69" a="1"/>
  <c r="BN22" i="69" s="1"/>
  <c r="AP22" i="69" a="1"/>
  <c r="AP22" i="69" s="1"/>
  <c r="BV22" i="69"/>
  <c r="AT22" i="69" a="1"/>
  <c r="AT22" i="69" s="1"/>
  <c r="I306" i="15" a="1"/>
  <c r="I306" i="15" s="1"/>
  <c r="BH61" i="69"/>
  <c r="U61" i="69" a="1"/>
  <c r="U61" i="69" s="1"/>
  <c r="BQ61" i="69" a="1"/>
  <c r="BQ61" i="69" s="1"/>
  <c r="BT61" i="69"/>
  <c r="BM61" i="69" a="1"/>
  <c r="BM61" i="69" s="1"/>
  <c r="BG61" i="69"/>
  <c r="R61" i="69"/>
  <c r="BD61" i="69"/>
  <c r="AY18" i="69" a="1"/>
  <c r="AY18" i="69" s="1"/>
  <c r="BI18" i="69"/>
  <c r="BE83" i="69"/>
  <c r="BF83" i="69"/>
  <c r="AU41" i="72" a="1"/>
  <c r="AU41" i="72" s="1"/>
  <c r="AT41" i="72" a="1"/>
  <c r="AT41" i="72" s="1"/>
  <c r="AS41" i="72" a="1"/>
  <c r="AS41" i="72" s="1"/>
  <c r="AW41" i="72"/>
  <c r="AL41" i="72" a="1"/>
  <c r="AL41" i="72" s="1"/>
  <c r="R41" i="72"/>
  <c r="BV41" i="72" a="1"/>
  <c r="BV41" i="72" s="1"/>
  <c r="BM41" i="72"/>
  <c r="BP41" i="72"/>
  <c r="BM57" i="4"/>
  <c r="AV559" i="13"/>
  <c r="BI57" i="4"/>
  <c r="DX57" i="4"/>
  <c r="BS95" i="69"/>
  <c r="BT95" i="69"/>
  <c r="BM95" i="69" a="1"/>
  <c r="BM95" i="69" s="1"/>
  <c r="BV12" i="69"/>
  <c r="AT12" i="69" a="1"/>
  <c r="AT12" i="69" s="1"/>
  <c r="H31" i="72"/>
  <c r="BN76" i="72"/>
  <c r="BO76" i="72"/>
  <c r="E57" i="69"/>
  <c r="BH77" i="69"/>
  <c r="G83" i="72"/>
  <c r="BH39" i="72" a="1"/>
  <c r="BH39" i="72" s="1"/>
  <c r="K52" i="72" a="1"/>
  <c r="K52" i="72" s="1"/>
  <c r="P23" i="72"/>
  <c r="X23" i="72"/>
  <c r="BB23" i="72"/>
  <c r="AE23" i="72"/>
  <c r="W23" i="72"/>
  <c r="M23" i="72"/>
  <c r="Y23" i="72"/>
  <c r="BY23" i="72" s="1"/>
  <c r="AA23" i="72" a="1"/>
  <c r="AA23" i="72" s="1"/>
  <c r="L23" i="72"/>
  <c r="N23" i="72" a="1"/>
  <c r="N23" i="72" s="1"/>
  <c r="B23" i="72"/>
  <c r="BL23" i="72"/>
  <c r="K23" i="72" a="1"/>
  <c r="K23" i="72" s="1"/>
  <c r="Q23" i="72"/>
  <c r="Z23" i="72"/>
  <c r="BK23" i="72"/>
  <c r="G23" i="72"/>
  <c r="AG23" i="72"/>
  <c r="A23" i="72"/>
  <c r="AB23" i="72"/>
  <c r="AQ23" i="72"/>
  <c r="AC23" i="72"/>
  <c r="S23" i="72"/>
  <c r="AO23" i="72"/>
  <c r="U23" i="72" a="1"/>
  <c r="U23" i="72" s="1"/>
  <c r="J23" i="72"/>
  <c r="T23" i="72"/>
  <c r="BA23" i="72"/>
  <c r="AN23" i="72"/>
  <c r="CC33" i="72" s="1"/>
  <c r="AI33" i="72" s="1"/>
  <c r="I354" i="15" a="1"/>
  <c r="I354" i="15" s="1"/>
  <c r="CG35" i="72" a="1"/>
  <c r="CG35" i="72" s="1"/>
  <c r="CF35" i="72" a="1"/>
  <c r="CF35" i="72" s="1"/>
  <c r="E35" i="72"/>
  <c r="AT76" i="69" a="1"/>
  <c r="AT76" i="69" s="1"/>
  <c r="BV76" i="69"/>
  <c r="BN57" i="72"/>
  <c r="BO57" i="72"/>
  <c r="S71" i="69"/>
  <c r="BY24" i="72"/>
  <c r="BX24" i="72" s="1"/>
  <c r="CA24" i="72" s="1"/>
  <c r="A1557" i="13"/>
  <c r="AV1458" i="13"/>
  <c r="AX1458" i="13"/>
  <c r="Z1562" i="13"/>
  <c r="AY33" i="69" a="1"/>
  <c r="AY33" i="69" s="1"/>
  <c r="BY34" i="72"/>
  <c r="BX34" i="72" s="1"/>
  <c r="CA34" i="72" s="1"/>
  <c r="AV34" i="72" a="1"/>
  <c r="AV34" i="72" s="1"/>
  <c r="CE34" i="72" a="1"/>
  <c r="CE34" i="72" s="1"/>
  <c r="AM34" i="72"/>
  <c r="CB34" i="72"/>
  <c r="CD34" i="72"/>
  <c r="BZ34" i="72" a="1"/>
  <c r="BZ34" i="72" s="1"/>
  <c r="AP34" i="72"/>
  <c r="AD16" i="69"/>
  <c r="H662" i="15" a="1"/>
  <c r="H662" i="15" s="1"/>
  <c r="AK5" i="72" a="1"/>
  <c r="AK5" i="72" s="1"/>
  <c r="BQ20" i="72"/>
  <c r="CF20" i="72" a="1"/>
  <c r="CF20" i="72" s="1"/>
  <c r="CG20" i="72" a="1"/>
  <c r="CG20" i="72" s="1"/>
  <c r="E20" i="72"/>
  <c r="AF87" i="72" a="1"/>
  <c r="AF87" i="72" s="1"/>
  <c r="AK87" i="72" a="1"/>
  <c r="AK87" i="72" s="1"/>
  <c r="F60" i="72"/>
  <c r="BS52" i="4"/>
  <c r="AD43" i="72"/>
  <c r="BN43" i="72"/>
  <c r="BO43" i="72"/>
  <c r="BX43" i="72"/>
  <c r="CA43" i="72" s="1"/>
  <c r="BV36" i="69"/>
  <c r="AT36" i="69" a="1"/>
  <c r="AT36" i="69" s="1"/>
  <c r="BH86" i="69"/>
  <c r="BF86" i="69"/>
  <c r="BE86" i="69"/>
  <c r="AG86" i="69" s="1" a="1"/>
  <c r="AG86" i="69" s="1"/>
  <c r="BM95" i="4"/>
  <c r="DX95" i="4"/>
  <c r="AV597" i="13"/>
  <c r="AY597" i="13" s="1"/>
  <c r="F326" i="15" a="1"/>
  <c r="F326" i="15" s="1"/>
  <c r="H326" i="15" a="1"/>
  <c r="H326" i="15" s="1"/>
  <c r="I326" i="15" a="1"/>
  <c r="I326" i="15" s="1"/>
  <c r="BE85" i="69"/>
  <c r="BF85" i="69"/>
  <c r="BR54" i="72"/>
  <c r="F474" i="15" a="1"/>
  <c r="F474" i="15" s="1"/>
  <c r="CD90" i="72"/>
  <c r="CE90" i="72" a="1"/>
  <c r="CE90" i="72" s="1"/>
  <c r="AV90" i="72" a="1"/>
  <c r="AV90" i="72" s="1"/>
  <c r="AP90" i="72"/>
  <c r="CB90" i="72"/>
  <c r="BZ90" i="72" a="1"/>
  <c r="BZ90" i="72" s="1"/>
  <c r="AM90" i="72"/>
  <c r="BV75" i="69"/>
  <c r="AT75" i="69" a="1"/>
  <c r="AT75" i="69" s="1"/>
  <c r="AD33" i="72"/>
  <c r="I397" i="15" a="1"/>
  <c r="I397" i="15" s="1"/>
  <c r="BY73" i="72"/>
  <c r="BX73" i="72" s="1"/>
  <c r="CA73" i="72" s="1"/>
  <c r="H516" i="15" a="1"/>
  <c r="H516" i="15" s="1"/>
  <c r="AE5" i="69" a="1"/>
  <c r="AE5" i="69" s="1"/>
  <c r="BO5" i="69"/>
  <c r="BR5" i="69" s="1"/>
  <c r="BE5" i="69"/>
  <c r="BF5" i="69"/>
  <c r="S65" i="69"/>
  <c r="AT65" i="69" a="1"/>
  <c r="AT65" i="69" s="1"/>
  <c r="BV65" i="69"/>
  <c r="AS74" i="4"/>
  <c r="AY574" i="13"/>
  <c r="AR74" i="4"/>
  <c r="BE63" i="4"/>
  <c r="BS63" i="4" s="1"/>
  <c r="BT63" i="72" s="1"/>
  <c r="BG57" i="4"/>
  <c r="BG92" i="4"/>
  <c r="BG91" i="4"/>
  <c r="BG96" i="4"/>
  <c r="BV63" i="69"/>
  <c r="AT63" i="69" a="1"/>
  <c r="AT63" i="69" s="1"/>
  <c r="BF63" i="69"/>
  <c r="BE63" i="69"/>
  <c r="AG63" i="69" s="1" a="1"/>
  <c r="AG63" i="69" s="1"/>
  <c r="L62" i="69"/>
  <c r="BM62" i="69" a="1"/>
  <c r="BM62" i="69" s="1"/>
  <c r="BD62" i="69"/>
  <c r="BG62" i="69"/>
  <c r="BT62" i="69"/>
  <c r="R62" i="69"/>
  <c r="I78" i="72"/>
  <c r="I78" i="69"/>
  <c r="AD28" i="69"/>
  <c r="BO74" i="72"/>
  <c r="BN74" i="72"/>
  <c r="CI48" i="72"/>
  <c r="BJ7" i="72" a="1"/>
  <c r="BJ7" i="72" s="1"/>
  <c r="AX7" i="72" a="1"/>
  <c r="AX7" i="72" s="1"/>
  <c r="AZ7" i="72" a="1"/>
  <c r="AZ7" i="72" s="1"/>
  <c r="BD7" i="72" a="1"/>
  <c r="BD7" i="72" s="1"/>
  <c r="BI7" i="72" a="1"/>
  <c r="BI7" i="72" s="1"/>
  <c r="AJ7" i="72" a="1"/>
  <c r="AJ7" i="72" s="1"/>
  <c r="I72" i="72"/>
  <c r="I72" i="69"/>
  <c r="DF76" i="4" a="1"/>
  <c r="DF76" i="4" s="1"/>
  <c r="DF62" i="4" a="1"/>
  <c r="DF62" i="4" s="1"/>
  <c r="DF88" i="4" a="1"/>
  <c r="DF88" i="4" s="1"/>
  <c r="DF69" i="4" a="1"/>
  <c r="DF69" i="4" s="1"/>
  <c r="DF91" i="4" a="1"/>
  <c r="DF91" i="4" s="1"/>
  <c r="DF57" i="4" a="1"/>
  <c r="DF57" i="4" s="1"/>
  <c r="DF75" i="4" a="1"/>
  <c r="DF75" i="4" s="1"/>
  <c r="DF82" i="4" a="1"/>
  <c r="DF82" i="4" s="1"/>
  <c r="DF84" i="4" a="1"/>
  <c r="DF84" i="4" s="1"/>
  <c r="DF86" i="4" a="1"/>
  <c r="DF86" i="4" s="1"/>
  <c r="DF92" i="4" a="1"/>
  <c r="DF92" i="4" s="1"/>
  <c r="DF68" i="4" a="1"/>
  <c r="DF68" i="4" s="1"/>
  <c r="DF79" i="4" a="1"/>
  <c r="DF79" i="4" s="1"/>
  <c r="DF83" i="4" a="1"/>
  <c r="DF83" i="4" s="1"/>
  <c r="DF78" i="4" a="1"/>
  <c r="DF78" i="4" s="1"/>
  <c r="DF55" i="4" a="1"/>
  <c r="DF55" i="4" s="1"/>
  <c r="DF95" i="4" a="1"/>
  <c r="DF95" i="4" s="1"/>
  <c r="DF73" i="4" a="1"/>
  <c r="DF73" i="4" s="1"/>
  <c r="DF70" i="4" a="1"/>
  <c r="DF70" i="4" s="1"/>
  <c r="DF58" i="4" a="1"/>
  <c r="DF58" i="4" s="1"/>
  <c r="DF80" i="4" a="1"/>
  <c r="DF80" i="4" s="1"/>
  <c r="DF59" i="4" a="1"/>
  <c r="DF59" i="4" s="1"/>
  <c r="DF74" i="4" a="1"/>
  <c r="DF74" i="4" s="1"/>
  <c r="DF89" i="4" a="1"/>
  <c r="DF89" i="4" s="1"/>
  <c r="DF87" i="4" a="1"/>
  <c r="DF87" i="4" s="1"/>
  <c r="DF77" i="4" a="1"/>
  <c r="DF77" i="4" s="1"/>
  <c r="DF81" i="4" a="1"/>
  <c r="DF81" i="4" s="1"/>
  <c r="DF66" i="4" a="1"/>
  <c r="DF66" i="4" s="1"/>
  <c r="DF85" i="4" a="1"/>
  <c r="DF85" i="4" s="1"/>
  <c r="DF56" i="4" a="1"/>
  <c r="DF56" i="4" s="1"/>
  <c r="DF61" i="4" a="1"/>
  <c r="DF61" i="4" s="1"/>
  <c r="DF90" i="4" a="1"/>
  <c r="DF90" i="4" s="1"/>
  <c r="DF63" i="4" a="1"/>
  <c r="DF63" i="4" s="1"/>
  <c r="DF71" i="4" a="1"/>
  <c r="DF71" i="4" s="1"/>
  <c r="DF94" i="4" a="1"/>
  <c r="DF94" i="4" s="1"/>
  <c r="DF93" i="4" a="1"/>
  <c r="DF93" i="4" s="1"/>
  <c r="DF67" i="4" a="1"/>
  <c r="DF67" i="4" s="1"/>
  <c r="DF72" i="4" a="1"/>
  <c r="DF72" i="4" s="1"/>
  <c r="DF65" i="4" a="1"/>
  <c r="DF65" i="4" s="1"/>
  <c r="DF96" i="4" a="1"/>
  <c r="DF96" i="4" s="1"/>
  <c r="DF64" i="4" a="1"/>
  <c r="DF64" i="4" s="1"/>
  <c r="BV25" i="69"/>
  <c r="AT25" i="69" a="1"/>
  <c r="AT25" i="69" s="1"/>
  <c r="AY529" i="13"/>
  <c r="AS29" i="4"/>
  <c r="AR29" i="4"/>
  <c r="I91" i="15" a="1"/>
  <c r="I91" i="15" s="1"/>
  <c r="BD92" i="72" a="1"/>
  <c r="BD92" i="72" s="1"/>
  <c r="AX92" i="72" a="1"/>
  <c r="AX92" i="72" s="1"/>
  <c r="BI92" i="72" a="1"/>
  <c r="BI92" i="72" s="1"/>
  <c r="BJ92" i="72" a="1"/>
  <c r="BJ92" i="72" s="1"/>
  <c r="AJ92" i="72" a="1"/>
  <c r="AJ92" i="72" s="1"/>
  <c r="AZ92" i="72" a="1"/>
  <c r="AZ92" i="72" s="1"/>
  <c r="I526" i="15" a="1"/>
  <c r="I526" i="15" s="1"/>
  <c r="CG62" i="72" a="1"/>
  <c r="CG62" i="72" s="1"/>
  <c r="CF62" i="72" a="1"/>
  <c r="CF62" i="72" s="1"/>
  <c r="E62" i="72"/>
  <c r="CF28" i="72" a="1"/>
  <c r="CF28" i="72" s="1"/>
  <c r="CG28" i="72" a="1"/>
  <c r="CG28" i="72" s="1"/>
  <c r="E28" i="72"/>
  <c r="AD8" i="72"/>
  <c r="AM29" i="72"/>
  <c r="AP29" i="72"/>
  <c r="AV29" i="72" a="1"/>
  <c r="AV29" i="72" s="1"/>
  <c r="CE29" i="72" a="1"/>
  <c r="CE29" i="72" s="1"/>
  <c r="CB29" i="72"/>
  <c r="CD29" i="72"/>
  <c r="BZ29" i="72" a="1"/>
  <c r="BZ29" i="72" s="1"/>
  <c r="I375" i="15" a="1"/>
  <c r="I375" i="15" s="1"/>
  <c r="BF82" i="69"/>
  <c r="BE82" i="69"/>
  <c r="AN82" i="69" s="1" a="1"/>
  <c r="AN82" i="69" s="1"/>
  <c r="H375" i="15" a="1"/>
  <c r="H375" i="15" s="1"/>
  <c r="BG25" i="72" a="1"/>
  <c r="BG25" i="72" s="1"/>
  <c r="AZ25" i="72" a="1"/>
  <c r="AZ25" i="72" s="1"/>
  <c r="BI25" i="72" a="1"/>
  <c r="BI25" i="72" s="1"/>
  <c r="BD25" i="72" a="1"/>
  <c r="BD25" i="72" s="1"/>
  <c r="AJ25" i="72" a="1"/>
  <c r="AJ25" i="72" s="1"/>
  <c r="AX25" i="72" a="1"/>
  <c r="AX25" i="72" s="1"/>
  <c r="BJ25" i="72" a="1"/>
  <c r="BJ25" i="72" s="1"/>
  <c r="BO44" i="72"/>
  <c r="BN44" i="72"/>
  <c r="BQ15" i="69" a="1"/>
  <c r="BQ15" i="69" s="1"/>
  <c r="BM15" i="69" a="1"/>
  <c r="BM15" i="69" s="1"/>
  <c r="R15" i="69"/>
  <c r="BG15" i="69"/>
  <c r="AV15" i="69" s="1" a="1"/>
  <c r="AV15" i="69" s="1"/>
  <c r="BT15" i="69"/>
  <c r="BD15" i="69"/>
  <c r="BN15" i="69" a="1"/>
  <c r="BN15" i="69" s="1"/>
  <c r="AS44" i="4"/>
  <c r="AR44" i="4"/>
  <c r="AY544" i="13"/>
  <c r="I395" i="15" a="1"/>
  <c r="I395" i="15" s="1"/>
  <c r="BQ47" i="69" a="1"/>
  <c r="BQ47" i="69" s="1"/>
  <c r="BG47" i="69"/>
  <c r="AW47" i="69" s="1" a="1"/>
  <c r="AW47" i="69" s="1"/>
  <c r="R47" i="69"/>
  <c r="AO47" i="69" s="1" a="1"/>
  <c r="AO47" i="69" s="1"/>
  <c r="BT47" i="69"/>
  <c r="BD47" i="69"/>
  <c r="BM47" i="69" a="1"/>
  <c r="BM47" i="69" s="1"/>
  <c r="BN47" i="69" a="1"/>
  <c r="BN47" i="69" s="1"/>
  <c r="Z1572" i="13"/>
  <c r="A1567" i="13"/>
  <c r="AX1468" i="13"/>
  <c r="AD32" i="72"/>
  <c r="BF17" i="69"/>
  <c r="BE17" i="69"/>
  <c r="BA1767" i="13" a="1"/>
  <c r="BA1767" i="13" s="1"/>
  <c r="BS31" i="4"/>
  <c r="I373" i="15" a="1"/>
  <c r="I373" i="15" s="1"/>
  <c r="AR17" i="4"/>
  <c r="AS17" i="4"/>
  <c r="AY517" i="13"/>
  <c r="AM19" i="72"/>
  <c r="AP19" i="72"/>
  <c r="CE19" i="72" a="1"/>
  <c r="CE19" i="72" s="1"/>
  <c r="CC19" i="72"/>
  <c r="BZ19" i="72" a="1"/>
  <c r="BZ19" i="72" s="1"/>
  <c r="BT19" i="72"/>
  <c r="CB19" i="72"/>
  <c r="AV19" i="72" a="1"/>
  <c r="AV19" i="72" s="1"/>
  <c r="CD19" i="72"/>
  <c r="I540" i="15" a="1"/>
  <c r="I540" i="15" s="1"/>
  <c r="AX81" i="72" a="1"/>
  <c r="AX81" i="72" s="1"/>
  <c r="AZ81" i="72" a="1"/>
  <c r="AZ81" i="72" s="1"/>
  <c r="BD81" i="72" a="1"/>
  <c r="BD81" i="72" s="1"/>
  <c r="BI81" i="72" a="1"/>
  <c r="BI81" i="72" s="1"/>
  <c r="AJ81" i="72" a="1"/>
  <c r="AJ81" i="72" s="1"/>
  <c r="BJ81" i="72" a="1"/>
  <c r="BJ81" i="72" s="1"/>
  <c r="BI40" i="69"/>
  <c r="L79" i="69"/>
  <c r="BD79" i="69"/>
  <c r="BG79" i="69"/>
  <c r="BT79" i="69"/>
  <c r="BM79" i="69" a="1"/>
  <c r="BM79" i="69" s="1"/>
  <c r="R79" i="69"/>
  <c r="H254" i="15" a="1"/>
  <c r="H254" i="15" s="1"/>
  <c r="AQ41" i="69" a="1"/>
  <c r="AQ41" i="69" s="1"/>
  <c r="AH41" i="69" a="1"/>
  <c r="AH41" i="69" s="1"/>
  <c r="AK41" i="69" a="1"/>
  <c r="AK41" i="69" s="1"/>
  <c r="AZ41" i="69" a="1"/>
  <c r="AZ41" i="69" s="1"/>
  <c r="AU41" i="69" a="1"/>
  <c r="AU41" i="69" s="1"/>
  <c r="AF41" i="69" a="1"/>
  <c r="AF41" i="69" s="1"/>
  <c r="BA41" i="69" a="1"/>
  <c r="BA41" i="69" s="1"/>
  <c r="AI41" i="69" a="1"/>
  <c r="AI41" i="69" s="1"/>
  <c r="AO41" i="69" a="1"/>
  <c r="AO41" i="69" s="1"/>
  <c r="X5" i="4"/>
  <c r="AY532" i="13"/>
  <c r="AR32" i="4"/>
  <c r="AS32" i="4"/>
  <c r="A1559" i="13"/>
  <c r="Z1564" i="13"/>
  <c r="AX1460" i="13"/>
  <c r="O19" i="69"/>
  <c r="BH52" i="69"/>
  <c r="BV52" i="69"/>
  <c r="H107" i="15" a="1"/>
  <c r="H107" i="15" s="1"/>
  <c r="BV53" i="69"/>
  <c r="CG64" i="72" a="1"/>
  <c r="CG64" i="72" s="1"/>
  <c r="CF64" i="72" a="1"/>
  <c r="CF64" i="72" s="1"/>
  <c r="E64" i="72"/>
  <c r="BN64" i="72"/>
  <c r="BO64" i="72"/>
  <c r="O37" i="72"/>
  <c r="I367" i="15" a="1"/>
  <c r="I367" i="15" s="1"/>
  <c r="BR49" i="72"/>
  <c r="H675" i="15" a="1"/>
  <c r="H675" i="15" s="1"/>
  <c r="AD38" i="72"/>
  <c r="CB40" i="4"/>
  <c r="AU40" i="4" a="1"/>
  <c r="AU40" i="4" s="1"/>
  <c r="Y40" i="4"/>
  <c r="AV40" i="4"/>
  <c r="AW40" i="4" a="1"/>
  <c r="AW40" i="4" s="1"/>
  <c r="BR40" i="4"/>
  <c r="DA40" i="4"/>
  <c r="DB40" i="4" s="1"/>
  <c r="P42" i="9" s="1"/>
  <c r="I573" i="15" a="1"/>
  <c r="I573" i="15" s="1"/>
  <c r="BE66" i="69"/>
  <c r="BF66" i="69"/>
  <c r="BE51" i="69"/>
  <c r="AG51" i="69" s="1" a="1"/>
  <c r="AG51" i="69" s="1"/>
  <c r="BF51" i="69"/>
  <c r="BG53" i="72" a="1"/>
  <c r="BG53" i="72" s="1"/>
  <c r="BJ53" i="72" a="1"/>
  <c r="BJ53" i="72" s="1"/>
  <c r="AX53" i="72" a="1"/>
  <c r="AX53" i="72" s="1"/>
  <c r="BI53" i="72" a="1"/>
  <c r="BI53" i="72" s="1"/>
  <c r="AZ53" i="72" a="1"/>
  <c r="AZ53" i="72" s="1"/>
  <c r="AH53" i="72" a="1"/>
  <c r="AH53" i="72" s="1"/>
  <c r="BD53" i="72" a="1"/>
  <c r="BD53" i="72" s="1"/>
  <c r="AJ53" i="72" a="1"/>
  <c r="AJ53" i="72" s="1"/>
  <c r="O37" i="69"/>
  <c r="BV26" i="69"/>
  <c r="BD1767" i="13" a="1"/>
  <c r="BD1767" i="13" s="1"/>
  <c r="BO93" i="72"/>
  <c r="BN93" i="72"/>
  <c r="CG15" i="72" a="1"/>
  <c r="CG15" i="72" s="1"/>
  <c r="CF15" i="72" a="1"/>
  <c r="CF15" i="72" s="1"/>
  <c r="AH15" i="72" s="1" a="1"/>
  <c r="AH15" i="72" s="1"/>
  <c r="E15" i="72"/>
  <c r="BV78" i="69"/>
  <c r="BV38" i="69"/>
  <c r="AT38" i="69" a="1"/>
  <c r="AT38" i="69" s="1"/>
  <c r="BS14" i="4"/>
  <c r="AS37" i="4"/>
  <c r="AR37" i="4"/>
  <c r="AY537" i="13"/>
  <c r="AR7" i="4"/>
  <c r="AY509" i="13"/>
  <c r="AS7" i="4"/>
  <c r="AT97" i="4"/>
  <c r="BX66" i="72"/>
  <c r="CA66" i="72" s="1"/>
  <c r="BN66" i="72"/>
  <c r="BO66" i="72"/>
  <c r="I440" i="15" a="1"/>
  <c r="I440" i="15" s="1"/>
  <c r="BN22" i="72"/>
  <c r="BO22" i="72"/>
  <c r="BX22" i="72"/>
  <c r="CA22" i="72" s="1"/>
  <c r="CI22" i="72"/>
  <c r="CG61" i="72" a="1"/>
  <c r="CG61" i="72" s="1"/>
  <c r="CF61" i="72" a="1"/>
  <c r="CF61" i="72" s="1"/>
  <c r="AH61" i="72" s="1" a="1"/>
  <c r="AH61" i="72" s="1"/>
  <c r="E61" i="72"/>
  <c r="CI18" i="72"/>
  <c r="CE18" i="72" a="1"/>
  <c r="CE18" i="72" s="1"/>
  <c r="AP18" i="72"/>
  <c r="CB18" i="72"/>
  <c r="AV18" i="72" a="1"/>
  <c r="AV18" i="72" s="1"/>
  <c r="AM18" i="72"/>
  <c r="CD18" i="72"/>
  <c r="BT18" i="72"/>
  <c r="CC18" i="72"/>
  <c r="AI18" i="72" s="1"/>
  <c r="BZ18" i="72" a="1"/>
  <c r="BZ18" i="72" s="1"/>
  <c r="AM26" i="72"/>
  <c r="AP26" i="72"/>
  <c r="CE26" i="72" a="1"/>
  <c r="CE26" i="72" s="1"/>
  <c r="CB26" i="72"/>
  <c r="CD26" i="72"/>
  <c r="AV26" i="72" a="1"/>
  <c r="AV26" i="72" s="1"/>
  <c r="BZ26" i="72" a="1"/>
  <c r="BZ26" i="72" s="1"/>
  <c r="BT26" i="72"/>
  <c r="AS26" i="72" a="1"/>
  <c r="AS26" i="72" s="1"/>
  <c r="AU26" i="72" a="1"/>
  <c r="AU26" i="72" s="1"/>
  <c r="BV26" i="72" a="1"/>
  <c r="BV26" i="72" s="1"/>
  <c r="BP26" i="72"/>
  <c r="BM26" i="72"/>
  <c r="AT26" i="72" a="1"/>
  <c r="AT26" i="72" s="1"/>
  <c r="AW26" i="72"/>
  <c r="R26" i="72"/>
  <c r="AL26" i="72" a="1"/>
  <c r="AL26" i="72" s="1"/>
  <c r="BW26" i="72" a="1"/>
  <c r="BW26" i="72" s="1"/>
  <c r="AY26" i="72" a="1"/>
  <c r="AY26" i="72" s="1"/>
  <c r="I648" i="15" a="1"/>
  <c r="I648" i="15" s="1"/>
  <c r="H9" i="69"/>
  <c r="H9" i="72"/>
  <c r="I571" i="15" a="1"/>
  <c r="I571" i="15" s="1"/>
  <c r="A1563" i="13"/>
  <c r="Z1568" i="13"/>
  <c r="AX1464" i="13"/>
  <c r="H265" i="15" a="1"/>
  <c r="H265" i="15" s="1"/>
  <c r="BD12" i="72" a="1"/>
  <c r="BD12" i="72" s="1"/>
  <c r="AX12" i="72" a="1"/>
  <c r="AX12" i="72" s="1"/>
  <c r="BI12" i="72" a="1"/>
  <c r="BI12" i="72" s="1"/>
  <c r="AZ12" i="72" a="1"/>
  <c r="AZ12" i="72" s="1"/>
  <c r="AJ12" i="72" a="1"/>
  <c r="AJ12" i="72" s="1"/>
  <c r="BJ12" i="72" a="1"/>
  <c r="BJ12" i="72" s="1"/>
  <c r="AO1" i="72"/>
  <c r="BI31" i="69"/>
  <c r="F461" i="15" a="1"/>
  <c r="F461" i="15" s="1"/>
  <c r="AF68" i="69" a="1"/>
  <c r="AF68" i="69" s="1"/>
  <c r="AK68" i="69" a="1"/>
  <c r="AK68" i="69" s="1"/>
  <c r="AZ68" i="69" a="1"/>
  <c r="AZ68" i="69" s="1"/>
  <c r="AU68" i="69" a="1"/>
  <c r="AU68" i="69" s="1"/>
  <c r="AI68" i="69" a="1"/>
  <c r="AI68" i="69" s="1"/>
  <c r="BA68" i="69" a="1"/>
  <c r="BA68" i="69" s="1"/>
  <c r="AQ68" i="69" a="1"/>
  <c r="AQ68" i="69" s="1"/>
  <c r="AH68" i="69" a="1"/>
  <c r="AH68" i="69" s="1"/>
  <c r="BF68" i="69"/>
  <c r="BE68" i="69"/>
  <c r="AG68" i="69" s="1" a="1"/>
  <c r="AG68" i="69" s="1"/>
  <c r="BE22" i="69"/>
  <c r="BF22" i="69"/>
  <c r="BV18" i="69"/>
  <c r="AT18" i="69" a="1"/>
  <c r="AT18" i="69" s="1"/>
  <c r="BQ83" i="69" a="1"/>
  <c r="BQ83" i="69" s="1"/>
  <c r="BT83" i="69"/>
  <c r="R83" i="69"/>
  <c r="BD83" i="69"/>
  <c r="BM83" i="69" a="1"/>
  <c r="BM83" i="69" s="1"/>
  <c r="BG83" i="69"/>
  <c r="H258" i="15" a="1"/>
  <c r="H258" i="15" s="1"/>
  <c r="AR19" i="4"/>
  <c r="AS19" i="4"/>
  <c r="AY519" i="13"/>
  <c r="AR36" i="4"/>
  <c r="AS36" i="4"/>
  <c r="AY536" i="13"/>
  <c r="X87" i="4"/>
  <c r="O12" i="69"/>
  <c r="BO12" i="69"/>
  <c r="BR12" i="69" s="1"/>
  <c r="BE12" i="69"/>
  <c r="AN12" i="69" s="1" a="1"/>
  <c r="AN12" i="69" s="1"/>
  <c r="BF12" i="69"/>
  <c r="I396" i="15" a="1"/>
  <c r="I396" i="15" s="1"/>
  <c r="U72" i="69" a="1"/>
  <c r="U72" i="69" s="1"/>
  <c r="BP57" i="69"/>
  <c r="BO57" i="69" s="1"/>
  <c r="BR57" i="69" s="1"/>
  <c r="BV57" i="69"/>
  <c r="BO77" i="69"/>
  <c r="BR77" i="69" s="1"/>
  <c r="BE77" i="69"/>
  <c r="AN77" i="69" s="1" a="1"/>
  <c r="AN77" i="69" s="1"/>
  <c r="BF77" i="69"/>
  <c r="U83" i="72" a="1"/>
  <c r="U83" i="72" s="1"/>
  <c r="I304" i="15" a="1"/>
  <c r="I304" i="15" s="1"/>
  <c r="K52" i="69" a="1"/>
  <c r="K52" i="69" s="1"/>
  <c r="V23" i="69"/>
  <c r="B23" i="69" s="1"/>
  <c r="T23" i="69"/>
  <c r="BC23" i="69"/>
  <c r="Y23" i="69"/>
  <c r="N23" i="69" a="1"/>
  <c r="N23" i="69" s="1"/>
  <c r="BB23" i="69"/>
  <c r="BU23" i="69"/>
  <c r="AC23" i="69"/>
  <c r="G23" i="69"/>
  <c r="W23" i="69"/>
  <c r="U23" i="69" a="1"/>
  <c r="U23" i="69" s="1"/>
  <c r="AS23" i="69"/>
  <c r="AR23" i="69"/>
  <c r="Z23" i="69"/>
  <c r="M23" i="69"/>
  <c r="AA23" i="69"/>
  <c r="AB23" i="69" a="1"/>
  <c r="AB23" i="69" s="1"/>
  <c r="L23" i="69"/>
  <c r="J23" i="69"/>
  <c r="P23" i="69"/>
  <c r="Q23" i="69"/>
  <c r="K23" i="69" a="1"/>
  <c r="K23" i="69" s="1"/>
  <c r="S23" i="69"/>
  <c r="A23" i="69"/>
  <c r="BP69" i="72"/>
  <c r="BE69" i="72" s="1" a="1"/>
  <c r="BE69" i="72" s="1"/>
  <c r="AS69" i="72" a="1"/>
  <c r="AS69" i="72" s="1"/>
  <c r="AW69" i="72"/>
  <c r="AL69" i="72" a="1"/>
  <c r="AL69" i="72" s="1"/>
  <c r="AT69" i="72" a="1"/>
  <c r="AT69" i="72" s="1"/>
  <c r="AU69" i="72" a="1"/>
  <c r="AU69" i="72" s="1"/>
  <c r="R69" i="72"/>
  <c r="AY69" i="72" a="1"/>
  <c r="AY69" i="72" s="1"/>
  <c r="BV69" i="72" a="1"/>
  <c r="BV69" i="72" s="1"/>
  <c r="BM69" i="72"/>
  <c r="BW69" i="72" a="1"/>
  <c r="BW69" i="72" s="1"/>
  <c r="G72" i="72"/>
  <c r="BQ76" i="69" a="1"/>
  <c r="BQ76" i="69" s="1"/>
  <c r="BG76" i="69"/>
  <c r="AV76" i="69" s="1" a="1"/>
  <c r="AV76" i="69" s="1"/>
  <c r="BN76" i="69" a="1"/>
  <c r="BN76" i="69" s="1"/>
  <c r="AP76" i="69" a="1"/>
  <c r="AP76" i="69" s="1"/>
  <c r="BT76" i="69"/>
  <c r="R76" i="69"/>
  <c r="BM76" i="69" a="1"/>
  <c r="BM76" i="69" s="1"/>
  <c r="BD76" i="69"/>
  <c r="AO76" i="69" s="1" a="1"/>
  <c r="AO76" i="69" s="1"/>
  <c r="O57" i="72"/>
  <c r="O77" i="72"/>
  <c r="AK24" i="72" a="1"/>
  <c r="AK24" i="72" s="1"/>
  <c r="BP73" i="69"/>
  <c r="BM73" i="69" a="1"/>
  <c r="BM73" i="69" s="1"/>
  <c r="BG73" i="69"/>
  <c r="R73" i="69"/>
  <c r="BD73" i="69"/>
  <c r="BT73" i="69"/>
  <c r="G73" i="69"/>
  <c r="BQ34" i="72"/>
  <c r="BN34" i="72"/>
  <c r="BO34" i="72"/>
  <c r="B65" i="72"/>
  <c r="AY20" i="72" a="1"/>
  <c r="AY20" i="72" s="1"/>
  <c r="AZ20" i="72" a="1"/>
  <c r="AZ20" i="72" s="1"/>
  <c r="AH20" i="72" a="1"/>
  <c r="AH20" i="72" s="1"/>
  <c r="AX20" i="72" a="1"/>
  <c r="AX20" i="72" s="1"/>
  <c r="BJ20" i="72" a="1"/>
  <c r="BJ20" i="72" s="1"/>
  <c r="BI20" i="72" a="1"/>
  <c r="BI20" i="72" s="1"/>
  <c r="BD20" i="72" a="1"/>
  <c r="BD20" i="72" s="1"/>
  <c r="AJ20" i="72" a="1"/>
  <c r="AJ20" i="72" s="1"/>
  <c r="O43" i="72"/>
  <c r="AY36" i="69" a="1"/>
  <c r="AY36" i="69" s="1"/>
  <c r="BP86" i="69"/>
  <c r="BO86" i="69" s="1"/>
  <c r="BR86" i="69" s="1"/>
  <c r="BT86" i="69"/>
  <c r="BM86" i="69" a="1"/>
  <c r="BM86" i="69" s="1"/>
  <c r="R86" i="69"/>
  <c r="AO86" i="69" s="1" a="1"/>
  <c r="AO86" i="69" s="1"/>
  <c r="AP86" i="69" a="1"/>
  <c r="AP86" i="69" s="1"/>
  <c r="BN86" i="69" a="1"/>
  <c r="BN86" i="69" s="1"/>
  <c r="BD86" i="69"/>
  <c r="BG86" i="69"/>
  <c r="AV86" i="69" s="1" a="1"/>
  <c r="AV86" i="69" s="1"/>
  <c r="BE62" i="4"/>
  <c r="X62" i="4" s="1"/>
  <c r="BS85" i="69"/>
  <c r="BH54" i="72" a="1"/>
  <c r="BH54" i="72" s="1"/>
  <c r="I474" i="15" a="1"/>
  <c r="I474" i="15" s="1"/>
  <c r="BO90" i="72"/>
  <c r="BN90" i="72"/>
  <c r="BX90" i="72"/>
  <c r="CA90" i="72" s="1"/>
  <c r="U75" i="69" a="1"/>
  <c r="U75" i="69" s="1"/>
  <c r="AY24" i="69" a="1"/>
  <c r="AY24" i="69" s="1"/>
  <c r="AV96" i="69" a="1"/>
  <c r="AV96" i="69" s="1"/>
  <c r="BO33" i="72"/>
  <c r="BX33" i="72"/>
  <c r="CA33" i="72" s="1"/>
  <c r="BN33" i="72"/>
  <c r="BT33" i="72"/>
  <c r="AM33" i="72"/>
  <c r="CB33" i="72"/>
  <c r="BZ33" i="72" a="1"/>
  <c r="BZ33" i="72" s="1"/>
  <c r="CD33" i="72"/>
  <c r="CE33" i="72" a="1"/>
  <c r="CE33" i="72" s="1"/>
  <c r="AP33" i="72"/>
  <c r="AV33" i="72" a="1"/>
  <c r="AV33" i="72" s="1"/>
  <c r="CG73" i="72" a="1"/>
  <c r="CG73" i="72" s="1"/>
  <c r="CF73" i="72" a="1"/>
  <c r="CF73" i="72" s="1"/>
  <c r="AH73" i="72" s="1" a="1"/>
  <c r="AH73" i="72" s="1"/>
  <c r="E73" i="72"/>
  <c r="BN73" i="72"/>
  <c r="BO73" i="72"/>
  <c r="H283" i="15" a="1"/>
  <c r="H283" i="15" s="1"/>
  <c r="AE34" i="69" a="1"/>
  <c r="AE34" i="69" s="1"/>
  <c r="BN16" i="72"/>
  <c r="BO16" i="72"/>
  <c r="I512" i="15" a="1"/>
  <c r="I512" i="15" s="1"/>
  <c r="H209" i="15" a="1"/>
  <c r="H209" i="15" s="1"/>
  <c r="I102" i="15" a="1"/>
  <c r="I102" i="15" s="1"/>
  <c r="BH77" i="4"/>
  <c r="AV1175" i="13" s="1"/>
  <c r="X77" i="4"/>
  <c r="L77" i="4"/>
  <c r="BH91" i="4"/>
  <c r="AV1189" i="13" s="1"/>
  <c r="L91" i="4"/>
  <c r="AI55" i="4"/>
  <c r="BG85" i="4"/>
  <c r="BG89" i="4"/>
  <c r="V55" i="72"/>
  <c r="K95" i="72" s="1" a="1"/>
  <c r="K95" i="72" s="1"/>
  <c r="X55" i="69"/>
  <c r="K57" i="69" s="1" a="1"/>
  <c r="K57" i="69" s="1"/>
  <c r="BH83" i="4"/>
  <c r="AV1181" i="13" s="1"/>
  <c r="BS83" i="4"/>
  <c r="L83" i="4"/>
  <c r="BH87" i="4"/>
  <c r="AV1185" i="13" s="1"/>
  <c r="BS87" i="4"/>
  <c r="L87" i="4"/>
  <c r="BH62" i="4"/>
  <c r="AV1160" i="13" s="1"/>
  <c r="L62" i="4"/>
  <c r="AW19" i="4" a="1"/>
  <c r="AW19" i="4" s="1"/>
  <c r="Y19" i="4"/>
  <c r="AU19" i="4" a="1"/>
  <c r="AU19" i="4" s="1"/>
  <c r="AV19" i="4"/>
  <c r="BR19" i="4"/>
  <c r="CB19" i="4"/>
  <c r="I307" i="15" a="1"/>
  <c r="I307" i="15" s="1"/>
  <c r="L59" i="69"/>
  <c r="BP74" i="69"/>
  <c r="BD74" i="69"/>
  <c r="AO74" i="69" s="1" a="1"/>
  <c r="AO74" i="69" s="1"/>
  <c r="BM74" i="69" a="1"/>
  <c r="BM74" i="69" s="1"/>
  <c r="AP74" i="69" a="1"/>
  <c r="AP74" i="69" s="1"/>
  <c r="BG74" i="69"/>
  <c r="AW74" i="69" s="1" a="1"/>
  <c r="AW74" i="69" s="1"/>
  <c r="R74" i="69"/>
  <c r="BT74" i="69"/>
  <c r="BN74" i="69" a="1"/>
  <c r="BN74" i="69" s="1"/>
  <c r="BV27" i="72" a="1"/>
  <c r="BV27" i="72" s="1"/>
  <c r="BM27" i="72"/>
  <c r="AS27" i="72" a="1"/>
  <c r="AS27" i="72" s="1"/>
  <c r="AW27" i="72"/>
  <c r="AT27" i="72" a="1"/>
  <c r="AT27" i="72" s="1"/>
  <c r="BP27" i="72"/>
  <c r="BF27" i="72" s="1" a="1"/>
  <c r="BF27" i="72" s="1"/>
  <c r="AU27" i="72" a="1"/>
  <c r="AU27" i="72" s="1"/>
  <c r="AL27" i="72" a="1"/>
  <c r="AL27" i="72" s="1"/>
  <c r="R27" i="72"/>
  <c r="AY27" i="72" a="1"/>
  <c r="AY27" i="72" s="1"/>
  <c r="BW27" i="72" a="1"/>
  <c r="BW27" i="72" s="1"/>
  <c r="BQ20" i="69" a="1"/>
  <c r="BQ20" i="69" s="1"/>
  <c r="BD20" i="69"/>
  <c r="BT20" i="69"/>
  <c r="R20" i="69"/>
  <c r="AO20" i="69" s="1" a="1"/>
  <c r="AO20" i="69" s="1"/>
  <c r="BM20" i="69" a="1"/>
  <c r="BM20" i="69" s="1"/>
  <c r="BG20" i="69"/>
  <c r="AW20" i="69" s="1" a="1"/>
  <c r="AW20" i="69" s="1"/>
  <c r="AP20" i="69" a="1"/>
  <c r="AP20" i="69" s="1"/>
  <c r="BV20" i="69"/>
  <c r="AT20" i="69" a="1"/>
  <c r="AT20" i="69" s="1"/>
  <c r="Y18" i="4"/>
  <c r="AV18" i="4"/>
  <c r="AW18" i="4" a="1"/>
  <c r="AW18" i="4" s="1"/>
  <c r="AU18" i="4" a="1"/>
  <c r="AU18" i="4" s="1"/>
  <c r="BR18" i="4"/>
  <c r="CB18" i="4"/>
  <c r="CG59" i="72" a="1"/>
  <c r="CG59" i="72" s="1"/>
  <c r="CF59" i="72" a="1"/>
  <c r="CF59" i="72" s="1"/>
  <c r="E59" i="72"/>
  <c r="L59" i="72"/>
  <c r="AU59" i="72" a="1"/>
  <c r="AU59" i="72" s="1"/>
  <c r="AL59" i="72" a="1"/>
  <c r="AL59" i="72" s="1"/>
  <c r="AT59" i="72" a="1"/>
  <c r="AT59" i="72" s="1"/>
  <c r="BP59" i="72"/>
  <c r="AS59" i="72" a="1"/>
  <c r="AS59" i="72" s="1"/>
  <c r="R59" i="72"/>
  <c r="BV59" i="72" a="1"/>
  <c r="BV59" i="72" s="1"/>
  <c r="BM59" i="72"/>
  <c r="AW59" i="72"/>
  <c r="BP80" i="72"/>
  <c r="R80" i="72"/>
  <c r="BM80" i="72"/>
  <c r="AL80" i="72" a="1"/>
  <c r="AL80" i="72" s="1"/>
  <c r="AW80" i="72"/>
  <c r="AT80" i="72" a="1"/>
  <c r="AT80" i="72" s="1"/>
  <c r="BV80" i="72" a="1"/>
  <c r="BV80" i="72" s="1"/>
  <c r="AS80" i="72" a="1"/>
  <c r="AS80" i="72" s="1"/>
  <c r="AU80" i="72" a="1"/>
  <c r="AU80" i="72" s="1"/>
  <c r="BN80" i="72"/>
  <c r="BO80" i="72"/>
  <c r="AV1485" i="13"/>
  <c r="AX1485" i="13"/>
  <c r="A1584" i="13"/>
  <c r="Z1589" i="13"/>
  <c r="Z1689" i="13" s="1"/>
  <c r="BO45" i="69"/>
  <c r="BR45" i="69" s="1"/>
  <c r="BE45" i="69"/>
  <c r="AN45" i="69" s="1" a="1"/>
  <c r="AN45" i="69" s="1"/>
  <c r="BF45" i="69"/>
  <c r="F399" i="15" a="1"/>
  <c r="F399" i="15" s="1"/>
  <c r="H399" i="15" a="1"/>
  <c r="H399" i="15" s="1"/>
  <c r="I399" i="15" a="1"/>
  <c r="I399" i="15" s="1"/>
  <c r="I398" i="15" a="1"/>
  <c r="I398" i="15" s="1"/>
  <c r="H398" i="15" a="1"/>
  <c r="H398" i="15" s="1"/>
  <c r="BV62" i="69"/>
  <c r="BI28" i="69"/>
  <c r="BV28" i="69"/>
  <c r="AT28" i="69" a="1"/>
  <c r="AT28" i="69" s="1"/>
  <c r="I654" i="15" a="1"/>
  <c r="I654" i="15" s="1"/>
  <c r="AK48" i="72" a="1"/>
  <c r="AK48" i="72" s="1"/>
  <c r="CD7" i="72"/>
  <c r="AV7" i="72" a="1"/>
  <c r="AV7" i="72" s="1"/>
  <c r="BT7" i="72"/>
  <c r="AM7" i="72"/>
  <c r="CE7" i="72" a="1"/>
  <c r="CE7" i="72" s="1"/>
  <c r="AP7" i="72"/>
  <c r="CB7" i="72"/>
  <c r="BZ7" i="72" a="1"/>
  <c r="BZ7" i="72" s="1"/>
  <c r="CC7" i="72"/>
  <c r="AI7" i="72" s="1"/>
  <c r="P101" i="27" a="1"/>
  <c r="P101" i="27" s="1"/>
  <c r="AX257" i="13"/>
  <c r="A357" i="13"/>
  <c r="AX357" i="13" s="1"/>
  <c r="AY89" i="69" a="1"/>
  <c r="AY89" i="69" s="1"/>
  <c r="BD89" i="69"/>
  <c r="AO89" i="69" s="1" a="1"/>
  <c r="AO89" i="69" s="1"/>
  <c r="BT89" i="69"/>
  <c r="R89" i="69"/>
  <c r="BG89" i="69"/>
  <c r="AW89" i="69" s="1" a="1"/>
  <c r="AW89" i="69" s="1"/>
  <c r="BN89" i="69" a="1"/>
  <c r="BN89" i="69" s="1"/>
  <c r="AP89" i="69" a="1"/>
  <c r="AP89" i="69" s="1"/>
  <c r="BM89" i="69" a="1"/>
  <c r="BM89" i="69" s="1"/>
  <c r="I83" i="72"/>
  <c r="I83" i="69"/>
  <c r="CD21" i="72"/>
  <c r="BZ21" i="72" a="1"/>
  <c r="BZ21" i="72" s="1"/>
  <c r="CC21" i="72"/>
  <c r="AI21" i="72" s="1"/>
  <c r="CB21" i="72"/>
  <c r="AV21" i="72" a="1"/>
  <c r="AV21" i="72" s="1"/>
  <c r="CE21" i="72" a="1"/>
  <c r="CE21" i="72" s="1"/>
  <c r="AM21" i="72"/>
  <c r="AP21" i="72"/>
  <c r="BN78" i="72"/>
  <c r="BO78" i="72"/>
  <c r="BV14" i="72" a="1"/>
  <c r="BV14" i="72" s="1"/>
  <c r="AT14" i="72" a="1"/>
  <c r="AT14" i="72" s="1"/>
  <c r="AS14" i="72" a="1"/>
  <c r="AS14" i="72" s="1"/>
  <c r="AL14" i="72" a="1"/>
  <c r="AL14" i="72" s="1"/>
  <c r="BM14" i="72"/>
  <c r="R14" i="72"/>
  <c r="AU14" i="72" a="1"/>
  <c r="AU14" i="72" s="1"/>
  <c r="AW14" i="72"/>
  <c r="BP14" i="72"/>
  <c r="F23" i="72"/>
  <c r="P51" i="14"/>
  <c r="Z51" i="23"/>
  <c r="Z51" i="14" s="1"/>
  <c r="AL92" i="72" a="1"/>
  <c r="AL92" i="72" s="1"/>
  <c r="AS92" i="72" a="1"/>
  <c r="AS92" i="72" s="1"/>
  <c r="R92" i="72"/>
  <c r="AY92" i="72" a="1"/>
  <c r="AY92" i="72" s="1"/>
  <c r="BW92" i="72" a="1"/>
  <c r="BW92" i="72" s="1"/>
  <c r="BV92" i="72" a="1"/>
  <c r="BV92" i="72" s="1"/>
  <c r="BP92" i="72"/>
  <c r="BE92" i="72" s="1" a="1"/>
  <c r="BE92" i="72" s="1"/>
  <c r="BM92" i="72"/>
  <c r="AW92" i="72"/>
  <c r="AU92" i="72" a="1"/>
  <c r="AU92" i="72" s="1"/>
  <c r="AT92" i="72" a="1"/>
  <c r="AT92" i="72" s="1"/>
  <c r="I208" i="15" a="1"/>
  <c r="I208" i="15" s="1"/>
  <c r="D28" i="72" a="1"/>
  <c r="D28" i="72" s="1"/>
  <c r="D8" i="72" a="1"/>
  <c r="D8" i="72" s="1"/>
  <c r="L8" i="72"/>
  <c r="BM8" i="72"/>
  <c r="BP8" i="72"/>
  <c r="R8" i="72"/>
  <c r="AS8" i="72" a="1"/>
  <c r="AS8" i="72" s="1"/>
  <c r="AL8" i="72" a="1"/>
  <c r="AL8" i="72" s="1"/>
  <c r="AU8" i="72" a="1"/>
  <c r="AU8" i="72" s="1"/>
  <c r="AW8" i="72"/>
  <c r="BV8" i="72" a="1"/>
  <c r="BV8" i="72" s="1"/>
  <c r="AT8" i="72" a="1"/>
  <c r="AT8" i="72" s="1"/>
  <c r="AY11" i="69" a="1"/>
  <c r="AY11" i="69" s="1"/>
  <c r="BE91" i="69"/>
  <c r="BF91" i="69"/>
  <c r="BU70" i="4"/>
  <c r="BE70" i="4"/>
  <c r="X70" i="4" s="1"/>
  <c r="BS82" i="69"/>
  <c r="BE44" i="69"/>
  <c r="BF44" i="69"/>
  <c r="AD25" i="72"/>
  <c r="CD25" i="72"/>
  <c r="CE25" i="72" a="1"/>
  <c r="CE25" i="72" s="1"/>
  <c r="CB25" i="72"/>
  <c r="AP25" i="72"/>
  <c r="BZ25" i="72" a="1"/>
  <c r="BZ25" i="72" s="1"/>
  <c r="BT25" i="72"/>
  <c r="AM25" i="72"/>
  <c r="AV25" i="72" a="1"/>
  <c r="AV25" i="72" s="1"/>
  <c r="I210" i="15" a="1"/>
  <c r="I210" i="15" s="1"/>
  <c r="AD44" i="72"/>
  <c r="AS50" i="4"/>
  <c r="AR50" i="4"/>
  <c r="AY550" i="13"/>
  <c r="CF88" i="72" a="1"/>
  <c r="CF88" i="72" s="1"/>
  <c r="E88" i="72"/>
  <c r="CG88" i="72" a="1"/>
  <c r="CG88" i="72" s="1"/>
  <c r="I76" i="15" a="1"/>
  <c r="I76" i="15" s="1"/>
  <c r="BQ50" i="69" a="1"/>
  <c r="BQ50" i="69" s="1"/>
  <c r="BM50" i="69" a="1"/>
  <c r="BM50" i="69" s="1"/>
  <c r="BD50" i="69"/>
  <c r="AO50" i="69" s="1" a="1"/>
  <c r="AO50" i="69" s="1"/>
  <c r="BG50" i="69"/>
  <c r="AV50" i="69" s="1" a="1"/>
  <c r="AV50" i="69" s="1"/>
  <c r="R50" i="69"/>
  <c r="BT50" i="69"/>
  <c r="AP50" i="69" a="1"/>
  <c r="AP50" i="69" s="1"/>
  <c r="BN50" i="69" a="1"/>
  <c r="BN50" i="69" s="1"/>
  <c r="E50" i="69"/>
  <c r="BR32" i="72"/>
  <c r="BH11" i="72" a="1"/>
  <c r="BH11" i="72" s="1"/>
  <c r="CD82" i="72"/>
  <c r="BZ82" i="72" a="1"/>
  <c r="BZ82" i="72" s="1"/>
  <c r="CB82" i="72"/>
  <c r="AV82" i="72" a="1"/>
  <c r="AV82" i="72" s="1"/>
  <c r="AP82" i="72"/>
  <c r="CE82" i="72" a="1"/>
  <c r="CE82" i="72" s="1"/>
  <c r="AM82" i="72"/>
  <c r="H373" i="15" a="1"/>
  <c r="H373" i="15" s="1"/>
  <c r="O19" i="72"/>
  <c r="BO19" i="72"/>
  <c r="BN19" i="72"/>
  <c r="AK19" i="72" a="1"/>
  <c r="AK19" i="72" s="1"/>
  <c r="BU93" i="4"/>
  <c r="BE93" i="4"/>
  <c r="BS93" i="4" s="1"/>
  <c r="BT93" i="72" s="1"/>
  <c r="BS85" i="4"/>
  <c r="I348" i="15" a="1"/>
  <c r="I348" i="15" s="1"/>
  <c r="L81" i="72"/>
  <c r="BV40" i="69"/>
  <c r="AD49" i="69"/>
  <c r="BF49" i="69"/>
  <c r="BE49" i="69"/>
  <c r="AG49" i="69" s="1" a="1"/>
  <c r="AG49" i="69" s="1"/>
  <c r="AV5" i="4"/>
  <c r="AU5" i="4" a="1"/>
  <c r="AU5" i="4" s="1"/>
  <c r="AW5" i="4" a="1"/>
  <c r="AW5" i="4" s="1"/>
  <c r="Y5" i="4"/>
  <c r="BR5" i="4"/>
  <c r="CB5" i="4"/>
  <c r="AS13" i="4"/>
  <c r="AY513" i="13"/>
  <c r="AR13" i="4"/>
  <c r="AV1354" i="13"/>
  <c r="G58" i="69"/>
  <c r="G58" i="72"/>
  <c r="E3" i="1"/>
  <c r="E101" i="1" s="1"/>
  <c r="F97" i="1"/>
  <c r="AE19" i="69" a="1"/>
  <c r="AE19" i="69" s="1"/>
  <c r="BE19" i="69"/>
  <c r="BF19" i="69"/>
  <c r="Z1586" i="13"/>
  <c r="AX1482" i="13"/>
  <c r="A1581" i="13"/>
  <c r="Y60" i="4"/>
  <c r="AW60" i="4" a="1"/>
  <c r="AW60" i="4" s="1"/>
  <c r="C60" i="72" s="1"/>
  <c r="AU60" i="4" a="1"/>
  <c r="AU60" i="4" s="1"/>
  <c r="H60" i="72" s="1"/>
  <c r="AV60" i="4"/>
  <c r="BR60" i="4"/>
  <c r="I478" i="15" a="1"/>
  <c r="I478" i="15" s="1"/>
  <c r="I107" i="15" a="1"/>
  <c r="I107" i="15" s="1"/>
  <c r="BQ84" i="72"/>
  <c r="CF84" i="72" a="1"/>
  <c r="CF84" i="72" s="1"/>
  <c r="AH84" i="72" s="1" a="1"/>
  <c r="AH84" i="72" s="1"/>
  <c r="CG84" i="72" a="1"/>
  <c r="CG84" i="72" s="1"/>
  <c r="E84" i="72"/>
  <c r="BV81" i="69"/>
  <c r="AT81" i="69" a="1"/>
  <c r="AT81" i="69" s="1"/>
  <c r="CI37" i="72"/>
  <c r="H367" i="15" a="1"/>
  <c r="H367" i="15" s="1"/>
  <c r="BW49" i="72" a="1"/>
  <c r="BW49" i="72" s="1"/>
  <c r="AL49" i="72" a="1"/>
  <c r="AL49" i="72" s="1"/>
  <c r="R49" i="72"/>
  <c r="AY49" i="72" a="1"/>
  <c r="AY49" i="72" s="1"/>
  <c r="BV49" i="72" a="1"/>
  <c r="BV49" i="72" s="1"/>
  <c r="AS49" i="72" a="1"/>
  <c r="AS49" i="72" s="1"/>
  <c r="AT49" i="72" a="1"/>
  <c r="AT49" i="72" s="1"/>
  <c r="BP49" i="72"/>
  <c r="BF49" i="72" s="1" a="1"/>
  <c r="BF49" i="72" s="1"/>
  <c r="BM49" i="72"/>
  <c r="AW49" i="72"/>
  <c r="AU49" i="72" a="1"/>
  <c r="AU49" i="72" s="1"/>
  <c r="I675" i="15" a="1"/>
  <c r="I675" i="15" s="1"/>
  <c r="BV30" i="69"/>
  <c r="AT30" i="69" a="1"/>
  <c r="AT30" i="69" s="1"/>
  <c r="AS28" i="4"/>
  <c r="AR28" i="4"/>
  <c r="AY528" i="13"/>
  <c r="H573" i="15" a="1"/>
  <c r="H573" i="15" s="1"/>
  <c r="O53" i="72"/>
  <c r="CE53" i="72" a="1"/>
  <c r="CE53" i="72" s="1"/>
  <c r="AP53" i="72"/>
  <c r="BZ53" i="72" a="1"/>
  <c r="BZ53" i="72" s="1"/>
  <c r="CD53" i="72"/>
  <c r="AV53" i="72" a="1"/>
  <c r="AV53" i="72" s="1"/>
  <c r="CB53" i="72"/>
  <c r="BT53" i="72"/>
  <c r="AM53" i="72"/>
  <c r="CC53" i="72"/>
  <c r="AI53" i="72" s="1"/>
  <c r="AY84" i="69" a="1"/>
  <c r="AY84" i="69" s="1"/>
  <c r="BC1766" i="13" a="1"/>
  <c r="BC1766" i="13" s="1"/>
  <c r="CD93" i="72"/>
  <c r="BZ93" i="72" a="1"/>
  <c r="BZ93" i="72" s="1"/>
  <c r="AM93" i="72"/>
  <c r="AP93" i="72"/>
  <c r="AV93" i="72" a="1"/>
  <c r="AV93" i="72" s="1"/>
  <c r="CE93" i="72" a="1"/>
  <c r="CE93" i="72" s="1"/>
  <c r="CB93" i="72"/>
  <c r="I377" i="15" a="1"/>
  <c r="I377" i="15" s="1"/>
  <c r="AX1426" i="13"/>
  <c r="AV1426" i="13"/>
  <c r="A1525" i="13"/>
  <c r="Z1530" i="13"/>
  <c r="BR15" i="72"/>
  <c r="I663" i="15" a="1"/>
  <c r="I663" i="15" s="1"/>
  <c r="BK46" i="69"/>
  <c r="CI66" i="72"/>
  <c r="BN51" i="72"/>
  <c r="BO51" i="72"/>
  <c r="AW51" i="72"/>
  <c r="BV51" i="72" a="1"/>
  <c r="BV51" i="72" s="1"/>
  <c r="BM51" i="72"/>
  <c r="AU51" i="72" a="1"/>
  <c r="AU51" i="72" s="1"/>
  <c r="AL51" i="72" a="1"/>
  <c r="AL51" i="72" s="1"/>
  <c r="R51" i="72"/>
  <c r="BP51" i="72"/>
  <c r="AS51" i="72" a="1"/>
  <c r="AS51" i="72" s="1"/>
  <c r="AT51" i="72" a="1"/>
  <c r="AT51" i="72" s="1"/>
  <c r="AF22" i="72" a="1"/>
  <c r="AF22" i="72" s="1"/>
  <c r="BC22" i="72" s="1" a="1"/>
  <c r="BC22" i="72" s="1"/>
  <c r="BQ61" i="72"/>
  <c r="AK61" i="72" a="1"/>
  <c r="AK61" i="72" s="1"/>
  <c r="AK18" i="72" a="1"/>
  <c r="AK18" i="72" s="1"/>
  <c r="C13" i="69"/>
  <c r="D13" i="69" s="1" a="1"/>
  <c r="D13" i="69" s="1"/>
  <c r="CI26" i="72"/>
  <c r="BC26" i="72" a="1"/>
  <c r="BC26" i="72" s="1"/>
  <c r="C9" i="72"/>
  <c r="D9" i="72" s="1" a="1"/>
  <c r="D9" i="72" s="1"/>
  <c r="C9" i="69"/>
  <c r="D9" i="69" s="1" a="1"/>
  <c r="D9" i="69" s="1"/>
  <c r="AR122" i="72"/>
  <c r="AK119" i="72"/>
  <c r="AK118" i="72"/>
  <c r="AR117" i="72"/>
  <c r="AR111" i="72"/>
  <c r="AR113" i="72"/>
  <c r="AK120" i="72"/>
  <c r="AK128" i="72"/>
  <c r="AK112" i="72"/>
  <c r="AR108" i="72"/>
  <c r="AK114" i="72"/>
  <c r="AK124" i="72"/>
  <c r="AK108" i="72"/>
  <c r="AK129" i="72"/>
  <c r="AK121" i="72"/>
  <c r="AR109" i="72"/>
  <c r="AK122" i="72"/>
  <c r="AR112" i="72"/>
  <c r="AK116" i="72"/>
  <c r="AR130" i="72"/>
  <c r="AK110" i="72"/>
  <c r="AK111" i="72"/>
  <c r="AR126" i="72"/>
  <c r="AR120" i="72"/>
  <c r="AK109" i="72"/>
  <c r="AR124" i="72"/>
  <c r="AK125" i="72"/>
  <c r="AK127" i="72"/>
  <c r="AR129" i="72"/>
  <c r="AR115" i="72"/>
  <c r="AR114" i="72"/>
  <c r="AR127" i="72"/>
  <c r="AK115" i="72"/>
  <c r="AK126" i="72"/>
  <c r="K3" i="1"/>
  <c r="AK106" i="72" s="1"/>
  <c r="AR123" i="72"/>
  <c r="AR107" i="72"/>
  <c r="AR106" i="72"/>
  <c r="AR119" i="72"/>
  <c r="AR110" i="72"/>
  <c r="AR121" i="72"/>
  <c r="AK113" i="72"/>
  <c r="AK123" i="72"/>
  <c r="AR116" i="72"/>
  <c r="AR125" i="72"/>
  <c r="AK107" i="72"/>
  <c r="AK117" i="72"/>
  <c r="AR118" i="72"/>
  <c r="AK130" i="72"/>
  <c r="AR128" i="72"/>
  <c r="D17" i="72" a="1"/>
  <c r="D17" i="72" s="1"/>
  <c r="G95" i="69"/>
  <c r="AD46" i="72"/>
  <c r="CF46" i="72" a="1"/>
  <c r="CF46" i="72" s="1"/>
  <c r="AH46" i="72" s="1" a="1"/>
  <c r="AH46" i="72" s="1"/>
  <c r="CG46" i="72" a="1"/>
  <c r="CG46" i="72" s="1"/>
  <c r="E46" i="72"/>
  <c r="C4" i="72"/>
  <c r="D4" i="72" s="1" a="1"/>
  <c r="D4" i="72" s="1"/>
  <c r="C4" i="69"/>
  <c r="D4" i="69" s="1" a="1"/>
  <c r="D4" i="69" s="1"/>
  <c r="BP12" i="72"/>
  <c r="BF12" i="72" s="1" a="1"/>
  <c r="BF12" i="72" s="1"/>
  <c r="BV12" i="72" a="1"/>
  <c r="BV12" i="72" s="1"/>
  <c r="AU12" i="72" a="1"/>
  <c r="AU12" i="72" s="1"/>
  <c r="AW12" i="72"/>
  <c r="R12" i="72"/>
  <c r="BM12" i="72"/>
  <c r="AS12" i="72" a="1"/>
  <c r="AS12" i="72" s="1"/>
  <c r="AT12" i="72" a="1"/>
  <c r="AT12" i="72" s="1"/>
  <c r="AL12" i="72" a="1"/>
  <c r="AL12" i="72" s="1"/>
  <c r="AY12" i="72" a="1"/>
  <c r="AY12" i="72" s="1"/>
  <c r="BW12" i="72" a="1"/>
  <c r="BW12" i="72" s="1"/>
  <c r="BE31" i="69"/>
  <c r="AN31" i="69" s="1" a="1"/>
  <c r="AN31" i="69" s="1"/>
  <c r="BF31" i="69"/>
  <c r="AX1487" i="13"/>
  <c r="A1586" i="13"/>
  <c r="AV1487" i="13"/>
  <c r="I154" i="15" a="1"/>
  <c r="I154" i="15" s="1"/>
  <c r="P38" i="23"/>
  <c r="AY61" i="69" a="1"/>
  <c r="AY61" i="69" s="1"/>
  <c r="BV61" i="69"/>
  <c r="A1580" i="13"/>
  <c r="Z1585" i="13"/>
  <c r="AX1481" i="13"/>
  <c r="AV1481" i="13"/>
  <c r="I258" i="15" a="1"/>
  <c r="I258" i="15" s="1"/>
  <c r="I413" i="15" a="1"/>
  <c r="I413" i="15" s="1"/>
  <c r="BS34" i="4"/>
  <c r="BT34" i="72" s="1"/>
  <c r="BV69" i="69"/>
  <c r="BF35" i="69"/>
  <c r="BE35" i="69"/>
  <c r="BV35" i="69"/>
  <c r="BI12" i="69"/>
  <c r="BN31" i="72"/>
  <c r="BO31" i="72"/>
  <c r="BV72" i="69"/>
  <c r="AT72" i="69" a="1"/>
  <c r="AT72" i="69" s="1"/>
  <c r="O76" i="72"/>
  <c r="BH57" i="69"/>
  <c r="BE57" i="69"/>
  <c r="BF57" i="69"/>
  <c r="BG71" i="72" a="1"/>
  <c r="BG71" i="72" s="1"/>
  <c r="AZ71" i="72" a="1"/>
  <c r="AZ71" i="72" s="1"/>
  <c r="BI71" i="72" a="1"/>
  <c r="BI71" i="72" s="1"/>
  <c r="BD71" i="72" a="1"/>
  <c r="BD71" i="72" s="1"/>
  <c r="AJ71" i="72" a="1"/>
  <c r="AJ71" i="72" s="1"/>
  <c r="BJ71" i="72" a="1"/>
  <c r="BJ71" i="72" s="1"/>
  <c r="AX71" i="72" a="1"/>
  <c r="AX71" i="72" s="1"/>
  <c r="CG71" i="72" a="1"/>
  <c r="CG71" i="72" s="1"/>
  <c r="CF71" i="72" a="1"/>
  <c r="CF71" i="72" s="1"/>
  <c r="AH71" i="72" s="1" a="1"/>
  <c r="AH71" i="72" s="1"/>
  <c r="E71" i="72"/>
  <c r="S71" i="72"/>
  <c r="BW83" i="72" a="1"/>
  <c r="BW83" i="72" s="1"/>
  <c r="BJ83" i="72" a="1"/>
  <c r="BJ83" i="72" s="1"/>
  <c r="AX83" i="72" a="1"/>
  <c r="AX83" i="72" s="1"/>
  <c r="AJ83" i="72" a="1"/>
  <c r="AJ83" i="72" s="1"/>
  <c r="AZ83" i="72" a="1"/>
  <c r="AZ83" i="72" s="1"/>
  <c r="BD83" i="72" a="1"/>
  <c r="BD83" i="72" s="1"/>
  <c r="BI83" i="72" a="1"/>
  <c r="BI83" i="72" s="1"/>
  <c r="BT45" i="72"/>
  <c r="I231" i="15" a="1"/>
  <c r="I231" i="15" s="1"/>
  <c r="AY507" i="13"/>
  <c r="AS5" i="4"/>
  <c r="AR5" i="4"/>
  <c r="I70" i="69"/>
  <c r="I70" i="72"/>
  <c r="BN67" i="72"/>
  <c r="BO67" i="72"/>
  <c r="CI67" i="72"/>
  <c r="BC67" i="72" a="1"/>
  <c r="BC67" i="72" s="1"/>
  <c r="U72" i="72" a="1"/>
  <c r="U72" i="72" s="1"/>
  <c r="BO72" i="72"/>
  <c r="BN72" i="72"/>
  <c r="BE76" i="69"/>
  <c r="AG76" i="69" s="1" a="1"/>
  <c r="AG76" i="69" s="1"/>
  <c r="BF76" i="69"/>
  <c r="AF71" i="69" a="1"/>
  <c r="AF71" i="69" s="1"/>
  <c r="AK71" i="69" a="1"/>
  <c r="AK71" i="69" s="1"/>
  <c r="AI71" i="69" a="1"/>
  <c r="AI71" i="69" s="1"/>
  <c r="AZ71" i="69" a="1"/>
  <c r="AZ71" i="69" s="1"/>
  <c r="AO71" i="69" a="1"/>
  <c r="AO71" i="69" s="1"/>
  <c r="AU71" i="69" a="1"/>
  <c r="AU71" i="69" s="1"/>
  <c r="BA71" i="69" a="1"/>
  <c r="BA71" i="69" s="1"/>
  <c r="AQ71" i="69" a="1"/>
  <c r="AQ71" i="69" s="1"/>
  <c r="AH71" i="69" a="1"/>
  <c r="AH71" i="69" s="1"/>
  <c r="AD77" i="72"/>
  <c r="L24" i="72"/>
  <c r="R24" i="72"/>
  <c r="BV24" i="72" a="1"/>
  <c r="BV24" i="72" s="1"/>
  <c r="AU24" i="72" a="1"/>
  <c r="AU24" i="72" s="1"/>
  <c r="AT24" i="72" a="1"/>
  <c r="AT24" i="72" s="1"/>
  <c r="AL24" i="72" a="1"/>
  <c r="AL24" i="72" s="1"/>
  <c r="BM24" i="72"/>
  <c r="BP24" i="72"/>
  <c r="AS24" i="72" a="1"/>
  <c r="AS24" i="72" s="1"/>
  <c r="AW24" i="72"/>
  <c r="AF34" i="72" a="1"/>
  <c r="AF34" i="72" s="1"/>
  <c r="BI16" i="69"/>
  <c r="BN87" i="72"/>
  <c r="BO87" i="72"/>
  <c r="AY523" i="13"/>
  <c r="AS23" i="4"/>
  <c r="AR23" i="4"/>
  <c r="Z1539" i="13"/>
  <c r="A1534" i="13"/>
  <c r="AV1435" i="13"/>
  <c r="AX1435" i="13"/>
  <c r="I92" i="72"/>
  <c r="I92" i="69"/>
  <c r="AH86" i="69" a="1"/>
  <c r="AH86" i="69" s="1"/>
  <c r="BA86" i="69" a="1"/>
  <c r="BA86" i="69" s="1"/>
  <c r="AZ86" i="69" a="1"/>
  <c r="AZ86" i="69" s="1"/>
  <c r="AQ86" i="69" a="1"/>
  <c r="AQ86" i="69" s="1"/>
  <c r="AF86" i="69" a="1"/>
  <c r="AF86" i="69" s="1"/>
  <c r="AI86" i="69" a="1"/>
  <c r="AI86" i="69" s="1"/>
  <c r="AK86" i="69" a="1"/>
  <c r="AK86" i="69" s="1"/>
  <c r="AN86" i="69" a="1"/>
  <c r="AN86" i="69" s="1"/>
  <c r="AU86" i="69" a="1"/>
  <c r="AU86" i="69" s="1"/>
  <c r="L75" i="69"/>
  <c r="R75" i="69"/>
  <c r="BT75" i="69"/>
  <c r="BG75" i="69"/>
  <c r="AV75" i="69" s="1" a="1"/>
  <c r="AV75" i="69" s="1"/>
  <c r="BD75" i="69"/>
  <c r="AO75" i="69" s="1" a="1"/>
  <c r="AO75" i="69" s="1"/>
  <c r="BM75" i="69" a="1"/>
  <c r="BM75" i="69" s="1"/>
  <c r="BN75" i="69" a="1"/>
  <c r="BN75" i="69" s="1"/>
  <c r="AP75" i="69" a="1"/>
  <c r="AP75" i="69" s="1"/>
  <c r="BG16" i="72" a="1"/>
  <c r="BG16" i="72" s="1"/>
  <c r="BD16" i="72" a="1"/>
  <c r="BD16" i="72" s="1"/>
  <c r="AZ16" i="72" a="1"/>
  <c r="AZ16" i="72" s="1"/>
  <c r="BJ16" i="72" a="1"/>
  <c r="BJ16" i="72" s="1"/>
  <c r="AJ16" i="72" a="1"/>
  <c r="AJ16" i="72" s="1"/>
  <c r="BI16" i="72" a="1"/>
  <c r="BI16" i="72" s="1"/>
  <c r="AX16" i="72" a="1"/>
  <c r="AX16" i="72" s="1"/>
  <c r="CB16" i="72"/>
  <c r="BZ16" i="72" a="1"/>
  <c r="BZ16" i="72" s="1"/>
  <c r="AP16" i="72"/>
  <c r="AV16" i="72" a="1"/>
  <c r="AV16" i="72" s="1"/>
  <c r="BT16" i="72"/>
  <c r="CE16" i="72" a="1"/>
  <c r="CE16" i="72" s="1"/>
  <c r="CC16" i="72"/>
  <c r="AI16" i="72" s="1"/>
  <c r="AM16" i="72"/>
  <c r="CD16" i="72"/>
  <c r="H512" i="15" a="1"/>
  <c r="H512" i="15" s="1"/>
  <c r="B65" i="69"/>
  <c r="AY579" i="13"/>
  <c r="AR79" i="4"/>
  <c r="AS79" i="4"/>
  <c r="BI72" i="4"/>
  <c r="G95" i="72"/>
  <c r="BG73" i="4"/>
  <c r="BH63" i="4"/>
  <c r="AV1161" i="13" s="1"/>
  <c r="X63" i="4"/>
  <c r="L63" i="4"/>
  <c r="BG88" i="4"/>
  <c r="AE55" i="4"/>
  <c r="F55" i="69" s="1"/>
  <c r="BG79" i="4"/>
  <c r="AM55" i="4"/>
  <c r="I55" i="69" s="1"/>
  <c r="BH76" i="4"/>
  <c r="AV1174" i="13" s="1"/>
  <c r="X76" i="4"/>
  <c r="L76" i="4"/>
  <c r="BG56" i="4"/>
  <c r="BG62" i="4"/>
  <c r="AP59" i="72"/>
  <c r="AM59" i="72"/>
  <c r="CD59" i="72"/>
  <c r="CB59" i="72"/>
  <c r="CE59" i="72" a="1"/>
  <c r="CE59" i="72" s="1"/>
  <c r="AV59" i="72" a="1"/>
  <c r="AV59" i="72" s="1"/>
  <c r="BZ59" i="72" a="1"/>
  <c r="BZ59" i="72" s="1"/>
  <c r="AR34" i="4"/>
  <c r="AS34" i="4"/>
  <c r="AY534" i="13"/>
  <c r="E59" i="69"/>
  <c r="F68" i="69"/>
  <c r="F68" i="72"/>
  <c r="H442" i="15" a="1"/>
  <c r="H442" i="15" s="1"/>
  <c r="AS30" i="4"/>
  <c r="AR30" i="4"/>
  <c r="AY530" i="13"/>
  <c r="AR16" i="4"/>
  <c r="AY516" i="13"/>
  <c r="AS16" i="4"/>
  <c r="AT59" i="69" a="1"/>
  <c r="AT59" i="69" s="1"/>
  <c r="BV59" i="69"/>
  <c r="BQ36" i="72"/>
  <c r="I108" i="15" a="1"/>
  <c r="I108" i="15" s="1"/>
  <c r="BY45" i="72"/>
  <c r="BX45" i="72" s="1"/>
  <c r="CA45" i="72" s="1"/>
  <c r="CG45" i="72" a="1"/>
  <c r="CG45" i="72" s="1"/>
  <c r="CF45" i="72" a="1"/>
  <c r="CF45" i="72" s="1"/>
  <c r="E45" i="72"/>
  <c r="CB63" i="72"/>
  <c r="CE63" i="72" a="1"/>
  <c r="CE63" i="72" s="1"/>
  <c r="AV63" i="72" a="1"/>
  <c r="AV63" i="72" s="1"/>
  <c r="AM63" i="72"/>
  <c r="CD63" i="72"/>
  <c r="BZ63" i="72" a="1"/>
  <c r="BZ63" i="72" s="1"/>
  <c r="AP63" i="72"/>
  <c r="F89" i="72"/>
  <c r="F89" i="69"/>
  <c r="I267" i="15" a="1"/>
  <c r="I267" i="15" s="1"/>
  <c r="BY75" i="72"/>
  <c r="BX75" i="72" s="1"/>
  <c r="CA75" i="72" s="1"/>
  <c r="AM75" i="72"/>
  <c r="CB75" i="72"/>
  <c r="BZ75" i="72" a="1"/>
  <c r="BZ75" i="72" s="1"/>
  <c r="CD75" i="72"/>
  <c r="CE75" i="72" a="1"/>
  <c r="CE75" i="72" s="1"/>
  <c r="AV75" i="72" a="1"/>
  <c r="AV75" i="72" s="1"/>
  <c r="AP75" i="72"/>
  <c r="CI75" i="72"/>
  <c r="BZ27" i="72" a="1"/>
  <c r="BZ27" i="72" s="1"/>
  <c r="AV27" i="72" a="1"/>
  <c r="AV27" i="72" s="1"/>
  <c r="BT27" i="72"/>
  <c r="AP27" i="72"/>
  <c r="CD27" i="72"/>
  <c r="AM27" i="72"/>
  <c r="CE27" i="72" a="1"/>
  <c r="CE27" i="72" s="1"/>
  <c r="CB27" i="72"/>
  <c r="CC27" i="72"/>
  <c r="AI27" i="72" s="1"/>
  <c r="BN27" i="72"/>
  <c r="BO27" i="72"/>
  <c r="BX27" i="72"/>
  <c r="CA27" i="72" s="1"/>
  <c r="BN96" i="4"/>
  <c r="BF96" i="4" s="1" a="1"/>
  <c r="BF96" i="4" s="1"/>
  <c r="BR96" i="72"/>
  <c r="BH20" i="69"/>
  <c r="BE6" i="69"/>
  <c r="BF6" i="69"/>
  <c r="AF59" i="72" a="1"/>
  <c r="AF59" i="72" s="1"/>
  <c r="BV45" i="69"/>
  <c r="BF62" i="69"/>
  <c r="BE62" i="69"/>
  <c r="D28" i="69" a="1"/>
  <c r="D28" i="69" s="1"/>
  <c r="BS28" i="69"/>
  <c r="R28" i="69"/>
  <c r="BM28" i="69" a="1"/>
  <c r="BM28" i="69" s="1"/>
  <c r="BT28" i="69"/>
  <c r="BD28" i="69"/>
  <c r="BG28" i="69"/>
  <c r="AW28" i="69" s="1" a="1"/>
  <c r="AW28" i="69" s="1"/>
  <c r="AP28" i="69" a="1"/>
  <c r="AP28" i="69" s="1"/>
  <c r="H654" i="15" a="1"/>
  <c r="H654" i="15" s="1"/>
  <c r="BU60" i="4"/>
  <c r="BE60" i="4"/>
  <c r="BM7" i="72"/>
  <c r="AT7" i="72" a="1"/>
  <c r="AT7" i="72" s="1"/>
  <c r="AL7" i="72" a="1"/>
  <c r="AL7" i="72" s="1"/>
  <c r="BV7" i="72" a="1"/>
  <c r="BV7" i="72" s="1"/>
  <c r="AU7" i="72" a="1"/>
  <c r="AU7" i="72" s="1"/>
  <c r="R7" i="72"/>
  <c r="AS7" i="72" a="1"/>
  <c r="AS7" i="72" s="1"/>
  <c r="AW7" i="72"/>
  <c r="BP7" i="72"/>
  <c r="BF7" i="72" s="1" a="1"/>
  <c r="BF7" i="72" s="1"/>
  <c r="AY7" i="72" a="1"/>
  <c r="AY7" i="72" s="1"/>
  <c r="BW7" i="72" a="1"/>
  <c r="BW7" i="72" s="1"/>
  <c r="I509" i="15" a="1"/>
  <c r="I509" i="15" s="1"/>
  <c r="B89" i="69"/>
  <c r="BZ30" i="72" a="1"/>
  <c r="BZ30" i="72" s="1"/>
  <c r="AM30" i="72"/>
  <c r="CD30" i="72"/>
  <c r="BT30" i="72"/>
  <c r="CB30" i="72"/>
  <c r="CE30" i="72" a="1"/>
  <c r="CE30" i="72" s="1"/>
  <c r="AP30" i="72"/>
  <c r="AV30" i="72" a="1"/>
  <c r="AV30" i="72" s="1"/>
  <c r="CC30" i="72"/>
  <c r="AI30" i="72" s="1"/>
  <c r="CI78" i="72"/>
  <c r="BC78" i="72" a="1"/>
  <c r="BC78" i="72" s="1"/>
  <c r="BV80" i="69"/>
  <c r="BG92" i="72" a="1"/>
  <c r="BG92" i="72" s="1"/>
  <c r="AF62" i="72" a="1"/>
  <c r="AF62" i="72" s="1"/>
  <c r="BC62" i="72" s="1" a="1"/>
  <c r="BC62" i="72" s="1"/>
  <c r="AK62" i="72" a="1"/>
  <c r="AK62" i="72" s="1"/>
  <c r="CE28" i="72" a="1"/>
  <c r="CE28" i="72" s="1"/>
  <c r="CB28" i="72"/>
  <c r="AM28" i="72"/>
  <c r="AV28" i="72" a="1"/>
  <c r="AV28" i="72" s="1"/>
  <c r="AP28" i="72"/>
  <c r="BZ28" i="72" a="1"/>
  <c r="BZ28" i="72" s="1"/>
  <c r="BT28" i="72"/>
  <c r="CD28" i="72"/>
  <c r="CC28" i="72"/>
  <c r="AI28" i="72" s="1"/>
  <c r="BP28" i="72"/>
  <c r="AU28" i="72" a="1"/>
  <c r="AU28" i="72" s="1"/>
  <c r="R28" i="72"/>
  <c r="BV28" i="72" a="1"/>
  <c r="BV28" i="72" s="1"/>
  <c r="BM28" i="72"/>
  <c r="AW28" i="72"/>
  <c r="AL28" i="72" a="1"/>
  <c r="AL28" i="72" s="1"/>
  <c r="AT28" i="72" a="1"/>
  <c r="AT28" i="72" s="1"/>
  <c r="AS28" i="72" a="1"/>
  <c r="AS28" i="72" s="1"/>
  <c r="BO28" i="72"/>
  <c r="BN28" i="72"/>
  <c r="D29" i="72" a="1"/>
  <c r="D29" i="72" s="1"/>
  <c r="AK29" i="72" a="1"/>
  <c r="AK29" i="72" s="1"/>
  <c r="CI29" i="72"/>
  <c r="BC29" i="72" a="1"/>
  <c r="BC29" i="72" s="1"/>
  <c r="CF25" i="72" a="1"/>
  <c r="CF25" i="72" s="1"/>
  <c r="AH25" i="72" s="1" a="1"/>
  <c r="AH25" i="72" s="1"/>
  <c r="CG25" i="72" a="1"/>
  <c r="CG25" i="72" s="1"/>
  <c r="E25" i="72"/>
  <c r="F210" i="15" a="1"/>
  <c r="F210" i="15" s="1"/>
  <c r="BR44" i="72"/>
  <c r="D15" i="69" a="1"/>
  <c r="D15" i="69" s="1"/>
  <c r="I141" i="15" a="1"/>
  <c r="I141" i="15" s="1"/>
  <c r="I674" i="15" a="1"/>
  <c r="I674" i="15" s="1"/>
  <c r="BH47" i="69"/>
  <c r="H299" i="15" a="1"/>
  <c r="H299" i="15" s="1"/>
  <c r="BV50" i="69"/>
  <c r="AT50" i="69" a="1"/>
  <c r="AT50" i="69" s="1"/>
  <c r="BP70" i="72"/>
  <c r="BE70" i="72" s="1" a="1"/>
  <c r="BE70" i="72" s="1"/>
  <c r="R70" i="72"/>
  <c r="BW70" i="72" a="1"/>
  <c r="BW70" i="72" s="1"/>
  <c r="AY70" i="72" a="1"/>
  <c r="AY70" i="72" s="1"/>
  <c r="AW70" i="72"/>
  <c r="AL70" i="72" a="1"/>
  <c r="AL70" i="72" s="1"/>
  <c r="AS70" i="72" a="1"/>
  <c r="AS70" i="72" s="1"/>
  <c r="AT70" i="72" a="1"/>
  <c r="AT70" i="72" s="1"/>
  <c r="BM70" i="72"/>
  <c r="AU70" i="72" a="1"/>
  <c r="AU70" i="72" s="1"/>
  <c r="BV70" i="72" a="1"/>
  <c r="BV70" i="72" s="1"/>
  <c r="I603" i="15" a="1"/>
  <c r="I603" i="15" s="1"/>
  <c r="H603" i="15" a="1"/>
  <c r="H603" i="15" s="1"/>
  <c r="F603" i="15" a="1"/>
  <c r="F603" i="15" s="1"/>
  <c r="BT32" i="72"/>
  <c r="AV32" i="72" a="1"/>
  <c r="AV32" i="72" s="1"/>
  <c r="CE32" i="72" a="1"/>
  <c r="CE32" i="72" s="1"/>
  <c r="AP32" i="72"/>
  <c r="BZ32" i="72" a="1"/>
  <c r="BZ32" i="72" s="1"/>
  <c r="AM32" i="72"/>
  <c r="CD32" i="72"/>
  <c r="CB32" i="72"/>
  <c r="CC32" i="72"/>
  <c r="AI32" i="72" s="1"/>
  <c r="BN11" i="72"/>
  <c r="BO11" i="72"/>
  <c r="CC11" i="72"/>
  <c r="AI11" i="72" s="1"/>
  <c r="BZ11" i="72" a="1"/>
  <c r="BZ11" i="72" s="1"/>
  <c r="CD11" i="72"/>
  <c r="AV11" i="72" a="1"/>
  <c r="AV11" i="72" s="1"/>
  <c r="CB11" i="72"/>
  <c r="AM11" i="72"/>
  <c r="CE11" i="72" a="1"/>
  <c r="CE11" i="72" s="1"/>
  <c r="AP11" i="72"/>
  <c r="BT11" i="72"/>
  <c r="BQ17" i="69" a="1"/>
  <c r="BQ17" i="69" s="1"/>
  <c r="E17" i="69"/>
  <c r="D29" i="69" a="1"/>
  <c r="D29" i="69" s="1"/>
  <c r="I581" i="15" a="1"/>
  <c r="I581" i="15" s="1"/>
  <c r="BP82" i="72"/>
  <c r="AT82" i="72" a="1"/>
  <c r="AT82" i="72" s="1"/>
  <c r="AS82" i="72" a="1"/>
  <c r="AS82" i="72" s="1"/>
  <c r="AW82" i="72"/>
  <c r="BM82" i="72"/>
  <c r="BV82" i="72" a="1"/>
  <c r="BV82" i="72" s="1"/>
  <c r="AL82" i="72" a="1"/>
  <c r="AL82" i="72" s="1"/>
  <c r="AU82" i="72" a="1"/>
  <c r="AU82" i="72" s="1"/>
  <c r="R82" i="72"/>
  <c r="BW82" i="72" a="1"/>
  <c r="BW82" i="72" s="1"/>
  <c r="AY82" i="72" a="1"/>
  <c r="AY82" i="72" s="1"/>
  <c r="AY88" i="69" a="1"/>
  <c r="AY88" i="69" s="1"/>
  <c r="AD42" i="72"/>
  <c r="AK50" i="72" a="1"/>
  <c r="AK50" i="72" s="1"/>
  <c r="E70" i="69"/>
  <c r="H348" i="15" a="1"/>
  <c r="H348" i="15" s="1"/>
  <c r="CI17" i="72"/>
  <c r="BH79" i="69"/>
  <c r="E41" i="69"/>
  <c r="AV1255" i="13"/>
  <c r="B58" i="69"/>
  <c r="S58" i="69"/>
  <c r="S58" i="72"/>
  <c r="B58" i="72"/>
  <c r="I598" i="15" a="1"/>
  <c r="I598" i="15" s="1"/>
  <c r="D42" i="69" a="1"/>
  <c r="D42" i="69" s="1"/>
  <c r="H478" i="15" a="1"/>
  <c r="H478" i="15" s="1"/>
  <c r="BQ37" i="72"/>
  <c r="BR40" i="72"/>
  <c r="AK40" i="72" a="1"/>
  <c r="AK40" i="72" s="1"/>
  <c r="AK79" i="72" a="1"/>
  <c r="AK79" i="72" s="1"/>
  <c r="U79" i="72" a="1"/>
  <c r="U79" i="72" s="1"/>
  <c r="BY49" i="72"/>
  <c r="BX49" i="72" s="1"/>
  <c r="CA49" i="72" s="1"/>
  <c r="CG38" i="72" a="1"/>
  <c r="CG38" i="72" s="1"/>
  <c r="CF38" i="72" a="1"/>
  <c r="CF38" i="72" s="1"/>
  <c r="E38" i="72"/>
  <c r="B66" i="69"/>
  <c r="BN52" i="72"/>
  <c r="BO52" i="72"/>
  <c r="CI53" i="72"/>
  <c r="BC53" i="72" a="1"/>
  <c r="BC53" i="72" s="1"/>
  <c r="BH84" i="69"/>
  <c r="AX1319" i="13"/>
  <c r="A1418" i="13"/>
  <c r="O13" i="72"/>
  <c r="CF13" i="72" a="1"/>
  <c r="CF13" i="72" s="1"/>
  <c r="E13" i="72"/>
  <c r="CG13" i="72" a="1"/>
  <c r="CG13" i="72" s="1"/>
  <c r="BI95" i="4"/>
  <c r="BU95" i="4"/>
  <c r="D37" i="69" a="1"/>
  <c r="D37" i="69" s="1"/>
  <c r="D26" i="69" a="1"/>
  <c r="D26" i="69" s="1"/>
  <c r="AT93" i="72" a="1"/>
  <c r="AT93" i="72" s="1"/>
  <c r="AL93" i="72" a="1"/>
  <c r="AL93" i="72" s="1"/>
  <c r="R93" i="72"/>
  <c r="BW93" i="72" a="1"/>
  <c r="BW93" i="72" s="1"/>
  <c r="AY93" i="72" a="1"/>
  <c r="AY93" i="72" s="1"/>
  <c r="BP93" i="72"/>
  <c r="BE93" i="72" s="1" a="1"/>
  <c r="BE93" i="72" s="1"/>
  <c r="BV93" i="72" a="1"/>
  <c r="BV93" i="72" s="1"/>
  <c r="AU93" i="72" a="1"/>
  <c r="AU93" i="72" s="1"/>
  <c r="BM93" i="72"/>
  <c r="AS93" i="72" a="1"/>
  <c r="AS93" i="72" s="1"/>
  <c r="AW93" i="72"/>
  <c r="F377" i="15" a="1"/>
  <c r="F377" i="15" s="1"/>
  <c r="BX15" i="72"/>
  <c r="CA15" i="72" s="1"/>
  <c r="CE15" i="72" a="1"/>
  <c r="CE15" i="72" s="1"/>
  <c r="BZ15" i="72" a="1"/>
  <c r="BZ15" i="72" s="1"/>
  <c r="BT15" i="72"/>
  <c r="AV15" i="72" a="1"/>
  <c r="AV15" i="72" s="1"/>
  <c r="CC15" i="72"/>
  <c r="AI15" i="72" s="1"/>
  <c r="CB15" i="72"/>
  <c r="AM15" i="72"/>
  <c r="AP15" i="72"/>
  <c r="CD15" i="72"/>
  <c r="BH78" i="69"/>
  <c r="BQ78" i="69" a="1"/>
  <c r="BQ78" i="69" s="1"/>
  <c r="BG78" i="69"/>
  <c r="BD78" i="69"/>
  <c r="BM78" i="69" a="1"/>
  <c r="BM78" i="69" s="1"/>
  <c r="BT78" i="69"/>
  <c r="R78" i="69"/>
  <c r="I279" i="15" a="1"/>
  <c r="I279" i="15" s="1"/>
  <c r="BE38" i="69"/>
  <c r="BF38" i="69"/>
  <c r="BS50" i="4"/>
  <c r="AD50" i="72" s="1"/>
  <c r="BM64" i="4"/>
  <c r="AV566" i="13"/>
  <c r="DX64" i="4"/>
  <c r="BI64" i="4"/>
  <c r="F142" i="15" a="1"/>
  <c r="F142" i="15" s="1"/>
  <c r="BU82" i="4"/>
  <c r="BE82" i="4"/>
  <c r="B66" i="72"/>
  <c r="D51" i="72" a="1"/>
  <c r="D51" i="72" s="1"/>
  <c r="BN68" i="72"/>
  <c r="BO68" i="72"/>
  <c r="I120" i="15" a="1"/>
  <c r="I120" i="15" s="1"/>
  <c r="G61" i="72"/>
  <c r="BN18" i="72"/>
  <c r="BO18" i="72"/>
  <c r="BX18" i="72"/>
  <c r="CA18" i="72" s="1"/>
  <c r="BV13" i="69"/>
  <c r="AT13" i="69" a="1"/>
  <c r="AT13" i="69" s="1"/>
  <c r="CB95" i="72"/>
  <c r="A1514" i="13"/>
  <c r="AX1415" i="13"/>
  <c r="Z1519" i="13"/>
  <c r="AV1415" i="13"/>
  <c r="L46" i="72"/>
  <c r="H4" i="72"/>
  <c r="H4" i="69"/>
  <c r="AD12" i="72"/>
  <c r="M474" i="15" a="1"/>
  <c r="M474" i="15" s="1"/>
  <c r="H471" i="15" a="1"/>
  <c r="H471" i="15" s="1"/>
  <c r="I471" i="15" a="1"/>
  <c r="I471" i="15" s="1"/>
  <c r="BH68" i="69"/>
  <c r="AD22" i="69"/>
  <c r="Z38" i="23"/>
  <c r="G83" i="69"/>
  <c r="L39" i="69"/>
  <c r="BG39" i="69"/>
  <c r="AW39" i="69" s="1" a="1"/>
  <c r="AW39" i="69" s="1"/>
  <c r="BD39" i="69"/>
  <c r="R39" i="69"/>
  <c r="BN39" i="69" a="1"/>
  <c r="BN39" i="69" s="1"/>
  <c r="BT39" i="69"/>
  <c r="BM39" i="69" a="1"/>
  <c r="BM39" i="69" s="1"/>
  <c r="AP39" i="69" a="1"/>
  <c r="AP39" i="69" s="1"/>
  <c r="H413" i="15" a="1"/>
  <c r="H413" i="15" s="1"/>
  <c r="AD14" i="69"/>
  <c r="AT14" i="69" a="1"/>
  <c r="AT14" i="69" s="1"/>
  <c r="BV14" i="69"/>
  <c r="AR53" i="4"/>
  <c r="AS53" i="4"/>
  <c r="AY553" i="13"/>
  <c r="BI66" i="4"/>
  <c r="DX66" i="4"/>
  <c r="BM66" i="4"/>
  <c r="AV568" i="13"/>
  <c r="H215" i="15" a="1"/>
  <c r="H215" i="15" s="1"/>
  <c r="AE35" i="69" a="1"/>
  <c r="AE35" i="69" s="1"/>
  <c r="BN35" i="69" s="1" a="1"/>
  <c r="BN35" i="69" s="1"/>
  <c r="R35" i="69"/>
  <c r="BM35" i="69" a="1"/>
  <c r="BM35" i="69" s="1"/>
  <c r="BD35" i="69"/>
  <c r="BG35" i="69"/>
  <c r="BT35" i="69"/>
  <c r="AD12" i="69"/>
  <c r="BR31" i="72"/>
  <c r="K72" i="69" a="1"/>
  <c r="K72" i="69" s="1"/>
  <c r="AD77" i="69"/>
  <c r="C10" i="69"/>
  <c r="D10" i="69" s="1" a="1"/>
  <c r="D10" i="69" s="1"/>
  <c r="C10" i="72"/>
  <c r="D10" i="72" s="1" a="1"/>
  <c r="D10" i="72" s="1"/>
  <c r="BR39" i="72"/>
  <c r="H231" i="15" a="1"/>
  <c r="H231" i="15" s="1"/>
  <c r="BN5" i="4"/>
  <c r="BF5" i="4" s="1" a="1"/>
  <c r="BF5" i="4" s="1"/>
  <c r="CG69" i="72" a="1"/>
  <c r="CG69" i="72" s="1"/>
  <c r="CF69" i="72" a="1"/>
  <c r="CF69" i="72" s="1"/>
  <c r="AH69" i="72" s="1" a="1"/>
  <c r="AH69" i="72" s="1"/>
  <c r="E69" i="72"/>
  <c r="A1579" i="13"/>
  <c r="AX1480" i="13"/>
  <c r="Z1584" i="13"/>
  <c r="AV1480" i="13"/>
  <c r="B95" i="69"/>
  <c r="AV1292" i="13"/>
  <c r="B95" i="72"/>
  <c r="S95" i="72"/>
  <c r="CG72" i="72" a="1"/>
  <c r="CG72" i="72" s="1"/>
  <c r="E72" i="72"/>
  <c r="CF72" i="72" a="1"/>
  <c r="CF72" i="72" s="1"/>
  <c r="BP76" i="69"/>
  <c r="BO76" i="69" s="1"/>
  <c r="BR76" i="69" s="1"/>
  <c r="U76" i="69" a="1"/>
  <c r="U76" i="69" s="1"/>
  <c r="AU57" i="72" a="1"/>
  <c r="AU57" i="72" s="1"/>
  <c r="BV57" i="72" a="1"/>
  <c r="BV57" i="72" s="1"/>
  <c r="AW57" i="72"/>
  <c r="AL57" i="72" a="1"/>
  <c r="AL57" i="72" s="1"/>
  <c r="AT57" i="72" a="1"/>
  <c r="AT57" i="72" s="1"/>
  <c r="R57" i="72"/>
  <c r="BP57" i="72"/>
  <c r="BE57" i="72" s="1" a="1"/>
  <c r="BE57" i="72" s="1"/>
  <c r="BM57" i="72"/>
  <c r="AS57" i="72" a="1"/>
  <c r="AS57" i="72" s="1"/>
  <c r="BW57" i="72" a="1"/>
  <c r="BW57" i="72" s="1"/>
  <c r="AY57" i="72" a="1"/>
  <c r="AY57" i="72" s="1"/>
  <c r="CG77" i="72" a="1"/>
  <c r="CG77" i="72" s="1"/>
  <c r="CF77" i="72" a="1"/>
  <c r="CF77" i="72" s="1"/>
  <c r="E77" i="72"/>
  <c r="AD24" i="72"/>
  <c r="C33" i="69"/>
  <c r="D33" i="69" s="1" a="1"/>
  <c r="D33" i="69" s="1"/>
  <c r="BH73" i="69"/>
  <c r="E73" i="69"/>
  <c r="AE16" i="69" a="1"/>
  <c r="AE16" i="69" s="1"/>
  <c r="AT16" i="69" s="1" a="1"/>
  <c r="AT16" i="69" s="1"/>
  <c r="BD87" i="69"/>
  <c r="R87" i="69"/>
  <c r="BG87" i="69"/>
  <c r="BT87" i="69"/>
  <c r="BM87" i="69" a="1"/>
  <c r="BM87" i="69" s="1"/>
  <c r="AP87" i="69" a="1"/>
  <c r="AP87" i="69" s="1"/>
  <c r="BN87" i="69" a="1"/>
  <c r="BN87" i="69" s="1"/>
  <c r="E87" i="69"/>
  <c r="CI87" i="72"/>
  <c r="BC87" i="72" a="1"/>
  <c r="BC87" i="72" s="1"/>
  <c r="BM43" i="72"/>
  <c r="BV43" i="72" a="1"/>
  <c r="BV43" i="72" s="1"/>
  <c r="AL43" i="72" a="1"/>
  <c r="AL43" i="72" s="1"/>
  <c r="AU43" i="72" a="1"/>
  <c r="AU43" i="72" s="1"/>
  <c r="BP43" i="72"/>
  <c r="AW43" i="72"/>
  <c r="AT43" i="72" a="1"/>
  <c r="AT43" i="72" s="1"/>
  <c r="AS43" i="72" a="1"/>
  <c r="AS43" i="72" s="1"/>
  <c r="R43" i="72"/>
  <c r="C36" i="69"/>
  <c r="D36" i="69" s="1" a="1"/>
  <c r="D36" i="69" s="1"/>
  <c r="BE36" i="69"/>
  <c r="AN36" i="69" s="1" a="1"/>
  <c r="AN36" i="69" s="1"/>
  <c r="BF36" i="69"/>
  <c r="E36" i="69"/>
  <c r="A1542" i="13"/>
  <c r="Z1547" i="13"/>
  <c r="AV1443" i="13"/>
  <c r="AX1443" i="13"/>
  <c r="I673" i="15" a="1"/>
  <c r="I673" i="15" s="1"/>
  <c r="BE67" i="69"/>
  <c r="AN67" i="69" s="1" a="1"/>
  <c r="AN67" i="69" s="1"/>
  <c r="BF67" i="69"/>
  <c r="E67" i="69"/>
  <c r="DX62" i="4"/>
  <c r="AV564" i="13"/>
  <c r="BI62" i="4"/>
  <c r="BM62" i="4"/>
  <c r="CI90" i="72"/>
  <c r="BC90" i="72" a="1"/>
  <c r="BC90" i="72" s="1"/>
  <c r="BM90" i="72"/>
  <c r="AU90" i="72" a="1"/>
  <c r="AU90" i="72" s="1"/>
  <c r="AT90" i="72" a="1"/>
  <c r="AT90" i="72" s="1"/>
  <c r="BP90" i="72"/>
  <c r="BE90" i="72" s="1" a="1"/>
  <c r="BE90" i="72" s="1"/>
  <c r="BV90" i="72" a="1"/>
  <c r="BV90" i="72" s="1"/>
  <c r="AL90" i="72" a="1"/>
  <c r="AL90" i="72" s="1"/>
  <c r="AW90" i="72"/>
  <c r="AS90" i="72" a="1"/>
  <c r="AS90" i="72" s="1"/>
  <c r="R90" i="72"/>
  <c r="BW90" i="72" a="1"/>
  <c r="BW90" i="72" s="1"/>
  <c r="BP75" i="69"/>
  <c r="BO75" i="69" s="1"/>
  <c r="BR75" i="69" s="1"/>
  <c r="AD24" i="69"/>
  <c r="CF33" i="72" a="1"/>
  <c r="CF33" i="72" s="1"/>
  <c r="AH33" i="72" s="1" a="1"/>
  <c r="AH33" i="72" s="1"/>
  <c r="E33" i="72"/>
  <c r="CG33" i="72" a="1"/>
  <c r="CG33" i="72" s="1"/>
  <c r="BZ73" i="72" a="1"/>
  <c r="BZ73" i="72" s="1"/>
  <c r="CB73" i="72"/>
  <c r="AV73" i="72" a="1"/>
  <c r="AV73" i="72" s="1"/>
  <c r="CD73" i="72"/>
  <c r="CE73" i="72" a="1"/>
  <c r="CE73" i="72" s="1"/>
  <c r="AM73" i="72"/>
  <c r="AP73" i="72"/>
  <c r="I283" i="15" a="1"/>
  <c r="I283" i="15" s="1"/>
  <c r="BP65" i="69"/>
  <c r="BM65" i="69" a="1"/>
  <c r="BM65" i="69" s="1"/>
  <c r="BT65" i="69"/>
  <c r="BG65" i="69"/>
  <c r="AW65" i="69" s="1" a="1"/>
  <c r="AW65" i="69" s="1"/>
  <c r="BN65" i="69" a="1"/>
  <c r="BN65" i="69" s="1"/>
  <c r="AP65" i="69" a="1"/>
  <c r="AP65" i="69" s="1"/>
  <c r="R65" i="69"/>
  <c r="AO65" i="69" s="1" a="1"/>
  <c r="AO65" i="69" s="1"/>
  <c r="BD65" i="69"/>
  <c r="BC1769" i="13" a="1"/>
  <c r="BC1769" i="13" s="1"/>
  <c r="BI84" i="4"/>
  <c r="I583" i="15" a="1"/>
  <c r="I583" i="15" s="1"/>
  <c r="BI77" i="4"/>
  <c r="H663" i="15" a="1"/>
  <c r="H663" i="15" s="1"/>
  <c r="BH73" i="4"/>
  <c r="AV1171" i="13" s="1"/>
  <c r="L73" i="4"/>
  <c r="BG63" i="4"/>
  <c r="BH61" i="4"/>
  <c r="AV1159" i="13" s="1"/>
  <c r="BS61" i="4"/>
  <c r="L61" i="4"/>
  <c r="BH89" i="4"/>
  <c r="AV1187" i="13" s="1"/>
  <c r="X89" i="4"/>
  <c r="L89" i="4"/>
  <c r="BG76" i="4"/>
  <c r="BG80" i="4"/>
  <c r="BG72" i="4"/>
  <c r="BH96" i="4"/>
  <c r="AV1194" i="13" s="1"/>
  <c r="L96" i="4"/>
  <c r="BH56" i="4"/>
  <c r="AV1154" i="13" s="1"/>
  <c r="L56" i="4"/>
  <c r="H108" i="15" a="1"/>
  <c r="H108" i="15" s="1"/>
  <c r="BN45" i="72"/>
  <c r="BO45" i="72"/>
  <c r="BV90" i="69"/>
  <c r="AT90" i="69" a="1"/>
  <c r="AT90" i="69" s="1"/>
  <c r="Z1569" i="13"/>
  <c r="A1564" i="13"/>
  <c r="AV1465" i="13"/>
  <c r="AX1465" i="13"/>
  <c r="BO89" i="72"/>
  <c r="BN89" i="72"/>
  <c r="BX89" i="72"/>
  <c r="CA89" i="72" s="1"/>
  <c r="BV6" i="69"/>
  <c r="AY543" i="13"/>
  <c r="AS43" i="4"/>
  <c r="AR43" i="4"/>
  <c r="AR33" i="4"/>
  <c r="AY533" i="13"/>
  <c r="AS33" i="4"/>
  <c r="AR22" i="4"/>
  <c r="AY522" i="13"/>
  <c r="AS22" i="4"/>
  <c r="BY80" i="72"/>
  <c r="BX80" i="72" s="1"/>
  <c r="CA80" i="72" s="1"/>
  <c r="F72" i="72"/>
  <c r="F72" i="69"/>
  <c r="BH45" i="69"/>
  <c r="U95" i="72" a="1"/>
  <c r="U95" i="72" s="1"/>
  <c r="AV397" i="13"/>
  <c r="U95" i="69" a="1"/>
  <c r="U95" i="69" s="1"/>
  <c r="BO63" i="69"/>
  <c r="BR63" i="69" s="1"/>
  <c r="AE62" i="69" a="1"/>
  <c r="AE62" i="69" s="1"/>
  <c r="AX8" i="69" a="1"/>
  <c r="AX8" i="69" s="1"/>
  <c r="AZ8" i="69" a="1"/>
  <c r="AZ8" i="69" s="1"/>
  <c r="AI8" i="69" a="1"/>
  <c r="AI8" i="69" s="1"/>
  <c r="AQ8" i="69" a="1"/>
  <c r="AQ8" i="69" s="1"/>
  <c r="AF8" i="69" a="1"/>
  <c r="AF8" i="69" s="1"/>
  <c r="AK8" i="69" a="1"/>
  <c r="AK8" i="69" s="1"/>
  <c r="AU8" i="69" a="1"/>
  <c r="AU8" i="69" s="1"/>
  <c r="AH8" i="69" a="1"/>
  <c r="AH8" i="69" s="1"/>
  <c r="BA8" i="69" a="1"/>
  <c r="BA8" i="69" s="1"/>
  <c r="L8" i="69"/>
  <c r="BD8" i="69"/>
  <c r="AO8" i="69" s="1" a="1"/>
  <c r="AO8" i="69" s="1"/>
  <c r="BT8" i="69"/>
  <c r="AP8" i="69" a="1"/>
  <c r="AP8" i="69" s="1"/>
  <c r="BN8" i="69" a="1"/>
  <c r="BN8" i="69" s="1"/>
  <c r="R8" i="69"/>
  <c r="BM8" i="69" a="1"/>
  <c r="BM8" i="69" s="1"/>
  <c r="BG8" i="69"/>
  <c r="AW8" i="69" s="1" a="1"/>
  <c r="AW8" i="69" s="1"/>
  <c r="AL74" i="72" a="1"/>
  <c r="AL74" i="72" s="1"/>
  <c r="BM74" i="72"/>
  <c r="AU74" i="72" a="1"/>
  <c r="AU74" i="72" s="1"/>
  <c r="BV74" i="72" a="1"/>
  <c r="BV74" i="72" s="1"/>
  <c r="AS74" i="72" a="1"/>
  <c r="AS74" i="72" s="1"/>
  <c r="BP74" i="72"/>
  <c r="AW74" i="72"/>
  <c r="R74" i="72"/>
  <c r="AT74" i="72" a="1"/>
  <c r="AT74" i="72" s="1"/>
  <c r="AY74" i="72" a="1"/>
  <c r="AY74" i="72" s="1"/>
  <c r="BW74" i="72" a="1"/>
  <c r="BW74" i="72" s="1"/>
  <c r="AV74" i="72" a="1"/>
  <c r="AV74" i="72" s="1"/>
  <c r="AP74" i="72"/>
  <c r="BZ74" i="72" a="1"/>
  <c r="BZ74" i="72" s="1"/>
  <c r="CD74" i="72"/>
  <c r="CE74" i="72" a="1"/>
  <c r="CE74" i="72" s="1"/>
  <c r="CB74" i="72"/>
  <c r="AM74" i="72"/>
  <c r="AF48" i="72" a="1"/>
  <c r="AF48" i="72" s="1"/>
  <c r="BC48" i="72" s="1" a="1"/>
  <c r="BC48" i="72" s="1"/>
  <c r="BG25" i="69"/>
  <c r="AV25" i="69" s="1" a="1"/>
  <c r="AV25" i="69" s="1"/>
  <c r="BM25" i="69" a="1"/>
  <c r="BM25" i="69" s="1"/>
  <c r="R25" i="69"/>
  <c r="AO25" i="69" s="1" a="1"/>
  <c r="AO25" i="69" s="1"/>
  <c r="BD25" i="69"/>
  <c r="BN25" i="69" a="1"/>
  <c r="BN25" i="69" s="1"/>
  <c r="AP25" i="69" a="1"/>
  <c r="AP25" i="69" s="1"/>
  <c r="BT25" i="69"/>
  <c r="CG78" i="72" a="1"/>
  <c r="CG78" i="72" s="1"/>
  <c r="CF78" i="72" a="1"/>
  <c r="CF78" i="72" s="1"/>
  <c r="AH78" i="72" s="1" a="1"/>
  <c r="AH78" i="72" s="1"/>
  <c r="E78" i="72"/>
  <c r="CI6" i="72"/>
  <c r="C14" i="72"/>
  <c r="D14" i="72" s="1" a="1"/>
  <c r="D14" i="72" s="1"/>
  <c r="AY514" i="13"/>
  <c r="AR14" i="4"/>
  <c r="AS14" i="4"/>
  <c r="AR51" i="4"/>
  <c r="AY551" i="13"/>
  <c r="AS51" i="4"/>
  <c r="I686" i="15" a="1"/>
  <c r="I686" i="15" s="1"/>
  <c r="AV92" i="72" a="1"/>
  <c r="AV92" i="72" s="1"/>
  <c r="CB92" i="72"/>
  <c r="CD92" i="72"/>
  <c r="BZ92" i="72" a="1"/>
  <c r="BZ92" i="72" s="1"/>
  <c r="AM92" i="72"/>
  <c r="AP92" i="72"/>
  <c r="CE92" i="72" a="1"/>
  <c r="CE92" i="72" s="1"/>
  <c r="I442" i="15" a="1"/>
  <c r="I442" i="15" s="1"/>
  <c r="F446" i="15" a="1"/>
  <c r="F446" i="15" s="1"/>
  <c r="H446" i="15" a="1"/>
  <c r="H446" i="15" s="1"/>
  <c r="I446" i="15" a="1"/>
  <c r="I446" i="15" s="1"/>
  <c r="AK28" i="72" a="1"/>
  <c r="AK28" i="72" s="1"/>
  <c r="A1528" i="13"/>
  <c r="Z1533" i="13"/>
  <c r="AX1429" i="13"/>
  <c r="AV1429" i="13"/>
  <c r="BV11" i="69"/>
  <c r="AT11" i="69" a="1"/>
  <c r="AT11" i="69" s="1"/>
  <c r="BM82" i="69" a="1"/>
  <c r="BM82" i="69" s="1"/>
  <c r="BD82" i="69"/>
  <c r="BG82" i="69"/>
  <c r="AW82" i="69" s="1" a="1"/>
  <c r="AW82" i="69" s="1"/>
  <c r="R82" i="69"/>
  <c r="AO82" i="69" s="1" a="1"/>
  <c r="AO82" i="69" s="1"/>
  <c r="BT82" i="69"/>
  <c r="AP82" i="69" a="1"/>
  <c r="AP82" i="69" s="1"/>
  <c r="BN82" i="69" a="1"/>
  <c r="BN82" i="69" s="1"/>
  <c r="H519" i="15" a="1"/>
  <c r="H519" i="15" s="1"/>
  <c r="BO25" i="72"/>
  <c r="BN25" i="72"/>
  <c r="BX25" i="72"/>
  <c r="CA25" i="72" s="1"/>
  <c r="E15" i="69"/>
  <c r="AS26" i="4"/>
  <c r="AY526" i="13"/>
  <c r="AR26" i="4"/>
  <c r="H369" i="15" a="1"/>
  <c r="H369" i="15" s="1"/>
  <c r="H674" i="15" a="1"/>
  <c r="H674" i="15" s="1"/>
  <c r="AK88" i="72" a="1"/>
  <c r="AK88" i="72" s="1"/>
  <c r="AY47" i="69" a="1"/>
  <c r="AY47" i="69" s="1"/>
  <c r="I299" i="15" a="1"/>
  <c r="I299" i="15" s="1"/>
  <c r="BN56" i="72"/>
  <c r="AR56" i="72" s="1" a="1"/>
  <c r="AR56" i="72" s="1"/>
  <c r="BO56" i="72"/>
  <c r="BX56" i="72"/>
  <c r="CA56" i="72" s="1"/>
  <c r="AY50" i="69" a="1"/>
  <c r="AY50" i="69" s="1"/>
  <c r="I94" i="72"/>
  <c r="I94" i="69"/>
  <c r="BO32" i="72"/>
  <c r="BN32" i="72"/>
  <c r="AK11" i="72" a="1"/>
  <c r="AK11" i="72" s="1"/>
  <c r="CD91" i="72"/>
  <c r="BZ91" i="72" a="1"/>
  <c r="BZ91" i="72" s="1"/>
  <c r="AV91" i="72" a="1"/>
  <c r="AV91" i="72" s="1"/>
  <c r="AM91" i="72"/>
  <c r="AP91" i="72"/>
  <c r="CB91" i="72"/>
  <c r="CE91" i="72" a="1"/>
  <c r="CE91" i="72" s="1"/>
  <c r="U91" i="72" a="1"/>
  <c r="U91" i="72" s="1"/>
  <c r="CF82" i="72" a="1"/>
  <c r="CF82" i="72" s="1"/>
  <c r="E82" i="72"/>
  <c r="CG82" i="72" a="1"/>
  <c r="CG82" i="72" s="1"/>
  <c r="BU69" i="4"/>
  <c r="BE69" i="4"/>
  <c r="AV587" i="13"/>
  <c r="BI85" i="4"/>
  <c r="DX85" i="4"/>
  <c r="BM85" i="4"/>
  <c r="I200" i="15" a="1"/>
  <c r="I200" i="15" s="1"/>
  <c r="AF42" i="72" a="1"/>
  <c r="AF42" i="72" s="1"/>
  <c r="H368" i="15" a="1"/>
  <c r="H368" i="15" s="1"/>
  <c r="AV596" i="13"/>
  <c r="DX94" i="4"/>
  <c r="BM94" i="4"/>
  <c r="BI94" i="4"/>
  <c r="BF32" i="69"/>
  <c r="BE32" i="69"/>
  <c r="AY64" i="69" a="1"/>
  <c r="AY64" i="69" s="1"/>
  <c r="AY40" i="69" a="1"/>
  <c r="AY40" i="69" s="1"/>
  <c r="BB1769" i="13" a="1"/>
  <c r="BB1769" i="13" s="1"/>
  <c r="E79" i="69"/>
  <c r="I452" i="15" a="1"/>
  <c r="I452" i="15" s="1"/>
  <c r="BN41" i="69" a="1"/>
  <c r="BN41" i="69" s="1"/>
  <c r="BT41" i="69"/>
  <c r="BG41" i="69"/>
  <c r="AV41" i="69" s="1" a="1"/>
  <c r="AV41" i="69" s="1"/>
  <c r="BD41" i="69"/>
  <c r="R41" i="69"/>
  <c r="BM41" i="69" a="1"/>
  <c r="BM41" i="69" s="1"/>
  <c r="AP41" i="69" a="1"/>
  <c r="AP41" i="69" s="1"/>
  <c r="AC60" i="69"/>
  <c r="P60" i="69"/>
  <c r="Y60" i="69"/>
  <c r="AS60" i="69"/>
  <c r="J60" i="69"/>
  <c r="AB60" i="69" a="1"/>
  <c r="AB60" i="69" s="1"/>
  <c r="V60" i="69"/>
  <c r="B60" i="69" s="1"/>
  <c r="AR60" i="69"/>
  <c r="M60" i="69"/>
  <c r="G60" i="69"/>
  <c r="S60" i="69"/>
  <c r="A60" i="69"/>
  <c r="T60" i="69"/>
  <c r="Q60" i="69"/>
  <c r="Z60" i="69"/>
  <c r="BU60" i="69"/>
  <c r="N60" i="69" a="1"/>
  <c r="N60" i="69" s="1"/>
  <c r="AA60" i="69"/>
  <c r="U60" i="69" a="1"/>
  <c r="U60" i="69" s="1"/>
  <c r="BB60" i="69"/>
  <c r="W60" i="69"/>
  <c r="BQ60" i="69" s="1" a="1"/>
  <c r="BQ60" i="69" s="1"/>
  <c r="BC60" i="69"/>
  <c r="C60" i="69"/>
  <c r="F58" i="72"/>
  <c r="F58" i="69"/>
  <c r="I235" i="15" a="1"/>
  <c r="I235" i="15" s="1"/>
  <c r="BQ42" i="69" a="1"/>
  <c r="BQ42" i="69" s="1"/>
  <c r="BD42" i="69"/>
  <c r="BG42" i="69"/>
  <c r="R42" i="69"/>
  <c r="BM42" i="69" a="1"/>
  <c r="BM42" i="69" s="1"/>
  <c r="BT42" i="69"/>
  <c r="BO19" i="69"/>
  <c r="BR19" i="69" s="1"/>
  <c r="AD19" i="69"/>
  <c r="BA95" i="69" a="1"/>
  <c r="BA95" i="69" s="1"/>
  <c r="AQ95" i="69" a="1"/>
  <c r="AQ95" i="69" s="1"/>
  <c r="AZ95" i="69" a="1"/>
  <c r="AZ95" i="69" s="1"/>
  <c r="AF95" i="69" a="1"/>
  <c r="AF95" i="69" s="1"/>
  <c r="AK95" i="69" a="1"/>
  <c r="AK95" i="69" s="1"/>
  <c r="AI95" i="69" a="1"/>
  <c r="AI95" i="69" s="1"/>
  <c r="AH95" i="69" a="1"/>
  <c r="AH95" i="69" s="1"/>
  <c r="AU95" i="69" a="1"/>
  <c r="AU95" i="69" s="1"/>
  <c r="AG95" i="69" a="1"/>
  <c r="AG95" i="69" s="1"/>
  <c r="AV95" i="69" a="1"/>
  <c r="AV95" i="69" s="1"/>
  <c r="AX95" i="69" a="1"/>
  <c r="AX95" i="69" s="1"/>
  <c r="BP53" i="69"/>
  <c r="BO53" i="69" s="1"/>
  <c r="BR53" i="69" s="1"/>
  <c r="BN53" i="69" a="1"/>
  <c r="BN53" i="69" s="1"/>
  <c r="BD53" i="69"/>
  <c r="BT53" i="69"/>
  <c r="BG53" i="69"/>
  <c r="BM53" i="69" a="1"/>
  <c r="BM53" i="69" s="1"/>
  <c r="R53" i="69"/>
  <c r="AP53" i="69" a="1"/>
  <c r="AP53" i="69" s="1"/>
  <c r="H538" i="15" a="1"/>
  <c r="H538" i="15" s="1"/>
  <c r="I538" i="15" a="1"/>
  <c r="I538" i="15" s="1"/>
  <c r="AF37" i="72" a="1"/>
  <c r="AF37" i="72" s="1"/>
  <c r="BC37" i="72" s="1" a="1"/>
  <c r="BC37" i="72" s="1"/>
  <c r="CI40" i="72"/>
  <c r="BC40" i="72" a="1"/>
  <c r="BC40" i="72" s="1"/>
  <c r="BO79" i="72"/>
  <c r="BN79" i="72"/>
  <c r="F433" i="15" a="1"/>
  <c r="F433" i="15" s="1"/>
  <c r="AD49" i="72"/>
  <c r="AD30" i="69"/>
  <c r="BR38" i="72"/>
  <c r="I87" i="72"/>
  <c r="I87" i="69"/>
  <c r="BO66" i="69"/>
  <c r="BR66" i="69" s="1"/>
  <c r="BM66" i="69" a="1"/>
  <c r="BM66" i="69" s="1"/>
  <c r="R66" i="69"/>
  <c r="BG66" i="69"/>
  <c r="AV66" i="69" s="1" a="1"/>
  <c r="AV66" i="69" s="1"/>
  <c r="BD66" i="69"/>
  <c r="BT66" i="69"/>
  <c r="AP66" i="69" a="1"/>
  <c r="AP66" i="69" s="1"/>
  <c r="BN66" i="69" a="1"/>
  <c r="BN66" i="69" s="1"/>
  <c r="AF51" i="69" a="1"/>
  <c r="AF51" i="69" s="1"/>
  <c r="AI51" i="69" a="1"/>
  <c r="AI51" i="69" s="1"/>
  <c r="AQ51" i="69" a="1"/>
  <c r="AQ51" i="69" s="1"/>
  <c r="AH51" i="69" a="1"/>
  <c r="AH51" i="69" s="1"/>
  <c r="AK51" i="69" a="1"/>
  <c r="AK51" i="69" s="1"/>
  <c r="BA51" i="69" a="1"/>
  <c r="BA51" i="69" s="1"/>
  <c r="AO51" i="69" a="1"/>
  <c r="AO51" i="69" s="1"/>
  <c r="AU51" i="69" a="1"/>
  <c r="AU51" i="69" s="1"/>
  <c r="AZ51" i="69" a="1"/>
  <c r="AZ51" i="69" s="1"/>
  <c r="AN51" i="69" a="1"/>
  <c r="AN51" i="69" s="1"/>
  <c r="I81" i="72"/>
  <c r="I81" i="69"/>
  <c r="BM52" i="72"/>
  <c r="BP52" i="72"/>
  <c r="BF52" i="72" s="1" a="1"/>
  <c r="BF52" i="72" s="1"/>
  <c r="AU52" i="72" a="1"/>
  <c r="AU52" i="72" s="1"/>
  <c r="AT52" i="72" a="1"/>
  <c r="AT52" i="72" s="1"/>
  <c r="AL52" i="72" a="1"/>
  <c r="AL52" i="72" s="1"/>
  <c r="R52" i="72"/>
  <c r="BV52" i="72" a="1"/>
  <c r="BV52" i="72" s="1"/>
  <c r="AW52" i="72"/>
  <c r="AS52" i="72" a="1"/>
  <c r="AS52" i="72" s="1"/>
  <c r="BW52" i="72" a="1"/>
  <c r="BW52" i="72" s="1"/>
  <c r="AY52" i="72" a="1"/>
  <c r="AY52" i="72" s="1"/>
  <c r="BQ26" i="69" a="1"/>
  <c r="BQ26" i="69" s="1"/>
  <c r="R26" i="69"/>
  <c r="BG26" i="69"/>
  <c r="BD26" i="69"/>
  <c r="BT26" i="69"/>
  <c r="BM26" i="69" a="1"/>
  <c r="BM26" i="69" s="1"/>
  <c r="H377" i="15" a="1"/>
  <c r="H377" i="15" s="1"/>
  <c r="AD15" i="72"/>
  <c r="AE78" i="69" a="1"/>
  <c r="AE78" i="69" s="1"/>
  <c r="F279" i="15" a="1"/>
  <c r="F279" i="15" s="1"/>
  <c r="BS38" i="69"/>
  <c r="I142" i="15" a="1"/>
  <c r="I142" i="15" s="1"/>
  <c r="BH46" i="69"/>
  <c r="BI46" i="69"/>
  <c r="AF66" i="72" a="1"/>
  <c r="AF66" i="72" s="1"/>
  <c r="BC66" i="72" s="1" a="1"/>
  <c r="BC66" i="72" s="1"/>
  <c r="S66" i="72"/>
  <c r="BQ22" i="72"/>
  <c r="AK22" i="72" a="1"/>
  <c r="AK22" i="72" s="1"/>
  <c r="H120" i="15" a="1"/>
  <c r="H120" i="15" s="1"/>
  <c r="BN61" i="72"/>
  <c r="BO61" i="72"/>
  <c r="BX61" i="72"/>
  <c r="CA61" i="72" s="1"/>
  <c r="AU23" i="4" a="1"/>
  <c r="AU23" i="4" s="1"/>
  <c r="H23" i="72" s="1"/>
  <c r="Y23" i="4"/>
  <c r="AV23" i="4"/>
  <c r="AW23" i="4" a="1"/>
  <c r="AW23" i="4" s="1"/>
  <c r="C23" i="69" s="1"/>
  <c r="D23" i="69" s="1" a="1"/>
  <c r="D23" i="69" s="1"/>
  <c r="BR23" i="4"/>
  <c r="DA23" i="4"/>
  <c r="DB23" i="4" s="1"/>
  <c r="P25" i="9" s="1"/>
  <c r="AY13" i="69" a="1"/>
  <c r="AY13" i="69" s="1"/>
  <c r="D26" i="72" a="1"/>
  <c r="D26" i="72" s="1"/>
  <c r="I191" i="15" a="1"/>
  <c r="I191" i="15" s="1"/>
  <c r="A1520" i="13"/>
  <c r="AX1421" i="13"/>
  <c r="AV1421" i="13"/>
  <c r="Z1525" i="13"/>
  <c r="BY12" i="72"/>
  <c r="BX12" i="72" s="1"/>
  <c r="CA12" i="72" s="1"/>
  <c r="BN12" i="72"/>
  <c r="BO12" i="72"/>
  <c r="AD31" i="69"/>
  <c r="H240" i="15" a="1"/>
  <c r="H240" i="15" s="1"/>
  <c r="AX68" i="69" a="1"/>
  <c r="AX68" i="69" s="1"/>
  <c r="I574" i="15" a="1"/>
  <c r="I574" i="15" s="1"/>
  <c r="BE71" i="4"/>
  <c r="B83" i="69"/>
  <c r="BE39" i="69"/>
  <c r="AG39" i="69" s="1" a="1"/>
  <c r="AG39" i="69" s="1"/>
  <c r="BF39" i="69"/>
  <c r="BO39" i="69"/>
  <c r="BR39" i="69" s="1"/>
  <c r="H340" i="15" a="1"/>
  <c r="H340" i="15" s="1"/>
  <c r="BR41" i="72"/>
  <c r="R14" i="69"/>
  <c r="BM14" i="69" a="1"/>
  <c r="BM14" i="69" s="1"/>
  <c r="BG14" i="69"/>
  <c r="AW14" i="69" s="1" a="1"/>
  <c r="AW14" i="69" s="1"/>
  <c r="BN14" i="69" a="1"/>
  <c r="BN14" i="69" s="1"/>
  <c r="AP14" i="69" a="1"/>
  <c r="AP14" i="69" s="1"/>
  <c r="BD14" i="69"/>
  <c r="BT14" i="69"/>
  <c r="BE90" i="4"/>
  <c r="BS90" i="4" s="1"/>
  <c r="F215" i="15" a="1"/>
  <c r="F215" i="15" s="1"/>
  <c r="G69" i="69"/>
  <c r="BF69" i="69"/>
  <c r="BE69" i="69"/>
  <c r="BS12" i="69"/>
  <c r="BF72" i="69"/>
  <c r="BE72" i="69"/>
  <c r="AN72" i="69" s="1" a="1"/>
  <c r="AN72" i="69" s="1"/>
  <c r="U76" i="72" a="1"/>
  <c r="U76" i="72" s="1"/>
  <c r="AE57" i="69" a="1"/>
  <c r="AE57" i="69" s="1"/>
  <c r="AK71" i="72" a="1"/>
  <c r="AK71" i="72" s="1"/>
  <c r="U71" i="72" a="1"/>
  <c r="U71" i="72" s="1"/>
  <c r="O77" i="69"/>
  <c r="Z1581" i="13"/>
  <c r="AV1477" i="13"/>
  <c r="AX1477" i="13"/>
  <c r="A1576" i="13"/>
  <c r="H10" i="72"/>
  <c r="H10" i="69"/>
  <c r="AW45" i="4" a="1"/>
  <c r="AW45" i="4" s="1"/>
  <c r="AU45" i="4" a="1"/>
  <c r="AU45" i="4" s="1"/>
  <c r="AV45" i="4"/>
  <c r="Y45" i="4"/>
  <c r="DA45" i="4"/>
  <c r="DB45" i="4" s="1"/>
  <c r="P47" i="9" s="1"/>
  <c r="BR45" i="4"/>
  <c r="CB45" i="4"/>
  <c r="DX83" i="4"/>
  <c r="BI83" i="4"/>
  <c r="BM83" i="4"/>
  <c r="AV585" i="13"/>
  <c r="AK69" i="72" a="1"/>
  <c r="AK69" i="72" s="1"/>
  <c r="BI96" i="4"/>
  <c r="BU96" i="4"/>
  <c r="BE96" i="4"/>
  <c r="BS96" i="4" s="1"/>
  <c r="AD96" i="69" s="1"/>
  <c r="BX67" i="72"/>
  <c r="CA67" i="72" s="1"/>
  <c r="K57" i="72" a="1"/>
  <c r="K57" i="72" s="1"/>
  <c r="AK57" i="72" a="1"/>
  <c r="AK57" i="72" s="1"/>
  <c r="AX71" i="69" a="1"/>
  <c r="AX71" i="69" s="1"/>
  <c r="K77" i="72" a="1"/>
  <c r="K77" i="72" s="1"/>
  <c r="U77" i="72" a="1"/>
  <c r="U77" i="72" s="1"/>
  <c r="BV77" i="72" a="1"/>
  <c r="BV77" i="72" s="1"/>
  <c r="BP77" i="72"/>
  <c r="AW77" i="72"/>
  <c r="BM77" i="72"/>
  <c r="AS77" i="72" a="1"/>
  <c r="AS77" i="72" s="1"/>
  <c r="AL77" i="72" a="1"/>
  <c r="AL77" i="72" s="1"/>
  <c r="AU77" i="72" a="1"/>
  <c r="AU77" i="72" s="1"/>
  <c r="AT77" i="72" a="1"/>
  <c r="AT77" i="72" s="1"/>
  <c r="R77" i="72"/>
  <c r="K24" i="72" a="1"/>
  <c r="K24" i="72" s="1"/>
  <c r="H33" i="69"/>
  <c r="L73" i="69"/>
  <c r="BV16" i="69"/>
  <c r="Z1504" i="13"/>
  <c r="AV1400" i="13"/>
  <c r="A1499" i="13"/>
  <c r="AX1400" i="13"/>
  <c r="K94" i="72" a="1"/>
  <c r="K94" i="72" s="1"/>
  <c r="BO5" i="72"/>
  <c r="BX5" i="72"/>
  <c r="CA5" i="72" s="1"/>
  <c r="BN5" i="72"/>
  <c r="BM5" i="72"/>
  <c r="AT5" i="72" a="1"/>
  <c r="AT5" i="72" s="1"/>
  <c r="AS5" i="72" a="1"/>
  <c r="AS5" i="72" s="1"/>
  <c r="BV5" i="72" a="1"/>
  <c r="BV5" i="72" s="1"/>
  <c r="AL5" i="72" a="1"/>
  <c r="AL5" i="72" s="1"/>
  <c r="R5" i="72"/>
  <c r="AW5" i="72"/>
  <c r="AU5" i="72" a="1"/>
  <c r="AU5" i="72" s="1"/>
  <c r="BP5" i="72"/>
  <c r="CB20" i="4"/>
  <c r="AV20" i="4"/>
  <c r="AW20" i="4" a="1"/>
  <c r="AW20" i="4" s="1"/>
  <c r="AU20" i="4" a="1"/>
  <c r="AU20" i="4" s="1"/>
  <c r="Y20" i="4"/>
  <c r="BR20" i="4"/>
  <c r="AR49" i="4"/>
  <c r="AY549" i="13"/>
  <c r="AS49" i="4"/>
  <c r="AF43" i="72" a="1"/>
  <c r="AF43" i="72" s="1"/>
  <c r="AY43" i="72" s="1" a="1"/>
  <c r="AY43" i="72" s="1"/>
  <c r="AK43" i="72" a="1"/>
  <c r="AK43" i="72" s="1"/>
  <c r="X64" i="4"/>
  <c r="K85" i="69" a="1"/>
  <c r="K85" i="69" s="1"/>
  <c r="CG90" i="72" a="1"/>
  <c r="CG90" i="72" s="1"/>
  <c r="CF90" i="72" a="1"/>
  <c r="CF90" i="72" s="1"/>
  <c r="AH90" i="72" s="1" a="1"/>
  <c r="AH90" i="72" s="1"/>
  <c r="E90" i="72"/>
  <c r="I74" i="72"/>
  <c r="I74" i="69"/>
  <c r="K24" i="69" a="1"/>
  <c r="K24" i="69" s="1"/>
  <c r="BI24" i="69"/>
  <c r="AK33" i="72" a="1"/>
  <c r="AK33" i="72" s="1"/>
  <c r="K540" i="15" a="1"/>
  <c r="K540" i="15" s="1"/>
  <c r="K34" i="69" a="1"/>
  <c r="K34" i="69" s="1"/>
  <c r="H438" i="15" a="1"/>
  <c r="H438" i="15" s="1"/>
  <c r="BV5" i="69"/>
  <c r="AT5" i="69" a="1"/>
  <c r="AT5" i="69" s="1"/>
  <c r="K65" i="69" a="1"/>
  <c r="K65" i="69" s="1"/>
  <c r="AR86" i="4"/>
  <c r="AS86" i="4"/>
  <c r="AY586" i="13"/>
  <c r="H673" i="15" a="1"/>
  <c r="H673" i="15" s="1"/>
  <c r="H185" i="15" a="1"/>
  <c r="H185" i="15" s="1"/>
  <c r="BH78" i="4"/>
  <c r="AV1176" i="13" s="1"/>
  <c r="L78" i="4"/>
  <c r="BH79" i="4"/>
  <c r="AV1177" i="13" s="1"/>
  <c r="L79" i="4"/>
  <c r="BH80" i="4"/>
  <c r="AV1178" i="13" s="1"/>
  <c r="L80" i="4"/>
  <c r="BG75" i="4"/>
  <c r="BH23" i="4"/>
  <c r="AV1121" i="13" s="1"/>
  <c r="X23" i="4"/>
  <c r="BS23" i="4"/>
  <c r="BT23" i="72" s="1"/>
  <c r="BR194" i="4"/>
  <c r="BA103" i="4"/>
  <c r="BB103" i="4"/>
  <c r="Z1772" i="13" s="1"/>
  <c r="BI101" i="4"/>
  <c r="BC36" i="72" a="1"/>
  <c r="BC36" i="72" s="1"/>
  <c r="AJ36" i="72" a="1"/>
  <c r="AJ36" i="72" s="1"/>
  <c r="AZ36" i="72" a="1"/>
  <c r="AZ36" i="72" s="1"/>
  <c r="AX36" i="72" a="1"/>
  <c r="AX36" i="72" s="1"/>
  <c r="BJ36" i="72" a="1"/>
  <c r="BJ36" i="72" s="1"/>
  <c r="BI36" i="72" a="1"/>
  <c r="BI36" i="72" s="1"/>
  <c r="BD36" i="72" a="1"/>
  <c r="BD36" i="72" s="1"/>
  <c r="AR42" i="4"/>
  <c r="AY542" i="13"/>
  <c r="AS42" i="4"/>
  <c r="BM59" i="69" a="1"/>
  <c r="BM59" i="69" s="1"/>
  <c r="BD59" i="69"/>
  <c r="AO59" i="69" s="1" a="1"/>
  <c r="AO59" i="69" s="1"/>
  <c r="R59" i="69"/>
  <c r="BG59" i="69"/>
  <c r="AV59" i="69" s="1" a="1"/>
  <c r="AV59" i="69" s="1"/>
  <c r="BT59" i="69"/>
  <c r="AP59" i="69" a="1"/>
  <c r="AP59" i="69" s="1"/>
  <c r="BN59" i="69" a="1"/>
  <c r="BN59" i="69" s="1"/>
  <c r="BH36" i="72" a="1"/>
  <c r="BH36" i="72" s="1"/>
  <c r="AW63" i="72"/>
  <c r="AL63" i="72" a="1"/>
  <c r="AL63" i="72" s="1"/>
  <c r="BP63" i="72"/>
  <c r="BE63" i="72" s="1" a="1"/>
  <c r="BE63" i="72" s="1"/>
  <c r="AS63" i="72" a="1"/>
  <c r="AS63" i="72" s="1"/>
  <c r="AT63" i="72" a="1"/>
  <c r="AT63" i="72" s="1"/>
  <c r="R63" i="72"/>
  <c r="AY63" i="72" a="1"/>
  <c r="AY63" i="72" s="1"/>
  <c r="BW63" i="72" a="1"/>
  <c r="BW63" i="72" s="1"/>
  <c r="BV63" i="72" a="1"/>
  <c r="BV63" i="72" s="1"/>
  <c r="AU63" i="72" a="1"/>
  <c r="AU63" i="72" s="1"/>
  <c r="BM63" i="72"/>
  <c r="AX96" i="72" a="1"/>
  <c r="AX96" i="72" s="1"/>
  <c r="BE96" i="72" a="1"/>
  <c r="BE96" i="72" s="1"/>
  <c r="AR96" i="72" a="1"/>
  <c r="AR96" i="72" s="1"/>
  <c r="BD96" i="72" a="1"/>
  <c r="BD96" i="72" s="1"/>
  <c r="BJ96" i="72" a="1"/>
  <c r="BJ96" i="72" s="1"/>
  <c r="BI96" i="72" a="1"/>
  <c r="BI96" i="72" s="1"/>
  <c r="AJ96" i="72" a="1"/>
  <c r="AJ96" i="72" s="1"/>
  <c r="BF96" i="72" a="1"/>
  <c r="BF96" i="72" s="1"/>
  <c r="AZ96" i="72" a="1"/>
  <c r="AZ96" i="72" s="1"/>
  <c r="BG96" i="72" a="1"/>
  <c r="BG96" i="72" s="1"/>
  <c r="BV43" i="69"/>
  <c r="AT43" i="69" a="1"/>
  <c r="AT43" i="69" s="1"/>
  <c r="CI36" i="72"/>
  <c r="AK86" i="72" a="1"/>
  <c r="AK86" i="72" s="1"/>
  <c r="BN63" i="72"/>
  <c r="BO63" i="72"/>
  <c r="AK63" i="72" a="1"/>
  <c r="AK63" i="72" s="1"/>
  <c r="CF85" i="72" a="1"/>
  <c r="CF85" i="72" s="1"/>
  <c r="AH85" i="72" s="1" a="1"/>
  <c r="AH85" i="72" s="1"/>
  <c r="E85" i="72"/>
  <c r="CG85" i="72" a="1"/>
  <c r="CG85" i="72" s="1"/>
  <c r="I242" i="15" a="1"/>
  <c r="I242" i="15" s="1"/>
  <c r="BP90" i="69"/>
  <c r="BO90" i="69" s="1"/>
  <c r="BR90" i="69" s="1"/>
  <c r="BE90" i="69"/>
  <c r="AG90" i="69" s="1" a="1"/>
  <c r="AG90" i="69" s="1"/>
  <c r="BF90" i="69"/>
  <c r="BQ75" i="72"/>
  <c r="BH74" i="69"/>
  <c r="BO48" i="69"/>
  <c r="BR48" i="69" s="1"/>
  <c r="BQ48" i="69" a="1"/>
  <c r="BQ48" i="69" s="1"/>
  <c r="BG48" i="69"/>
  <c r="AW48" i="69" s="1" a="1"/>
  <c r="AW48" i="69" s="1"/>
  <c r="R48" i="69"/>
  <c r="BD48" i="69"/>
  <c r="AP48" i="69" a="1"/>
  <c r="AP48" i="69" s="1"/>
  <c r="BN48" i="69" a="1"/>
  <c r="BN48" i="69" s="1"/>
  <c r="BM48" i="69" a="1"/>
  <c r="BM48" i="69" s="1"/>
  <c r="BT48" i="69"/>
  <c r="BH27" i="72" a="1"/>
  <c r="BH27" i="72" s="1"/>
  <c r="BZ89" i="72" a="1"/>
  <c r="BZ89" i="72" s="1"/>
  <c r="CD89" i="72"/>
  <c r="AP89" i="72"/>
  <c r="CE89" i="72" a="1"/>
  <c r="CE89" i="72" s="1"/>
  <c r="CB89" i="72"/>
  <c r="AM89" i="72"/>
  <c r="AV89" i="72" a="1"/>
  <c r="AV89" i="72" s="1"/>
  <c r="BT89" i="72"/>
  <c r="AY20" i="69" a="1"/>
  <c r="AY20" i="69" s="1"/>
  <c r="AE6" i="69" a="1"/>
  <c r="AE6" i="69" s="1"/>
  <c r="AP6" i="69" s="1" a="1"/>
  <c r="AP6" i="69" s="1"/>
  <c r="AY546" i="13"/>
  <c r="AS46" i="4"/>
  <c r="AR46" i="4"/>
  <c r="BX59" i="72"/>
  <c r="CA59" i="72" s="1"/>
  <c r="BO59" i="72"/>
  <c r="BN59" i="72"/>
  <c r="BQ45" i="69" a="1"/>
  <c r="BQ45" i="69" s="1"/>
  <c r="BF92" i="69"/>
  <c r="BO92" i="69"/>
  <c r="BR92" i="69" s="1"/>
  <c r="BE92" i="69"/>
  <c r="H358" i="15" a="1"/>
  <c r="H358" i="15" s="1"/>
  <c r="BQ8" i="69" a="1"/>
  <c r="BQ8" i="69" s="1"/>
  <c r="I468" i="15" a="1"/>
  <c r="I468" i="15" s="1"/>
  <c r="CF74" i="72" a="1"/>
  <c r="CF74" i="72" s="1"/>
  <c r="CG74" i="72" a="1"/>
  <c r="CG74" i="72" s="1"/>
  <c r="E74" i="72"/>
  <c r="CI7" i="72"/>
  <c r="BC7" i="72" a="1"/>
  <c r="BC7" i="72" s="1"/>
  <c r="BP27" i="69"/>
  <c r="BD27" i="69"/>
  <c r="BN27" i="69" a="1"/>
  <c r="BN27" i="69" s="1"/>
  <c r="BT27" i="69"/>
  <c r="AP27" i="69" a="1"/>
  <c r="AP27" i="69" s="1"/>
  <c r="R27" i="69"/>
  <c r="AO27" i="69" s="1" a="1"/>
  <c r="AO27" i="69" s="1"/>
  <c r="BG27" i="69"/>
  <c r="AV27" i="69" s="1" a="1"/>
  <c r="AV27" i="69" s="1"/>
  <c r="BM27" i="69" a="1"/>
  <c r="BM27" i="69" s="1"/>
  <c r="AT27" i="69" a="1"/>
  <c r="AT27" i="69" s="1"/>
  <c r="BV27" i="69"/>
  <c r="H509" i="15" a="1"/>
  <c r="H509" i="15" s="1"/>
  <c r="BX78" i="72"/>
  <c r="CA78" i="72" s="1"/>
  <c r="BX6" i="72"/>
  <c r="CA6" i="72" s="1"/>
  <c r="CC6" i="72"/>
  <c r="AI6" i="72" s="1"/>
  <c r="CD6" i="72"/>
  <c r="CE6" i="72" a="1"/>
  <c r="CE6" i="72" s="1"/>
  <c r="AM6" i="72"/>
  <c r="AP6" i="72"/>
  <c r="BT6" i="72"/>
  <c r="CB6" i="72"/>
  <c r="BZ6" i="72" a="1"/>
  <c r="BZ6" i="72" s="1"/>
  <c r="AV6" i="72" a="1"/>
  <c r="AV6" i="72" s="1"/>
  <c r="I62" i="72"/>
  <c r="I62" i="69"/>
  <c r="H686" i="15" a="1"/>
  <c r="H686" i="15" s="1"/>
  <c r="AK47" i="72" a="1"/>
  <c r="AK47" i="72" s="1"/>
  <c r="S92" i="72"/>
  <c r="AV62" i="72" a="1"/>
  <c r="AV62" i="72" s="1"/>
  <c r="CB62" i="72"/>
  <c r="CD62" i="72"/>
  <c r="BZ62" i="72" a="1"/>
  <c r="BZ62" i="72" s="1"/>
  <c r="CE62" i="72" a="1"/>
  <c r="CE62" i="72" s="1"/>
  <c r="AM62" i="72"/>
  <c r="AP62" i="72"/>
  <c r="BX28" i="72"/>
  <c r="CA28" i="72" s="1"/>
  <c r="BN8" i="72"/>
  <c r="BO8" i="72"/>
  <c r="L11" i="69"/>
  <c r="BN11" i="69" a="1"/>
  <c r="BN11" i="69" s="1"/>
  <c r="BD11" i="69"/>
  <c r="AO11" i="69" s="1" a="1"/>
  <c r="AO11" i="69" s="1"/>
  <c r="R11" i="69"/>
  <c r="BG11" i="69"/>
  <c r="AW11" i="69" s="1" a="1"/>
  <c r="AW11" i="69" s="1"/>
  <c r="BT11" i="69"/>
  <c r="BM11" i="69" a="1"/>
  <c r="BM11" i="69" s="1"/>
  <c r="AP11" i="69" a="1"/>
  <c r="AP11" i="69" s="1"/>
  <c r="BN29" i="72"/>
  <c r="BO29" i="72"/>
  <c r="BB1767" i="13" a="1"/>
  <c r="BB1767" i="13" s="1"/>
  <c r="I519" i="15" a="1"/>
  <c r="I519" i="15" s="1"/>
  <c r="D44" i="69" a="1"/>
  <c r="D44" i="69" s="1"/>
  <c r="BE91" i="4"/>
  <c r="BS91" i="4" s="1"/>
  <c r="CG44" i="72" a="1"/>
  <c r="CG44" i="72" s="1"/>
  <c r="CF44" i="72" a="1"/>
  <c r="CF44" i="72" s="1"/>
  <c r="AH44" i="72" s="1" a="1"/>
  <c r="AH44" i="72" s="1"/>
  <c r="E44" i="72"/>
  <c r="BP15" i="69"/>
  <c r="BO15" i="69" s="1"/>
  <c r="BR15" i="69" s="1"/>
  <c r="BF15" i="69"/>
  <c r="BE15" i="69"/>
  <c r="AN15" i="69" s="1" a="1"/>
  <c r="AN15" i="69" s="1"/>
  <c r="I369" i="15" a="1"/>
  <c r="I369" i="15" s="1"/>
  <c r="CG56" i="72" a="1"/>
  <c r="CG56" i="72" s="1"/>
  <c r="CF56" i="72" a="1"/>
  <c r="CF56" i="72" s="1"/>
  <c r="AH56" i="72" s="1" a="1"/>
  <c r="AH56" i="72" s="1"/>
  <c r="E56" i="72"/>
  <c r="CF70" i="72" a="1"/>
  <c r="CF70" i="72" s="1"/>
  <c r="AH70" i="72" s="1" a="1"/>
  <c r="AH70" i="72" s="1"/>
  <c r="CG70" i="72" a="1"/>
  <c r="CG70" i="72" s="1"/>
  <c r="E70" i="72"/>
  <c r="BS17" i="69"/>
  <c r="BS29" i="69"/>
  <c r="BV29" i="69"/>
  <c r="L91" i="72"/>
  <c r="R91" i="72"/>
  <c r="BP91" i="72"/>
  <c r="BE91" i="72" s="1" a="1"/>
  <c r="BE91" i="72" s="1"/>
  <c r="AT91" i="72" a="1"/>
  <c r="AT91" i="72" s="1"/>
  <c r="AS91" i="72" a="1"/>
  <c r="AS91" i="72" s="1"/>
  <c r="AW91" i="72"/>
  <c r="AU91" i="72" a="1"/>
  <c r="AU91" i="72" s="1"/>
  <c r="AL91" i="72" a="1"/>
  <c r="AL91" i="72" s="1"/>
  <c r="BV91" i="72" a="1"/>
  <c r="BV91" i="72" s="1"/>
  <c r="BM91" i="72"/>
  <c r="BW91" i="72" a="1"/>
  <c r="BW91" i="72" s="1"/>
  <c r="I81" i="15" a="1"/>
  <c r="I81" i="15" s="1"/>
  <c r="CB46" i="4"/>
  <c r="AV46" i="4"/>
  <c r="Y46" i="4"/>
  <c r="AW46" i="4" a="1"/>
  <c r="AW46" i="4" s="1"/>
  <c r="AU46" i="4" a="1"/>
  <c r="AU46" i="4" s="1"/>
  <c r="H46" i="69" s="1"/>
  <c r="BR46" i="4"/>
  <c r="DA46" i="4"/>
  <c r="DB46" i="4" s="1"/>
  <c r="P48" i="9" s="1"/>
  <c r="BN42" i="72"/>
  <c r="BO42" i="72"/>
  <c r="AF19" i="72" a="1"/>
  <c r="AF19" i="72" s="1"/>
  <c r="I608" i="15" a="1"/>
  <c r="I608" i="15" s="1"/>
  <c r="H608" i="15" a="1"/>
  <c r="H608" i="15" s="1"/>
  <c r="F608" i="15" a="1"/>
  <c r="F608" i="15" s="1"/>
  <c r="X60" i="14"/>
  <c r="T60" i="14"/>
  <c r="Y60" i="14"/>
  <c r="N60" i="14"/>
  <c r="Z60" i="14"/>
  <c r="K60" i="14"/>
  <c r="E57" i="14"/>
  <c r="F60" i="14"/>
  <c r="I60" i="14"/>
  <c r="G60" i="14"/>
  <c r="W60" i="14"/>
  <c r="O60" i="14"/>
  <c r="Q60" i="14"/>
  <c r="S60" i="14"/>
  <c r="L60" i="14"/>
  <c r="H60" i="14"/>
  <c r="M60" i="14"/>
  <c r="J60" i="14"/>
  <c r="U60" i="14"/>
  <c r="V60" i="14"/>
  <c r="R60" i="14"/>
  <c r="P60" i="14"/>
  <c r="G36" i="14"/>
  <c r="O36" i="14"/>
  <c r="R36" i="14"/>
  <c r="U36" i="14"/>
  <c r="T36" i="14"/>
  <c r="Z36" i="14"/>
  <c r="K36" i="14"/>
  <c r="H36" i="14"/>
  <c r="L36" i="14"/>
  <c r="F36" i="14"/>
  <c r="N36" i="14"/>
  <c r="I36" i="14"/>
  <c r="S36" i="14"/>
  <c r="Y36" i="14"/>
  <c r="Q36" i="14"/>
  <c r="W36" i="14"/>
  <c r="P36" i="14"/>
  <c r="X36" i="14"/>
  <c r="J36" i="14"/>
  <c r="V36" i="14"/>
  <c r="M36" i="14"/>
  <c r="AP50" i="72"/>
  <c r="CE50" i="72" a="1"/>
  <c r="CE50" i="72" s="1"/>
  <c r="CD50" i="72"/>
  <c r="AV50" i="72" a="1"/>
  <c r="AV50" i="72" s="1"/>
  <c r="BZ50" i="72" a="1"/>
  <c r="BZ50" i="72" s="1"/>
  <c r="CB50" i="72"/>
  <c r="AM50" i="72"/>
  <c r="CC50" i="72"/>
  <c r="AI50" i="72" s="1"/>
  <c r="AX1467" i="13"/>
  <c r="Z1571" i="13"/>
  <c r="A1566" i="13"/>
  <c r="AV1467" i="13"/>
  <c r="H660" i="15" a="1"/>
  <c r="H660" i="15" s="1"/>
  <c r="BD32" i="69"/>
  <c r="R32" i="69"/>
  <c r="BM32" i="69" a="1"/>
  <c r="BM32" i="69" s="1"/>
  <c r="BT32" i="69"/>
  <c r="BG32" i="69"/>
  <c r="CG81" i="72" a="1"/>
  <c r="CG81" i="72" s="1"/>
  <c r="CF81" i="72" a="1"/>
  <c r="CF81" i="72" s="1"/>
  <c r="AH81" i="72" s="1" a="1"/>
  <c r="AH81" i="72" s="1"/>
  <c r="E81" i="72"/>
  <c r="BG64" i="69"/>
  <c r="AV64" i="69" s="1" a="1"/>
  <c r="AV64" i="69" s="1"/>
  <c r="BM64" i="69" a="1"/>
  <c r="BM64" i="69" s="1"/>
  <c r="R64" i="69"/>
  <c r="AO64" i="69" s="1" a="1"/>
  <c r="AO64" i="69" s="1"/>
  <c r="BT64" i="69"/>
  <c r="BD64" i="69"/>
  <c r="AP64" i="69" a="1"/>
  <c r="AP64" i="69" s="1"/>
  <c r="BN64" i="69" a="1"/>
  <c r="BN64" i="69" s="1"/>
  <c r="AD17" i="72"/>
  <c r="BF40" i="69"/>
  <c r="BE40" i="69"/>
  <c r="BC1767" i="13" a="1"/>
  <c r="BC1767" i="13" s="1"/>
  <c r="BQ79" i="69" a="1"/>
  <c r="BQ79" i="69" s="1"/>
  <c r="BF79" i="69"/>
  <c r="BE79" i="69"/>
  <c r="H452" i="15" a="1"/>
  <c r="H452" i="15" s="1"/>
  <c r="AD41" i="69"/>
  <c r="AQ60" i="72"/>
  <c r="G60" i="72"/>
  <c r="Z60" i="72"/>
  <c r="AO60" i="72"/>
  <c r="U60" i="72" a="1"/>
  <c r="U60" i="72" s="1"/>
  <c r="B60" i="72"/>
  <c r="A60" i="72"/>
  <c r="T60" i="72"/>
  <c r="AE60" i="72"/>
  <c r="AB60" i="72"/>
  <c r="M60" i="72"/>
  <c r="AN60" i="72"/>
  <c r="BL60" i="72"/>
  <c r="J60" i="72"/>
  <c r="Y60" i="72"/>
  <c r="L60" i="72" s="1"/>
  <c r="AA60" i="72" a="1"/>
  <c r="AA60" i="72" s="1"/>
  <c r="BB60" i="72"/>
  <c r="X60" i="72"/>
  <c r="BA60" i="72"/>
  <c r="P60" i="72"/>
  <c r="S60" i="72"/>
  <c r="Q60" i="72"/>
  <c r="AC60" i="72"/>
  <c r="W60" i="72"/>
  <c r="AG60" i="72"/>
  <c r="BK60" i="72"/>
  <c r="N60" i="72" a="1"/>
  <c r="N60" i="72" s="1"/>
  <c r="K60" i="72" a="1"/>
  <c r="K60" i="72" s="1"/>
  <c r="AV583" i="13"/>
  <c r="BI81" i="4"/>
  <c r="BM81" i="4"/>
  <c r="DX81" i="4"/>
  <c r="I58" i="69"/>
  <c r="I58" i="72"/>
  <c r="H235" i="15" a="1"/>
  <c r="H235" i="15" s="1"/>
  <c r="H195" i="15" a="1"/>
  <c r="H195" i="15" s="1"/>
  <c r="AV562" i="13"/>
  <c r="BM60" i="4"/>
  <c r="BN60" i="4" s="1"/>
  <c r="BF60" i="4" s="1" a="1"/>
  <c r="BF60" i="4" s="1"/>
  <c r="BI60" i="4"/>
  <c r="DX60" i="4"/>
  <c r="D52" i="69" a="1"/>
  <c r="D52" i="69" s="1"/>
  <c r="Z1550" i="13"/>
  <c r="A1545" i="13"/>
  <c r="AV1446" i="13"/>
  <c r="AX1446" i="13"/>
  <c r="CB37" i="72"/>
  <c r="BT37" i="72"/>
  <c r="AP37" i="72"/>
  <c r="CD37" i="72"/>
  <c r="CE37" i="72" a="1"/>
  <c r="CE37" i="72" s="1"/>
  <c r="AM37" i="72"/>
  <c r="BZ37" i="72" a="1"/>
  <c r="BZ37" i="72" s="1"/>
  <c r="AV37" i="72" a="1"/>
  <c r="AV37" i="72" s="1"/>
  <c r="CC37" i="72"/>
  <c r="AI37" i="72" s="1"/>
  <c r="AV1452" i="13"/>
  <c r="Z1556" i="13"/>
  <c r="AX1452" i="13"/>
  <c r="A1551" i="13"/>
  <c r="CF79" i="72" a="1"/>
  <c r="CF79" i="72" s="1"/>
  <c r="AH79" i="72" s="1" a="1"/>
  <c r="AH79" i="72" s="1"/>
  <c r="CG79" i="72" a="1"/>
  <c r="CG79" i="72" s="1"/>
  <c r="E79" i="72"/>
  <c r="I433" i="15" a="1"/>
  <c r="I433" i="15" s="1"/>
  <c r="BQ49" i="72"/>
  <c r="CI49" i="72"/>
  <c r="BC49" i="72" a="1"/>
  <c r="BC49" i="72" s="1"/>
  <c r="CD49" i="72"/>
  <c r="CB49" i="72"/>
  <c r="CE49" i="72" a="1"/>
  <c r="CE49" i="72" s="1"/>
  <c r="AM49" i="72"/>
  <c r="BT49" i="72"/>
  <c r="AP49" i="72"/>
  <c r="BZ49" i="72" a="1"/>
  <c r="BZ49" i="72" s="1"/>
  <c r="AV49" i="72" a="1"/>
  <c r="AV49" i="72" s="1"/>
  <c r="CC49" i="72"/>
  <c r="AI49" i="72" s="1"/>
  <c r="BI30" i="69"/>
  <c r="BF30" i="69"/>
  <c r="BE30" i="69"/>
  <c r="AN30" i="69" s="1" a="1"/>
  <c r="AN30" i="69" s="1"/>
  <c r="D38" i="72" a="1"/>
  <c r="D38" i="72" s="1"/>
  <c r="CI38" i="72"/>
  <c r="F65" i="72"/>
  <c r="F65" i="69"/>
  <c r="BQ66" i="69" a="1"/>
  <c r="BQ66" i="69" s="1"/>
  <c r="S66" i="69"/>
  <c r="BV66" i="69"/>
  <c r="AT66" i="69" a="1"/>
  <c r="AT66" i="69" s="1"/>
  <c r="BO51" i="69"/>
  <c r="BR51" i="69" s="1"/>
  <c r="CI52" i="72"/>
  <c r="BC52" i="72" a="1"/>
  <c r="BC52" i="72" s="1"/>
  <c r="AD13" i="72"/>
  <c r="BP26" i="69"/>
  <c r="BO26" i="69" s="1"/>
  <c r="BR26" i="69" s="1"/>
  <c r="I670" i="15" a="1"/>
  <c r="I670" i="15" s="1"/>
  <c r="F670" i="15" a="1"/>
  <c r="F670" i="15" s="1"/>
  <c r="H670" i="15" a="1"/>
  <c r="H670" i="15" s="1"/>
  <c r="H669" i="15" a="1"/>
  <c r="H669" i="15" s="1"/>
  <c r="I669" i="15" a="1"/>
  <c r="I669" i="15" s="1"/>
  <c r="CI93" i="72"/>
  <c r="BC93" i="72" a="1"/>
  <c r="BC93" i="72" s="1"/>
  <c r="H269" i="15" a="1"/>
  <c r="H269" i="15" s="1"/>
  <c r="I497" i="15" a="1"/>
  <c r="I497" i="15" s="1"/>
  <c r="AK15" i="72" a="1"/>
  <c r="AK15" i="72" s="1"/>
  <c r="BO78" i="69"/>
  <c r="BR78" i="69" s="1"/>
  <c r="BI38" i="69"/>
  <c r="Y50" i="4"/>
  <c r="AW50" i="4" a="1"/>
  <c r="AW50" i="4" s="1"/>
  <c r="AV50" i="4"/>
  <c r="AU50" i="4" a="1"/>
  <c r="AU50" i="4" s="1"/>
  <c r="BR50" i="4"/>
  <c r="DA50" i="4"/>
  <c r="DB50" i="4" s="1"/>
  <c r="P52" i="9" s="1"/>
  <c r="CB50" i="4"/>
  <c r="AY539" i="13"/>
  <c r="AR39" i="4"/>
  <c r="AS39" i="4"/>
  <c r="AS35" i="4"/>
  <c r="AY535" i="13"/>
  <c r="AR35" i="4"/>
  <c r="BQ46" i="69" a="1"/>
  <c r="BQ46" i="69" s="1"/>
  <c r="BD46" i="69"/>
  <c r="BM46" i="69" a="1"/>
  <c r="BM46" i="69" s="1"/>
  <c r="BT46" i="69"/>
  <c r="R46" i="69"/>
  <c r="BG46" i="69"/>
  <c r="BN46" i="69" a="1"/>
  <c r="BN46" i="69" s="1"/>
  <c r="AP46" i="69" a="1"/>
  <c r="AP46" i="69" s="1"/>
  <c r="AV1469" i="13"/>
  <c r="AX1469" i="13"/>
  <c r="A1568" i="13"/>
  <c r="Z1573" i="13"/>
  <c r="U66" i="72" a="1"/>
  <c r="U66" i="72" s="1"/>
  <c r="CG66" i="72" a="1"/>
  <c r="CG66" i="72" s="1"/>
  <c r="E66" i="72"/>
  <c r="CF66" i="72" a="1"/>
  <c r="CF66" i="72" s="1"/>
  <c r="R66" i="72"/>
  <c r="BV66" i="72" a="1"/>
  <c r="BV66" i="72" s="1"/>
  <c r="AW66" i="72"/>
  <c r="AL66" i="72" a="1"/>
  <c r="AL66" i="72" s="1"/>
  <c r="AT66" i="72" a="1"/>
  <c r="AT66" i="72" s="1"/>
  <c r="BM66" i="72"/>
  <c r="AU66" i="72" a="1"/>
  <c r="AU66" i="72" s="1"/>
  <c r="AS66" i="72" a="1"/>
  <c r="AS66" i="72" s="1"/>
  <c r="BP66" i="72"/>
  <c r="BY51" i="72"/>
  <c r="BX51" i="72" s="1"/>
  <c r="CA51" i="72" s="1"/>
  <c r="AX1463" i="13"/>
  <c r="Z1567" i="13"/>
  <c r="A1562" i="13"/>
  <c r="AV1463" i="13"/>
  <c r="H653" i="15" a="1"/>
  <c r="H653" i="15" s="1"/>
  <c r="BC61" i="72" a="1"/>
  <c r="BC61" i="72" s="1"/>
  <c r="CI61" i="72"/>
  <c r="U61" i="72" a="1"/>
  <c r="U61" i="72" s="1"/>
  <c r="AF18" i="72" a="1"/>
  <c r="AF18" i="72" s="1"/>
  <c r="BC18" i="72" s="1" a="1"/>
  <c r="BC18" i="72" s="1"/>
  <c r="BQ13" i="69" a="1"/>
  <c r="BQ13" i="69" s="1"/>
  <c r="BE13" i="69"/>
  <c r="AG13" i="69" s="1" a="1"/>
  <c r="AG13" i="69" s="1"/>
  <c r="BF13" i="69"/>
  <c r="BO13" i="69"/>
  <c r="BR13" i="69" s="1"/>
  <c r="AK26" i="72" a="1"/>
  <c r="AK26" i="72" s="1"/>
  <c r="H191" i="15" a="1"/>
  <c r="H191" i="15" s="1"/>
  <c r="AQ122" i="72" a="1"/>
  <c r="AQ122" i="72" s="1"/>
  <c r="I3" i="1"/>
  <c r="AQ113" i="72" a="1"/>
  <c r="AQ113" i="72" s="1"/>
  <c r="AS106" i="72" a="1"/>
  <c r="AJ115" i="72" a="1"/>
  <c r="AJ115" i="72" s="1"/>
  <c r="BA106" i="72" a="1"/>
  <c r="BA106" i="72" s="1"/>
  <c r="AJ125" i="72" a="1"/>
  <c r="AJ125" i="72" s="1"/>
  <c r="AJ126" i="72" a="1"/>
  <c r="AJ126" i="72" s="1"/>
  <c r="AJ129" i="72" a="1"/>
  <c r="AJ129" i="72" s="1"/>
  <c r="AJ118" i="72" a="1"/>
  <c r="AJ118" i="72" s="1"/>
  <c r="AQ120" i="72" a="1"/>
  <c r="AQ120" i="72" s="1"/>
  <c r="AQ111" i="72" a="1"/>
  <c r="AQ111" i="72" s="1"/>
  <c r="AJ122" i="72" a="1"/>
  <c r="AJ122" i="72" s="1"/>
  <c r="AJ111" i="72" a="1"/>
  <c r="AJ111" i="72" s="1"/>
  <c r="AJ114" i="72" a="1"/>
  <c r="AJ114" i="72" s="1"/>
  <c r="AQ123" i="72" a="1"/>
  <c r="AQ123" i="72" s="1"/>
  <c r="AQ121" i="72" a="1"/>
  <c r="AQ121" i="72" s="1"/>
  <c r="AJ116" i="72" a="1"/>
  <c r="AJ116" i="72" s="1"/>
  <c r="AQ118" i="72" a="1"/>
  <c r="AQ118" i="72" s="1"/>
  <c r="AJ113" i="72" a="1"/>
  <c r="AJ113" i="72" s="1"/>
  <c r="AJ128" i="72" a="1"/>
  <c r="AJ128" i="72" s="1"/>
  <c r="AJ120" i="72" a="1"/>
  <c r="AJ120" i="72" s="1"/>
  <c r="AQ117" i="72" a="1"/>
  <c r="AQ117" i="72" s="1"/>
  <c r="AQ109" i="72" a="1"/>
  <c r="AQ109" i="72" s="1"/>
  <c r="AJ109" i="72" a="1"/>
  <c r="AJ109" i="72" s="1"/>
  <c r="AQ119" i="72" a="1"/>
  <c r="AQ119" i="72" s="1"/>
  <c r="AJ112" i="72" a="1"/>
  <c r="AJ112" i="72" s="1"/>
  <c r="AJ108" i="72" a="1"/>
  <c r="AJ108" i="72" s="1"/>
  <c r="AJ117" i="72" a="1"/>
  <c r="AJ117" i="72" s="1"/>
  <c r="AQ114" i="72" a="1"/>
  <c r="AQ114" i="72" s="1"/>
  <c r="AQ125" i="72" a="1"/>
  <c r="AQ125" i="72" s="1"/>
  <c r="AJ124" i="72" a="1"/>
  <c r="AJ124" i="72" s="1"/>
  <c r="AJ130" i="72" a="1"/>
  <c r="AJ130" i="72" s="1"/>
  <c r="AQ107" i="72" a="1"/>
  <c r="AQ107" i="72" s="1"/>
  <c r="AQ108" i="72" a="1"/>
  <c r="AQ108" i="72" s="1"/>
  <c r="AQ127" i="72" a="1"/>
  <c r="AQ127" i="72" s="1"/>
  <c r="AQ130" i="72" a="1"/>
  <c r="AQ130" i="72" s="1"/>
  <c r="AQ112" i="72" a="1"/>
  <c r="AQ112" i="72" s="1"/>
  <c r="AJ110" i="72" a="1"/>
  <c r="AJ110" i="72" s="1"/>
  <c r="AJ127" i="72" a="1"/>
  <c r="AJ127" i="72" s="1"/>
  <c r="AQ128" i="72" a="1"/>
  <c r="AQ128" i="72" s="1"/>
  <c r="AQ124" i="72" a="1"/>
  <c r="AQ124" i="72" s="1"/>
  <c r="AQ129" i="72" a="1"/>
  <c r="AQ129" i="72" s="1"/>
  <c r="AQ116" i="72" a="1"/>
  <c r="AQ116" i="72" s="1"/>
  <c r="AQ126" i="72" a="1"/>
  <c r="AQ126" i="72" s="1"/>
  <c r="AQ106" i="72" a="1"/>
  <c r="AQ106" i="72" s="1"/>
  <c r="AQ110" i="72" a="1"/>
  <c r="AQ110" i="72" s="1"/>
  <c r="AJ119" i="72" a="1"/>
  <c r="AJ119" i="72" s="1"/>
  <c r="AJ121" i="72" a="1"/>
  <c r="AJ121" i="72" s="1"/>
  <c r="AJ107" i="72" a="1"/>
  <c r="AJ107" i="72" s="1"/>
  <c r="AJ123" i="72" a="1"/>
  <c r="AJ123" i="72" s="1"/>
  <c r="AW41" i="4" a="1"/>
  <c r="AW41" i="4" s="1"/>
  <c r="AU41" i="4" a="1"/>
  <c r="AU41" i="4" s="1"/>
  <c r="AV41" i="4"/>
  <c r="Y41" i="4"/>
  <c r="DA41" i="4"/>
  <c r="DB41" i="4" s="1"/>
  <c r="P43" i="9" s="1"/>
  <c r="BR41" i="4"/>
  <c r="CB41" i="4"/>
  <c r="CI46" i="72"/>
  <c r="BC46" i="72" a="1"/>
  <c r="BC46" i="72" s="1"/>
  <c r="BR12" i="72"/>
  <c r="CF12" i="72" a="1"/>
  <c r="CF12" i="72" s="1"/>
  <c r="AH12" i="72" s="1" a="1"/>
  <c r="AH12" i="72" s="1"/>
  <c r="E12" i="72"/>
  <c r="CG12" i="72" a="1"/>
  <c r="CG12" i="72" s="1"/>
  <c r="BS31" i="69"/>
  <c r="BT31" i="69"/>
  <c r="BD31" i="69"/>
  <c r="AP31" i="69" a="1"/>
  <c r="AP31" i="69" s="1"/>
  <c r="BN31" i="69" a="1"/>
  <c r="BN31" i="69" s="1"/>
  <c r="R31" i="69"/>
  <c r="AO31" i="69" s="1" a="1"/>
  <c r="AO31" i="69" s="1"/>
  <c r="BG31" i="69"/>
  <c r="AV31" i="69" s="1" a="1"/>
  <c r="AV31" i="69" s="1"/>
  <c r="BM31" i="69" a="1"/>
  <c r="BM31" i="69" s="1"/>
  <c r="I448" i="15" a="1"/>
  <c r="I448" i="15" s="1"/>
  <c r="BS22" i="69"/>
  <c r="E18" i="69"/>
  <c r="K83" i="69" a="1"/>
  <c r="K83" i="69" s="1"/>
  <c r="I340" i="15" a="1"/>
  <c r="I340" i="15" s="1"/>
  <c r="BO14" i="69"/>
  <c r="BR14" i="69" s="1"/>
  <c r="BE14" i="69"/>
  <c r="AN14" i="69" s="1" a="1"/>
  <c r="AN14" i="69" s="1"/>
  <c r="BF14" i="69"/>
  <c r="BP69" i="69"/>
  <c r="BO69" i="69" s="1"/>
  <c r="BR69" i="69" s="1"/>
  <c r="BG69" i="69"/>
  <c r="BM69" i="69" a="1"/>
  <c r="BM69" i="69" s="1"/>
  <c r="BT69" i="69"/>
  <c r="R69" i="69"/>
  <c r="BD69" i="69"/>
  <c r="BQ35" i="69" a="1"/>
  <c r="BQ35" i="69" s="1"/>
  <c r="AY12" i="69" a="1"/>
  <c r="AY12" i="69" s="1"/>
  <c r="BQ12" i="69" a="1"/>
  <c r="BQ12" i="69" s="1"/>
  <c r="BM12" i="69" a="1"/>
  <c r="BM12" i="69" s="1"/>
  <c r="BD12" i="69"/>
  <c r="R12" i="69"/>
  <c r="BG12" i="69"/>
  <c r="AV12" i="69" s="1" a="1"/>
  <c r="AV12" i="69" s="1"/>
  <c r="BT12" i="69"/>
  <c r="AP12" i="69" a="1"/>
  <c r="AP12" i="69" s="1"/>
  <c r="BN12" i="69" a="1"/>
  <c r="BN12" i="69" s="1"/>
  <c r="AK31" i="72" a="1"/>
  <c r="AK31" i="72" s="1"/>
  <c r="G72" i="69"/>
  <c r="CI76" i="72"/>
  <c r="BC76" i="72" a="1"/>
  <c r="BC76" i="72" s="1"/>
  <c r="AL83" i="72" a="1"/>
  <c r="AL83" i="72" s="1"/>
  <c r="AW83" i="72"/>
  <c r="R83" i="72"/>
  <c r="AY83" i="72" a="1"/>
  <c r="AY83" i="72" s="1"/>
  <c r="BM83" i="72"/>
  <c r="AT83" i="72" a="1"/>
  <c r="AT83" i="72" s="1"/>
  <c r="AU83" i="72" a="1"/>
  <c r="AU83" i="72" s="1"/>
  <c r="AS83" i="72" a="1"/>
  <c r="AS83" i="72" s="1"/>
  <c r="BV83" i="72" a="1"/>
  <c r="BV83" i="72" s="1"/>
  <c r="BP83" i="72"/>
  <c r="BF83" i="72" s="1" a="1"/>
  <c r="BF83" i="72" s="1"/>
  <c r="BE86" i="4"/>
  <c r="AH58" i="72" a="1"/>
  <c r="AH58" i="72" s="1"/>
  <c r="K69" i="72" a="1"/>
  <c r="K69" i="72" s="1"/>
  <c r="B69" i="72"/>
  <c r="CI69" i="72"/>
  <c r="BC69" i="72" a="1"/>
  <c r="BC69" i="72" s="1"/>
  <c r="AK35" i="72" a="1"/>
  <c r="AK35" i="72" s="1"/>
  <c r="F223" i="15" a="1"/>
  <c r="F223" i="15" s="1"/>
  <c r="F78" i="69"/>
  <c r="F78" i="72"/>
  <c r="K76" i="69" a="1"/>
  <c r="K76" i="69" s="1"/>
  <c r="BV71" i="69"/>
  <c r="AT71" i="69" a="1"/>
  <c r="AT71" i="69" s="1"/>
  <c r="BT71" i="69"/>
  <c r="BM71" i="69" a="1"/>
  <c r="BM71" i="69" s="1"/>
  <c r="BD71" i="69"/>
  <c r="BG71" i="69"/>
  <c r="AV71" i="69" s="1" a="1"/>
  <c r="AV71" i="69" s="1"/>
  <c r="R71" i="69"/>
  <c r="AP71" i="69" a="1"/>
  <c r="AP71" i="69" s="1"/>
  <c r="BN71" i="69" a="1"/>
  <c r="BN71" i="69" s="1"/>
  <c r="BN77" i="72"/>
  <c r="BO77" i="72"/>
  <c r="AX1417" i="13"/>
  <c r="A1516" i="13"/>
  <c r="Z1521" i="13"/>
  <c r="AV1417" i="13"/>
  <c r="O24" i="72"/>
  <c r="E24" i="72"/>
  <c r="CG24" i="72" a="1"/>
  <c r="CG24" i="72" s="1"/>
  <c r="CF24" i="72" a="1"/>
  <c r="CF24" i="72" s="1"/>
  <c r="BO33" i="69"/>
  <c r="BR33" i="69" s="1"/>
  <c r="BE33" i="69"/>
  <c r="AG33" i="69" s="1" a="1"/>
  <c r="AG33" i="69" s="1"/>
  <c r="BF33" i="69"/>
  <c r="AY73" i="69" a="1"/>
  <c r="AY73" i="69" s="1"/>
  <c r="BF16" i="69"/>
  <c r="BO16" i="69"/>
  <c r="BR16" i="69" s="1"/>
  <c r="BE16" i="69"/>
  <c r="I265" i="15" a="1"/>
  <c r="I265" i="15" s="1"/>
  <c r="CI5" i="72"/>
  <c r="CG5" i="72" a="1"/>
  <c r="CG5" i="72" s="1"/>
  <c r="CF5" i="72" a="1"/>
  <c r="CF5" i="72" s="1"/>
  <c r="E5" i="72"/>
  <c r="S65" i="72"/>
  <c r="L65" i="72"/>
  <c r="AU65" i="72" a="1"/>
  <c r="AU65" i="72" s="1"/>
  <c r="AT65" i="72" a="1"/>
  <c r="AT65" i="72" s="1"/>
  <c r="BM65" i="72"/>
  <c r="R65" i="72"/>
  <c r="AY65" i="72" a="1"/>
  <c r="AY65" i="72" s="1"/>
  <c r="BP65" i="72"/>
  <c r="BE65" i="72" s="1" a="1"/>
  <c r="BE65" i="72" s="1"/>
  <c r="AS65" i="72" a="1"/>
  <c r="AS65" i="72" s="1"/>
  <c r="AL65" i="72" a="1"/>
  <c r="AL65" i="72" s="1"/>
  <c r="AW65" i="72"/>
  <c r="BV65" i="72" a="1"/>
  <c r="BV65" i="72" s="1"/>
  <c r="BW65" i="72" a="1"/>
  <c r="BW65" i="72" s="1"/>
  <c r="AD20" i="72"/>
  <c r="CI20" i="72"/>
  <c r="BC20" i="72" a="1"/>
  <c r="BC20" i="72" s="1"/>
  <c r="K87" i="72" a="1"/>
  <c r="K87" i="72" s="1"/>
  <c r="BS39" i="4"/>
  <c r="BT39" i="72" s="1"/>
  <c r="AT86" i="69" a="1"/>
  <c r="AT86" i="69" s="1"/>
  <c r="BV86" i="69"/>
  <c r="AX1407" i="13"/>
  <c r="AV1407" i="13"/>
  <c r="Z1511" i="13"/>
  <c r="A1506" i="13"/>
  <c r="S85" i="69"/>
  <c r="CD54" i="72"/>
  <c r="AP54" i="72"/>
  <c r="CB54" i="72"/>
  <c r="BT54" i="72"/>
  <c r="BZ54" i="72" a="1"/>
  <c r="BZ54" i="72" s="1"/>
  <c r="AM54" i="72"/>
  <c r="CE54" i="72" a="1"/>
  <c r="CE54" i="72" s="1"/>
  <c r="AV54" i="72" a="1"/>
  <c r="AV54" i="72" s="1"/>
  <c r="CC54" i="72"/>
  <c r="AI54" i="72" s="1"/>
  <c r="BQ90" i="72"/>
  <c r="BH75" i="69"/>
  <c r="H102" i="15" a="1"/>
  <c r="H102" i="15" s="1"/>
  <c r="H628" i="15" a="1"/>
  <c r="H628" i="15" s="1"/>
  <c r="C16" i="72"/>
  <c r="D16" i="72" s="1" a="1"/>
  <c r="D16" i="72" s="1"/>
  <c r="CI16" i="72"/>
  <c r="BC16" i="72" a="1"/>
  <c r="BC16" i="72" s="1"/>
  <c r="I438" i="15" a="1"/>
  <c r="I438" i="15" s="1"/>
  <c r="K94" i="69" a="1"/>
  <c r="K94" i="69" s="1"/>
  <c r="E5" i="69"/>
  <c r="B5" i="69"/>
  <c r="H443" i="15" a="1"/>
  <c r="H443" i="15" s="1"/>
  <c r="BE95" i="72" a="1"/>
  <c r="BE95" i="72" s="1"/>
  <c r="BE94" i="4"/>
  <c r="BS94" i="4" s="1"/>
  <c r="I238" i="15" a="1"/>
  <c r="I238" i="15" s="1"/>
  <c r="BI70" i="4"/>
  <c r="BG78" i="4"/>
  <c r="BH88" i="4"/>
  <c r="AV1186" i="13" s="1"/>
  <c r="L88" i="4"/>
  <c r="BM69" i="4"/>
  <c r="X69" i="4"/>
  <c r="BS69" i="4"/>
  <c r="BT69" i="72" s="1"/>
  <c r="BH69" i="4"/>
  <c r="AV1167" i="13" s="1"/>
  <c r="L69" i="4"/>
  <c r="BG61" i="4"/>
  <c r="X84" i="4"/>
  <c r="BH84" i="4"/>
  <c r="AV1182" i="13" s="1"/>
  <c r="BS84" i="4"/>
  <c r="BT84" i="72" s="1"/>
  <c r="L84" i="4"/>
  <c r="BG66" i="4"/>
  <c r="BH72" i="4"/>
  <c r="AV1170" i="13" s="1"/>
  <c r="X72" i="4"/>
  <c r="L72" i="4"/>
  <c r="BF54" i="69"/>
  <c r="BE54" i="69"/>
  <c r="AN54" i="69" s="1" a="1"/>
  <c r="AN54" i="69" s="1"/>
  <c r="AK90" i="69" a="1"/>
  <c r="AK90" i="69" s="1"/>
  <c r="AH90" i="69" a="1"/>
  <c r="AH90" i="69" s="1"/>
  <c r="AW90" i="69" a="1"/>
  <c r="AW90" i="69" s="1"/>
  <c r="BA90" i="69" a="1"/>
  <c r="BA90" i="69" s="1"/>
  <c r="AV90" i="69" a="1"/>
  <c r="AV90" i="69" s="1"/>
  <c r="AQ90" i="69" a="1"/>
  <c r="AQ90" i="69" s="1"/>
  <c r="AU90" i="69" a="1"/>
  <c r="AU90" i="69" s="1"/>
  <c r="AO90" i="69" a="1"/>
  <c r="AO90" i="69" s="1"/>
  <c r="AF90" i="69" a="1"/>
  <c r="AF90" i="69" s="1"/>
  <c r="AZ90" i="69" a="1"/>
  <c r="AZ90" i="69" s="1"/>
  <c r="AI90" i="69" a="1"/>
  <c r="AI90" i="69" s="1"/>
  <c r="F71" i="69"/>
  <c r="F71" i="72"/>
  <c r="CG75" i="72" a="1"/>
  <c r="CG75" i="72" s="1"/>
  <c r="CF75" i="72" a="1"/>
  <c r="CF75" i="72" s="1"/>
  <c r="AH75" i="72" s="1" a="1"/>
  <c r="AH75" i="72" s="1"/>
  <c r="E75" i="72"/>
  <c r="BV74" i="69"/>
  <c r="AT74" i="69" a="1"/>
  <c r="AT74" i="69" s="1"/>
  <c r="AK48" i="69" a="1"/>
  <c r="AK48" i="69" s="1"/>
  <c r="AI48" i="69" a="1"/>
  <c r="AI48" i="69" s="1"/>
  <c r="AF48" i="69" a="1"/>
  <c r="AF48" i="69" s="1"/>
  <c r="AQ48" i="69" a="1"/>
  <c r="AQ48" i="69" s="1"/>
  <c r="AO48" i="69" a="1"/>
  <c r="AO48" i="69" s="1"/>
  <c r="AU48" i="69" a="1"/>
  <c r="AU48" i="69" s="1"/>
  <c r="BA48" i="69" a="1"/>
  <c r="BA48" i="69" s="1"/>
  <c r="AH48" i="69" a="1"/>
  <c r="AH48" i="69" s="1"/>
  <c r="AZ48" i="69" a="1"/>
  <c r="AZ48" i="69" s="1"/>
  <c r="BE48" i="69"/>
  <c r="AN48" i="69" s="1" a="1"/>
  <c r="AN48" i="69" s="1"/>
  <c r="BF48" i="69"/>
  <c r="BE7" i="69"/>
  <c r="AN7" i="69" s="1" a="1"/>
  <c r="AN7" i="69" s="1"/>
  <c r="BF7" i="69"/>
  <c r="L6" i="69"/>
  <c r="BM6" i="69" a="1"/>
  <c r="BM6" i="69" s="1"/>
  <c r="R6" i="69"/>
  <c r="BG6" i="69"/>
  <c r="BT6" i="69"/>
  <c r="BD6" i="69"/>
  <c r="DF60" i="4" a="1"/>
  <c r="DF60" i="4" s="1"/>
  <c r="AK80" i="72" a="1"/>
  <c r="AK80" i="72" s="1"/>
  <c r="AE92" i="69" a="1"/>
  <c r="AE92" i="69" s="1"/>
  <c r="BH62" i="69"/>
  <c r="E62" i="69"/>
  <c r="U74" i="72" a="1"/>
  <c r="U74" i="72" s="1"/>
  <c r="CD48" i="72"/>
  <c r="AV48" i="72" a="1"/>
  <c r="AV48" i="72" s="1"/>
  <c r="CE48" i="72" a="1"/>
  <c r="CE48" i="72" s="1"/>
  <c r="CB48" i="72"/>
  <c r="BZ48" i="72" a="1"/>
  <c r="BZ48" i="72" s="1"/>
  <c r="AM48" i="72"/>
  <c r="AP48" i="72"/>
  <c r="BT48" i="72"/>
  <c r="CC48" i="72"/>
  <c r="AI48" i="72" s="1"/>
  <c r="BK25" i="69"/>
  <c r="BN14" i="72"/>
  <c r="BO14" i="72"/>
  <c r="AW47" i="72"/>
  <c r="AL47" i="72" a="1"/>
  <c r="AL47" i="72" s="1"/>
  <c r="R47" i="72"/>
  <c r="AY47" i="72" a="1"/>
  <c r="AY47" i="72" s="1"/>
  <c r="BW47" i="72" a="1"/>
  <c r="BW47" i="72" s="1"/>
  <c r="BP47" i="72"/>
  <c r="BE47" i="72" s="1" a="1"/>
  <c r="BE47" i="72" s="1"/>
  <c r="BM47" i="72"/>
  <c r="AS47" i="72" a="1"/>
  <c r="AS47" i="72" s="1"/>
  <c r="BV47" i="72" a="1"/>
  <c r="BV47" i="72" s="1"/>
  <c r="AU47" i="72" a="1"/>
  <c r="AU47" i="72" s="1"/>
  <c r="AT47" i="72" a="1"/>
  <c r="AT47" i="72" s="1"/>
  <c r="BV56" i="69"/>
  <c r="BR28" i="72"/>
  <c r="CF8" i="72" a="1"/>
  <c r="CF8" i="72" s="1"/>
  <c r="CG8" i="72" a="1"/>
  <c r="CG8" i="72" s="1"/>
  <c r="E8" i="72"/>
  <c r="I268" i="15" a="1"/>
  <c r="I268" i="15" s="1"/>
  <c r="BD1766" i="13" a="1"/>
  <c r="BD1766" i="13" s="1"/>
  <c r="BV91" i="69"/>
  <c r="H361" i="15" a="1"/>
  <c r="H361" i="15" s="1"/>
  <c r="AT44" i="69" a="1"/>
  <c r="AT44" i="69" s="1"/>
  <c r="AI44" i="69" a="1"/>
  <c r="AI44" i="69" s="1"/>
  <c r="AG44" i="69" a="1"/>
  <c r="AG44" i="69" s="1"/>
  <c r="AU44" i="69" a="1"/>
  <c r="AU44" i="69" s="1"/>
  <c r="AH44" i="69" a="1"/>
  <c r="AH44" i="69" s="1"/>
  <c r="AN44" i="69" a="1"/>
  <c r="AN44" i="69" s="1"/>
  <c r="AK44" i="69" a="1"/>
  <c r="AK44" i="69" s="1"/>
  <c r="AZ44" i="69" a="1"/>
  <c r="AZ44" i="69" s="1"/>
  <c r="AF44" i="69" a="1"/>
  <c r="AF44" i="69" s="1"/>
  <c r="BA44" i="69" a="1"/>
  <c r="BA44" i="69" s="1"/>
  <c r="AQ44" i="69" a="1"/>
  <c r="AQ44" i="69" s="1"/>
  <c r="BV15" i="69"/>
  <c r="AT15" i="69" a="1"/>
  <c r="AT15" i="69" s="1"/>
  <c r="AR21" i="4"/>
  <c r="AY521" i="13"/>
  <c r="AS21" i="4"/>
  <c r="AX1474" i="13"/>
  <c r="A1573" i="13"/>
  <c r="Z1578" i="13"/>
  <c r="AV1474" i="13"/>
  <c r="BV47" i="69"/>
  <c r="AT47" i="69" a="1"/>
  <c r="AT47" i="69" s="1"/>
  <c r="BO17" i="69"/>
  <c r="BR17" i="69" s="1"/>
  <c r="BQ29" i="69" a="1"/>
  <c r="BQ29" i="69" s="1"/>
  <c r="BD29" i="69"/>
  <c r="BG29" i="69"/>
  <c r="R29" i="69"/>
  <c r="BT29" i="69"/>
  <c r="BM29" i="69" a="1"/>
  <c r="BM29" i="69" s="1"/>
  <c r="BC82" i="72" a="1"/>
  <c r="BC82" i="72" s="1"/>
  <c r="AH82" i="72" a="1"/>
  <c r="AH82" i="72" s="1"/>
  <c r="AJ82" i="72" a="1"/>
  <c r="AJ82" i="72" s="1"/>
  <c r="AX82" i="72" a="1"/>
  <c r="AX82" i="72" s="1"/>
  <c r="AZ82" i="72" a="1"/>
  <c r="AZ82" i="72" s="1"/>
  <c r="BE82" i="72" a="1"/>
  <c r="BE82" i="72" s="1"/>
  <c r="BJ82" i="72" a="1"/>
  <c r="BJ82" i="72" s="1"/>
  <c r="BI82" i="72" a="1"/>
  <c r="BI82" i="72" s="1"/>
  <c r="BD82" i="72" a="1"/>
  <c r="BD82" i="72" s="1"/>
  <c r="BF82" i="72" a="1"/>
  <c r="BF82" i="72" s="1"/>
  <c r="AI21" i="69" a="1"/>
  <c r="AI21" i="69" s="1"/>
  <c r="AF21" i="69" a="1"/>
  <c r="AF21" i="69" s="1"/>
  <c r="AO21" i="69" a="1"/>
  <c r="AO21" i="69" s="1"/>
  <c r="BA21" i="69" a="1"/>
  <c r="BA21" i="69" s="1"/>
  <c r="AQ21" i="69" a="1"/>
  <c r="AQ21" i="69" s="1"/>
  <c r="AZ21" i="69" a="1"/>
  <c r="AZ21" i="69" s="1"/>
  <c r="AU21" i="69" a="1"/>
  <c r="AU21" i="69" s="1"/>
  <c r="AK21" i="69" a="1"/>
  <c r="AK21" i="69" s="1"/>
  <c r="AH21" i="69" a="1"/>
  <c r="AH21" i="69" s="1"/>
  <c r="AX1414" i="13"/>
  <c r="AV1414" i="13"/>
  <c r="Z1518" i="13"/>
  <c r="A1513" i="13"/>
  <c r="I535" i="15" a="1"/>
  <c r="I535" i="15" s="1"/>
  <c r="AS50" i="72" a="1"/>
  <c r="AS50" i="72" s="1"/>
  <c r="BM50" i="72"/>
  <c r="AT50" i="72" a="1"/>
  <c r="AT50" i="72" s="1"/>
  <c r="AL50" i="72" a="1"/>
  <c r="AL50" i="72" s="1"/>
  <c r="R50" i="72"/>
  <c r="BV50" i="72" a="1"/>
  <c r="BV50" i="72" s="1"/>
  <c r="AW50" i="72"/>
  <c r="BP50" i="72"/>
  <c r="BE50" i="72" s="1" a="1"/>
  <c r="BE50" i="72" s="1"/>
  <c r="AU50" i="72" a="1"/>
  <c r="AU50" i="72" s="1"/>
  <c r="AY50" i="72" a="1"/>
  <c r="AY50" i="72" s="1"/>
  <c r="I660" i="15" a="1"/>
  <c r="I660" i="15" s="1"/>
  <c r="I254" i="15" a="1"/>
  <c r="I254" i="15" s="1"/>
  <c r="I261" i="15" a="1"/>
  <c r="I261" i="15" s="1"/>
  <c r="H261" i="15" a="1"/>
  <c r="H261" i="15" s="1"/>
  <c r="F261" i="15" a="1"/>
  <c r="F261" i="15" s="1"/>
  <c r="AU81" i="72" a="1"/>
  <c r="AU81" i="72" s="1"/>
  <c r="BM81" i="72"/>
  <c r="BV81" i="72" a="1"/>
  <c r="BV81" i="72" s="1"/>
  <c r="R81" i="72"/>
  <c r="AT81" i="72" a="1"/>
  <c r="AT81" i="72" s="1"/>
  <c r="AS81" i="72" a="1"/>
  <c r="AS81" i="72" s="1"/>
  <c r="AW81" i="72"/>
  <c r="AL81" i="72" a="1"/>
  <c r="AL81" i="72" s="1"/>
  <c r="BP81" i="72"/>
  <c r="BF81" i="72" s="1" a="1"/>
  <c r="BF81" i="72" s="1"/>
  <c r="AY81" i="72" a="1"/>
  <c r="AY81" i="72" s="1"/>
  <c r="BW81" i="72" a="1"/>
  <c r="BW81" i="72" s="1"/>
  <c r="CI81" i="72"/>
  <c r="BC81" i="72" a="1"/>
  <c r="BC81" i="72" s="1"/>
  <c r="H526" i="15" a="1"/>
  <c r="H526" i="15" s="1"/>
  <c r="AX41" i="69" a="1"/>
  <c r="AX41" i="69" s="1"/>
  <c r="BS35" i="4"/>
  <c r="AD35" i="69" s="1"/>
  <c r="BI67" i="4"/>
  <c r="BM67" i="4"/>
  <c r="AV569" i="13"/>
  <c r="DX67" i="4"/>
  <c r="BU58" i="4"/>
  <c r="BE58" i="4"/>
  <c r="BS58" i="4" s="1"/>
  <c r="I195" i="15" a="1"/>
  <c r="I195" i="15" s="1"/>
  <c r="BE42" i="69"/>
  <c r="BF42" i="69"/>
  <c r="AX1420" i="13"/>
  <c r="AV1420" i="13"/>
  <c r="Z1524" i="13"/>
  <c r="A1519" i="13"/>
  <c r="BF53" i="69"/>
  <c r="BE53" i="69"/>
  <c r="AN53" i="69" s="1" a="1"/>
  <c r="AN53" i="69" s="1"/>
  <c r="F531" i="15" a="1"/>
  <c r="F531" i="15" s="1"/>
  <c r="I531" i="15" a="1"/>
  <c r="I531" i="15" s="1"/>
  <c r="H531" i="15" a="1"/>
  <c r="H531" i="15" s="1"/>
  <c r="L84" i="72"/>
  <c r="AU84" i="72" a="1"/>
  <c r="AU84" i="72" s="1"/>
  <c r="AT84" i="72" a="1"/>
  <c r="AT84" i="72" s="1"/>
  <c r="BM84" i="72"/>
  <c r="AS84" i="72" a="1"/>
  <c r="AS84" i="72" s="1"/>
  <c r="R84" i="72"/>
  <c r="AY84" i="72" a="1"/>
  <c r="AY84" i="72" s="1"/>
  <c r="BW84" i="72" a="1"/>
  <c r="BW84" i="72" s="1"/>
  <c r="AW84" i="72"/>
  <c r="BP84" i="72"/>
  <c r="BE84" i="72" s="1" a="1"/>
  <c r="BE84" i="72" s="1"/>
  <c r="BV84" i="72" a="1"/>
  <c r="BV84" i="72" s="1"/>
  <c r="AL84" i="72" a="1"/>
  <c r="AL84" i="72" s="1"/>
  <c r="CE84" i="72" a="1"/>
  <c r="CE84" i="72" s="1"/>
  <c r="AV84" i="72" a="1"/>
  <c r="AV84" i="72" s="1"/>
  <c r="AP84" i="72"/>
  <c r="BZ84" i="72" a="1"/>
  <c r="BZ84" i="72" s="1"/>
  <c r="CB84" i="72"/>
  <c r="CD84" i="72"/>
  <c r="AM84" i="72"/>
  <c r="BX64" i="72"/>
  <c r="CA64" i="72" s="1"/>
  <c r="CD40" i="72"/>
  <c r="CB40" i="72"/>
  <c r="AV40" i="72" a="1"/>
  <c r="AV40" i="72" s="1"/>
  <c r="BT40" i="72"/>
  <c r="CE40" i="72" a="1"/>
  <c r="CE40" i="72" s="1"/>
  <c r="BZ40" i="72" a="1"/>
  <c r="BZ40" i="72" s="1"/>
  <c r="AM40" i="72"/>
  <c r="AP40" i="72"/>
  <c r="CC40" i="72"/>
  <c r="AI40" i="72" s="1"/>
  <c r="I472" i="15" a="1"/>
  <c r="I472" i="15" s="1"/>
  <c r="AY79" i="72" a="1"/>
  <c r="AY79" i="72" s="1"/>
  <c r="BI79" i="72" a="1"/>
  <c r="BI79" i="72" s="1"/>
  <c r="BJ79" i="72" a="1"/>
  <c r="BJ79" i="72" s="1"/>
  <c r="BE79" i="72" a="1"/>
  <c r="BE79" i="72" s="1"/>
  <c r="BD79" i="72" a="1"/>
  <c r="BD79" i="72" s="1"/>
  <c r="AX79" i="72" a="1"/>
  <c r="AX79" i="72" s="1"/>
  <c r="AZ79" i="72" a="1"/>
  <c r="AZ79" i="72" s="1"/>
  <c r="AJ79" i="72" a="1"/>
  <c r="AJ79" i="72" s="1"/>
  <c r="BF79" i="72" a="1"/>
  <c r="BF79" i="72" s="1"/>
  <c r="H433" i="15" a="1"/>
  <c r="H433" i="15" s="1"/>
  <c r="BI49" i="72" a="1"/>
  <c r="BI49" i="72" s="1"/>
  <c r="AZ49" i="72" a="1"/>
  <c r="AZ49" i="72" s="1"/>
  <c r="BJ49" i="72" a="1"/>
  <c r="BJ49" i="72" s="1"/>
  <c r="AJ49" i="72" a="1"/>
  <c r="AJ49" i="72" s="1"/>
  <c r="BE49" i="72" a="1"/>
  <c r="BE49" i="72" s="1"/>
  <c r="BD49" i="72" a="1"/>
  <c r="BD49" i="72" s="1"/>
  <c r="AX49" i="72" a="1"/>
  <c r="AX49" i="72" s="1"/>
  <c r="I241" i="15" a="1"/>
  <c r="I241" i="15" s="1"/>
  <c r="AN66" i="69" a="1"/>
  <c r="AN66" i="69" s="1"/>
  <c r="AO66" i="69" a="1"/>
  <c r="AO66" i="69" s="1"/>
  <c r="AQ66" i="69" a="1"/>
  <c r="AQ66" i="69" s="1"/>
  <c r="AI66" i="69" a="1"/>
  <c r="AI66" i="69" s="1"/>
  <c r="AH66" i="69" a="1"/>
  <c r="AH66" i="69" s="1"/>
  <c r="AK66" i="69" a="1"/>
  <c r="AK66" i="69" s="1"/>
  <c r="AU66" i="69" a="1"/>
  <c r="AU66" i="69" s="1"/>
  <c r="AG66" i="69" a="1"/>
  <c r="AG66" i="69" s="1"/>
  <c r="BA66" i="69" a="1"/>
  <c r="BA66" i="69" s="1"/>
  <c r="AZ66" i="69" a="1"/>
  <c r="AZ66" i="69" s="1"/>
  <c r="AF66" i="69" a="1"/>
  <c r="AF66" i="69" s="1"/>
  <c r="CB52" i="72"/>
  <c r="BT52" i="72"/>
  <c r="AM52" i="72"/>
  <c r="AV52" i="72" a="1"/>
  <c r="AV52" i="72" s="1"/>
  <c r="CD52" i="72"/>
  <c r="CE52" i="72" a="1"/>
  <c r="CE52" i="72" s="1"/>
  <c r="BZ52" i="72" a="1"/>
  <c r="BZ52" i="72" s="1"/>
  <c r="AP52" i="72"/>
  <c r="CC52" i="72"/>
  <c r="AI52" i="72" s="1"/>
  <c r="AK53" i="72" a="1"/>
  <c r="AK53" i="72" s="1"/>
  <c r="AM13" i="72"/>
  <c r="AV13" i="72" a="1"/>
  <c r="AV13" i="72" s="1"/>
  <c r="CD13" i="72"/>
  <c r="BT13" i="72"/>
  <c r="CE13" i="72" a="1"/>
  <c r="CE13" i="72" s="1"/>
  <c r="CC13" i="72"/>
  <c r="AI13" i="72" s="1"/>
  <c r="CB13" i="72"/>
  <c r="AP13" i="72"/>
  <c r="BZ13" i="72" a="1"/>
  <c r="BZ13" i="72" s="1"/>
  <c r="AD37" i="69"/>
  <c r="AE26" i="69" a="1"/>
  <c r="AE26" i="69" s="1"/>
  <c r="AP26" i="69" s="1" a="1"/>
  <c r="AP26" i="69" s="1"/>
  <c r="BE26" i="69"/>
  <c r="BF26" i="69"/>
  <c r="I432" i="15" a="1"/>
  <c r="I432" i="15" s="1"/>
  <c r="H432" i="15" a="1"/>
  <c r="H432" i="15" s="1"/>
  <c r="F432" i="15" a="1"/>
  <c r="F432" i="15" s="1"/>
  <c r="H497" i="15" a="1"/>
  <c r="H497" i="15" s="1"/>
  <c r="BG15" i="72" a="1"/>
  <c r="BG15" i="72" s="1"/>
  <c r="AX15" i="72" a="1"/>
  <c r="AX15" i="72" s="1"/>
  <c r="BJ15" i="72" a="1"/>
  <c r="BJ15" i="72" s="1"/>
  <c r="BD15" i="72" a="1"/>
  <c r="BD15" i="72" s="1"/>
  <c r="BI15" i="72" a="1"/>
  <c r="BI15" i="72" s="1"/>
  <c r="AZ15" i="72" a="1"/>
  <c r="AZ15" i="72" s="1"/>
  <c r="AJ15" i="72" a="1"/>
  <c r="AJ15" i="72" s="1"/>
  <c r="AF38" i="69" a="1"/>
  <c r="AF38" i="69" s="1"/>
  <c r="AI38" i="69" a="1"/>
  <c r="AI38" i="69" s="1"/>
  <c r="AN38" i="69" a="1"/>
  <c r="AN38" i="69" s="1"/>
  <c r="AG38" i="69" a="1"/>
  <c r="AG38" i="69" s="1"/>
  <c r="AQ38" i="69" a="1"/>
  <c r="AQ38" i="69" s="1"/>
  <c r="AK38" i="69" a="1"/>
  <c r="AK38" i="69" s="1"/>
  <c r="BA38" i="69" a="1"/>
  <c r="BA38" i="69" s="1"/>
  <c r="AH38" i="69" a="1"/>
  <c r="AH38" i="69" s="1"/>
  <c r="AZ38" i="69" a="1"/>
  <c r="AZ38" i="69" s="1"/>
  <c r="AU38" i="69" a="1"/>
  <c r="AU38" i="69" s="1"/>
  <c r="AV577" i="13"/>
  <c r="BM75" i="4"/>
  <c r="BI75" i="4"/>
  <c r="DX75" i="4"/>
  <c r="O46" i="69"/>
  <c r="BE1769" i="13" a="1"/>
  <c r="BE1769" i="13" s="1"/>
  <c r="AK51" i="72" a="1"/>
  <c r="AK51" i="72" s="1"/>
  <c r="CB51" i="72"/>
  <c r="AP51" i="72"/>
  <c r="AM51" i="72"/>
  <c r="BT51" i="72"/>
  <c r="CD51" i="72"/>
  <c r="CE51" i="72" a="1"/>
  <c r="CE51" i="72" s="1"/>
  <c r="BZ51" i="72" a="1"/>
  <c r="BZ51" i="72" s="1"/>
  <c r="AV51" i="72" a="1"/>
  <c r="AV51" i="72" s="1"/>
  <c r="CC51" i="72"/>
  <c r="AI51" i="72" s="1"/>
  <c r="BM68" i="72"/>
  <c r="BP68" i="72"/>
  <c r="BE68" i="72" s="1" a="1"/>
  <c r="BE68" i="72" s="1"/>
  <c r="AS68" i="72" a="1"/>
  <c r="AS68" i="72" s="1"/>
  <c r="AW68" i="72"/>
  <c r="BV68" i="72" a="1"/>
  <c r="BV68" i="72" s="1"/>
  <c r="AL68" i="72" a="1"/>
  <c r="AL68" i="72" s="1"/>
  <c r="R68" i="72"/>
  <c r="AU68" i="72" a="1"/>
  <c r="AU68" i="72" s="1"/>
  <c r="AY68" i="72" a="1"/>
  <c r="AY68" i="72" s="1"/>
  <c r="BW68" i="72" a="1"/>
  <c r="BW68" i="72" s="1"/>
  <c r="AT68" i="72" a="1"/>
  <c r="AT68" i="72" s="1"/>
  <c r="I653" i="15" a="1"/>
  <c r="I653" i="15" s="1"/>
  <c r="C22" i="72"/>
  <c r="D22" i="72" s="1" a="1"/>
  <c r="D22" i="72" s="1"/>
  <c r="G94" i="69"/>
  <c r="AV1390" i="13"/>
  <c r="AV1296" i="13" s="1" a="1"/>
  <c r="AV1296" i="13" s="1"/>
  <c r="G94" i="72"/>
  <c r="BI23" i="4"/>
  <c r="BM23" i="4"/>
  <c r="BN23" i="4" s="1"/>
  <c r="BF23" i="4" s="1" a="1"/>
  <c r="BF23" i="4" s="1"/>
  <c r="AV525" i="13"/>
  <c r="DX23" i="4"/>
  <c r="BH18" i="72" a="1"/>
  <c r="BH18" i="72" s="1"/>
  <c r="AT18" i="72" a="1"/>
  <c r="AT18" i="72" s="1"/>
  <c r="BP18" i="72"/>
  <c r="AU18" i="72" a="1"/>
  <c r="AU18" i="72" s="1"/>
  <c r="AW18" i="72"/>
  <c r="BM18" i="72"/>
  <c r="AS18" i="72" a="1"/>
  <c r="AS18" i="72" s="1"/>
  <c r="BV18" i="72" a="1"/>
  <c r="BV18" i="72" s="1"/>
  <c r="R18" i="72"/>
  <c r="AL18" i="72" a="1"/>
  <c r="AL18" i="72" s="1"/>
  <c r="AD13" i="69"/>
  <c r="CG26" i="72" a="1"/>
  <c r="CG26" i="72" s="1"/>
  <c r="CF26" i="72" a="1"/>
  <c r="CF26" i="72" s="1"/>
  <c r="AH26" i="72" s="1" a="1"/>
  <c r="AH26" i="72" s="1"/>
  <c r="E26" i="72"/>
  <c r="F191" i="15" a="1"/>
  <c r="F191" i="15" s="1"/>
  <c r="BH12" i="72" a="1"/>
  <c r="BH12" i="72" s="1"/>
  <c r="AE61" i="69" a="1"/>
  <c r="AE61" i="69" s="1"/>
  <c r="BK18" i="69"/>
  <c r="E83" i="69"/>
  <c r="I578" i="15" a="1"/>
  <c r="I578" i="15" s="1"/>
  <c r="AD31" i="72"/>
  <c r="AK76" i="72" a="1"/>
  <c r="AK76" i="72" s="1"/>
  <c r="BS57" i="69"/>
  <c r="U57" i="69" a="1"/>
  <c r="U57" i="69" s="1"/>
  <c r="BO71" i="72"/>
  <c r="BN71" i="72"/>
  <c r="B77" i="69"/>
  <c r="U77" i="69" a="1"/>
  <c r="U77" i="69" s="1"/>
  <c r="BN83" i="72"/>
  <c r="BO83" i="72"/>
  <c r="BX83" i="72"/>
  <c r="CA83" i="72" s="1"/>
  <c r="CI83" i="72"/>
  <c r="BC83" i="72" a="1"/>
  <c r="BC83" i="72" s="1"/>
  <c r="BX39" i="72"/>
  <c r="CA39" i="72" s="1"/>
  <c r="BN39" i="72"/>
  <c r="BO39" i="72"/>
  <c r="AX1444" i="13"/>
  <c r="A1543" i="13"/>
  <c r="Z1548" i="13"/>
  <c r="AV1444" i="13"/>
  <c r="BY69" i="72"/>
  <c r="BX69" i="72" s="1"/>
  <c r="CA69" i="72" s="1"/>
  <c r="L35" i="72"/>
  <c r="BM35" i="72"/>
  <c r="BP35" i="72"/>
  <c r="BF35" i="72" s="1" a="1"/>
  <c r="BF35" i="72" s="1"/>
  <c r="AT35" i="72" a="1"/>
  <c r="AT35" i="72" s="1"/>
  <c r="AW35" i="72"/>
  <c r="R35" i="72"/>
  <c r="BV35" i="72" a="1"/>
  <c r="BV35" i="72" s="1"/>
  <c r="AS35" i="72" a="1"/>
  <c r="AS35" i="72" s="1"/>
  <c r="AU35" i="72" a="1"/>
  <c r="AU35" i="72" s="1"/>
  <c r="AL35" i="72" a="1"/>
  <c r="AL35" i="72" s="1"/>
  <c r="AY35" i="72" a="1"/>
  <c r="AY35" i="72" s="1"/>
  <c r="BW35" i="72" a="1"/>
  <c r="BW35" i="72" s="1"/>
  <c r="I327" i="15" a="1"/>
  <c r="I327" i="15" s="1"/>
  <c r="H327" i="15" a="1"/>
  <c r="H327" i="15" s="1"/>
  <c r="F327" i="15" a="1"/>
  <c r="F327" i="15" s="1"/>
  <c r="I223" i="15" a="1"/>
  <c r="I223" i="15" s="1"/>
  <c r="CG67" i="72" a="1"/>
  <c r="CG67" i="72" s="1"/>
  <c r="CF67" i="72" a="1"/>
  <c r="CF67" i="72" s="1"/>
  <c r="AH67" i="72" s="1" a="1"/>
  <c r="AH67" i="72" s="1"/>
  <c r="E67" i="72"/>
  <c r="BZ72" i="72" a="1"/>
  <c r="BZ72" i="72" s="1"/>
  <c r="CE72" i="72" a="1"/>
  <c r="CE72" i="72" s="1"/>
  <c r="AP72" i="72"/>
  <c r="AV72" i="72" a="1"/>
  <c r="AV72" i="72" s="1"/>
  <c r="CB72" i="72"/>
  <c r="AM72" i="72"/>
  <c r="CD72" i="72"/>
  <c r="BT72" i="72"/>
  <c r="AY76" i="69" a="1"/>
  <c r="AY76" i="69" s="1"/>
  <c r="E76" i="69"/>
  <c r="BY77" i="72"/>
  <c r="BX77" i="72" s="1"/>
  <c r="CA77" i="72" s="1"/>
  <c r="BZ77" i="72" a="1"/>
  <c r="BZ77" i="72" s="1"/>
  <c r="CD77" i="72"/>
  <c r="CE77" i="72" a="1"/>
  <c r="CE77" i="72" s="1"/>
  <c r="AP77" i="72"/>
  <c r="AV77" i="72" a="1"/>
  <c r="AV77" i="72" s="1"/>
  <c r="AM77" i="72"/>
  <c r="CB77" i="72"/>
  <c r="BT77" i="72"/>
  <c r="AF24" i="72" a="1"/>
  <c r="AF24" i="72" s="1"/>
  <c r="BC24" i="72" s="1" a="1"/>
  <c r="BC24" i="72" s="1"/>
  <c r="BN24" i="72"/>
  <c r="BO24" i="72"/>
  <c r="BI33" i="69"/>
  <c r="BV33" i="69"/>
  <c r="AT33" i="69" a="1"/>
  <c r="AT33" i="69" s="1"/>
  <c r="AV1439" i="13"/>
  <c r="Z1543" i="13"/>
  <c r="A1538" i="13"/>
  <c r="AX1439" i="13"/>
  <c r="CF34" i="72" a="1"/>
  <c r="CF34" i="72" s="1"/>
  <c r="CG34" i="72" a="1"/>
  <c r="CG34" i="72" s="1"/>
  <c r="E34" i="72"/>
  <c r="BH16" i="69"/>
  <c r="AK65" i="72" a="1"/>
  <c r="AK65" i="72" s="1"/>
  <c r="G65" i="72"/>
  <c r="U65" i="72" a="1"/>
  <c r="U65" i="72" s="1"/>
  <c r="AV594" i="13"/>
  <c r="BI92" i="4"/>
  <c r="BM92" i="4"/>
  <c r="DX92" i="4"/>
  <c r="AY515" i="13"/>
  <c r="AS15" i="4"/>
  <c r="AR15" i="4"/>
  <c r="K43" i="72" a="1"/>
  <c r="K43" i="72" s="1"/>
  <c r="BR43" i="72"/>
  <c r="E43" i="72"/>
  <c r="CG43" i="72" a="1"/>
  <c r="CG43" i="72" s="1"/>
  <c r="CF43" i="72" a="1"/>
  <c r="CF43" i="72" s="1"/>
  <c r="AX86" i="69" a="1"/>
  <c r="AX86" i="69" s="1"/>
  <c r="AE85" i="69" a="1"/>
  <c r="AE85" i="69" s="1"/>
  <c r="AK54" i="72" a="1"/>
  <c r="AK54" i="72" s="1"/>
  <c r="AK90" i="72" a="1"/>
  <c r="AK90" i="72" s="1"/>
  <c r="BQ75" i="69" a="1"/>
  <c r="BQ75" i="69" s="1"/>
  <c r="BF75" i="69"/>
  <c r="BE75" i="69"/>
  <c r="AN75" i="69" s="1" a="1"/>
  <c r="AN75" i="69" s="1"/>
  <c r="K519" i="15" a="1"/>
  <c r="K519" i="15" s="1"/>
  <c r="K33" i="72" a="1"/>
  <c r="K33" i="72" s="1"/>
  <c r="BV34" i="69"/>
  <c r="AT34" i="69" a="1"/>
  <c r="AT34" i="69" s="1"/>
  <c r="H16" i="72"/>
  <c r="B10" i="27"/>
  <c r="I443" i="15" a="1"/>
  <c r="I443" i="15" s="1"/>
  <c r="F76" i="15" a="1"/>
  <c r="F76" i="15" s="1"/>
  <c r="AR72" i="4"/>
  <c r="AS72" i="4"/>
  <c r="AY572" i="13"/>
  <c r="BG94" i="4"/>
  <c r="X60" i="4"/>
  <c r="BS60" i="4"/>
  <c r="O60" i="69" s="1"/>
  <c r="BH60" i="4"/>
  <c r="AV1158" i="13" s="1"/>
  <c r="BG69" i="4"/>
  <c r="BG93" i="4"/>
  <c r="BM71" i="4"/>
  <c r="BS71" i="4"/>
  <c r="BH71" i="4"/>
  <c r="AV1169" i="13" s="1"/>
  <c r="X71" i="4"/>
  <c r="L71" i="4"/>
  <c r="Z55" i="4"/>
  <c r="BG81" i="4"/>
  <c r="BH75" i="4"/>
  <c r="AV1173" i="13" s="1"/>
  <c r="L75" i="4"/>
  <c r="BG23" i="4"/>
  <c r="BJ97" i="4"/>
  <c r="AX1401" i="13"/>
  <c r="Z1505" i="13"/>
  <c r="A1500" i="13"/>
  <c r="AV1401" i="13"/>
  <c r="H81" i="15" a="1"/>
  <c r="H81" i="15" s="1"/>
  <c r="F81" i="15" a="1"/>
  <c r="F81" i="15" s="1"/>
  <c r="CF36" i="72" a="1"/>
  <c r="CF36" i="72" s="1"/>
  <c r="AH36" i="72" s="1" a="1"/>
  <c r="AH36" i="72" s="1"/>
  <c r="CG36" i="72" a="1"/>
  <c r="CG36" i="72" s="1"/>
  <c r="E36" i="72"/>
  <c r="BN36" i="72"/>
  <c r="BO36" i="72"/>
  <c r="BN85" i="72"/>
  <c r="BO85" i="72"/>
  <c r="L54" i="69"/>
  <c r="BT54" i="69"/>
  <c r="BG54" i="69"/>
  <c r="AW54" i="69" s="1" a="1"/>
  <c r="AW54" i="69" s="1"/>
  <c r="BD54" i="69"/>
  <c r="R54" i="69"/>
  <c r="BM54" i="69" a="1"/>
  <c r="BM54" i="69" s="1"/>
  <c r="AP54" i="69" a="1"/>
  <c r="AP54" i="69" s="1"/>
  <c r="BN54" i="69" a="1"/>
  <c r="BN54" i="69" s="1"/>
  <c r="BN75" i="72"/>
  <c r="AR75" i="72" s="1" a="1"/>
  <c r="AR75" i="72" s="1"/>
  <c r="BO75" i="72"/>
  <c r="I270" i="15" a="1"/>
  <c r="I270" i="15" s="1"/>
  <c r="F270" i="15" a="1"/>
  <c r="F270" i="15" s="1"/>
  <c r="H270" i="15" a="1"/>
  <c r="H270" i="15" s="1"/>
  <c r="H441" i="15" a="1"/>
  <c r="H441" i="15" s="1"/>
  <c r="BS7" i="69"/>
  <c r="AU53" i="4" a="1"/>
  <c r="AU53" i="4" s="1"/>
  <c r="AV53" i="4"/>
  <c r="AW53" i="4" a="1"/>
  <c r="AW53" i="4" s="1"/>
  <c r="Y53" i="4"/>
  <c r="DA53" i="4"/>
  <c r="DB53" i="4" s="1"/>
  <c r="P55" i="9" s="1"/>
  <c r="BR53" i="4"/>
  <c r="CB53" i="4"/>
  <c r="CI80" i="72"/>
  <c r="R45" i="69"/>
  <c r="BM45" i="69" a="1"/>
  <c r="BM45" i="69" s="1"/>
  <c r="BT45" i="69"/>
  <c r="BG45" i="69"/>
  <c r="AW45" i="69" s="1" a="1"/>
  <c r="AW45" i="69" s="1"/>
  <c r="BD45" i="69"/>
  <c r="AP45" i="69" a="1"/>
  <c r="AP45" i="69" s="1"/>
  <c r="BN45" i="69" a="1"/>
  <c r="BN45" i="69" s="1"/>
  <c r="BS63" i="69"/>
  <c r="BP62" i="69"/>
  <c r="BO62" i="69" s="1"/>
  <c r="BR62" i="69" s="1"/>
  <c r="H468" i="15" a="1"/>
  <c r="H468" i="15" s="1"/>
  <c r="AU48" i="72" a="1"/>
  <c r="AU48" i="72" s="1"/>
  <c r="BM48" i="72"/>
  <c r="AS48" i="72" a="1"/>
  <c r="AS48" i="72" s="1"/>
  <c r="R48" i="72"/>
  <c r="BW48" i="72" a="1"/>
  <c r="BW48" i="72" s="1"/>
  <c r="AW48" i="72"/>
  <c r="BP48" i="72"/>
  <c r="AL48" i="72" a="1"/>
  <c r="AL48" i="72" s="1"/>
  <c r="BV48" i="72" a="1"/>
  <c r="BV48" i="72" s="1"/>
  <c r="AT48" i="72" a="1"/>
  <c r="AT48" i="72" s="1"/>
  <c r="BH89" i="69"/>
  <c r="AV94" i="69" a="1"/>
  <c r="AV94" i="69" s="1"/>
  <c r="AD25" i="69"/>
  <c r="BE25" i="69"/>
  <c r="AN25" i="69" s="1" a="1"/>
  <c r="AN25" i="69" s="1"/>
  <c r="BF25" i="69"/>
  <c r="BN21" i="72"/>
  <c r="BO21" i="72"/>
  <c r="BN30" i="72"/>
  <c r="BO30" i="72"/>
  <c r="AK78" i="72" a="1"/>
  <c r="AK78" i="72" s="1"/>
  <c r="BR14" i="72"/>
  <c r="CI14" i="72"/>
  <c r="Z1514" i="13"/>
  <c r="AV1410" i="13"/>
  <c r="AX1410" i="13"/>
  <c r="A1509" i="13"/>
  <c r="AS47" i="4"/>
  <c r="AR47" i="4"/>
  <c r="AY547" i="13"/>
  <c r="BM93" i="4"/>
  <c r="AV595" i="13"/>
  <c r="DX93" i="4"/>
  <c r="BI93" i="4"/>
  <c r="CE47" i="72" a="1"/>
  <c r="CE47" i="72" s="1"/>
  <c r="CB47" i="72"/>
  <c r="AV47" i="72" a="1"/>
  <c r="AV47" i="72" s="1"/>
  <c r="AM47" i="72"/>
  <c r="AP47" i="72"/>
  <c r="CD47" i="72"/>
  <c r="BT47" i="72"/>
  <c r="BZ47" i="72" a="1"/>
  <c r="BZ47" i="72" s="1"/>
  <c r="CC47" i="72"/>
  <c r="AI47" i="72" s="1"/>
  <c r="AF28" i="72" a="1"/>
  <c r="AF28" i="72" s="1"/>
  <c r="AX1473" i="13"/>
  <c r="AV1473" i="13"/>
  <c r="Z1577" i="13"/>
  <c r="A1572" i="13"/>
  <c r="CI8" i="72"/>
  <c r="AX1488" i="13"/>
  <c r="AV1488" i="13"/>
  <c r="A1587" i="13"/>
  <c r="I361" i="15" a="1"/>
  <c r="I361" i="15" s="1"/>
  <c r="BV82" i="69"/>
  <c r="AT82" i="69" a="1"/>
  <c r="AT82" i="69" s="1"/>
  <c r="H677" i="15" a="1"/>
  <c r="H677" i="15" s="1"/>
  <c r="BH15" i="69"/>
  <c r="AS40" i="4"/>
  <c r="AR40" i="4"/>
  <c r="AY540" i="13"/>
  <c r="BP47" i="69"/>
  <c r="BO47" i="69" s="1"/>
  <c r="BR47" i="69" s="1"/>
  <c r="BE47" i="69"/>
  <c r="AN47" i="69" s="1" a="1"/>
  <c r="AN47" i="69" s="1"/>
  <c r="BF47" i="69"/>
  <c r="AX1433" i="13"/>
  <c r="Z1537" i="13"/>
  <c r="AV1433" i="13"/>
  <c r="A1532" i="13"/>
  <c r="CB56" i="72"/>
  <c r="AP56" i="72"/>
  <c r="AV56" i="72" a="1"/>
  <c r="AV56" i="72" s="1"/>
  <c r="AM56" i="72"/>
  <c r="CD56" i="72"/>
  <c r="CE56" i="72" a="1"/>
  <c r="CE56" i="72" s="1"/>
  <c r="BZ56" i="72" a="1"/>
  <c r="BZ56" i="72" s="1"/>
  <c r="AQ50" i="69" a="1"/>
  <c r="AQ50" i="69" s="1"/>
  <c r="AU50" i="69" a="1"/>
  <c r="AU50" i="69" s="1"/>
  <c r="AK50" i="69" a="1"/>
  <c r="AK50" i="69" s="1"/>
  <c r="AI50" i="69" a="1"/>
  <c r="AI50" i="69" s="1"/>
  <c r="AH50" i="69" a="1"/>
  <c r="AH50" i="69" s="1"/>
  <c r="AW50" i="69" a="1"/>
  <c r="AW50" i="69" s="1"/>
  <c r="AF50" i="69" a="1"/>
  <c r="AF50" i="69" s="1"/>
  <c r="BA50" i="69" a="1"/>
  <c r="BA50" i="69" s="1"/>
  <c r="AZ50" i="69" a="1"/>
  <c r="AZ50" i="69" s="1"/>
  <c r="CI32" i="72"/>
  <c r="BC32" i="72" a="1"/>
  <c r="BC32" i="72" s="1"/>
  <c r="E29" i="69"/>
  <c r="BQ21" i="69" a="1"/>
  <c r="BQ21" i="69" s="1"/>
  <c r="BG21" i="69"/>
  <c r="AV21" i="69" s="1" a="1"/>
  <c r="AV21" i="69" s="1"/>
  <c r="BD21" i="69"/>
  <c r="BT21" i="69"/>
  <c r="R21" i="69"/>
  <c r="BM21" i="69" a="1"/>
  <c r="BM21" i="69" s="1"/>
  <c r="AP21" i="69" a="1"/>
  <c r="AP21" i="69" s="1"/>
  <c r="BN21" i="69" a="1"/>
  <c r="BN21" i="69" s="1"/>
  <c r="H419" i="15" a="1"/>
  <c r="H419" i="15" s="1"/>
  <c r="BM42" i="72"/>
  <c r="AT42" i="72" a="1"/>
  <c r="AT42" i="72" s="1"/>
  <c r="BV42" i="72" a="1"/>
  <c r="BV42" i="72" s="1"/>
  <c r="BP42" i="72"/>
  <c r="AU42" i="72" a="1"/>
  <c r="AU42" i="72" s="1"/>
  <c r="AS42" i="72" a="1"/>
  <c r="AS42" i="72" s="1"/>
  <c r="AW42" i="72"/>
  <c r="AL42" i="72" a="1"/>
  <c r="AL42" i="72" s="1"/>
  <c r="R42" i="72"/>
  <c r="BW42" i="72" a="1"/>
  <c r="BW42" i="72" s="1"/>
  <c r="AY42" i="72" a="1"/>
  <c r="AY42" i="72" s="1"/>
  <c r="CG19" i="72" a="1"/>
  <c r="CG19" i="72" s="1"/>
  <c r="CF19" i="72" a="1"/>
  <c r="CF19" i="72" s="1"/>
  <c r="AH19" i="72" s="1" a="1"/>
  <c r="AH19" i="72" s="1"/>
  <c r="E19" i="72"/>
  <c r="BU79" i="4"/>
  <c r="BE79" i="4"/>
  <c r="X79" i="4" s="1"/>
  <c r="BQ50" i="72"/>
  <c r="I436" i="15" a="1"/>
  <c r="I436" i="15" s="1"/>
  <c r="BE70" i="69"/>
  <c r="AN70" i="69" s="1" a="1"/>
  <c r="AN70" i="69" s="1"/>
  <c r="BF70" i="69"/>
  <c r="X61" i="4"/>
  <c r="AT64" i="69" a="1"/>
  <c r="AT64" i="69" s="1"/>
  <c r="AK64" i="69" a="1"/>
  <c r="AK64" i="69" s="1"/>
  <c r="AH64" i="69" a="1"/>
  <c r="AH64" i="69" s="1"/>
  <c r="BA64" i="69" a="1"/>
  <c r="BA64" i="69" s="1"/>
  <c r="AQ64" i="69" a="1"/>
  <c r="AQ64" i="69" s="1"/>
  <c r="AF64" i="69" a="1"/>
  <c r="AF64" i="69" s="1"/>
  <c r="AU64" i="69" a="1"/>
  <c r="AU64" i="69" s="1"/>
  <c r="AZ64" i="69" a="1"/>
  <c r="AZ64" i="69" s="1"/>
  <c r="AI64" i="69" a="1"/>
  <c r="AI64" i="69" s="1"/>
  <c r="CG17" i="72" a="1"/>
  <c r="CG17" i="72" s="1"/>
  <c r="CF17" i="72" a="1"/>
  <c r="CF17" i="72" s="1"/>
  <c r="E17" i="72"/>
  <c r="AE79" i="69" a="1"/>
  <c r="AE79" i="69" s="1"/>
  <c r="AP79" i="69" s="1" a="1"/>
  <c r="AP79" i="69" s="1"/>
  <c r="F55" i="15" a="1"/>
  <c r="F55" i="15" s="1"/>
  <c r="I421" i="15" a="1"/>
  <c r="I421" i="15" s="1"/>
  <c r="BI41" i="69"/>
  <c r="BO41" i="69"/>
  <c r="BR41" i="69" s="1"/>
  <c r="BE41" i="69"/>
  <c r="AN41" i="69" s="1" a="1"/>
  <c r="AN41" i="69" s="1"/>
  <c r="BF41" i="69"/>
  <c r="AV1441" i="13"/>
  <c r="AX1441" i="13"/>
  <c r="A1540" i="13"/>
  <c r="Z1545" i="13"/>
  <c r="BI19" i="69"/>
  <c r="BV19" i="69"/>
  <c r="AT19" i="69" a="1"/>
  <c r="AT19" i="69" s="1"/>
  <c r="BT52" i="69"/>
  <c r="R52" i="69"/>
  <c r="BG52" i="69"/>
  <c r="BM52" i="69" a="1"/>
  <c r="BM52" i="69" s="1"/>
  <c r="BD52" i="69"/>
  <c r="Z1657" i="13"/>
  <c r="T65" i="4"/>
  <c r="S65" i="4"/>
  <c r="AD53" i="69"/>
  <c r="AZ64" i="72" a="1"/>
  <c r="AZ64" i="72" s="1"/>
  <c r="AJ64" i="72" a="1"/>
  <c r="AJ64" i="72" s="1"/>
  <c r="AX64" i="72" a="1"/>
  <c r="AX64" i="72" s="1"/>
  <c r="BJ64" i="72" a="1"/>
  <c r="BJ64" i="72" s="1"/>
  <c r="BI64" i="72" a="1"/>
  <c r="BI64" i="72" s="1"/>
  <c r="AH64" i="72" a="1"/>
  <c r="AH64" i="72" s="1"/>
  <c r="BD64" i="72" a="1"/>
  <c r="BD64" i="72" s="1"/>
  <c r="AK64" i="72" a="1"/>
  <c r="AK64" i="72" s="1"/>
  <c r="BN40" i="72"/>
  <c r="BO40" i="72"/>
  <c r="AD40" i="72"/>
  <c r="O30" i="69"/>
  <c r="H241" i="15" a="1"/>
  <c r="H241" i="15" s="1"/>
  <c r="BW96" i="72" a="1"/>
  <c r="BW96" i="72" s="1"/>
  <c r="AR54" i="4"/>
  <c r="AY554" i="13"/>
  <c r="AS54" i="4"/>
  <c r="AV396" i="13"/>
  <c r="U94" i="72" a="1"/>
  <c r="U94" i="72" s="1"/>
  <c r="U94" i="69" a="1"/>
  <c r="U94" i="69" s="1"/>
  <c r="BE84" i="69"/>
  <c r="AN84" i="69" s="1" a="1"/>
  <c r="AN84" i="69" s="1"/>
  <c r="BF84" i="69"/>
  <c r="AK13" i="72" a="1"/>
  <c r="AK13" i="72" s="1"/>
  <c r="AV1448" i="13"/>
  <c r="Z1552" i="13"/>
  <c r="AX1448" i="13"/>
  <c r="A1547" i="13"/>
  <c r="BQ15" i="72"/>
  <c r="AV6" i="4"/>
  <c r="AW6" i="4" a="1"/>
  <c r="AW6" i="4" s="1"/>
  <c r="AU6" i="4" a="1"/>
  <c r="AU6" i="4" s="1"/>
  <c r="Y6" i="4"/>
  <c r="DA6" i="4"/>
  <c r="DB6" i="4" s="1"/>
  <c r="P8" i="9" s="1"/>
  <c r="BR6" i="4"/>
  <c r="CB6" i="4"/>
  <c r="DX56" i="4"/>
  <c r="AV558" i="13"/>
  <c r="BI56" i="4"/>
  <c r="BM56" i="4"/>
  <c r="AV66" i="72" a="1"/>
  <c r="AV66" i="72" s="1"/>
  <c r="AM66" i="72"/>
  <c r="AP66" i="72"/>
  <c r="BZ66" i="72" a="1"/>
  <c r="BZ66" i="72" s="1"/>
  <c r="CD66" i="72"/>
  <c r="CB66" i="72"/>
  <c r="CE66" i="72" a="1"/>
  <c r="CE66" i="72" s="1"/>
  <c r="BE1768" i="13" a="1"/>
  <c r="BE1768" i="13" s="1"/>
  <c r="L22" i="72"/>
  <c r="BV22" i="72" a="1"/>
  <c r="BV22" i="72" s="1"/>
  <c r="BM22" i="72"/>
  <c r="AU22" i="72" a="1"/>
  <c r="AU22" i="72" s="1"/>
  <c r="BP22" i="72"/>
  <c r="AW22" i="72"/>
  <c r="AL22" i="72" a="1"/>
  <c r="AL22" i="72" s="1"/>
  <c r="AS22" i="72" a="1"/>
  <c r="AS22" i="72" s="1"/>
  <c r="AT22" i="72" a="1"/>
  <c r="AT22" i="72" s="1"/>
  <c r="R22" i="72"/>
  <c r="BW22" i="72" a="1"/>
  <c r="BW22" i="72" s="1"/>
  <c r="AY22" i="72" a="1"/>
  <c r="AY22" i="72" s="1"/>
  <c r="AX61" i="72" a="1"/>
  <c r="AX61" i="72" s="1"/>
  <c r="AZ61" i="72" a="1"/>
  <c r="AZ61" i="72" s="1"/>
  <c r="BD61" i="72" a="1"/>
  <c r="BD61" i="72" s="1"/>
  <c r="AJ61" i="72" a="1"/>
  <c r="AJ61" i="72" s="1"/>
  <c r="BJ61" i="72" a="1"/>
  <c r="BJ61" i="72" s="1"/>
  <c r="BI61" i="72" a="1"/>
  <c r="BI61" i="72" s="1"/>
  <c r="AZ26" i="72" a="1"/>
  <c r="AZ26" i="72" s="1"/>
  <c r="BJ26" i="72" a="1"/>
  <c r="BJ26" i="72" s="1"/>
  <c r="BI26" i="72" a="1"/>
  <c r="BI26" i="72" s="1"/>
  <c r="BF26" i="72" a="1"/>
  <c r="BF26" i="72" s="1"/>
  <c r="BE26" i="72" a="1"/>
  <c r="BE26" i="72" s="1"/>
  <c r="BD26" i="72" a="1"/>
  <c r="BD26" i="72" s="1"/>
  <c r="AJ26" i="72" a="1"/>
  <c r="AJ26" i="72" s="1"/>
  <c r="AR26" i="72" a="1"/>
  <c r="AR26" i="72" s="1"/>
  <c r="AX26" i="72" a="1"/>
  <c r="AX26" i="72" s="1"/>
  <c r="BA1769" i="13" a="1"/>
  <c r="BA1769" i="13" s="1"/>
  <c r="H578" i="15" a="1"/>
  <c r="H578" i="15" s="1"/>
  <c r="I59" i="72"/>
  <c r="I59" i="69"/>
  <c r="AP12" i="72"/>
  <c r="CE12" i="72" a="1"/>
  <c r="CE12" i="72" s="1"/>
  <c r="CD12" i="72"/>
  <c r="CB12" i="72"/>
  <c r="BZ12" i="72" a="1"/>
  <c r="BZ12" i="72" s="1"/>
  <c r="BT12" i="72"/>
  <c r="AV12" i="72" a="1"/>
  <c r="AV12" i="72" s="1"/>
  <c r="CC12" i="72"/>
  <c r="AI12" i="72" s="1"/>
  <c r="AM12" i="72"/>
  <c r="AZ22" i="69" a="1"/>
  <c r="AZ22" i="69" s="1"/>
  <c r="AO22" i="69" a="1"/>
  <c r="AO22" i="69" s="1"/>
  <c r="AN22" i="69" a="1"/>
  <c r="AN22" i="69" s="1"/>
  <c r="AU22" i="69" a="1"/>
  <c r="AU22" i="69" s="1"/>
  <c r="AG22" i="69" a="1"/>
  <c r="AG22" i="69" s="1"/>
  <c r="BA22" i="69" a="1"/>
  <c r="BA22" i="69" s="1"/>
  <c r="AW22" i="69" a="1"/>
  <c r="AW22" i="69" s="1"/>
  <c r="AQ22" i="69" a="1"/>
  <c r="AQ22" i="69" s="1"/>
  <c r="AV22" i="69" a="1"/>
  <c r="AV22" i="69" s="1"/>
  <c r="AF22" i="69" a="1"/>
  <c r="AF22" i="69" s="1"/>
  <c r="AK22" i="69" a="1"/>
  <c r="AK22" i="69" s="1"/>
  <c r="AH22" i="69" a="1"/>
  <c r="AH22" i="69" s="1"/>
  <c r="AI22" i="69" a="1"/>
  <c r="AI22" i="69" s="1"/>
  <c r="AD18" i="69"/>
  <c r="AV573" i="13"/>
  <c r="DX71" i="4"/>
  <c r="BI71" i="4"/>
  <c r="BN41" i="72"/>
  <c r="BO41" i="72"/>
  <c r="AD41" i="72"/>
  <c r="AO14" i="69" a="1"/>
  <c r="AO14" i="69" s="1"/>
  <c r="AZ14" i="69" a="1"/>
  <c r="AZ14" i="69" s="1"/>
  <c r="BA14" i="69" a="1"/>
  <c r="BA14" i="69" s="1"/>
  <c r="AF14" i="69" a="1"/>
  <c r="AF14" i="69" s="1"/>
  <c r="AQ14" i="69" a="1"/>
  <c r="AQ14" i="69" s="1"/>
  <c r="AV14" i="69" a="1"/>
  <c r="AV14" i="69" s="1"/>
  <c r="AH14" i="69" a="1"/>
  <c r="AH14" i="69" s="1"/>
  <c r="AK14" i="69" a="1"/>
  <c r="AK14" i="69" s="1"/>
  <c r="AU14" i="69" a="1"/>
  <c r="AU14" i="69" s="1"/>
  <c r="AI14" i="69" a="1"/>
  <c r="AI14" i="69" s="1"/>
  <c r="S69" i="69"/>
  <c r="CD31" i="72"/>
  <c r="BZ31" i="72" a="1"/>
  <c r="BZ31" i="72" s="1"/>
  <c r="AV31" i="72" a="1"/>
  <c r="AV31" i="72" s="1"/>
  <c r="AP31" i="72"/>
  <c r="CE31" i="72" a="1"/>
  <c r="CE31" i="72" s="1"/>
  <c r="BT31" i="72"/>
  <c r="AM31" i="72"/>
  <c r="CB31" i="72"/>
  <c r="CC31" i="72"/>
  <c r="AI31" i="72" s="1"/>
  <c r="BC31" i="72" a="1"/>
  <c r="BC31" i="72" s="1"/>
  <c r="CI31" i="72"/>
  <c r="BJ76" i="72" a="1"/>
  <c r="BJ76" i="72" s="1"/>
  <c r="BI76" i="72" a="1"/>
  <c r="BI76" i="72" s="1"/>
  <c r="AJ76" i="72" a="1"/>
  <c r="AJ76" i="72" s="1"/>
  <c r="AX76" i="72" a="1"/>
  <c r="AX76" i="72" s="1"/>
  <c r="AZ76" i="72" a="1"/>
  <c r="AZ76" i="72" s="1"/>
  <c r="BD76" i="72" a="1"/>
  <c r="BD76" i="72" s="1"/>
  <c r="L76" i="72"/>
  <c r="AS76" i="72" a="1"/>
  <c r="AS76" i="72" s="1"/>
  <c r="BV76" i="72" a="1"/>
  <c r="BV76" i="72" s="1"/>
  <c r="BM76" i="72"/>
  <c r="AR76" i="72" s="1" a="1"/>
  <c r="AR76" i="72" s="1"/>
  <c r="AL76" i="72" a="1"/>
  <c r="AL76" i="72" s="1"/>
  <c r="R76" i="72"/>
  <c r="AU76" i="72" a="1"/>
  <c r="AU76" i="72" s="1"/>
  <c r="BP76" i="72"/>
  <c r="BF76" i="72" s="1" a="1"/>
  <c r="BF76" i="72" s="1"/>
  <c r="AW76" i="72"/>
  <c r="AT76" i="72" a="1"/>
  <c r="AT76" i="72" s="1"/>
  <c r="BW76" i="72" a="1"/>
  <c r="BW76" i="72" s="1"/>
  <c r="AY76" i="72" a="1"/>
  <c r="AY76" i="72" s="1"/>
  <c r="L57" i="69"/>
  <c r="R57" i="69"/>
  <c r="BG57" i="69"/>
  <c r="AV57" i="69" s="1" a="1"/>
  <c r="AV57" i="69" s="1"/>
  <c r="BD57" i="69"/>
  <c r="BN57" i="69" a="1"/>
  <c r="BN57" i="69" s="1"/>
  <c r="BT57" i="69"/>
  <c r="BM57" i="69" a="1"/>
  <c r="BM57" i="69" s="1"/>
  <c r="AP57" i="69" a="1"/>
  <c r="AP57" i="69" s="1"/>
  <c r="C39" i="72"/>
  <c r="D39" i="72" s="1" a="1"/>
  <c r="D39" i="72" s="1"/>
  <c r="AV39" i="72" a="1"/>
  <c r="AV39" i="72" s="1"/>
  <c r="AM39" i="72"/>
  <c r="CB39" i="72"/>
  <c r="BZ39" i="72" a="1"/>
  <c r="BZ39" i="72" s="1"/>
  <c r="AP39" i="72"/>
  <c r="CD39" i="72"/>
  <c r="CE39" i="72" a="1"/>
  <c r="CE39" i="72" s="1"/>
  <c r="CC39" i="72"/>
  <c r="AI39" i="72" s="1"/>
  <c r="H43" i="15" a="1"/>
  <c r="H43" i="15" s="1"/>
  <c r="BZ67" i="72" a="1"/>
  <c r="BZ67" i="72" s="1"/>
  <c r="AM67" i="72"/>
  <c r="CD67" i="72"/>
  <c r="CE67" i="72" a="1"/>
  <c r="CE67" i="72" s="1"/>
  <c r="AV67" i="72" a="1"/>
  <c r="AV67" i="72" s="1"/>
  <c r="CB67" i="72"/>
  <c r="AP67" i="72"/>
  <c r="H634" i="15" a="1"/>
  <c r="H634" i="15" s="1"/>
  <c r="F67" i="72"/>
  <c r="F67" i="69"/>
  <c r="CI57" i="72"/>
  <c r="BC57" i="72" a="1"/>
  <c r="BC57" i="72" s="1"/>
  <c r="CF57" i="72" a="1"/>
  <c r="CF57" i="72" s="1"/>
  <c r="AH57" i="72" s="1" a="1"/>
  <c r="AH57" i="72" s="1"/>
  <c r="CG57" i="72" a="1"/>
  <c r="CG57" i="72" s="1"/>
  <c r="E57" i="72"/>
  <c r="S77" i="72"/>
  <c r="CI77" i="72"/>
  <c r="H402" i="15" a="1"/>
  <c r="H402" i="15" s="1"/>
  <c r="AD33" i="69"/>
  <c r="BQ33" i="69" a="1"/>
  <c r="BQ33" i="69" s="1"/>
  <c r="BD33" i="69"/>
  <c r="AO33" i="69" s="1" a="1"/>
  <c r="AO33" i="69" s="1"/>
  <c r="R33" i="69"/>
  <c r="BT33" i="69"/>
  <c r="AP33" i="69" a="1"/>
  <c r="AP33" i="69" s="1"/>
  <c r="BN33" i="69" a="1"/>
  <c r="BN33" i="69" s="1"/>
  <c r="BM33" i="69" a="1"/>
  <c r="BM33" i="69" s="1"/>
  <c r="BG33" i="69"/>
  <c r="AW33" i="69" s="1" a="1"/>
  <c r="AW33" i="69" s="1"/>
  <c r="L34" i="72"/>
  <c r="AS34" i="72" a="1"/>
  <c r="AS34" i="72" s="1"/>
  <c r="BP34" i="72"/>
  <c r="BM34" i="72"/>
  <c r="AU34" i="72" a="1"/>
  <c r="AU34" i="72" s="1"/>
  <c r="AT34" i="72" a="1"/>
  <c r="AT34" i="72" s="1"/>
  <c r="R34" i="72"/>
  <c r="BV34" i="72" a="1"/>
  <c r="BV34" i="72" s="1"/>
  <c r="AL34" i="72" a="1"/>
  <c r="AL34" i="72" s="1"/>
  <c r="AW34" i="72"/>
  <c r="AY34" i="72" a="1"/>
  <c r="AY34" i="72" s="1"/>
  <c r="BW34" i="72" a="1"/>
  <c r="BW34" i="72" s="1"/>
  <c r="AX1408" i="13"/>
  <c r="A1507" i="13"/>
  <c r="AV1408" i="13"/>
  <c r="Z1512" i="13"/>
  <c r="CG65" i="72" a="1"/>
  <c r="CG65" i="72" s="1"/>
  <c r="E65" i="72"/>
  <c r="CF65" i="72" a="1"/>
  <c r="CF65" i="72" s="1"/>
  <c r="AO87" i="69" a="1"/>
  <c r="AO87" i="69" s="1"/>
  <c r="AW87" i="69" a="1"/>
  <c r="AW87" i="69" s="1"/>
  <c r="BA87" i="69" a="1"/>
  <c r="BA87" i="69" s="1"/>
  <c r="AV87" i="69" a="1"/>
  <c r="AV87" i="69" s="1"/>
  <c r="AI87" i="69" a="1"/>
  <c r="AI87" i="69" s="1"/>
  <c r="AZ87" i="69" a="1"/>
  <c r="AZ87" i="69" s="1"/>
  <c r="AQ87" i="69" a="1"/>
  <c r="AQ87" i="69" s="1"/>
  <c r="AH87" i="69" a="1"/>
  <c r="AH87" i="69" s="1"/>
  <c r="AU87" i="69" a="1"/>
  <c r="AU87" i="69" s="1"/>
  <c r="AK87" i="69" a="1"/>
  <c r="AK87" i="69" s="1"/>
  <c r="AF87" i="69" a="1"/>
  <c r="AF87" i="69" s="1"/>
  <c r="BR20" i="72"/>
  <c r="CC20" i="72"/>
  <c r="AI20" i="72" s="1"/>
  <c r="AV20" i="72" a="1"/>
  <c r="AV20" i="72" s="1"/>
  <c r="AP20" i="72"/>
  <c r="CD20" i="72"/>
  <c r="BZ20" i="72" a="1"/>
  <c r="BZ20" i="72" s="1"/>
  <c r="CE20" i="72" a="1"/>
  <c r="CE20" i="72" s="1"/>
  <c r="CB20" i="72"/>
  <c r="BT20" i="72"/>
  <c r="AM20" i="72"/>
  <c r="L87" i="72"/>
  <c r="AW87" i="72"/>
  <c r="AL87" i="72" a="1"/>
  <c r="AL87" i="72" s="1"/>
  <c r="R87" i="72"/>
  <c r="BW87" i="72" a="1"/>
  <c r="BW87" i="72" s="1"/>
  <c r="AY87" i="72" a="1"/>
  <c r="AY87" i="72" s="1"/>
  <c r="AT87" i="72" a="1"/>
  <c r="AT87" i="72" s="1"/>
  <c r="AS87" i="72" a="1"/>
  <c r="AS87" i="72" s="1"/>
  <c r="AU87" i="72" a="1"/>
  <c r="AU87" i="72" s="1"/>
  <c r="BP87" i="72"/>
  <c r="BF87" i="72" s="1" a="1"/>
  <c r="BF87" i="72" s="1"/>
  <c r="BM87" i="72"/>
  <c r="BV87" i="72" a="1"/>
  <c r="BV87" i="72" s="1"/>
  <c r="AU11" i="4" a="1"/>
  <c r="AU11" i="4" s="1"/>
  <c r="AV11" i="4"/>
  <c r="Y11" i="4"/>
  <c r="AW11" i="4" a="1"/>
  <c r="AW11" i="4" s="1"/>
  <c r="BR11" i="4"/>
  <c r="DA11" i="4"/>
  <c r="DB11" i="4" s="1"/>
  <c r="P13" i="9" s="1"/>
  <c r="CB11" i="4"/>
  <c r="BI86" i="69"/>
  <c r="BV67" i="69"/>
  <c r="AT67" i="69" a="1"/>
  <c r="AT67" i="69" s="1"/>
  <c r="G85" i="69"/>
  <c r="O24" i="69"/>
  <c r="O33" i="72"/>
  <c r="BC1768" i="13" a="1"/>
  <c r="BC1768" i="13" s="1"/>
  <c r="G73" i="72"/>
  <c r="BE34" i="69"/>
  <c r="AN34" i="69" s="1" a="1"/>
  <c r="AN34" i="69" s="1"/>
  <c r="BF34" i="69"/>
  <c r="BO34" i="69"/>
  <c r="BR34" i="69" s="1"/>
  <c r="O16" i="72"/>
  <c r="BQ5" i="69" a="1"/>
  <c r="BQ5" i="69" s="1"/>
  <c r="BG5" i="69"/>
  <c r="R5" i="69"/>
  <c r="BD5" i="69"/>
  <c r="BT5" i="69"/>
  <c r="BM5" i="69" a="1"/>
  <c r="BM5" i="69" s="1"/>
  <c r="BN5" i="69" a="1"/>
  <c r="BN5" i="69" s="1"/>
  <c r="A1512" i="13"/>
  <c r="AX1413" i="13"/>
  <c r="Z1517" i="13"/>
  <c r="AV1413" i="13"/>
  <c r="AR81" i="4"/>
  <c r="AY581" i="13"/>
  <c r="AS81" i="4"/>
  <c r="L554" i="15" a="1"/>
  <c r="L554" i="15" s="1"/>
  <c r="BG68" i="4"/>
  <c r="BH93" i="4"/>
  <c r="AV1191" i="13" s="1"/>
  <c r="X93" i="4"/>
  <c r="L93" i="4"/>
  <c r="BH58" i="4"/>
  <c r="AV1156" i="13" s="1"/>
  <c r="L58" i="4"/>
  <c r="BG84" i="4"/>
  <c r="X66" i="4"/>
  <c r="BH66" i="4"/>
  <c r="AV1164" i="13" s="1"/>
  <c r="BS66" i="4"/>
  <c r="BT66" i="72" s="1"/>
  <c r="L66" i="4"/>
  <c r="BH81" i="4"/>
  <c r="AV1179" i="13" s="1"/>
  <c r="BS81" i="4"/>
  <c r="BT81" i="72" s="1"/>
  <c r="X81" i="4"/>
  <c r="L81" i="4"/>
  <c r="BE73" i="4"/>
  <c r="X73" i="4" s="1"/>
  <c r="BP7" i="69"/>
  <c r="BO7" i="69" s="1"/>
  <c r="BR7" i="69" s="1"/>
  <c r="BM7" i="69" a="1"/>
  <c r="BM7" i="69" s="1"/>
  <c r="BT7" i="69"/>
  <c r="BD7" i="69"/>
  <c r="R7" i="69"/>
  <c r="BG7" i="69"/>
  <c r="AW7" i="69" s="1" a="1"/>
  <c r="AW7" i="69" s="1"/>
  <c r="AP7" i="69" a="1"/>
  <c r="AP7" i="69" s="1"/>
  <c r="BN7" i="69" a="1"/>
  <c r="BN7" i="69" s="1"/>
  <c r="BC74" i="72" a="1"/>
  <c r="BC74" i="72" s="1"/>
  <c r="AZ74" i="72" a="1"/>
  <c r="AZ74" i="72" s="1"/>
  <c r="BD74" i="72" a="1"/>
  <c r="BD74" i="72" s="1"/>
  <c r="BJ74" i="72" a="1"/>
  <c r="BJ74" i="72" s="1"/>
  <c r="BI74" i="72" a="1"/>
  <c r="BI74" i="72" s="1"/>
  <c r="BF74" i="72" a="1"/>
  <c r="BF74" i="72" s="1"/>
  <c r="AH74" i="72" a="1"/>
  <c r="AH74" i="72" s="1"/>
  <c r="AJ74" i="72" a="1"/>
  <c r="AJ74" i="72" s="1"/>
  <c r="AX74" i="72" a="1"/>
  <c r="AX74" i="72" s="1"/>
  <c r="AR74" i="72" a="1"/>
  <c r="AR74" i="72" s="1"/>
  <c r="BE74" i="72" a="1"/>
  <c r="BE74" i="72" s="1"/>
  <c r="F69" i="72"/>
  <c r="F69" i="69"/>
  <c r="I549" i="15" a="1"/>
  <c r="I549" i="15" s="1"/>
  <c r="F92" i="72"/>
  <c r="F92" i="69"/>
  <c r="AF45" i="72" a="1"/>
  <c r="AF45" i="72" s="1"/>
  <c r="BC45" i="72" s="1" a="1"/>
  <c r="BC45" i="72" s="1"/>
  <c r="BN86" i="72"/>
  <c r="BO86" i="72"/>
  <c r="I247" i="15" a="1"/>
  <c r="I247" i="15" s="1"/>
  <c r="D54" i="69" a="1"/>
  <c r="D54" i="69" s="1"/>
  <c r="E54" i="69"/>
  <c r="Z1507" i="13"/>
  <c r="AX1403" i="13"/>
  <c r="AV1403" i="13"/>
  <c r="A1502" i="13"/>
  <c r="AX48" i="69" a="1"/>
  <c r="AX48" i="69" s="1"/>
  <c r="BV48" i="69"/>
  <c r="AT48" i="69" a="1"/>
  <c r="AT48" i="69" s="1"/>
  <c r="AY7" i="69" a="1"/>
  <c r="AY7" i="69" s="1"/>
  <c r="CI89" i="72"/>
  <c r="BC89" i="72" a="1"/>
  <c r="BC89" i="72" s="1"/>
  <c r="L20" i="69"/>
  <c r="I16" i="27"/>
  <c r="F2" i="27"/>
  <c r="AR18" i="4"/>
  <c r="AS18" i="4"/>
  <c r="AY518" i="13"/>
  <c r="BH92" i="69"/>
  <c r="AY63" i="69" a="1"/>
  <c r="AY63" i="69" s="1"/>
  <c r="Z1560" i="13"/>
  <c r="AV1456" i="13"/>
  <c r="AX1456" i="13"/>
  <c r="A1555" i="13"/>
  <c r="AY28" i="69" a="1"/>
  <c r="AY28" i="69" s="1"/>
  <c r="Z1544" i="13"/>
  <c r="AV1440" i="13"/>
  <c r="A1539" i="13"/>
  <c r="AX1440" i="13"/>
  <c r="BO8" i="69"/>
  <c r="BR8" i="69" s="1"/>
  <c r="BE8" i="69"/>
  <c r="AG8" i="69" s="1" a="1"/>
  <c r="AG8" i="69" s="1"/>
  <c r="BF8" i="69"/>
  <c r="E8" i="69"/>
  <c r="H486" i="15" a="1"/>
  <c r="H486" i="15" s="1"/>
  <c r="I486" i="15" a="1"/>
  <c r="I486" i="15" s="1"/>
  <c r="F486" i="15" a="1"/>
  <c r="F486" i="15" s="1"/>
  <c r="K690" i="15" a="1"/>
  <c r="K690" i="15" s="1"/>
  <c r="BH74" i="72" a="1"/>
  <c r="BH74" i="72" s="1"/>
  <c r="G74" i="72"/>
  <c r="BN48" i="72"/>
  <c r="BO48" i="72"/>
  <c r="BX48" i="72"/>
  <c r="CA48" i="72" s="1"/>
  <c r="D7" i="72" a="1"/>
  <c r="D7" i="72" s="1"/>
  <c r="BN7" i="72"/>
  <c r="BO7" i="72"/>
  <c r="BX7" i="72"/>
  <c r="CA7" i="72" s="1"/>
  <c r="CF21" i="72" a="1"/>
  <c r="CF21" i="72" s="1"/>
  <c r="AH21" i="72" s="1" a="1"/>
  <c r="AH21" i="72" s="1"/>
  <c r="CG21" i="72" a="1"/>
  <c r="CG21" i="72" s="1"/>
  <c r="E21" i="72"/>
  <c r="BQ6" i="72"/>
  <c r="BN6" i="72"/>
  <c r="BO6" i="72"/>
  <c r="E6" i="72"/>
  <c r="CG6" i="72" a="1"/>
  <c r="CG6" i="72" s="1"/>
  <c r="CF6" i="72" a="1"/>
  <c r="CF6" i="72" s="1"/>
  <c r="CC14" i="72"/>
  <c r="AI14" i="72" s="1"/>
  <c r="CB14" i="72"/>
  <c r="CD14" i="72"/>
  <c r="BT14" i="72"/>
  <c r="AM14" i="72"/>
  <c r="BZ14" i="72" a="1"/>
  <c r="BZ14" i="72" s="1"/>
  <c r="AP14" i="72"/>
  <c r="CE14" i="72" a="1"/>
  <c r="CE14" i="72" s="1"/>
  <c r="AV14" i="72" a="1"/>
  <c r="AV14" i="72" s="1"/>
  <c r="AW58" i="69" a="1"/>
  <c r="AW58" i="69" s="1"/>
  <c r="AE80" i="69" a="1"/>
  <c r="AE80" i="69" s="1"/>
  <c r="AT80" i="69" s="1" a="1"/>
  <c r="AT80" i="69" s="1"/>
  <c r="BQ80" i="69" a="1"/>
  <c r="BQ80" i="69" s="1"/>
  <c r="BG80" i="69"/>
  <c r="BM80" i="69" a="1"/>
  <c r="BM80" i="69" s="1"/>
  <c r="BD80" i="69"/>
  <c r="R80" i="69"/>
  <c r="BT80" i="69"/>
  <c r="D47" i="72" a="1"/>
  <c r="D47" i="72" s="1"/>
  <c r="BX92" i="72"/>
  <c r="CA92" i="72" s="1"/>
  <c r="BN92" i="72"/>
  <c r="BO92" i="72"/>
  <c r="CF92" i="72" a="1"/>
  <c r="CF92" i="72" s="1"/>
  <c r="AH92" i="72" s="1" a="1"/>
  <c r="AH92" i="72" s="1"/>
  <c r="CG92" i="72" a="1"/>
  <c r="CG92" i="72" s="1"/>
  <c r="E92" i="72"/>
  <c r="I95" i="69"/>
  <c r="I95" i="72"/>
  <c r="BP56" i="69"/>
  <c r="BD56" i="69"/>
  <c r="BG56" i="69"/>
  <c r="BM56" i="69" a="1"/>
  <c r="BM56" i="69" s="1"/>
  <c r="R56" i="69"/>
  <c r="BT56" i="69"/>
  <c r="F61" i="72"/>
  <c r="F61" i="69"/>
  <c r="L62" i="72"/>
  <c r="AU62" i="72" a="1"/>
  <c r="AU62" i="72" s="1"/>
  <c r="BM62" i="72"/>
  <c r="AT62" i="72" a="1"/>
  <c r="AT62" i="72" s="1"/>
  <c r="R62" i="72"/>
  <c r="AW62" i="72"/>
  <c r="AS62" i="72" a="1"/>
  <c r="AS62" i="72" s="1"/>
  <c r="BV62" i="72" a="1"/>
  <c r="BV62" i="72" s="1"/>
  <c r="BP62" i="72"/>
  <c r="AL62" i="72" a="1"/>
  <c r="AL62" i="72" s="1"/>
  <c r="BW62" i="72" a="1"/>
  <c r="BW62" i="72" s="1"/>
  <c r="BQ28" i="72"/>
  <c r="AH94" i="72" a="1"/>
  <c r="AH94" i="72" s="1"/>
  <c r="AV1291" i="13"/>
  <c r="B94" i="69"/>
  <c r="AF8" i="72" a="1"/>
  <c r="AF8" i="72" s="1"/>
  <c r="AM8" i="72"/>
  <c r="CC8" i="72"/>
  <c r="AI8" i="72" s="1"/>
  <c r="BT8" i="72"/>
  <c r="CB8" i="72"/>
  <c r="AP8" i="72"/>
  <c r="CD8" i="72"/>
  <c r="BZ8" i="72" a="1"/>
  <c r="BZ8" i="72" s="1"/>
  <c r="CE8" i="72" a="1"/>
  <c r="CE8" i="72" s="1"/>
  <c r="AV8" i="72" a="1"/>
  <c r="AV8" i="72" s="1"/>
  <c r="H295" i="15" a="1"/>
  <c r="H295" i="15" s="1"/>
  <c r="CF29" i="72" a="1"/>
  <c r="CF29" i="72" s="1"/>
  <c r="AH29" i="72" s="1" a="1"/>
  <c r="AH29" i="72" s="1"/>
  <c r="CG29" i="72" a="1"/>
  <c r="CG29" i="72" s="1"/>
  <c r="E29" i="72"/>
  <c r="E91" i="69"/>
  <c r="E82" i="69"/>
  <c r="I677" i="15" a="1"/>
  <c r="I677" i="15" s="1"/>
  <c r="BS44" i="69"/>
  <c r="BD44" i="69"/>
  <c r="AO44" i="69" s="1" a="1"/>
  <c r="AO44" i="69" s="1"/>
  <c r="BM44" i="69" a="1"/>
  <c r="BM44" i="69" s="1"/>
  <c r="BT44" i="69"/>
  <c r="BG44" i="69"/>
  <c r="AV44" i="69" s="1" a="1"/>
  <c r="AV44" i="69" s="1"/>
  <c r="R44" i="69"/>
  <c r="AP44" i="69" a="1"/>
  <c r="AP44" i="69" s="1"/>
  <c r="BN44" i="69" a="1"/>
  <c r="BN44" i="69" s="1"/>
  <c r="CI44" i="72"/>
  <c r="BC44" i="72" a="1"/>
  <c r="BC44" i="72" s="1"/>
  <c r="CI88" i="72"/>
  <c r="AV88" i="72" a="1"/>
  <c r="AV88" i="72" s="1"/>
  <c r="BZ88" i="72" a="1"/>
  <c r="BZ88" i="72" s="1"/>
  <c r="AM88" i="72"/>
  <c r="AP88" i="72"/>
  <c r="CD88" i="72"/>
  <c r="CB88" i="72"/>
  <c r="CE88" i="72" a="1"/>
  <c r="CE88" i="72" s="1"/>
  <c r="A1531" i="13"/>
  <c r="Z1536" i="13"/>
  <c r="AV1432" i="13"/>
  <c r="AX1432" i="13"/>
  <c r="BQ56" i="72"/>
  <c r="H490" i="15" a="1"/>
  <c r="H490" i="15" s="1"/>
  <c r="AX50" i="69" a="1"/>
  <c r="AX50" i="69" s="1"/>
  <c r="BQ70" i="72"/>
  <c r="I65" i="72"/>
  <c r="I65" i="69"/>
  <c r="AK32" i="72" a="1"/>
  <c r="AK32" i="72" s="1"/>
  <c r="CF11" i="72" a="1"/>
  <c r="CF11" i="72" s="1"/>
  <c r="AH11" i="72" s="1" a="1"/>
  <c r="AH11" i="72" s="1"/>
  <c r="CG11" i="72" a="1"/>
  <c r="CG11" i="72" s="1"/>
  <c r="E11" i="72"/>
  <c r="L17" i="69"/>
  <c r="BH29" i="69"/>
  <c r="CI91" i="72"/>
  <c r="BC91" i="72" a="1"/>
  <c r="BC91" i="72" s="1"/>
  <c r="U82" i="72" a="1"/>
  <c r="U82" i="72" s="1"/>
  <c r="BO82" i="72"/>
  <c r="BN82" i="72"/>
  <c r="AR82" i="72" s="1" a="1"/>
  <c r="AR82" i="72" s="1"/>
  <c r="AV571" i="13"/>
  <c r="DX69" i="4"/>
  <c r="BI69" i="4"/>
  <c r="BP21" i="69"/>
  <c r="BO21" i="69" s="1"/>
  <c r="BR21" i="69" s="1"/>
  <c r="BF21" i="69"/>
  <c r="BE21" i="69"/>
  <c r="AN21" i="69" s="1" a="1"/>
  <c r="AN21" i="69" s="1"/>
  <c r="AD50" i="69"/>
  <c r="BN50" i="4"/>
  <c r="BF50" i="4" s="1" a="1"/>
  <c r="BF50" i="4" s="1"/>
  <c r="BV104" i="4"/>
  <c r="Z1748" i="13" s="1"/>
  <c r="BV106" i="4"/>
  <c r="BV103" i="4"/>
  <c r="Z1727" i="13" s="1"/>
  <c r="BV107" i="4"/>
  <c r="A1518" i="13"/>
  <c r="AV1419" i="13"/>
  <c r="Z1523" i="13"/>
  <c r="AX1419" i="13"/>
  <c r="AT88" i="69" a="1"/>
  <c r="AT88" i="69" s="1"/>
  <c r="BV88" i="69"/>
  <c r="I419" i="15" a="1"/>
  <c r="I419" i="15" s="1"/>
  <c r="H436" i="15" a="1"/>
  <c r="H436" i="15" s="1"/>
  <c r="BS70" i="69"/>
  <c r="BV70" i="69"/>
  <c r="AT70" i="69" a="1"/>
  <c r="AT70" i="69" s="1"/>
  <c r="BI32" i="69"/>
  <c r="CD81" i="72"/>
  <c r="BZ81" i="72" a="1"/>
  <c r="BZ81" i="72" s="1"/>
  <c r="AV81" i="72" a="1"/>
  <c r="AV81" i="72" s="1"/>
  <c r="AM81" i="72"/>
  <c r="AP81" i="72"/>
  <c r="CE81" i="72" a="1"/>
  <c r="CE81" i="72" s="1"/>
  <c r="CB81" i="72"/>
  <c r="AK81" i="72" a="1"/>
  <c r="AK81" i="72" s="1"/>
  <c r="AF17" i="72" a="1"/>
  <c r="AF17" i="72" s="1"/>
  <c r="BW17" i="72" s="1" a="1"/>
  <c r="BW17" i="72" s="1"/>
  <c r="AK17" i="72" a="1"/>
  <c r="AK17" i="72" s="1"/>
  <c r="BS79" i="69"/>
  <c r="Z1540" i="13"/>
  <c r="AV1436" i="13"/>
  <c r="A1535" i="13"/>
  <c r="AX1436" i="13"/>
  <c r="BQ41" i="69" a="1"/>
  <c r="BQ41" i="69" s="1"/>
  <c r="X48" i="4"/>
  <c r="AS88" i="4"/>
  <c r="AY588" i="13"/>
  <c r="AR88" i="4"/>
  <c r="I457" i="15" a="1"/>
  <c r="I457" i="15" s="1"/>
  <c r="H457" i="15" a="1"/>
  <c r="H457" i="15" s="1"/>
  <c r="BH42" i="69"/>
  <c r="BQ19" i="69" a="1"/>
  <c r="BQ19" i="69" s="1"/>
  <c r="R19" i="69"/>
  <c r="BM19" i="69" a="1"/>
  <c r="BM19" i="69" s="1"/>
  <c r="BG19" i="69"/>
  <c r="AW19" i="69" s="1" a="1"/>
  <c r="AW19" i="69" s="1"/>
  <c r="BT19" i="69"/>
  <c r="BD19" i="69"/>
  <c r="AO19" i="69" s="1" a="1"/>
  <c r="AO19" i="69" s="1"/>
  <c r="AP19" i="69" a="1"/>
  <c r="AP19" i="69" s="1"/>
  <c r="BN19" i="69" a="1"/>
  <c r="BN19" i="69" s="1"/>
  <c r="BP52" i="69"/>
  <c r="BO52" i="69" s="1"/>
  <c r="BR52" i="69" s="1"/>
  <c r="I67" i="69"/>
  <c r="I67" i="72"/>
  <c r="E81" i="69"/>
  <c r="BY79" i="72"/>
  <c r="BX79" i="72" s="1"/>
  <c r="CA79" i="72" s="1"/>
  <c r="CD79" i="72"/>
  <c r="CE79" i="72" a="1"/>
  <c r="CE79" i="72" s="1"/>
  <c r="AV79" i="72" a="1"/>
  <c r="AV79" i="72" s="1"/>
  <c r="CB79" i="72"/>
  <c r="BZ79" i="72" a="1"/>
  <c r="BZ79" i="72" s="1"/>
  <c r="AM79" i="72"/>
  <c r="AP79" i="72"/>
  <c r="BV51" i="69"/>
  <c r="AT51" i="69" a="1"/>
  <c r="AT51" i="69" s="1"/>
  <c r="AD52" i="72"/>
  <c r="BW53" i="72" a="1"/>
  <c r="BW53" i="72" s="1"/>
  <c r="AY53" i="72" a="1"/>
  <c r="AY53" i="72" s="1"/>
  <c r="BV53" i="72" a="1"/>
  <c r="BV53" i="72" s="1"/>
  <c r="BM53" i="72"/>
  <c r="AS53" i="72" a="1"/>
  <c r="AS53" i="72" s="1"/>
  <c r="AT53" i="72" a="1"/>
  <c r="AT53" i="72" s="1"/>
  <c r="AL53" i="72" a="1"/>
  <c r="AL53" i="72" s="1"/>
  <c r="AW53" i="72"/>
  <c r="AU53" i="72" a="1"/>
  <c r="AU53" i="72" s="1"/>
  <c r="BP53" i="72"/>
  <c r="BE53" i="72" s="1" a="1"/>
  <c r="BE53" i="72" s="1"/>
  <c r="R53" i="72"/>
  <c r="L608" i="15" a="1"/>
  <c r="L608" i="15" s="1"/>
  <c r="AV1462" i="13"/>
  <c r="Z1566" i="13"/>
  <c r="A1561" i="13"/>
  <c r="AX1462" i="13"/>
  <c r="BN13" i="72"/>
  <c r="AR13" i="72" s="1" a="1"/>
  <c r="AR13" i="72" s="1"/>
  <c r="BO13" i="72"/>
  <c r="AY37" i="69" a="1"/>
  <c r="AY37" i="69" s="1"/>
  <c r="F66" i="69"/>
  <c r="F66" i="72"/>
  <c r="CG93" i="72" a="1"/>
  <c r="CG93" i="72" s="1"/>
  <c r="CF93" i="72" a="1"/>
  <c r="CF93" i="72" s="1"/>
  <c r="AH93" i="72" s="1" a="1"/>
  <c r="AH93" i="72" s="1"/>
  <c r="E93" i="72"/>
  <c r="I228" i="15" a="1"/>
  <c r="I228" i="15" s="1"/>
  <c r="F428" i="15" a="1"/>
  <c r="F428" i="15" s="1"/>
  <c r="I428" i="15" a="1"/>
  <c r="I428" i="15" s="1"/>
  <c r="H428" i="15" a="1"/>
  <c r="H428" i="15" s="1"/>
  <c r="BE78" i="69"/>
  <c r="BF78" i="69"/>
  <c r="I281" i="15" a="1"/>
  <c r="I281" i="15" s="1"/>
  <c r="BK38" i="69"/>
  <c r="E38" i="69"/>
  <c r="BE1767" i="13" a="1"/>
  <c r="BE1767" i="13" s="1"/>
  <c r="BY68" i="72"/>
  <c r="BX68" i="72" s="1"/>
  <c r="CA68" i="72" s="1"/>
  <c r="H154" i="15" a="1"/>
  <c r="H154" i="15" s="1"/>
  <c r="H22" i="72"/>
  <c r="CF22" i="72" a="1"/>
  <c r="CF22" i="72" s="1"/>
  <c r="AH22" i="72" s="1" a="1"/>
  <c r="AH22" i="72" s="1"/>
  <c r="E22" i="72"/>
  <c r="CG22" i="72" a="1"/>
  <c r="CG22" i="72" s="1"/>
  <c r="AY61" i="72" a="1"/>
  <c r="AY61" i="72" s="1"/>
  <c r="BW61" i="72" a="1"/>
  <c r="BW61" i="72" s="1"/>
  <c r="BP61" i="72"/>
  <c r="BF61" i="72" s="1" a="1"/>
  <c r="BF61" i="72" s="1"/>
  <c r="AS61" i="72" a="1"/>
  <c r="AS61" i="72" s="1"/>
  <c r="AT61" i="72" a="1"/>
  <c r="AT61" i="72" s="1"/>
  <c r="AL61" i="72" a="1"/>
  <c r="AL61" i="72" s="1"/>
  <c r="BM61" i="72"/>
  <c r="AR61" i="72" s="1" a="1"/>
  <c r="AR61" i="72" s="1"/>
  <c r="AW61" i="72"/>
  <c r="BV61" i="72" a="1"/>
  <c r="BV61" i="72" s="1"/>
  <c r="R61" i="72"/>
  <c r="AU61" i="72" a="1"/>
  <c r="AU61" i="72" s="1"/>
  <c r="AD18" i="72"/>
  <c r="CG18" i="72" a="1"/>
  <c r="CG18" i="72" s="1"/>
  <c r="CF18" i="72" a="1"/>
  <c r="CF18" i="72" s="1"/>
  <c r="AH18" i="72" s="1" a="1"/>
  <c r="AH18" i="72" s="1"/>
  <c r="E18" i="72"/>
  <c r="BK13" i="69"/>
  <c r="BQ26" i="72"/>
  <c r="H655" i="15" a="1"/>
  <c r="H655" i="15" s="1"/>
  <c r="AT46" i="72" a="1"/>
  <c r="AT46" i="72" s="1"/>
  <c r="AL46" i="72" a="1"/>
  <c r="AL46" i="72" s="1"/>
  <c r="BP46" i="72"/>
  <c r="BF46" i="72" s="1" a="1"/>
  <c r="BF46" i="72" s="1"/>
  <c r="AS46" i="72" a="1"/>
  <c r="AS46" i="72" s="1"/>
  <c r="AW46" i="72"/>
  <c r="BM46" i="72"/>
  <c r="AU46" i="72" a="1"/>
  <c r="AU46" i="72" s="1"/>
  <c r="BV46" i="72" a="1"/>
  <c r="BV46" i="72" s="1"/>
  <c r="R46" i="72"/>
  <c r="BW46" i="72" a="1"/>
  <c r="BW46" i="72" s="1"/>
  <c r="AY46" i="72" a="1"/>
  <c r="AY46" i="72" s="1"/>
  <c r="I57" i="69"/>
  <c r="I57" i="72"/>
  <c r="K531" i="15" a="1"/>
  <c r="K531" i="15" s="1"/>
  <c r="AX1356" i="13"/>
  <c r="A1455" i="13"/>
  <c r="BS68" i="69"/>
  <c r="F94" i="72"/>
  <c r="F94" i="69"/>
  <c r="Z1561" i="13"/>
  <c r="AX1457" i="13"/>
  <c r="A1556" i="13"/>
  <c r="AV1457" i="13"/>
  <c r="BF18" i="69"/>
  <c r="BE18" i="69"/>
  <c r="AN18" i="69" s="1" a="1"/>
  <c r="AN18" i="69" s="1"/>
  <c r="I390" i="15" a="1"/>
  <c r="I390" i="15" s="1"/>
  <c r="H390" i="15" a="1"/>
  <c r="H390" i="15" s="1"/>
  <c r="BH83" i="69"/>
  <c r="BV83" i="69"/>
  <c r="AT39" i="69" a="1"/>
  <c r="AT39" i="69" s="1"/>
  <c r="BV39" i="69"/>
  <c r="BY41" i="72"/>
  <c r="BX41" i="72" s="1"/>
  <c r="CA41" i="72" s="1"/>
  <c r="AM41" i="72"/>
  <c r="CE41" i="72" a="1"/>
  <c r="CE41" i="72" s="1"/>
  <c r="AV41" i="72" a="1"/>
  <c r="AV41" i="72" s="1"/>
  <c r="BT41" i="72"/>
  <c r="AP41" i="72"/>
  <c r="CB41" i="72"/>
  <c r="CD41" i="72"/>
  <c r="BZ41" i="72" a="1"/>
  <c r="BZ41" i="72" s="1"/>
  <c r="CC41" i="72"/>
  <c r="AI41" i="72" s="1"/>
  <c r="E14" i="69"/>
  <c r="BT21" i="72"/>
  <c r="BE80" i="4"/>
  <c r="X80" i="4" s="1"/>
  <c r="BS35" i="69"/>
  <c r="H12" i="69"/>
  <c r="AY72" i="69" a="1"/>
  <c r="AY72" i="69" s="1"/>
  <c r="BP72" i="69"/>
  <c r="BO72" i="69" s="1"/>
  <c r="BR72" i="69" s="1"/>
  <c r="BN72" i="69" a="1"/>
  <c r="BN72" i="69" s="1"/>
  <c r="R72" i="69"/>
  <c r="BD72" i="69"/>
  <c r="BT72" i="69"/>
  <c r="BG72" i="69"/>
  <c r="AW72" i="69" s="1" a="1"/>
  <c r="AW72" i="69" s="1"/>
  <c r="BM72" i="69" a="1"/>
  <c r="BM72" i="69" s="1"/>
  <c r="AP72" i="69" a="1"/>
  <c r="AP72" i="69" s="1"/>
  <c r="BQ76" i="72"/>
  <c r="O57" i="69"/>
  <c r="B71" i="72"/>
  <c r="CI71" i="72"/>
  <c r="BC71" i="72" a="1"/>
  <c r="BC71" i="72" s="1"/>
  <c r="CE83" i="72" a="1"/>
  <c r="CE83" i="72" s="1"/>
  <c r="BZ83" i="72" a="1"/>
  <c r="BZ83" i="72" s="1"/>
  <c r="CB83" i="72"/>
  <c r="AM83" i="72"/>
  <c r="CD83" i="72"/>
  <c r="AV83" i="72" a="1"/>
  <c r="AV83" i="72" s="1"/>
  <c r="AP83" i="72"/>
  <c r="BT83" i="72"/>
  <c r="S83" i="72"/>
  <c r="BB1768" i="13" a="1"/>
  <c r="BB1768" i="13" s="1"/>
  <c r="G43" i="15"/>
  <c r="F560" i="15" a="1"/>
  <c r="F560" i="15" s="1"/>
  <c r="H560" i="15" a="1"/>
  <c r="H560" i="15" s="1"/>
  <c r="I560" i="15" a="1"/>
  <c r="I560" i="15" s="1"/>
  <c r="S69" i="72"/>
  <c r="CD69" i="72"/>
  <c r="CB69" i="72"/>
  <c r="AV69" i="72" a="1"/>
  <c r="AV69" i="72" s="1"/>
  <c r="AP69" i="72"/>
  <c r="CE69" i="72" a="1"/>
  <c r="CE69" i="72" s="1"/>
  <c r="BZ69" i="72" a="1"/>
  <c r="BZ69" i="72" s="1"/>
  <c r="AM69" i="72"/>
  <c r="CD35" i="72"/>
  <c r="BZ35" i="72" a="1"/>
  <c r="BZ35" i="72" s="1"/>
  <c r="CE35" i="72" a="1"/>
  <c r="CE35" i="72" s="1"/>
  <c r="AV35" i="72" a="1"/>
  <c r="AV35" i="72" s="1"/>
  <c r="AM35" i="72"/>
  <c r="AP35" i="72"/>
  <c r="CB35" i="72"/>
  <c r="CC35" i="72"/>
  <c r="AI35" i="72" s="1"/>
  <c r="CI35" i="72"/>
  <c r="BC35" i="72" a="1"/>
  <c r="BC35" i="72" s="1"/>
  <c r="AT67" i="72" a="1"/>
  <c r="AT67" i="72" s="1"/>
  <c r="AL67" i="72" a="1"/>
  <c r="AL67" i="72" s="1"/>
  <c r="AS67" i="72" a="1"/>
  <c r="AS67" i="72" s="1"/>
  <c r="AW67" i="72"/>
  <c r="BV67" i="72" a="1"/>
  <c r="BV67" i="72" s="1"/>
  <c r="R67" i="72"/>
  <c r="AU67" i="72" a="1"/>
  <c r="AU67" i="72" s="1"/>
  <c r="BM67" i="72"/>
  <c r="BP67" i="72"/>
  <c r="BE67" i="72" s="1" a="1"/>
  <c r="BE67" i="72" s="1"/>
  <c r="AY67" i="72" a="1"/>
  <c r="AY67" i="72" s="1"/>
  <c r="BW67" i="72" a="1"/>
  <c r="BW67" i="72" s="1"/>
  <c r="AK72" i="72" a="1"/>
  <c r="AK72" i="72" s="1"/>
  <c r="I634" i="15" a="1"/>
  <c r="I634" i="15" s="1"/>
  <c r="BH57" i="72" a="1"/>
  <c r="BH57" i="72" s="1"/>
  <c r="BE71" i="69"/>
  <c r="AN71" i="69" s="1" a="1"/>
  <c r="AN71" i="69" s="1"/>
  <c r="BF71" i="69"/>
  <c r="B71" i="69"/>
  <c r="B77" i="72"/>
  <c r="I402" i="15" a="1"/>
  <c r="I402" i="15" s="1"/>
  <c r="H24" i="72"/>
  <c r="CE24" i="72" a="1"/>
  <c r="CE24" i="72" s="1"/>
  <c r="BT24" i="72"/>
  <c r="AP24" i="72"/>
  <c r="AV24" i="72" a="1"/>
  <c r="AV24" i="72" s="1"/>
  <c r="CB24" i="72"/>
  <c r="AM24" i="72"/>
  <c r="CD24" i="72"/>
  <c r="BZ24" i="72" a="1"/>
  <c r="BZ24" i="72" s="1"/>
  <c r="CC24" i="72"/>
  <c r="AI24" i="72" s="1"/>
  <c r="CI24" i="72"/>
  <c r="BK33" i="69"/>
  <c r="E33" i="69"/>
  <c r="AV1416" i="13"/>
  <c r="AX1416" i="13"/>
  <c r="A1515" i="13"/>
  <c r="Z1520" i="13"/>
  <c r="BO73" i="69"/>
  <c r="BR73" i="69" s="1"/>
  <c r="BF73" i="69"/>
  <c r="BE73" i="69"/>
  <c r="AD34" i="72"/>
  <c r="AK34" i="72" a="1"/>
  <c r="AK34" i="72" s="1"/>
  <c r="L16" i="69"/>
  <c r="BN16" i="69" a="1"/>
  <c r="BN16" i="69" s="1"/>
  <c r="R16" i="69"/>
  <c r="BG16" i="69"/>
  <c r="BD16" i="69"/>
  <c r="BM16" i="69" a="1"/>
  <c r="BM16" i="69" s="1"/>
  <c r="BT16" i="69"/>
  <c r="AP16" i="69" a="1"/>
  <c r="AP16" i="69" s="1"/>
  <c r="I588" i="15" a="1"/>
  <c r="I588" i="15" s="1"/>
  <c r="I360" i="15" a="1"/>
  <c r="I360" i="15" s="1"/>
  <c r="BR5" i="72"/>
  <c r="BT5" i="72"/>
  <c r="BZ5" i="72" a="1"/>
  <c r="BZ5" i="72" s="1"/>
  <c r="AV5" i="72" a="1"/>
  <c r="AV5" i="72" s="1"/>
  <c r="CB5" i="72"/>
  <c r="CE5" i="72" a="1"/>
  <c r="CE5" i="72" s="1"/>
  <c r="CC5" i="72"/>
  <c r="AI5" i="72" s="1"/>
  <c r="AM5" i="72"/>
  <c r="AP5" i="72"/>
  <c r="CD5" i="72"/>
  <c r="CC9" i="72"/>
  <c r="AI9" i="72" s="1"/>
  <c r="CC10" i="72"/>
  <c r="AI10" i="72" s="1"/>
  <c r="CI65" i="72"/>
  <c r="BC65" i="72" a="1"/>
  <c r="BC65" i="72" s="1"/>
  <c r="U87" i="69" a="1"/>
  <c r="U87" i="69" s="1"/>
  <c r="BO87" i="69"/>
  <c r="BR87" i="69" s="1"/>
  <c r="BE87" i="69"/>
  <c r="AG87" i="69" s="1" a="1"/>
  <c r="AG87" i="69" s="1"/>
  <c r="BF87" i="69"/>
  <c r="AM87" i="72"/>
  <c r="AP87" i="72"/>
  <c r="BZ87" i="72" a="1"/>
  <c r="BZ87" i="72" s="1"/>
  <c r="CD87" i="72"/>
  <c r="AV87" i="72" a="1"/>
  <c r="AV87" i="72" s="1"/>
  <c r="CE87" i="72" a="1"/>
  <c r="CE87" i="72" s="1"/>
  <c r="CB87" i="72"/>
  <c r="BT87" i="72"/>
  <c r="L486" i="15" a="1"/>
  <c r="L486" i="15" s="1"/>
  <c r="BI90" i="4"/>
  <c r="AS8" i="4"/>
  <c r="AR8" i="4"/>
  <c r="AY510" i="13"/>
  <c r="AD36" i="69"/>
  <c r="I629" i="15" a="1"/>
  <c r="I629" i="15" s="1"/>
  <c r="K67" i="69" a="1"/>
  <c r="K67" i="69" s="1"/>
  <c r="K54" i="72" a="1"/>
  <c r="K54" i="72" s="1"/>
  <c r="I166" i="15" a="1"/>
  <c r="I166" i="15" s="1"/>
  <c r="BR90" i="72"/>
  <c r="E75" i="69"/>
  <c r="C24" i="69"/>
  <c r="D24" i="69" s="1" a="1"/>
  <c r="D24" i="69" s="1"/>
  <c r="BS67" i="4"/>
  <c r="BV33" i="72" a="1"/>
  <c r="BV33" i="72" s="1"/>
  <c r="AL33" i="72" a="1"/>
  <c r="AL33" i="72" s="1"/>
  <c r="AT33" i="72" a="1"/>
  <c r="AT33" i="72" s="1"/>
  <c r="AS33" i="72" a="1"/>
  <c r="AS33" i="72" s="1"/>
  <c r="AW33" i="72"/>
  <c r="AU33" i="72" a="1"/>
  <c r="AU33" i="72" s="1"/>
  <c r="BM33" i="72"/>
  <c r="BP33" i="72"/>
  <c r="BE33" i="72" s="1" a="1"/>
  <c r="BE33" i="72" s="1"/>
  <c r="R33" i="72"/>
  <c r="BW33" i="72" a="1"/>
  <c r="BW33" i="72" s="1"/>
  <c r="AY33" i="72" a="1"/>
  <c r="AY33" i="72" s="1"/>
  <c r="I441" i="15" a="1"/>
  <c r="I441" i="15" s="1"/>
  <c r="C3" i="69"/>
  <c r="D3" i="69" s="1" a="1"/>
  <c r="D3" i="69" s="1"/>
  <c r="C3" i="72"/>
  <c r="D3" i="72" s="1" a="1"/>
  <c r="D3" i="72" s="1"/>
  <c r="C34" i="69"/>
  <c r="D34" i="69" s="1" a="1"/>
  <c r="D34" i="69" s="1"/>
  <c r="BR16" i="72"/>
  <c r="CG16" i="72" a="1"/>
  <c r="CG16" i="72" s="1"/>
  <c r="CF16" i="72" a="1"/>
  <c r="CF16" i="72" s="1"/>
  <c r="AH16" i="72" s="1" a="1"/>
  <c r="AH16" i="72" s="1"/>
  <c r="E16" i="72"/>
  <c r="BI5" i="69"/>
  <c r="BH65" i="69"/>
  <c r="U65" i="69" a="1"/>
  <c r="U65" i="69" s="1"/>
  <c r="H200" i="15" a="1"/>
  <c r="H200" i="15" s="1"/>
  <c r="S94" i="69"/>
  <c r="X68" i="4"/>
  <c r="BH68" i="4"/>
  <c r="AV1166" i="13" s="1"/>
  <c r="L68" i="4"/>
  <c r="BH70" i="4"/>
  <c r="AV1168" i="13" s="1"/>
  <c r="BS70" i="4"/>
  <c r="BT70" i="72" s="1"/>
  <c r="L70" i="4"/>
  <c r="BG58" i="4"/>
  <c r="BH90" i="4"/>
  <c r="AV1188" i="13" s="1"/>
  <c r="X90" i="4"/>
  <c r="L90" i="4"/>
  <c r="BH86" i="4"/>
  <c r="AV1184" i="13" s="1"/>
  <c r="BS86" i="4"/>
  <c r="AD86" i="69" s="1"/>
  <c r="X86" i="4"/>
  <c r="L86" i="4"/>
  <c r="L65" i="4"/>
  <c r="BH65" i="4"/>
  <c r="AV1163" i="13" s="1"/>
  <c r="X65" i="4"/>
  <c r="BS65" i="4"/>
  <c r="BT65" i="72" s="1"/>
  <c r="BG67" i="4"/>
  <c r="BU68" i="4"/>
  <c r="BE68" i="4"/>
  <c r="BS68" i="4" s="1"/>
  <c r="BQ43" i="69" a="1"/>
  <c r="BQ43" i="69" s="1"/>
  <c r="BM43" i="69" a="1"/>
  <c r="BM43" i="69" s="1"/>
  <c r="BD43" i="69"/>
  <c r="R43" i="69"/>
  <c r="BG43" i="69"/>
  <c r="AW43" i="69" s="1" a="1"/>
  <c r="AW43" i="69" s="1"/>
  <c r="BT43" i="69"/>
  <c r="BN43" i="69" a="1"/>
  <c r="BN43" i="69" s="1"/>
  <c r="BG36" i="72" a="1"/>
  <c r="BG36" i="72" s="1"/>
  <c r="CI86" i="72"/>
  <c r="BC86" i="72" a="1"/>
  <c r="BC86" i="72" s="1"/>
  <c r="H247" i="15" a="1"/>
  <c r="H247" i="15" s="1"/>
  <c r="BY63" i="72"/>
  <c r="BX63" i="72" s="1"/>
  <c r="CA63" i="72" s="1"/>
  <c r="I233" i="15" a="1"/>
  <c r="I233" i="15" s="1"/>
  <c r="CE85" i="72" a="1"/>
  <c r="CE85" i="72" s="1"/>
  <c r="AP85" i="72"/>
  <c r="BZ85" i="72" a="1"/>
  <c r="BZ85" i="72" s="1"/>
  <c r="CD85" i="72"/>
  <c r="CB85" i="72"/>
  <c r="AV85" i="72" a="1"/>
  <c r="AV85" i="72" s="1"/>
  <c r="AM85" i="72"/>
  <c r="BT85" i="72"/>
  <c r="CI85" i="72"/>
  <c r="BC85" i="72" a="1"/>
  <c r="BC85" i="72" s="1"/>
  <c r="BQ54" i="69" a="1"/>
  <c r="BQ54" i="69" s="1"/>
  <c r="D48" i="69" a="1"/>
  <c r="D48" i="69" s="1"/>
  <c r="BQ7" i="69" a="1"/>
  <c r="BQ7" i="69" s="1"/>
  <c r="BQ27" i="72"/>
  <c r="AK27" i="72" a="1"/>
  <c r="AK27" i="72" s="1"/>
  <c r="AU89" i="72" a="1"/>
  <c r="AU89" i="72" s="1"/>
  <c r="AT89" i="72" a="1"/>
  <c r="AT89" i="72" s="1"/>
  <c r="AS89" i="72" a="1"/>
  <c r="AS89" i="72" s="1"/>
  <c r="R89" i="72"/>
  <c r="AY89" i="72" a="1"/>
  <c r="AY89" i="72" s="1"/>
  <c r="BW89" i="72" a="1"/>
  <c r="BW89" i="72" s="1"/>
  <c r="BP89" i="72"/>
  <c r="BE89" i="72" s="1" a="1"/>
  <c r="BE89" i="72" s="1"/>
  <c r="AL89" i="72" a="1"/>
  <c r="AL89" i="72" s="1"/>
  <c r="BV89" i="72" a="1"/>
  <c r="BV89" i="72" s="1"/>
  <c r="AW89" i="72"/>
  <c r="BM89" i="72"/>
  <c r="BF20" i="69"/>
  <c r="BE20" i="69"/>
  <c r="AG20" i="69" s="1" a="1"/>
  <c r="AG20" i="69" s="1"/>
  <c r="AV563" i="13"/>
  <c r="DX61" i="4"/>
  <c r="BM61" i="4"/>
  <c r="CI59" i="72"/>
  <c r="BC59" i="72" a="1"/>
  <c r="BC59" i="72" s="1"/>
  <c r="CG80" i="72" a="1"/>
  <c r="CG80" i="72" s="1"/>
  <c r="CF80" i="72" a="1"/>
  <c r="CF80" i="72" s="1"/>
  <c r="E80" i="72"/>
  <c r="AP80" i="72"/>
  <c r="AM80" i="72"/>
  <c r="AV80" i="72" a="1"/>
  <c r="AV80" i="72" s="1"/>
  <c r="CB80" i="72"/>
  <c r="CD80" i="72"/>
  <c r="BZ80" i="72" a="1"/>
  <c r="BZ80" i="72" s="1"/>
  <c r="CE80" i="72" a="1"/>
  <c r="CE80" i="72" s="1"/>
  <c r="BQ62" i="69" a="1"/>
  <c r="BQ62" i="69" s="1"/>
  <c r="BK8" i="69"/>
  <c r="H641" i="15" a="1"/>
  <c r="H641" i="15" s="1"/>
  <c r="BY74" i="72"/>
  <c r="BX74" i="72" s="1"/>
  <c r="CA74" i="72" s="1"/>
  <c r="D48" i="72" a="1"/>
  <c r="D48" i="72" s="1"/>
  <c r="BV89" i="69"/>
  <c r="AT89" i="69" a="1"/>
  <c r="AT89" i="69" s="1"/>
  <c r="F690" i="15" a="1"/>
  <c r="F690" i="15" s="1"/>
  <c r="AY25" i="69" a="1"/>
  <c r="AY25" i="69" s="1"/>
  <c r="BX21" i="72"/>
  <c r="CA21" i="72" s="1"/>
  <c r="CG30" i="72" a="1"/>
  <c r="CG30" i="72" s="1"/>
  <c r="CF30" i="72" a="1"/>
  <c r="CF30" i="72" s="1"/>
  <c r="AH30" i="72" s="1" a="1"/>
  <c r="AH30" i="72" s="1"/>
  <c r="E30" i="72"/>
  <c r="F481" i="15" a="1"/>
  <c r="F481" i="15" s="1"/>
  <c r="H481" i="15" a="1"/>
  <c r="H481" i="15" s="1"/>
  <c r="I481" i="15" a="1"/>
  <c r="I481" i="15" s="1"/>
  <c r="L6" i="72"/>
  <c r="AW6" i="72"/>
  <c r="BV6" i="72" a="1"/>
  <c r="BV6" i="72" s="1"/>
  <c r="AT6" i="72" a="1"/>
  <c r="AT6" i="72" s="1"/>
  <c r="BP6" i="72"/>
  <c r="AU6" i="72" a="1"/>
  <c r="AU6" i="72" s="1"/>
  <c r="AS6" i="72" a="1"/>
  <c r="AS6" i="72" s="1"/>
  <c r="AL6" i="72" a="1"/>
  <c r="AL6" i="72" s="1"/>
  <c r="BM6" i="72"/>
  <c r="R6" i="72"/>
  <c r="AD14" i="72"/>
  <c r="CB43" i="4"/>
  <c r="AV43" i="4"/>
  <c r="Y43" i="4"/>
  <c r="AW43" i="4" a="1"/>
  <c r="AW43" i="4" s="1"/>
  <c r="AU43" i="4" a="1"/>
  <c r="AU43" i="4" s="1"/>
  <c r="BR43" i="4"/>
  <c r="DX58" i="4"/>
  <c r="BI58" i="4"/>
  <c r="BM58" i="4"/>
  <c r="AV560" i="13"/>
  <c r="AX1476" i="13"/>
  <c r="A1575" i="13"/>
  <c r="Z1580" i="13"/>
  <c r="AV1476" i="13"/>
  <c r="AX1442" i="13"/>
  <c r="A1541" i="13"/>
  <c r="Z1546" i="13"/>
  <c r="AV1442" i="13"/>
  <c r="BY47" i="72"/>
  <c r="BX47" i="72" s="1"/>
  <c r="CA47" i="72" s="1"/>
  <c r="B92" i="72"/>
  <c r="AE56" i="69" a="1"/>
  <c r="AE56" i="69" s="1"/>
  <c r="AT56" i="69" s="1" a="1"/>
  <c r="AT56" i="69" s="1"/>
  <c r="BQ62" i="72"/>
  <c r="BQ11" i="69" a="1"/>
  <c r="BQ11" i="69" s="1"/>
  <c r="BE11" i="69"/>
  <c r="AN11" i="69" s="1" a="1"/>
  <c r="AN11" i="69" s="1"/>
  <c r="BF11" i="69"/>
  <c r="E11" i="69"/>
  <c r="CI25" i="72"/>
  <c r="BC25" i="72" a="1"/>
  <c r="BC25" i="72" s="1"/>
  <c r="D44" i="72" a="1"/>
  <c r="D44" i="72" s="1"/>
  <c r="CE44" i="72" a="1"/>
  <c r="CE44" i="72" s="1"/>
  <c r="AP44" i="72"/>
  <c r="BZ44" i="72" a="1"/>
  <c r="BZ44" i="72" s="1"/>
  <c r="BT44" i="72"/>
  <c r="AV44" i="72" a="1"/>
  <c r="AV44" i="72" s="1"/>
  <c r="CD44" i="72"/>
  <c r="AM44" i="72"/>
  <c r="CB44" i="72"/>
  <c r="CC44" i="72"/>
  <c r="AI44" i="72" s="1"/>
  <c r="AS48" i="4"/>
  <c r="AY548" i="13"/>
  <c r="AR48" i="4"/>
  <c r="D47" i="69" a="1"/>
  <c r="D47" i="69" s="1"/>
  <c r="I368" i="15" a="1"/>
  <c r="I368" i="15" s="1"/>
  <c r="E32" i="72"/>
  <c r="CG32" i="72" a="1"/>
  <c r="CG32" i="72" s="1"/>
  <c r="CF32" i="72" a="1"/>
  <c r="CF32" i="72" s="1"/>
  <c r="AH32" i="72" s="1" a="1"/>
  <c r="AH32" i="72" s="1"/>
  <c r="BX11" i="72"/>
  <c r="CA11" i="72" s="1"/>
  <c r="AY17" i="69" a="1"/>
  <c r="AY17" i="69" s="1"/>
  <c r="BV17" i="69"/>
  <c r="AE29" i="69" a="1"/>
  <c r="AE29" i="69" s="1"/>
  <c r="BV21" i="69"/>
  <c r="AT21" i="69" a="1"/>
  <c r="AT21" i="69" s="1"/>
  <c r="A1585" i="13"/>
  <c r="Z1590" i="13"/>
  <c r="AX1486" i="13"/>
  <c r="AV1486" i="13"/>
  <c r="I226" i="15" a="1"/>
  <c r="I226" i="15" s="1"/>
  <c r="E88" i="69"/>
  <c r="BQ42" i="72"/>
  <c r="L42" i="72"/>
  <c r="AL19" i="72" a="1"/>
  <c r="AL19" i="72" s="1"/>
  <c r="R19" i="72"/>
  <c r="BW19" i="72" a="1"/>
  <c r="BW19" i="72" s="1"/>
  <c r="AY19" i="72" a="1"/>
  <c r="AY19" i="72" s="1"/>
  <c r="BM19" i="72"/>
  <c r="BV19" i="72" a="1"/>
  <c r="BV19" i="72" s="1"/>
  <c r="AS19" i="72" a="1"/>
  <c r="AS19" i="72" s="1"/>
  <c r="AT19" i="72" a="1"/>
  <c r="AT19" i="72" s="1"/>
  <c r="AW19" i="72"/>
  <c r="AU19" i="72" a="1"/>
  <c r="AU19" i="72" s="1"/>
  <c r="BP19" i="72"/>
  <c r="BE19" i="72" s="1" a="1"/>
  <c r="BE19" i="72" s="1"/>
  <c r="AI19" i="72"/>
  <c r="H55" i="15" a="1"/>
  <c r="H55" i="15" s="1"/>
  <c r="BN50" i="72"/>
  <c r="AR50" i="72" s="1" a="1"/>
  <c r="AR50" i="72" s="1"/>
  <c r="BO50" i="72"/>
  <c r="BX50" i="72"/>
  <c r="CA50" i="72" s="1"/>
  <c r="BM70" i="69" a="1"/>
  <c r="BM70" i="69" s="1"/>
  <c r="BN70" i="69" a="1"/>
  <c r="BN70" i="69" s="1"/>
  <c r="BG70" i="69"/>
  <c r="AV70" i="69" s="1" a="1"/>
  <c r="AV70" i="69" s="1"/>
  <c r="R70" i="69"/>
  <c r="BD70" i="69"/>
  <c r="BT70" i="69"/>
  <c r="AP70" i="69" a="1"/>
  <c r="AP70" i="69" s="1"/>
  <c r="BS32" i="69"/>
  <c r="BI61" i="4"/>
  <c r="BU61" i="4"/>
  <c r="BG81" i="72" a="1"/>
  <c r="BG81" i="72" s="1"/>
  <c r="BN81" i="72"/>
  <c r="BO81" i="72"/>
  <c r="BQ17" i="72"/>
  <c r="AE40" i="69" a="1"/>
  <c r="AE40" i="69" s="1"/>
  <c r="AP40" i="69" s="1" a="1"/>
  <c r="AP40" i="69" s="1"/>
  <c r="AR82" i="4"/>
  <c r="AS82" i="4"/>
  <c r="AY582" i="13"/>
  <c r="Z1541" i="13"/>
  <c r="A1536" i="13"/>
  <c r="AX1437" i="13"/>
  <c r="AV1437" i="13"/>
  <c r="L52" i="69"/>
  <c r="E52" i="69"/>
  <c r="A1651" i="13"/>
  <c r="AX1651" i="13" s="1"/>
  <c r="AX1552" i="13"/>
  <c r="AV1552" i="13"/>
  <c r="AV1651" i="13" s="1"/>
  <c r="BK53" i="69"/>
  <c r="BP81" i="69"/>
  <c r="BO81" i="69" s="1"/>
  <c r="BR81" i="69" s="1"/>
  <c r="R81" i="69"/>
  <c r="BG81" i="69"/>
  <c r="AV81" i="69" s="1" a="1"/>
  <c r="AV81" i="69" s="1"/>
  <c r="BN81" i="69" a="1"/>
  <c r="BN81" i="69" s="1"/>
  <c r="BD81" i="69"/>
  <c r="BM81" i="69" a="1"/>
  <c r="BM81" i="69" s="1"/>
  <c r="BT81" i="69"/>
  <c r="AP81" i="69" a="1"/>
  <c r="AP81" i="69" s="1"/>
  <c r="S64" i="72"/>
  <c r="AD37" i="72"/>
  <c r="BM40" i="72"/>
  <c r="BV40" i="72" a="1"/>
  <c r="BV40" i="72" s="1"/>
  <c r="AY40" i="72" a="1"/>
  <c r="AY40" i="72" s="1"/>
  <c r="BW40" i="72" a="1"/>
  <c r="BW40" i="72" s="1"/>
  <c r="AW40" i="72"/>
  <c r="AS40" i="72" a="1"/>
  <c r="AS40" i="72" s="1"/>
  <c r="AL40" i="72" a="1"/>
  <c r="AL40" i="72" s="1"/>
  <c r="AT40" i="72" a="1"/>
  <c r="AT40" i="72" s="1"/>
  <c r="BP40" i="72"/>
  <c r="BF40" i="72" s="1" a="1"/>
  <c r="BF40" i="72" s="1"/>
  <c r="AU40" i="72" a="1"/>
  <c r="AU40" i="72" s="1"/>
  <c r="R40" i="72"/>
  <c r="CI79" i="72"/>
  <c r="BC79" i="72" a="1"/>
  <c r="BC79" i="72" s="1"/>
  <c r="CG49" i="72" a="1"/>
  <c r="CG49" i="72" s="1"/>
  <c r="CF49" i="72" a="1"/>
  <c r="CF49" i="72" s="1"/>
  <c r="AH49" i="72" s="1" a="1"/>
  <c r="AH49" i="72" s="1"/>
  <c r="E49" i="72"/>
  <c r="BP30" i="69"/>
  <c r="BO30" i="69" s="1"/>
  <c r="BR30" i="69" s="1"/>
  <c r="BM30" i="69" a="1"/>
  <c r="BM30" i="69" s="1"/>
  <c r="BT30" i="69"/>
  <c r="BD30" i="69"/>
  <c r="R30" i="69"/>
  <c r="BG30" i="69"/>
  <c r="AW30" i="69" s="1" a="1"/>
  <c r="AW30" i="69" s="1"/>
  <c r="AP30" i="69" a="1"/>
  <c r="AP30" i="69" s="1"/>
  <c r="BN30" i="69" a="1"/>
  <c r="BN30" i="69" s="1"/>
  <c r="AK38" i="72" a="1"/>
  <c r="AK38" i="72" s="1"/>
  <c r="AR31" i="4"/>
  <c r="AS31" i="4"/>
  <c r="AY531" i="13"/>
  <c r="U66" i="69" a="1"/>
  <c r="U66" i="69" s="1"/>
  <c r="AV1484" i="13"/>
  <c r="A1583" i="13"/>
  <c r="AX1484" i="13"/>
  <c r="Z1588" i="13"/>
  <c r="I249" i="15" a="1"/>
  <c r="I249" i="15" s="1"/>
  <c r="BO84" i="69"/>
  <c r="BR84" i="69" s="1"/>
  <c r="CI13" i="72"/>
  <c r="BC13" i="72" a="1"/>
  <c r="BC13" i="72" s="1"/>
  <c r="H425" i="15" a="1"/>
  <c r="H425" i="15" s="1"/>
  <c r="BK26" i="69"/>
  <c r="BI26" i="69"/>
  <c r="DG97" i="4"/>
  <c r="H228" i="15" a="1"/>
  <c r="H228" i="15" s="1"/>
  <c r="H281" i="15" a="1"/>
  <c r="H281" i="15" s="1"/>
  <c r="BP38" i="69"/>
  <c r="BO38" i="69" s="1"/>
  <c r="BR38" i="69" s="1"/>
  <c r="BG38" i="69"/>
  <c r="AV38" i="69" s="1" a="1"/>
  <c r="AV38" i="69" s="1"/>
  <c r="BM38" i="69" a="1"/>
  <c r="BM38" i="69" s="1"/>
  <c r="R38" i="69"/>
  <c r="AO38" i="69" s="1" a="1"/>
  <c r="AO38" i="69" s="1"/>
  <c r="BT38" i="69"/>
  <c r="BD38" i="69"/>
  <c r="BN38" i="69" a="1"/>
  <c r="BN38" i="69" s="1"/>
  <c r="AP38" i="69" a="1"/>
  <c r="AP38" i="69" s="1"/>
  <c r="BH93" i="69"/>
  <c r="BT93" i="69"/>
  <c r="BM93" i="69" a="1"/>
  <c r="BM93" i="69" s="1"/>
  <c r="BG93" i="69"/>
  <c r="R93" i="69"/>
  <c r="BD93" i="69"/>
  <c r="BE78" i="4"/>
  <c r="BS78" i="4" s="1"/>
  <c r="BT78" i="72" s="1"/>
  <c r="A1574" i="13"/>
  <c r="AV1475" i="13"/>
  <c r="Z1579" i="13"/>
  <c r="AX1475" i="13"/>
  <c r="AY508" i="13"/>
  <c r="AR6" i="4"/>
  <c r="AS6" i="4"/>
  <c r="BO46" i="69"/>
  <c r="BR46" i="69" s="1"/>
  <c r="BE46" i="69"/>
  <c r="BF46" i="69"/>
  <c r="BE1766" i="13" a="1"/>
  <c r="BE1766" i="13" s="1"/>
  <c r="BQ51" i="72"/>
  <c r="H554" i="15" a="1"/>
  <c r="H554" i="15" s="1"/>
  <c r="AP68" i="72"/>
  <c r="CD68" i="72"/>
  <c r="AV68" i="72" a="1"/>
  <c r="AV68" i="72" s="1"/>
  <c r="CB68" i="72"/>
  <c r="CE68" i="72" a="1"/>
  <c r="CE68" i="72" s="1"/>
  <c r="AM68" i="72"/>
  <c r="BZ68" i="72" a="1"/>
  <c r="BZ68" i="72" s="1"/>
  <c r="H574" i="15" a="1"/>
  <c r="H574" i="15" s="1"/>
  <c r="AM22" i="72"/>
  <c r="CC22" i="72"/>
  <c r="AI22" i="72" s="1"/>
  <c r="CB22" i="72"/>
  <c r="BT22" i="72"/>
  <c r="CD22" i="72"/>
  <c r="CE22" i="72" a="1"/>
  <c r="CE22" i="72" s="1"/>
  <c r="BZ22" i="72" a="1"/>
  <c r="BZ22" i="72" s="1"/>
  <c r="AP22" i="72"/>
  <c r="AV22" i="72" a="1"/>
  <c r="AV22" i="72" s="1"/>
  <c r="BR22" i="72"/>
  <c r="AD26" i="72"/>
  <c r="I655" i="15" a="1"/>
  <c r="I655" i="15" s="1"/>
  <c r="AY555" i="13"/>
  <c r="AS55" i="4"/>
  <c r="AR55" i="4"/>
  <c r="F76" i="69"/>
  <c r="F76" i="72"/>
  <c r="C12" i="72"/>
  <c r="D12" i="72" s="1" a="1"/>
  <c r="D12" i="72" s="1"/>
  <c r="CI12" i="72"/>
  <c r="BC12" i="72" a="1"/>
  <c r="BC12" i="72" s="1"/>
  <c r="BO31" i="69"/>
  <c r="BR31" i="69" s="1"/>
  <c r="AX22" i="69" a="1"/>
  <c r="AX22" i="69" s="1"/>
  <c r="G61" i="69"/>
  <c r="I594" i="15" a="1"/>
  <c r="I594" i="15" s="1"/>
  <c r="O18" i="69"/>
  <c r="BQ18" i="69" a="1"/>
  <c r="BQ18" i="69" s="1"/>
  <c r="BN18" i="69" a="1"/>
  <c r="BN18" i="69" s="1"/>
  <c r="BD18" i="69"/>
  <c r="AO18" i="69" s="1" a="1"/>
  <c r="AO18" i="69" s="1"/>
  <c r="BG18" i="69"/>
  <c r="AV18" i="69" s="1" a="1"/>
  <c r="AV18" i="69" s="1"/>
  <c r="BM18" i="69" a="1"/>
  <c r="BM18" i="69" s="1"/>
  <c r="BT18" i="69"/>
  <c r="R18" i="69"/>
  <c r="AP18" i="69" a="1"/>
  <c r="AP18" i="69" s="1"/>
  <c r="BP83" i="69"/>
  <c r="BO83" i="69" s="1"/>
  <c r="BR83" i="69" s="1"/>
  <c r="S83" i="69"/>
  <c r="BI14" i="69"/>
  <c r="F80" i="69"/>
  <c r="F80" i="72"/>
  <c r="BI35" i="69"/>
  <c r="BQ72" i="69" a="1"/>
  <c r="BQ72" i="69" s="1"/>
  <c r="BH76" i="72" a="1"/>
  <c r="BH76" i="72" s="1"/>
  <c r="CG76" i="72" a="1"/>
  <c r="CG76" i="72" s="1"/>
  <c r="E76" i="72"/>
  <c r="CF76" i="72" a="1"/>
  <c r="CF76" i="72" s="1"/>
  <c r="AH76" i="72" s="1" a="1"/>
  <c r="AH76" i="72" s="1"/>
  <c r="AU71" i="72" a="1"/>
  <c r="AU71" i="72" s="1"/>
  <c r="AT71" i="72" a="1"/>
  <c r="AT71" i="72" s="1"/>
  <c r="AS71" i="72" a="1"/>
  <c r="AS71" i="72" s="1"/>
  <c r="AL71" i="72" a="1"/>
  <c r="AL71" i="72" s="1"/>
  <c r="R71" i="72"/>
  <c r="BW71" i="72" a="1"/>
  <c r="BW71" i="72" s="1"/>
  <c r="BP71" i="72"/>
  <c r="BF71" i="72" s="1" a="1"/>
  <c r="BF71" i="72" s="1"/>
  <c r="AW71" i="72"/>
  <c r="BV71" i="72" a="1"/>
  <c r="BV71" i="72" s="1"/>
  <c r="BM71" i="72"/>
  <c r="AY71" i="72" a="1"/>
  <c r="AY71" i="72" s="1"/>
  <c r="S77" i="69"/>
  <c r="BG83" i="72" a="1"/>
  <c r="BG83" i="72" s="1"/>
  <c r="CF83" i="72" a="1"/>
  <c r="CF83" i="72" s="1"/>
  <c r="AH83" i="72" s="1" a="1"/>
  <c r="AH83" i="72" s="1"/>
  <c r="CG83" i="72" a="1"/>
  <c r="CG83" i="72" s="1"/>
  <c r="E83" i="72"/>
  <c r="H39" i="72"/>
  <c r="L39" i="72"/>
  <c r="BP39" i="72"/>
  <c r="BF39" i="72" s="1" a="1"/>
  <c r="BF39" i="72" s="1"/>
  <c r="AW39" i="72"/>
  <c r="BM39" i="72"/>
  <c r="AL39" i="72" a="1"/>
  <c r="AL39" i="72" s="1"/>
  <c r="R39" i="72"/>
  <c r="AY39" i="72" a="1"/>
  <c r="AY39" i="72" s="1"/>
  <c r="BV39" i="72" a="1"/>
  <c r="BV39" i="72" s="1"/>
  <c r="AS39" i="72" a="1"/>
  <c r="AS39" i="72" s="1"/>
  <c r="AU39" i="72" a="1"/>
  <c r="AU39" i="72" s="1"/>
  <c r="AT39" i="72" a="1"/>
  <c r="AT39" i="72" s="1"/>
  <c r="BW39" i="72" a="1"/>
  <c r="BW39" i="72" s="1"/>
  <c r="CF39" i="72" a="1"/>
  <c r="CF39" i="72" s="1"/>
  <c r="AH39" i="72" s="1" a="1"/>
  <c r="AH39" i="72" s="1"/>
  <c r="E39" i="72"/>
  <c r="CG39" i="72" a="1"/>
  <c r="CG39" i="72" s="1"/>
  <c r="I310" i="15" a="1"/>
  <c r="I310" i="15" s="1"/>
  <c r="AV576" i="13"/>
  <c r="BM74" i="4"/>
  <c r="DX74" i="4"/>
  <c r="BI74" i="4"/>
  <c r="BR35" i="72"/>
  <c r="BK76" i="69"/>
  <c r="BS76" i="69"/>
  <c r="K71" i="69" a="1"/>
  <c r="K71" i="69" s="1"/>
  <c r="U71" i="69" a="1"/>
  <c r="U71" i="69" s="1"/>
  <c r="BQ77" i="72"/>
  <c r="BR24" i="72"/>
  <c r="K73" i="69" a="1"/>
  <c r="K73" i="69" s="1"/>
  <c r="BR34" i="72"/>
  <c r="CI34" i="72"/>
  <c r="BC34" i="72" a="1"/>
  <c r="BC34" i="72" s="1"/>
  <c r="H588" i="15" a="1"/>
  <c r="H588" i="15" s="1"/>
  <c r="AD5" i="72"/>
  <c r="K65" i="72" a="1"/>
  <c r="K65" i="72" s="1"/>
  <c r="CG87" i="72" a="1"/>
  <c r="CG87" i="72" s="1"/>
  <c r="CF87" i="72" a="1"/>
  <c r="CF87" i="72" s="1"/>
  <c r="AH87" i="72" s="1" a="1"/>
  <c r="AH87" i="72" s="1"/>
  <c r="E87" i="72"/>
  <c r="BS29" i="4"/>
  <c r="BT29" i="72" s="1"/>
  <c r="X32" i="4"/>
  <c r="AR92" i="4"/>
  <c r="AY592" i="13"/>
  <c r="AS92" i="4"/>
  <c r="BO36" i="69"/>
  <c r="BR36" i="69" s="1"/>
  <c r="BQ36" i="69" a="1"/>
  <c r="BQ36" i="69" s="1"/>
  <c r="BD36" i="69"/>
  <c r="BG36" i="69"/>
  <c r="AW36" i="69" s="1" a="1"/>
  <c r="AW36" i="69" s="1"/>
  <c r="R36" i="69"/>
  <c r="BM36" i="69" a="1"/>
  <c r="BM36" i="69" s="1"/>
  <c r="BT36" i="69"/>
  <c r="BN36" i="69" a="1"/>
  <c r="BN36" i="69" s="1"/>
  <c r="AP36" i="69" a="1"/>
  <c r="AP36" i="69" s="1"/>
  <c r="F422" i="15" a="1"/>
  <c r="F422" i="15" s="1"/>
  <c r="I422" i="15" a="1"/>
  <c r="I422" i="15" s="1"/>
  <c r="H422" i="15" a="1"/>
  <c r="H422" i="15" s="1"/>
  <c r="K86" i="69" a="1"/>
  <c r="K86" i="69" s="1"/>
  <c r="BQ67" i="69" a="1"/>
  <c r="BQ67" i="69" s="1"/>
  <c r="BG67" i="69"/>
  <c r="AV67" i="69" s="1" a="1"/>
  <c r="AV67" i="69" s="1"/>
  <c r="BD67" i="69"/>
  <c r="R67" i="69"/>
  <c r="BM67" i="69" a="1"/>
  <c r="BM67" i="69" s="1"/>
  <c r="BT67" i="69"/>
  <c r="BN67" i="69" a="1"/>
  <c r="BN67" i="69" s="1"/>
  <c r="AP67" i="69" a="1"/>
  <c r="AP67" i="69" s="1"/>
  <c r="AX1461" i="13"/>
  <c r="AV1461" i="13"/>
  <c r="Z1565" i="13"/>
  <c r="A1560" i="13"/>
  <c r="E54" i="72"/>
  <c r="CF54" i="72" a="1"/>
  <c r="CF54" i="72" s="1"/>
  <c r="AH54" i="72" s="1" a="1"/>
  <c r="AH54" i="72" s="1"/>
  <c r="CG54" i="72" a="1"/>
  <c r="CG54" i="72" s="1"/>
  <c r="H166" i="15" a="1"/>
  <c r="H166" i="15" s="1"/>
  <c r="AD90" i="72"/>
  <c r="I91" i="72"/>
  <c r="I91" i="69"/>
  <c r="AY73" i="72" a="1"/>
  <c r="AY73" i="72" s="1"/>
  <c r="BW73" i="72" a="1"/>
  <c r="BW73" i="72" s="1"/>
  <c r="AU73" i="72" a="1"/>
  <c r="AU73" i="72" s="1"/>
  <c r="AW73" i="72"/>
  <c r="BP73" i="72"/>
  <c r="BF73" i="72" s="1" a="1"/>
  <c r="BF73" i="72" s="1"/>
  <c r="BM73" i="72"/>
  <c r="AL73" i="72" a="1"/>
  <c r="AL73" i="72" s="1"/>
  <c r="BV73" i="72" a="1"/>
  <c r="BV73" i="72" s="1"/>
  <c r="AS73" i="72" a="1"/>
  <c r="AS73" i="72" s="1"/>
  <c r="AT73" i="72" a="1"/>
  <c r="AT73" i="72" s="1"/>
  <c r="R73" i="72"/>
  <c r="H3" i="69"/>
  <c r="H3" i="72"/>
  <c r="AD34" i="69"/>
  <c r="BI34" i="69"/>
  <c r="Z1583" i="13"/>
  <c r="AV1479" i="13"/>
  <c r="AX1479" i="13"/>
  <c r="A1578" i="13"/>
  <c r="AY65" i="69" a="1"/>
  <c r="AY65" i="69" s="1"/>
  <c r="BF65" i="69"/>
  <c r="BO65" i="69"/>
  <c r="BR65" i="69" s="1"/>
  <c r="BE65" i="69"/>
  <c r="AN65" i="69" s="1" a="1"/>
  <c r="AN65" i="69" s="1"/>
  <c r="BI68" i="4"/>
  <c r="H404" i="15" a="1"/>
  <c r="H404" i="15" s="1"/>
  <c r="X94" i="4"/>
  <c r="BH94" i="4"/>
  <c r="AV1192" i="13" s="1"/>
  <c r="L94" i="4"/>
  <c r="BG60" i="4"/>
  <c r="BG70" i="4"/>
  <c r="BG74" i="4"/>
  <c r="BG82" i="4"/>
  <c r="BG71" i="4"/>
  <c r="BG90" i="4"/>
  <c r="BH64" i="4"/>
  <c r="AV1162" i="13" s="1"/>
  <c r="BS64" i="4"/>
  <c r="BT64" i="72" s="1"/>
  <c r="L64" i="4"/>
  <c r="BH67" i="4"/>
  <c r="AV1165" i="13" s="1"/>
  <c r="X67" i="4"/>
  <c r="L67" i="4"/>
  <c r="BG63" i="72" a="1"/>
  <c r="BG63" i="72" s="1"/>
  <c r="AX1430" i="13"/>
  <c r="A1529" i="13"/>
  <c r="Z1534" i="13"/>
  <c r="AV1430" i="13"/>
  <c r="CD36" i="72"/>
  <c r="CE36" i="72" a="1"/>
  <c r="CE36" i="72" s="1"/>
  <c r="AM36" i="72"/>
  <c r="AV36" i="72" a="1"/>
  <c r="AV36" i="72" s="1"/>
  <c r="BT36" i="72"/>
  <c r="AP36" i="72"/>
  <c r="CB36" i="72"/>
  <c r="BZ36" i="72" a="1"/>
  <c r="BZ36" i="72" s="1"/>
  <c r="CC36" i="72"/>
  <c r="AI36" i="72" s="1"/>
  <c r="K479" i="15" a="1"/>
  <c r="K479" i="15" s="1"/>
  <c r="I479" i="15" a="1"/>
  <c r="I479" i="15" s="1"/>
  <c r="H479" i="15" a="1"/>
  <c r="H479" i="15" s="1"/>
  <c r="F479" i="15" a="1"/>
  <c r="F479" i="15" s="1"/>
  <c r="H465" i="15" a="1"/>
  <c r="H465" i="15" s="1"/>
  <c r="CB45" i="72"/>
  <c r="BZ45" i="72" a="1"/>
  <c r="BZ45" i="72" s="1"/>
  <c r="AM45" i="72"/>
  <c r="AP45" i="72"/>
  <c r="AV45" i="72" a="1"/>
  <c r="AV45" i="72" s="1"/>
  <c r="CD45" i="72"/>
  <c r="CE45" i="72" a="1"/>
  <c r="CE45" i="72" s="1"/>
  <c r="CC45" i="72"/>
  <c r="AI45" i="72" s="1"/>
  <c r="BV86" i="72" a="1"/>
  <c r="BV86" i="72" s="1"/>
  <c r="AU86" i="72" a="1"/>
  <c r="AU86" i="72" s="1"/>
  <c r="R86" i="72"/>
  <c r="AL86" i="72" a="1"/>
  <c r="AL86" i="72" s="1"/>
  <c r="BP86" i="72"/>
  <c r="BE86" i="72" s="1" a="1"/>
  <c r="BE86" i="72" s="1"/>
  <c r="AS86" i="72" a="1"/>
  <c r="AS86" i="72" s="1"/>
  <c r="AT86" i="72" a="1"/>
  <c r="AT86" i="72" s="1"/>
  <c r="AW86" i="72"/>
  <c r="BM86" i="72"/>
  <c r="BW86" i="72" a="1"/>
  <c r="BW86" i="72" s="1"/>
  <c r="AY86" i="72" a="1"/>
  <c r="AY86" i="72" s="1"/>
  <c r="CG63" i="72" a="1"/>
  <c r="CG63" i="72" s="1"/>
  <c r="CF63" i="72" a="1"/>
  <c r="CF63" i="72" s="1"/>
  <c r="AH63" i="72" s="1" a="1"/>
  <c r="AH63" i="72" s="1"/>
  <c r="E63" i="72"/>
  <c r="BP54" i="69"/>
  <c r="BO54" i="69" s="1"/>
  <c r="BR54" i="69" s="1"/>
  <c r="BV54" i="69"/>
  <c r="AT54" i="69" a="1"/>
  <c r="AT54" i="69" s="1"/>
  <c r="AX90" i="69" a="1"/>
  <c r="AX90" i="69" s="1"/>
  <c r="I336" i="15" a="1"/>
  <c r="I336" i="15" s="1"/>
  <c r="AK75" i="72" a="1"/>
  <c r="AK75" i="72" s="1"/>
  <c r="L7" i="69"/>
  <c r="BV7" i="69"/>
  <c r="AT7" i="69" a="1"/>
  <c r="AT7" i="69" s="1"/>
  <c r="CI27" i="72"/>
  <c r="BC27" i="72" a="1"/>
  <c r="BC27" i="72" s="1"/>
  <c r="BP20" i="69"/>
  <c r="BO20" i="69" s="1"/>
  <c r="BR20" i="69" s="1"/>
  <c r="E6" i="69"/>
  <c r="W87" i="22"/>
  <c r="Y87" i="22" s="1"/>
  <c r="AX55" i="4"/>
  <c r="AZ55" i="4"/>
  <c r="AV57" i="13"/>
  <c r="Z1351" i="13"/>
  <c r="F55" i="4"/>
  <c r="L55" i="4"/>
  <c r="CB55" i="4" s="1"/>
  <c r="AQ55" i="4"/>
  <c r="BI82" i="4"/>
  <c r="DX82" i="4"/>
  <c r="AV584" i="13"/>
  <c r="BM82" i="4"/>
  <c r="AF80" i="72" a="1"/>
  <c r="AF80" i="72" s="1"/>
  <c r="AY80" i="72" s="1" a="1"/>
  <c r="AY80" i="72" s="1"/>
  <c r="BS45" i="69"/>
  <c r="AV1423" i="13"/>
  <c r="A1522" i="13"/>
  <c r="AX1423" i="13"/>
  <c r="Z1527" i="13"/>
  <c r="BS62" i="69"/>
  <c r="AV1472" i="13"/>
  <c r="AX1472" i="13"/>
  <c r="A1571" i="13"/>
  <c r="Z1576" i="13"/>
  <c r="D8" i="69" a="1"/>
  <c r="D8" i="69" s="1"/>
  <c r="BQ74" i="72"/>
  <c r="CI74" i="72"/>
  <c r="CG48" i="72" a="1"/>
  <c r="CG48" i="72" s="1"/>
  <c r="CF48" i="72" a="1"/>
  <c r="CF48" i="72" s="1"/>
  <c r="AH48" i="72" s="1" a="1"/>
  <c r="AH48" i="72" s="1"/>
  <c r="E48" i="72"/>
  <c r="BG7" i="72" a="1"/>
  <c r="BG7" i="72" s="1"/>
  <c r="CG7" i="72" a="1"/>
  <c r="CG7" i="72" s="1"/>
  <c r="CF7" i="72" a="1"/>
  <c r="CF7" i="72" s="1"/>
  <c r="AH7" i="72" s="1" a="1"/>
  <c r="AH7" i="72" s="1"/>
  <c r="E7" i="72"/>
  <c r="BF89" i="69"/>
  <c r="BE89" i="69"/>
  <c r="AN89" i="69" s="1" a="1"/>
  <c r="AN89" i="69" s="1"/>
  <c r="O25" i="69"/>
  <c r="BX30" i="72"/>
  <c r="CA30" i="72" s="1"/>
  <c r="L30" i="72"/>
  <c r="BW30" i="72" a="1"/>
  <c r="BW30" i="72" s="1"/>
  <c r="R30" i="72"/>
  <c r="AY30" i="72" a="1"/>
  <c r="AY30" i="72" s="1"/>
  <c r="AL30" i="72" a="1"/>
  <c r="AL30" i="72" s="1"/>
  <c r="BV30" i="72" a="1"/>
  <c r="BV30" i="72" s="1"/>
  <c r="BM30" i="72"/>
  <c r="AS30" i="72" a="1"/>
  <c r="AS30" i="72" s="1"/>
  <c r="AU30" i="72" a="1"/>
  <c r="AU30" i="72" s="1"/>
  <c r="BP30" i="72"/>
  <c r="BE30" i="72" s="1" a="1"/>
  <c r="BE30" i="72" s="1"/>
  <c r="AT30" i="72" a="1"/>
  <c r="AT30" i="72" s="1"/>
  <c r="AW30" i="72"/>
  <c r="BV78" i="72" a="1"/>
  <c r="BV78" i="72" s="1"/>
  <c r="BM78" i="72"/>
  <c r="AT78" i="72" a="1"/>
  <c r="AT78" i="72" s="1"/>
  <c r="AU78" i="72" a="1"/>
  <c r="AU78" i="72" s="1"/>
  <c r="R78" i="72"/>
  <c r="BW78" i="72" a="1"/>
  <c r="BW78" i="72" s="1"/>
  <c r="AY78" i="72" a="1"/>
  <c r="AY78" i="72" s="1"/>
  <c r="AS78" i="72" a="1"/>
  <c r="AS78" i="72" s="1"/>
  <c r="BP78" i="72"/>
  <c r="BF78" i="72" s="1" a="1"/>
  <c r="BF78" i="72" s="1"/>
  <c r="AL78" i="72" a="1"/>
  <c r="AL78" i="72" s="1"/>
  <c r="AW78" i="72"/>
  <c r="AF6" i="72" a="1"/>
  <c r="AF6" i="72" s="1"/>
  <c r="AY6" i="72" s="1" a="1"/>
  <c r="AY6" i="72" s="1"/>
  <c r="BH14" i="72" a="1"/>
  <c r="BH14" i="72" s="1"/>
  <c r="AK14" i="72" a="1"/>
  <c r="AK14" i="72" s="1"/>
  <c r="F71" i="15" a="1"/>
  <c r="F71" i="15" s="1"/>
  <c r="H71" i="15" a="1"/>
  <c r="H71" i="15" s="1"/>
  <c r="I71" i="15" a="1"/>
  <c r="I71" i="15" s="1"/>
  <c r="I70" i="15" a="1"/>
  <c r="I70" i="15" s="1"/>
  <c r="H70" i="15" a="1"/>
  <c r="H70" i="15" s="1"/>
  <c r="L47" i="72"/>
  <c r="CG47" i="72" a="1"/>
  <c r="CG47" i="72" s="1"/>
  <c r="CF47" i="72" a="1"/>
  <c r="CF47" i="72" s="1"/>
  <c r="E47" i="72"/>
  <c r="BH56" i="69"/>
  <c r="BO62" i="72"/>
  <c r="BN62" i="72"/>
  <c r="AD28" i="72"/>
  <c r="CI28" i="72"/>
  <c r="BC28" i="72" a="1"/>
  <c r="BC28" i="72" s="1"/>
  <c r="H256" i="15" a="1"/>
  <c r="H256" i="15" s="1"/>
  <c r="F131" i="15" a="1"/>
  <c r="F131" i="15" s="1"/>
  <c r="I131" i="15" a="1"/>
  <c r="I131" i="15" s="1"/>
  <c r="H131" i="15" a="1"/>
  <c r="H131" i="15" s="1"/>
  <c r="BQ29" i="72"/>
  <c r="AE91" i="69" a="1"/>
  <c r="AE91" i="69" s="1"/>
  <c r="AP91" i="69" s="1" a="1"/>
  <c r="AP91" i="69" s="1"/>
  <c r="L91" i="69"/>
  <c r="BG91" i="69"/>
  <c r="R91" i="69"/>
  <c r="BD91" i="69"/>
  <c r="BT91" i="69"/>
  <c r="BM91" i="69" a="1"/>
  <c r="BM91" i="69" s="1"/>
  <c r="AV1466" i="13"/>
  <c r="Z1570" i="13"/>
  <c r="AX1466" i="13"/>
  <c r="A1565" i="13"/>
  <c r="AX1454" i="13"/>
  <c r="Z1558" i="13"/>
  <c r="A1553" i="13"/>
  <c r="AV1454" i="13"/>
  <c r="AY82" i="69" a="1"/>
  <c r="AY82" i="69" s="1"/>
  <c r="I690" i="15" a="1"/>
  <c r="I690" i="15" s="1"/>
  <c r="AD44" i="69"/>
  <c r="AX1438" i="13"/>
  <c r="Z1542" i="13"/>
  <c r="A1537" i="13"/>
  <c r="AV1438" i="13"/>
  <c r="L25" i="72"/>
  <c r="AL25" i="72" a="1"/>
  <c r="AL25" i="72" s="1"/>
  <c r="AS25" i="72" a="1"/>
  <c r="AS25" i="72" s="1"/>
  <c r="BM25" i="72"/>
  <c r="BV25" i="72" a="1"/>
  <c r="BV25" i="72" s="1"/>
  <c r="AW25" i="72"/>
  <c r="BP25" i="72"/>
  <c r="BE25" i="72" s="1" a="1"/>
  <c r="BE25" i="72" s="1"/>
  <c r="AU25" i="72" a="1"/>
  <c r="AU25" i="72" s="1"/>
  <c r="AT25" i="72" a="1"/>
  <c r="AT25" i="72" s="1"/>
  <c r="R25" i="72"/>
  <c r="AY25" i="72" a="1"/>
  <c r="AY25" i="72" s="1"/>
  <c r="BW25" i="72" a="1"/>
  <c r="BW25" i="72" s="1"/>
  <c r="AK25" i="72" a="1"/>
  <c r="AK25" i="72" s="1"/>
  <c r="I536" i="15" a="1"/>
  <c r="I536" i="15" s="1"/>
  <c r="BX44" i="72"/>
  <c r="CA44" i="72" s="1"/>
  <c r="I257" i="15" a="1"/>
  <c r="I257" i="15" s="1"/>
  <c r="L88" i="72"/>
  <c r="AS88" i="72" a="1"/>
  <c r="AS88" i="72" s="1"/>
  <c r="AT88" i="72" a="1"/>
  <c r="AT88" i="72" s="1"/>
  <c r="AL88" i="72" a="1"/>
  <c r="AL88" i="72" s="1"/>
  <c r="BP88" i="72"/>
  <c r="BF88" i="72" s="1" a="1"/>
  <c r="BF88" i="72" s="1"/>
  <c r="BM88" i="72"/>
  <c r="AW88" i="72"/>
  <c r="AU88" i="72" a="1"/>
  <c r="AU88" i="72" s="1"/>
  <c r="R88" i="72"/>
  <c r="BV88" i="72" a="1"/>
  <c r="BV88" i="72" s="1"/>
  <c r="AY88" i="72" a="1"/>
  <c r="AY88" i="72" s="1"/>
  <c r="BW88" i="72" a="1"/>
  <c r="BW88" i="72" s="1"/>
  <c r="CI56" i="72"/>
  <c r="BC56" i="72" a="1"/>
  <c r="BC56" i="72" s="1"/>
  <c r="I490" i="15" a="1"/>
  <c r="I490" i="15" s="1"/>
  <c r="U70" i="72" a="1"/>
  <c r="U70" i="72" s="1"/>
  <c r="BO70" i="72"/>
  <c r="BN70" i="72"/>
  <c r="BQ32" i="72"/>
  <c r="R32" i="72"/>
  <c r="BV32" i="72" a="1"/>
  <c r="BV32" i="72" s="1"/>
  <c r="AS32" i="72" a="1"/>
  <c r="AS32" i="72" s="1"/>
  <c r="BM32" i="72"/>
  <c r="AW32" i="72"/>
  <c r="AT32" i="72" a="1"/>
  <c r="AT32" i="72" s="1"/>
  <c r="AL32" i="72" a="1"/>
  <c r="AL32" i="72" s="1"/>
  <c r="AY32" i="72" a="1"/>
  <c r="AY32" i="72" s="1"/>
  <c r="BW32" i="72" a="1"/>
  <c r="BW32" i="72" s="1"/>
  <c r="BP32" i="72"/>
  <c r="BE32" i="72" s="1" a="1"/>
  <c r="BE32" i="72" s="1"/>
  <c r="AU32" i="72" a="1"/>
  <c r="AU32" i="72" s="1"/>
  <c r="CI11" i="72"/>
  <c r="A1546" i="13"/>
  <c r="Z1551" i="13"/>
  <c r="AX1447" i="13"/>
  <c r="AV1447" i="13"/>
  <c r="AY29" i="69" a="1"/>
  <c r="AY29" i="69" s="1"/>
  <c r="CG91" i="72" a="1"/>
  <c r="CG91" i="72" s="1"/>
  <c r="CF91" i="72" a="1"/>
  <c r="CF91" i="72" s="1"/>
  <c r="AH91" i="72" s="1" a="1"/>
  <c r="AH91" i="72" s="1"/>
  <c r="E91" i="72"/>
  <c r="BQ82" i="72"/>
  <c r="AY21" i="69" a="1"/>
  <c r="AY21" i="69" s="1"/>
  <c r="H598" i="15" a="1"/>
  <c r="H598" i="15" s="1"/>
  <c r="H226" i="15" a="1"/>
  <c r="H226" i="15" s="1"/>
  <c r="BH88" i="69"/>
  <c r="BF88" i="69"/>
  <c r="BE88" i="69"/>
  <c r="AN88" i="69" s="1" a="1"/>
  <c r="AN88" i="69" s="1"/>
  <c r="AK42" i="72" a="1"/>
  <c r="AK42" i="72" s="1"/>
  <c r="CD42" i="72"/>
  <c r="BZ42" i="72" a="1"/>
  <c r="BZ42" i="72" s="1"/>
  <c r="CE42" i="72" a="1"/>
  <c r="CE42" i="72" s="1"/>
  <c r="CB42" i="72"/>
  <c r="AP42" i="72"/>
  <c r="AV42" i="72" a="1"/>
  <c r="AV42" i="72" s="1"/>
  <c r="AM42" i="72"/>
  <c r="BT42" i="72"/>
  <c r="CC42" i="72"/>
  <c r="AI42" i="72" s="1"/>
  <c r="CG42" i="72" a="1"/>
  <c r="CG42" i="72" s="1"/>
  <c r="E42" i="72"/>
  <c r="CF42" i="72" a="1"/>
  <c r="CF42" i="72" s="1"/>
  <c r="CI19" i="72"/>
  <c r="BC19" i="72" a="1"/>
  <c r="BC19" i="72" s="1"/>
  <c r="I55" i="15" a="1"/>
  <c r="I55" i="15" s="1"/>
  <c r="CF50" i="72" a="1"/>
  <c r="CF50" i="72" s="1"/>
  <c r="AH50" i="72" s="1" a="1"/>
  <c r="AH50" i="72" s="1"/>
  <c r="CG50" i="72" a="1"/>
  <c r="CG50" i="72" s="1"/>
  <c r="E50" i="72"/>
  <c r="AY70" i="69" a="1"/>
  <c r="AY70" i="69" s="1"/>
  <c r="AD32" i="69"/>
  <c r="BV32" i="69"/>
  <c r="BF64" i="69"/>
  <c r="BE64" i="69"/>
  <c r="AN64" i="69" s="1" a="1"/>
  <c r="AN64" i="69" s="1"/>
  <c r="H76" i="15" a="1"/>
  <c r="H76" i="15" s="1"/>
  <c r="R17" i="72"/>
  <c r="AW17" i="72"/>
  <c r="AS17" i="72" a="1"/>
  <c r="AS17" i="72" s="1"/>
  <c r="AU17" i="72" a="1"/>
  <c r="AU17" i="72" s="1"/>
  <c r="BM17" i="72"/>
  <c r="AT17" i="72" a="1"/>
  <c r="AT17" i="72" s="1"/>
  <c r="BV17" i="72" a="1"/>
  <c r="BV17" i="72" s="1"/>
  <c r="AL17" i="72" a="1"/>
  <c r="AL17" i="72" s="1"/>
  <c r="BP17" i="72"/>
  <c r="BS40" i="69"/>
  <c r="R40" i="69"/>
  <c r="BT40" i="69"/>
  <c r="BD40" i="69"/>
  <c r="BM40" i="69" a="1"/>
  <c r="BM40" i="69" s="1"/>
  <c r="BG40" i="69"/>
  <c r="A1577" i="13"/>
  <c r="AX1478" i="13"/>
  <c r="Z1582" i="13"/>
  <c r="AV1478" i="13"/>
  <c r="AT79" i="69" a="1"/>
  <c r="AT79" i="69" s="1"/>
  <c r="BV79" i="69"/>
  <c r="H110" i="15" a="1"/>
  <c r="H110" i="15" s="1"/>
  <c r="BI49" i="69"/>
  <c r="AY41" i="69" a="1"/>
  <c r="AY41" i="69" s="1"/>
  <c r="BV41" i="69"/>
  <c r="AT41" i="69" a="1"/>
  <c r="AT41" i="69" s="1"/>
  <c r="AY520" i="13"/>
  <c r="AS20" i="4"/>
  <c r="AR20" i="4"/>
  <c r="AE42" i="69" a="1"/>
  <c r="AE42" i="69" s="1"/>
  <c r="AP42" i="69" s="1" a="1"/>
  <c r="AP42" i="69" s="1"/>
  <c r="Z1506" i="13"/>
  <c r="A1501" i="13"/>
  <c r="AV1402" i="13"/>
  <c r="AX1402" i="13"/>
  <c r="AE52" i="69" a="1"/>
  <c r="AE52" i="69" s="1"/>
  <c r="BF52" i="69"/>
  <c r="BE52" i="69"/>
  <c r="BH53" i="69"/>
  <c r="BF81" i="69"/>
  <c r="BE81" i="69"/>
  <c r="AN81" i="69" s="1" a="1"/>
  <c r="AN81" i="69" s="1"/>
  <c r="BC64" i="72" a="1"/>
  <c r="BC64" i="72" s="1"/>
  <c r="CI64" i="72"/>
  <c r="AS64" i="72" a="1"/>
  <c r="AS64" i="72" s="1"/>
  <c r="AL64" i="72" a="1"/>
  <c r="AL64" i="72" s="1"/>
  <c r="BM64" i="72"/>
  <c r="AR64" i="72" s="1" a="1"/>
  <c r="AR64" i="72" s="1"/>
  <c r="BP64" i="72"/>
  <c r="BE64" i="72" s="1" a="1"/>
  <c r="BE64" i="72" s="1"/>
  <c r="R64" i="72"/>
  <c r="AY64" i="72" a="1"/>
  <c r="AY64" i="72" s="1"/>
  <c r="BV64" i="72" a="1"/>
  <c r="BV64" i="72" s="1"/>
  <c r="AT64" i="72" a="1"/>
  <c r="AT64" i="72" s="1"/>
  <c r="AW64" i="72"/>
  <c r="AU64" i="72" a="1"/>
  <c r="AU64" i="72" s="1"/>
  <c r="BW64" i="72" a="1"/>
  <c r="BW64" i="72" s="1"/>
  <c r="BN37" i="72"/>
  <c r="BO37" i="72"/>
  <c r="BX40" i="72"/>
  <c r="CA40" i="72" s="1"/>
  <c r="BA1766" i="13" a="1"/>
  <c r="BA1766" i="13" s="1"/>
  <c r="BG49" i="72" a="1"/>
  <c r="BG49" i="72" s="1"/>
  <c r="BO49" i="72"/>
  <c r="BN49" i="72"/>
  <c r="L38" i="72"/>
  <c r="AS38" i="72" a="1"/>
  <c r="AS38" i="72" s="1"/>
  <c r="BM38" i="72"/>
  <c r="AL38" i="72" a="1"/>
  <c r="AL38" i="72" s="1"/>
  <c r="AT38" i="72" a="1"/>
  <c r="AT38" i="72" s="1"/>
  <c r="R38" i="72"/>
  <c r="AW38" i="72"/>
  <c r="BP38" i="72"/>
  <c r="BE38" i="72" s="1" a="1"/>
  <c r="BE38" i="72" s="1"/>
  <c r="BV38" i="72" a="1"/>
  <c r="BV38" i="72" s="1"/>
  <c r="AU38" i="72" a="1"/>
  <c r="AU38" i="72" s="1"/>
  <c r="BW38" i="72" a="1"/>
  <c r="BW38" i="72" s="1"/>
  <c r="AY38" i="72" a="1"/>
  <c r="AY38" i="72" s="1"/>
  <c r="Z1574" i="13"/>
  <c r="AX1470" i="13"/>
  <c r="A1569" i="13"/>
  <c r="AV1470" i="13"/>
  <c r="E53" i="72"/>
  <c r="CF53" i="72" a="1"/>
  <c r="CF53" i="72" s="1"/>
  <c r="CG53" i="72" a="1"/>
  <c r="CG53" i="72" s="1"/>
  <c r="AT84" i="69" a="1"/>
  <c r="AT84" i="69" s="1"/>
  <c r="BV84" i="69"/>
  <c r="F425" i="15" a="1"/>
  <c r="F425" i="15" s="1"/>
  <c r="BF37" i="69"/>
  <c r="BE37" i="69"/>
  <c r="AG37" i="69" s="1" a="1"/>
  <c r="AG37" i="69" s="1"/>
  <c r="BE55" i="4"/>
  <c r="BU55" i="4"/>
  <c r="AX1252" i="13"/>
  <c r="A1351" i="13"/>
  <c r="AY78" i="69" a="1"/>
  <c r="AY78" i="69" s="1"/>
  <c r="L38" i="69"/>
  <c r="AE93" i="69" a="1"/>
  <c r="AE93" i="69" s="1"/>
  <c r="BE93" i="69"/>
  <c r="BF93" i="69"/>
  <c r="AY96" i="72" a="1"/>
  <c r="AY96" i="72" s="1"/>
  <c r="L603" i="15" a="1"/>
  <c r="L603" i="15" s="1"/>
  <c r="AF51" i="72" a="1"/>
  <c r="AF51" i="72" s="1"/>
  <c r="AY51" i="72" s="1" a="1"/>
  <c r="AY51" i="72" s="1"/>
  <c r="U68" i="72" a="1"/>
  <c r="U68" i="72" s="1"/>
  <c r="CD61" i="72"/>
  <c r="AP61" i="72"/>
  <c r="CE61" i="72" a="1"/>
  <c r="CE61" i="72" s="1"/>
  <c r="BZ61" i="72" a="1"/>
  <c r="BZ61" i="72" s="1"/>
  <c r="CB61" i="72"/>
  <c r="AV61" i="72" a="1"/>
  <c r="AV61" i="72" s="1"/>
  <c r="AM61" i="72"/>
  <c r="BT61" i="72"/>
  <c r="BR18" i="72"/>
  <c r="BY26" i="72"/>
  <c r="BX26" i="72" s="1"/>
  <c r="CA26" i="72" s="1"/>
  <c r="BR26" i="72"/>
  <c r="Z1510" i="13"/>
  <c r="AV1406" i="13"/>
  <c r="A1505" i="13"/>
  <c r="AX1406" i="13"/>
  <c r="BE88" i="4"/>
  <c r="BS88" i="4" s="1"/>
  <c r="BT88" i="72" s="1"/>
  <c r="BZ46" i="72" a="1"/>
  <c r="BZ46" i="72" s="1"/>
  <c r="CB46" i="72"/>
  <c r="AV46" i="72" a="1"/>
  <c r="AV46" i="72" s="1"/>
  <c r="BT46" i="72"/>
  <c r="AM46" i="72"/>
  <c r="CD46" i="72"/>
  <c r="AP46" i="72"/>
  <c r="CE46" i="72" a="1"/>
  <c r="CE46" i="72" s="1"/>
  <c r="CC46" i="72"/>
  <c r="AI46" i="72" s="1"/>
  <c r="C31" i="69"/>
  <c r="D31" i="69" s="1" a="1"/>
  <c r="D31" i="69" s="1"/>
  <c r="BV31" i="69"/>
  <c r="AT31" i="69" a="1"/>
  <c r="AT31" i="69" s="1"/>
  <c r="H396" i="15" a="1"/>
  <c r="H396" i="15" s="1"/>
  <c r="U68" i="69" a="1"/>
  <c r="U68" i="69" s="1"/>
  <c r="BV68" i="69"/>
  <c r="AT68" i="69" a="1"/>
  <c r="AT68" i="69" s="1"/>
  <c r="BQ68" i="69" a="1"/>
  <c r="BQ68" i="69" s="1"/>
  <c r="AP68" i="69" a="1"/>
  <c r="AP68" i="69" s="1"/>
  <c r="BD68" i="69"/>
  <c r="AO68" i="69" s="1" a="1"/>
  <c r="AO68" i="69" s="1"/>
  <c r="BT68" i="69"/>
  <c r="BM68" i="69" a="1"/>
  <c r="BM68" i="69" s="1"/>
  <c r="R68" i="69"/>
  <c r="BG68" i="69"/>
  <c r="AV68" i="69" s="1" a="1"/>
  <c r="AV68" i="69" s="1"/>
  <c r="BN68" i="69" a="1"/>
  <c r="BN68" i="69" s="1"/>
  <c r="H594" i="15" a="1"/>
  <c r="H594" i="15" s="1"/>
  <c r="AE83" i="69" a="1"/>
  <c r="AE83" i="69" s="1"/>
  <c r="AP83" i="69" s="1" a="1"/>
  <c r="AP83" i="69" s="1"/>
  <c r="CI41" i="72"/>
  <c r="BC41" i="72" a="1"/>
  <c r="BC41" i="72" s="1"/>
  <c r="I480" i="15" a="1"/>
  <c r="I480" i="15" s="1"/>
  <c r="AX14" i="69" a="1"/>
  <c r="AX14" i="69" s="1"/>
  <c r="X47" i="4"/>
  <c r="BI91" i="4"/>
  <c r="BM91" i="4"/>
  <c r="AV593" i="13"/>
  <c r="DX91" i="4"/>
  <c r="AE69" i="69" a="1"/>
  <c r="AE69" i="69" s="1"/>
  <c r="B69" i="69"/>
  <c r="BE95" i="4"/>
  <c r="X95" i="4" s="1"/>
  <c r="AS31" i="72" a="1"/>
  <c r="AS31" i="72" s="1"/>
  <c r="AW31" i="72"/>
  <c r="BV31" i="72" a="1"/>
  <c r="BV31" i="72" s="1"/>
  <c r="AU31" i="72" a="1"/>
  <c r="AU31" i="72" s="1"/>
  <c r="AL31" i="72" a="1"/>
  <c r="AL31" i="72" s="1"/>
  <c r="BP31" i="72"/>
  <c r="BE31" i="72" s="1" a="1"/>
  <c r="BE31" i="72" s="1"/>
  <c r="AT31" i="72" a="1"/>
  <c r="AT31" i="72" s="1"/>
  <c r="BM31" i="72"/>
  <c r="R31" i="72"/>
  <c r="AY31" i="72" a="1"/>
  <c r="AY31" i="72" s="1"/>
  <c r="BW31" i="72" a="1"/>
  <c r="BW31" i="72" s="1"/>
  <c r="CG31" i="72" a="1"/>
  <c r="CG31" i="72" s="1"/>
  <c r="E31" i="72"/>
  <c r="CF31" i="72" a="1"/>
  <c r="CF31" i="72" s="1"/>
  <c r="F74" i="69"/>
  <c r="F74" i="72"/>
  <c r="BH72" i="69"/>
  <c r="CE76" i="72" a="1"/>
  <c r="CE76" i="72" s="1"/>
  <c r="CD76" i="72"/>
  <c r="CB76" i="72"/>
  <c r="AM76" i="72"/>
  <c r="AP76" i="72"/>
  <c r="AV76" i="72" a="1"/>
  <c r="AV76" i="72" s="1"/>
  <c r="BZ76" i="72" a="1"/>
  <c r="BZ76" i="72" s="1"/>
  <c r="BQ71" i="72"/>
  <c r="CD71" i="72"/>
  <c r="CB71" i="72"/>
  <c r="CE71" i="72" a="1"/>
  <c r="CE71" i="72" s="1"/>
  <c r="AV71" i="72" a="1"/>
  <c r="AV71" i="72" s="1"/>
  <c r="BZ71" i="72" a="1"/>
  <c r="BZ71" i="72" s="1"/>
  <c r="AM71" i="72"/>
  <c r="AP71" i="72"/>
  <c r="BT71" i="72"/>
  <c r="BT77" i="69"/>
  <c r="BM77" i="69" a="1"/>
  <c r="BM77" i="69" s="1"/>
  <c r="R77" i="69"/>
  <c r="BG77" i="69"/>
  <c r="AW77" i="69" s="1" a="1"/>
  <c r="AW77" i="69" s="1"/>
  <c r="BD77" i="69"/>
  <c r="BN77" i="69" a="1"/>
  <c r="BN77" i="69" s="1"/>
  <c r="AP77" i="69" a="1"/>
  <c r="AP77" i="69" s="1"/>
  <c r="AK83" i="72" a="1"/>
  <c r="AK83" i="72" s="1"/>
  <c r="B83" i="72"/>
  <c r="BC39" i="72" a="1"/>
  <c r="BC39" i="72" s="1"/>
  <c r="CI39" i="72"/>
  <c r="DC55" i="4" a="1"/>
  <c r="DC55" i="4" s="1"/>
  <c r="M3" i="1" s="1" a="1"/>
  <c r="M3" i="1" s="1"/>
  <c r="M101" i="1" s="1"/>
  <c r="H310" i="15" a="1"/>
  <c r="H310" i="15" s="1"/>
  <c r="BI73" i="4"/>
  <c r="AV575" i="13"/>
  <c r="BM73" i="4"/>
  <c r="DX73" i="4"/>
  <c r="BE58" i="72" a="1"/>
  <c r="BE58" i="72" s="1"/>
  <c r="BQ69" i="72"/>
  <c r="BO35" i="72"/>
  <c r="BN35" i="72"/>
  <c r="AR35" i="72" s="1" a="1"/>
  <c r="AR35" i="72" s="1"/>
  <c r="L500" i="15" a="1"/>
  <c r="L500" i="15" s="1"/>
  <c r="K67" i="72" a="1"/>
  <c r="K67" i="72" s="1"/>
  <c r="BX72" i="72"/>
  <c r="CA72" i="72" s="1"/>
  <c r="O76" i="69"/>
  <c r="U57" i="72" a="1"/>
  <c r="U57" i="72" s="1"/>
  <c r="AF77" i="72" a="1"/>
  <c r="AF77" i="72" s="1"/>
  <c r="BH33" i="69"/>
  <c r="BS73" i="69"/>
  <c r="F588" i="15" a="1"/>
  <c r="F588" i="15" s="1"/>
  <c r="AF5" i="72" a="1"/>
  <c r="AF5" i="72" s="1"/>
  <c r="AY5" i="72" s="1" a="1"/>
  <c r="AY5" i="72" s="1"/>
  <c r="BZ65" i="72" a="1"/>
  <c r="BZ65" i="72" s="1"/>
  <c r="CD65" i="72"/>
  <c r="CE65" i="72" a="1"/>
  <c r="CE65" i="72" s="1"/>
  <c r="AV65" i="72" a="1"/>
  <c r="AV65" i="72" s="1"/>
  <c r="AM65" i="72"/>
  <c r="AP65" i="72"/>
  <c r="CB65" i="72"/>
  <c r="L87" i="69"/>
  <c r="AS20" i="72" a="1"/>
  <c r="AS20" i="72" s="1"/>
  <c r="BV20" i="72" a="1"/>
  <c r="BV20" i="72" s="1"/>
  <c r="AU20" i="72" a="1"/>
  <c r="AU20" i="72" s="1"/>
  <c r="AT20" i="72" a="1"/>
  <c r="AT20" i="72" s="1"/>
  <c r="BM20" i="72"/>
  <c r="AL20" i="72" a="1"/>
  <c r="AL20" i="72" s="1"/>
  <c r="BP20" i="72"/>
  <c r="BE20" i="72" s="1" a="1"/>
  <c r="BE20" i="72" s="1"/>
  <c r="AW20" i="72"/>
  <c r="R20" i="72"/>
  <c r="BW20" i="72" a="1"/>
  <c r="BW20" i="72" s="1"/>
  <c r="BN20" i="72"/>
  <c r="BO20" i="72"/>
  <c r="BY87" i="72"/>
  <c r="BX87" i="72" s="1"/>
  <c r="CA87" i="72" s="1"/>
  <c r="Y32" i="4"/>
  <c r="AV32" i="4"/>
  <c r="AW32" i="4" a="1"/>
  <c r="AW32" i="4" s="1"/>
  <c r="AU32" i="4" a="1"/>
  <c r="AU32" i="4" s="1"/>
  <c r="BR32" i="4"/>
  <c r="CB32" i="4"/>
  <c r="CI43" i="72"/>
  <c r="BC43" i="72" a="1"/>
  <c r="BC43" i="72" s="1"/>
  <c r="K36" i="69" a="1"/>
  <c r="K36" i="69" s="1"/>
  <c r="I641" i="15" a="1"/>
  <c r="I641" i="15" s="1"/>
  <c r="H667" i="15" a="1"/>
  <c r="H667" i="15" s="1"/>
  <c r="F667" i="15" a="1"/>
  <c r="F667" i="15" s="1"/>
  <c r="I667" i="15" a="1"/>
  <c r="I667" i="15" s="1"/>
  <c r="I646" i="15" a="1"/>
  <c r="I646" i="15" s="1"/>
  <c r="I664" i="15" a="1"/>
  <c r="I664" i="15" s="1"/>
  <c r="H664" i="15" a="1"/>
  <c r="H664" i="15" s="1"/>
  <c r="H646" i="15" a="1"/>
  <c r="H646" i="15" s="1"/>
  <c r="BK3" i="69"/>
  <c r="O3" i="72"/>
  <c r="O3" i="69"/>
  <c r="BT3" i="72"/>
  <c r="AD3" i="72"/>
  <c r="AD3" i="69"/>
  <c r="U67" i="69" a="1"/>
  <c r="U67" i="69" s="1"/>
  <c r="H62" i="15" a="1"/>
  <c r="H62" i="15" s="1"/>
  <c r="I62" i="15" a="1"/>
  <c r="I62" i="15" s="1"/>
  <c r="F62" i="15" a="1"/>
  <c r="F62" i="15" s="1"/>
  <c r="G62" i="15" s="1"/>
  <c r="BN85" i="69" a="1"/>
  <c r="BN85" i="69" s="1"/>
  <c r="AP85" i="69" a="1"/>
  <c r="AP85" i="69" s="1"/>
  <c r="BM85" i="69" a="1"/>
  <c r="BM85" i="69" s="1"/>
  <c r="BD85" i="69"/>
  <c r="R85" i="69"/>
  <c r="BT85" i="69"/>
  <c r="BG85" i="69"/>
  <c r="AV85" i="69" s="1" a="1"/>
  <c r="AV85" i="69" s="1"/>
  <c r="BX54" i="72"/>
  <c r="CA54" i="72" s="1"/>
  <c r="L54" i="72"/>
  <c r="BM54" i="72"/>
  <c r="AW54" i="72"/>
  <c r="BP54" i="72"/>
  <c r="BE54" i="72" s="1" a="1"/>
  <c r="BE54" i="72" s="1"/>
  <c r="AT54" i="72" a="1"/>
  <c r="AT54" i="72" s="1"/>
  <c r="BV54" i="72" a="1"/>
  <c r="BV54" i="72" s="1"/>
  <c r="AS54" i="72" a="1"/>
  <c r="AS54" i="72" s="1"/>
  <c r="AL54" i="72" a="1"/>
  <c r="AL54" i="72" s="1"/>
  <c r="AU54" i="72" a="1"/>
  <c r="AU54" i="72" s="1"/>
  <c r="R54" i="72"/>
  <c r="BW54" i="72" a="1"/>
  <c r="BW54" i="72" s="1"/>
  <c r="AY54" i="72" a="1"/>
  <c r="AY54" i="72" s="1"/>
  <c r="K90" i="72" a="1"/>
  <c r="K90" i="72" s="1"/>
  <c r="F164" i="15" a="1"/>
  <c r="F164" i="15" s="1"/>
  <c r="I164" i="15" a="1"/>
  <c r="I164" i="15" s="1"/>
  <c r="H164" i="15" a="1"/>
  <c r="H164" i="15" s="1"/>
  <c r="BO24" i="69"/>
  <c r="BR24" i="69" s="1"/>
  <c r="BF24" i="69"/>
  <c r="BE24" i="69"/>
  <c r="AX1431" i="13"/>
  <c r="Z1535" i="13"/>
  <c r="AV1431" i="13"/>
  <c r="A1530" i="13"/>
  <c r="BC73" i="72" a="1"/>
  <c r="BC73" i="72" s="1"/>
  <c r="CI73" i="72"/>
  <c r="BS34" i="69"/>
  <c r="L34" i="69"/>
  <c r="BD34" i="69"/>
  <c r="BT34" i="69"/>
  <c r="BN34" i="69" a="1"/>
  <c r="BN34" i="69" s="1"/>
  <c r="AP34" i="69" a="1"/>
  <c r="AP34" i="69" s="1"/>
  <c r="BM34" i="69" a="1"/>
  <c r="BM34" i="69" s="1"/>
  <c r="R34" i="69"/>
  <c r="AO34" i="69" s="1" a="1"/>
  <c r="AO34" i="69" s="1"/>
  <c r="BG34" i="69"/>
  <c r="AV34" i="69" s="1" a="1"/>
  <c r="AV34" i="69" s="1"/>
  <c r="AD16" i="72"/>
  <c r="AK16" i="72" a="1"/>
  <c r="AK16" i="72" s="1"/>
  <c r="AD5" i="69"/>
  <c r="G65" i="69"/>
  <c r="E65" i="69"/>
  <c r="A1510" i="13"/>
  <c r="Z1515" i="13"/>
  <c r="AV1411" i="13"/>
  <c r="AX1411" i="13"/>
  <c r="AR70" i="4"/>
  <c r="AS70" i="4"/>
  <c r="AY570" i="13"/>
  <c r="H464" i="15" a="1"/>
  <c r="H464" i="15" s="1"/>
  <c r="I494" i="15" a="1"/>
  <c r="I494" i="15" s="1"/>
  <c r="I405" i="15" a="1"/>
  <c r="I405" i="15" s="1"/>
  <c r="BG77" i="4"/>
  <c r="BH92" i="4"/>
  <c r="AV1190" i="13" s="1"/>
  <c r="L92" i="4"/>
  <c r="BH85" i="4"/>
  <c r="AV1183" i="13" s="1"/>
  <c r="X85" i="4"/>
  <c r="L85" i="4"/>
  <c r="BG59" i="4"/>
  <c r="BG95" i="4"/>
  <c r="X82" i="4"/>
  <c r="BH82" i="4"/>
  <c r="AV1180" i="13" s="1"/>
  <c r="BS82" i="4"/>
  <c r="L82" i="4"/>
  <c r="BG64" i="4"/>
  <c r="AP43" i="69" a="1"/>
  <c r="AP43" i="69" s="1"/>
  <c r="BA43" i="69" a="1"/>
  <c r="BA43" i="69" s="1"/>
  <c r="AG43" i="69" a="1"/>
  <c r="AG43" i="69" s="1"/>
  <c r="AI43" i="69" a="1"/>
  <c r="AI43" i="69" s="1"/>
  <c r="AQ43" i="69" a="1"/>
  <c r="AQ43" i="69" s="1"/>
  <c r="AZ43" i="69" a="1"/>
  <c r="AZ43" i="69" s="1"/>
  <c r="AN43" i="69" a="1"/>
  <c r="AN43" i="69" s="1"/>
  <c r="AU43" i="69" a="1"/>
  <c r="AU43" i="69" s="1"/>
  <c r="AF43" i="69" a="1"/>
  <c r="AF43" i="69" s="1"/>
  <c r="AH43" i="69" a="1"/>
  <c r="AH43" i="69" s="1"/>
  <c r="AK43" i="69" a="1"/>
  <c r="AK43" i="69" s="1"/>
  <c r="AO43" i="69" a="1"/>
  <c r="AO43" i="69" s="1"/>
  <c r="AU36" i="72" a="1"/>
  <c r="AU36" i="72" s="1"/>
  <c r="R36" i="72"/>
  <c r="BP36" i="72"/>
  <c r="BE36" i="72" s="1" a="1"/>
  <c r="BE36" i="72" s="1"/>
  <c r="AT36" i="72" a="1"/>
  <c r="AT36" i="72" s="1"/>
  <c r="AS36" i="72" a="1"/>
  <c r="AS36" i="72" s="1"/>
  <c r="AW36" i="72"/>
  <c r="BM36" i="72"/>
  <c r="AL36" i="72" a="1"/>
  <c r="AL36" i="72" s="1"/>
  <c r="BV36" i="72" a="1"/>
  <c r="BV36" i="72" s="1"/>
  <c r="BW36" i="72" a="1"/>
  <c r="BW36" i="72" s="1"/>
  <c r="AY36" i="72" a="1"/>
  <c r="AY36" i="72" s="1"/>
  <c r="I482" i="15" a="1"/>
  <c r="I482" i="15" s="1"/>
  <c r="F482" i="15" a="1"/>
  <c r="F482" i="15" s="1"/>
  <c r="H482" i="15" a="1"/>
  <c r="H482" i="15" s="1"/>
  <c r="AY524" i="13"/>
  <c r="AR24" i="4"/>
  <c r="AS24" i="4"/>
  <c r="BE59" i="69"/>
  <c r="AG59" i="69" s="1" a="1"/>
  <c r="AG59" i="69" s="1"/>
  <c r="BF59" i="69"/>
  <c r="BP43" i="69"/>
  <c r="BO43" i="69" s="1"/>
  <c r="BR43" i="69" s="1"/>
  <c r="AK36" i="72" a="1"/>
  <c r="AK36" i="72" s="1"/>
  <c r="I465" i="15" a="1"/>
  <c r="I465" i="15" s="1"/>
  <c r="BY86" i="72"/>
  <c r="BX86" i="72" s="1"/>
  <c r="CA86" i="72" s="1"/>
  <c r="CG86" i="72" a="1"/>
  <c r="CG86" i="72" s="1"/>
  <c r="CF86" i="72" a="1"/>
  <c r="CF86" i="72" s="1"/>
  <c r="AH86" i="72" s="1" a="1"/>
  <c r="AH86" i="72" s="1"/>
  <c r="E86" i="72"/>
  <c r="CB86" i="72"/>
  <c r="AP86" i="72"/>
  <c r="AV86" i="72" a="1"/>
  <c r="AV86" i="72" s="1"/>
  <c r="CD86" i="72"/>
  <c r="CE86" i="72" a="1"/>
  <c r="CE86" i="72" s="1"/>
  <c r="BZ86" i="72" a="1"/>
  <c r="BZ86" i="72" s="1"/>
  <c r="AM86" i="72"/>
  <c r="H307" i="15" a="1"/>
  <c r="H307" i="15" s="1"/>
  <c r="BX85" i="72"/>
  <c r="CA85" i="72" s="1"/>
  <c r="AU85" i="72" a="1"/>
  <c r="AU85" i="72" s="1"/>
  <c r="BV85" i="72" a="1"/>
  <c r="BV85" i="72" s="1"/>
  <c r="AL85" i="72" a="1"/>
  <c r="AL85" i="72" s="1"/>
  <c r="AT85" i="72" a="1"/>
  <c r="AT85" i="72" s="1"/>
  <c r="AS85" i="72" a="1"/>
  <c r="AS85" i="72" s="1"/>
  <c r="BP85" i="72"/>
  <c r="BE85" i="72" s="1" a="1"/>
  <c r="BE85" i="72" s="1"/>
  <c r="AW85" i="72"/>
  <c r="BM85" i="72"/>
  <c r="BW85" i="72" a="1"/>
  <c r="BW85" i="72" s="1"/>
  <c r="R85" i="72"/>
  <c r="AY85" i="72" a="1"/>
  <c r="AY85" i="72" s="1"/>
  <c r="H336" i="15" a="1"/>
  <c r="H336" i="15" s="1"/>
  <c r="BO74" i="69"/>
  <c r="BR74" i="69" s="1"/>
  <c r="BE74" i="69"/>
  <c r="AN74" i="69" s="1" a="1"/>
  <c r="AN74" i="69" s="1"/>
  <c r="BF74" i="69"/>
  <c r="L48" i="69"/>
  <c r="H259" i="15" a="1"/>
  <c r="H259" i="15" s="1"/>
  <c r="AD20" i="69"/>
  <c r="E20" i="69"/>
  <c r="BP6" i="69"/>
  <c r="BO6" i="69" s="1"/>
  <c r="BR6" i="69" s="1"/>
  <c r="AH96" i="72" a="1"/>
  <c r="AH96" i="72" s="1"/>
  <c r="DX78" i="4"/>
  <c r="AV580" i="13"/>
  <c r="BI78" i="4"/>
  <c r="BM78" i="4"/>
  <c r="BQ59" i="72"/>
  <c r="BQ80" i="72"/>
  <c r="B92" i="69"/>
  <c r="BD92" i="69"/>
  <c r="BM92" i="69" a="1"/>
  <c r="BM92" i="69" s="1"/>
  <c r="BG92" i="69"/>
  <c r="BT92" i="69"/>
  <c r="R92" i="69"/>
  <c r="AP92" i="69" a="1"/>
  <c r="AP92" i="69" s="1"/>
  <c r="BN92" i="69" a="1"/>
  <c r="BN92" i="69" s="1"/>
  <c r="U63" i="69" a="1"/>
  <c r="U63" i="69" s="1"/>
  <c r="BM63" i="69" a="1"/>
  <c r="BM63" i="69" s="1"/>
  <c r="BN63" i="69" a="1"/>
  <c r="BN63" i="69" s="1"/>
  <c r="AP63" i="69" a="1"/>
  <c r="AP63" i="69" s="1"/>
  <c r="BT63" i="69"/>
  <c r="BG63" i="69"/>
  <c r="AW63" i="69" s="1" a="1"/>
  <c r="AW63" i="69" s="1"/>
  <c r="R63" i="69"/>
  <c r="BD63" i="69"/>
  <c r="AV1409" i="13"/>
  <c r="A1508" i="13"/>
  <c r="Z1513" i="13"/>
  <c r="AX1409" i="13"/>
  <c r="AT8" i="69" a="1"/>
  <c r="AT8" i="69" s="1"/>
  <c r="BV8" i="69"/>
  <c r="L74" i="72"/>
  <c r="L48" i="72"/>
  <c r="Z1526" i="13"/>
  <c r="AX1422" i="13"/>
  <c r="AV1422" i="13"/>
  <c r="A1521" i="13"/>
  <c r="BS27" i="69"/>
  <c r="BF27" i="69"/>
  <c r="BE27" i="69"/>
  <c r="AG27" i="69" s="1" a="1"/>
  <c r="AG27" i="69" s="1"/>
  <c r="BO27" i="69"/>
  <c r="BR27" i="69" s="1"/>
  <c r="E25" i="69"/>
  <c r="BQ21" i="72"/>
  <c r="CI21" i="72"/>
  <c r="BC21" i="72" a="1"/>
  <c r="BC21" i="72" s="1"/>
  <c r="AD30" i="72"/>
  <c r="CI30" i="72"/>
  <c r="BC30" i="72" a="1"/>
  <c r="BC30" i="72" s="1"/>
  <c r="BZ78" i="72" a="1"/>
  <c r="BZ78" i="72" s="1"/>
  <c r="CE78" i="72" a="1"/>
  <c r="CE78" i="72" s="1"/>
  <c r="AV78" i="72" a="1"/>
  <c r="AV78" i="72" s="1"/>
  <c r="AM78" i="72"/>
  <c r="AP78" i="72"/>
  <c r="CB78" i="72"/>
  <c r="CD78" i="72"/>
  <c r="BE92" i="4"/>
  <c r="X92" i="4" s="1"/>
  <c r="AF14" i="72" a="1"/>
  <c r="AF14" i="72" s="1"/>
  <c r="BC14" i="72" s="1" a="1"/>
  <c r="BC14" i="72" s="1"/>
  <c r="CG14" i="72" a="1"/>
  <c r="CG14" i="72" s="1"/>
  <c r="CF14" i="72" a="1"/>
  <c r="CF14" i="72" s="1"/>
  <c r="E14" i="72"/>
  <c r="DX76" i="4"/>
  <c r="AV578" i="13"/>
  <c r="BI76" i="4"/>
  <c r="BM76" i="4"/>
  <c r="BU106" i="4" s="1"/>
  <c r="I337" i="15" a="1"/>
  <c r="I337" i="15" s="1"/>
  <c r="BF80" i="69"/>
  <c r="BE80" i="69"/>
  <c r="AG80" i="69" s="1" a="1"/>
  <c r="AG80" i="69" s="1"/>
  <c r="BC47" i="72" a="1"/>
  <c r="BC47" i="72" s="1"/>
  <c r="CI47" i="72"/>
  <c r="CI92" i="72"/>
  <c r="BC92" i="72" a="1"/>
  <c r="BC92" i="72" s="1"/>
  <c r="BF56" i="69"/>
  <c r="BO56" i="69"/>
  <c r="BR56" i="69" s="1"/>
  <c r="BE56" i="69"/>
  <c r="I256" i="15" a="1"/>
  <c r="I256" i="15" s="1"/>
  <c r="BP29" i="72"/>
  <c r="BF29" i="72" s="1" a="1"/>
  <c r="BF29" i="72" s="1"/>
  <c r="R29" i="72"/>
  <c r="BW29" i="72" a="1"/>
  <c r="BW29" i="72" s="1"/>
  <c r="AY29" i="72" a="1"/>
  <c r="AY29" i="72" s="1"/>
  <c r="BM29" i="72"/>
  <c r="AS29" i="72" a="1"/>
  <c r="AS29" i="72" s="1"/>
  <c r="AW29" i="72"/>
  <c r="AT29" i="72" a="1"/>
  <c r="AT29" i="72" s="1"/>
  <c r="AL29" i="72" a="1"/>
  <c r="AL29" i="72" s="1"/>
  <c r="AU29" i="72" a="1"/>
  <c r="AU29" i="72" s="1"/>
  <c r="BV29" i="72" a="1"/>
  <c r="BV29" i="72" s="1"/>
  <c r="BQ91" i="69" a="1"/>
  <c r="BQ91" i="69" s="1"/>
  <c r="BH82" i="69"/>
  <c r="BH44" i="69"/>
  <c r="BQ25" i="72"/>
  <c r="H536" i="15" a="1"/>
  <c r="H536" i="15" s="1"/>
  <c r="BV44" i="72" a="1"/>
  <c r="BV44" i="72" s="1"/>
  <c r="AU44" i="72" a="1"/>
  <c r="AU44" i="72" s="1"/>
  <c r="AL44" i="72" a="1"/>
  <c r="AL44" i="72" s="1"/>
  <c r="BP44" i="72"/>
  <c r="BF44" i="72" s="1" a="1"/>
  <c r="BF44" i="72" s="1"/>
  <c r="AT44" i="72" a="1"/>
  <c r="AT44" i="72" s="1"/>
  <c r="AW44" i="72"/>
  <c r="R44" i="72"/>
  <c r="AY44" i="72" a="1"/>
  <c r="AY44" i="72" s="1"/>
  <c r="BW44" i="72" a="1"/>
  <c r="BW44" i="72" s="1"/>
  <c r="BM44" i="72"/>
  <c r="AS44" i="72" a="1"/>
  <c r="AS44" i="72" s="1"/>
  <c r="A1582" i="13"/>
  <c r="Z1587" i="13"/>
  <c r="AX1483" i="13"/>
  <c r="AV1483" i="13"/>
  <c r="DX63" i="4"/>
  <c r="AV565" i="13"/>
  <c r="BM63" i="4"/>
  <c r="BI63" i="4"/>
  <c r="H257" i="15" a="1"/>
  <c r="H257" i="15" s="1"/>
  <c r="BY88" i="72"/>
  <c r="BX88" i="72" s="1"/>
  <c r="CA88" i="72" s="1"/>
  <c r="BO88" i="72"/>
  <c r="BN88" i="72"/>
  <c r="F95" i="69"/>
  <c r="F95" i="72"/>
  <c r="BF50" i="69"/>
  <c r="BE50" i="69"/>
  <c r="AN50" i="69" s="1" a="1"/>
  <c r="AN50" i="69" s="1"/>
  <c r="CD70" i="72"/>
  <c r="AV70" i="72" a="1"/>
  <c r="AV70" i="72" s="1"/>
  <c r="AP70" i="72"/>
  <c r="BZ70" i="72" a="1"/>
  <c r="BZ70" i="72" s="1"/>
  <c r="CB70" i="72"/>
  <c r="CE70" i="72" a="1"/>
  <c r="CE70" i="72" s="1"/>
  <c r="AM70" i="72"/>
  <c r="BX32" i="72"/>
  <c r="CA32" i="72" s="1"/>
  <c r="L11" i="72"/>
  <c r="AU11" i="72" a="1"/>
  <c r="AU11" i="72" s="1"/>
  <c r="AT11" i="72" a="1"/>
  <c r="AT11" i="72" s="1"/>
  <c r="R11" i="72"/>
  <c r="BV11" i="72" a="1"/>
  <c r="BV11" i="72" s="1"/>
  <c r="AL11" i="72" a="1"/>
  <c r="AL11" i="72" s="1"/>
  <c r="BP11" i="72"/>
  <c r="BE11" i="72" s="1" a="1"/>
  <c r="BE11" i="72" s="1"/>
  <c r="BM11" i="72"/>
  <c r="AS11" i="72" a="1"/>
  <c r="AS11" i="72" s="1"/>
  <c r="AW11" i="72"/>
  <c r="AY11" i="72" a="1"/>
  <c r="AY11" i="72" s="1"/>
  <c r="BW11" i="72" a="1"/>
  <c r="BW11" i="72" s="1"/>
  <c r="AE17" i="69" a="1"/>
  <c r="AE17" i="69" s="1"/>
  <c r="BN17" i="69" s="1" a="1"/>
  <c r="BN17" i="69" s="1"/>
  <c r="BP29" i="69"/>
  <c r="BO29" i="69" s="1"/>
  <c r="BR29" i="69" s="1"/>
  <c r="AK91" i="72" a="1"/>
  <c r="AK91" i="72" s="1"/>
  <c r="AV1445" i="13"/>
  <c r="Z1549" i="13"/>
  <c r="A1544" i="13"/>
  <c r="AX1445" i="13"/>
  <c r="BH82" i="72" a="1"/>
  <c r="BH82" i="72" s="1"/>
  <c r="AR45" i="4"/>
  <c r="AY545" i="13"/>
  <c r="AS45" i="4"/>
  <c r="AY552" i="13"/>
  <c r="AR52" i="4"/>
  <c r="AS52" i="4"/>
  <c r="BP88" i="69"/>
  <c r="BO88" i="69" s="1"/>
  <c r="BR88" i="69" s="1"/>
  <c r="BD88" i="69"/>
  <c r="BG88" i="69"/>
  <c r="AW88" i="69" s="1" a="1"/>
  <c r="AW88" i="69" s="1"/>
  <c r="BM88" i="69" a="1"/>
  <c r="BM88" i="69" s="1"/>
  <c r="R88" i="69"/>
  <c r="AO88" i="69" s="1" a="1"/>
  <c r="AO88" i="69" s="1"/>
  <c r="BT88" i="69"/>
  <c r="BN88" i="69" a="1"/>
  <c r="BN88" i="69" s="1"/>
  <c r="AP88" i="69" a="1"/>
  <c r="AP88" i="69" s="1"/>
  <c r="D42" i="72" a="1"/>
  <c r="D42" i="72" s="1"/>
  <c r="AD19" i="72"/>
  <c r="F540" i="15" a="1"/>
  <c r="F540" i="15" s="1"/>
  <c r="G540" i="15" s="1"/>
  <c r="AX1434" i="13"/>
  <c r="AV1434" i="13"/>
  <c r="Z1538" i="13"/>
  <c r="A1533" i="13"/>
  <c r="BC50" i="72" a="1"/>
  <c r="BC50" i="72" s="1"/>
  <c r="CI50" i="72"/>
  <c r="U70" i="69" a="1"/>
  <c r="U70" i="69" s="1"/>
  <c r="AE32" i="69" a="1"/>
  <c r="AE32" i="69" s="1"/>
  <c r="BN32" i="69" s="1" a="1"/>
  <c r="BN32" i="69" s="1"/>
  <c r="F179" i="15" a="1"/>
  <c r="F179" i="15" s="1"/>
  <c r="I179" i="15" a="1"/>
  <c r="I179" i="15" s="1"/>
  <c r="H179" i="15" a="1"/>
  <c r="H179" i="15" s="1"/>
  <c r="BV64" i="69"/>
  <c r="CC17" i="72"/>
  <c r="AI17" i="72" s="1"/>
  <c r="BZ17" i="72" a="1"/>
  <c r="BZ17" i="72" s="1"/>
  <c r="CB17" i="72"/>
  <c r="CD17" i="72"/>
  <c r="CE17" i="72" a="1"/>
  <c r="CE17" i="72" s="1"/>
  <c r="BT17" i="72"/>
  <c r="AV17" i="72" a="1"/>
  <c r="AV17" i="72" s="1"/>
  <c r="AM17" i="72"/>
  <c r="AP17" i="72"/>
  <c r="BO17" i="72"/>
  <c r="BN17" i="72"/>
  <c r="BP40" i="69"/>
  <c r="BO40" i="69" s="1"/>
  <c r="BR40" i="69" s="1"/>
  <c r="AD40" i="69"/>
  <c r="BQ49" i="69" a="1"/>
  <c r="BQ49" i="69" s="1"/>
  <c r="BV49" i="69"/>
  <c r="AT49" i="69" a="1"/>
  <c r="AT49" i="69" s="1"/>
  <c r="BH41" i="69"/>
  <c r="E42" i="69"/>
  <c r="A1524" i="13"/>
  <c r="AX1425" i="13"/>
  <c r="AV1425" i="13"/>
  <c r="Z1529" i="13"/>
  <c r="L53" i="69"/>
  <c r="CI84" i="72"/>
  <c r="BC84" i="72" a="1"/>
  <c r="BC84" i="72" s="1"/>
  <c r="BS81" i="69"/>
  <c r="R37" i="72"/>
  <c r="AY37" i="72" a="1"/>
  <c r="AY37" i="72" s="1"/>
  <c r="BV37" i="72" a="1"/>
  <c r="BV37" i="72" s="1"/>
  <c r="AL37" i="72" a="1"/>
  <c r="AL37" i="72" s="1"/>
  <c r="BP37" i="72"/>
  <c r="BF37" i="72" s="1" a="1"/>
  <c r="BF37" i="72" s="1"/>
  <c r="AS37" i="72" a="1"/>
  <c r="AS37" i="72" s="1"/>
  <c r="AW37" i="72"/>
  <c r="AT37" i="72" a="1"/>
  <c r="AT37" i="72" s="1"/>
  <c r="BM37" i="72"/>
  <c r="AU37" i="72" a="1"/>
  <c r="AU37" i="72" s="1"/>
  <c r="BW37" i="72" a="1"/>
  <c r="BW37" i="72" s="1"/>
  <c r="CF40" i="72" a="1"/>
  <c r="CF40" i="72" s="1"/>
  <c r="AH40" i="72" s="1" a="1"/>
  <c r="AH40" i="72" s="1"/>
  <c r="CG40" i="72" a="1"/>
  <c r="CG40" i="72" s="1"/>
  <c r="E40" i="72"/>
  <c r="BD1769" i="13" a="1"/>
  <c r="BD1769" i="13" s="1"/>
  <c r="AK49" i="72" a="1"/>
  <c r="AK49" i="72" s="1"/>
  <c r="BQ30" i="69" a="1"/>
  <c r="BQ30" i="69" s="1"/>
  <c r="E30" i="69"/>
  <c r="O38" i="72"/>
  <c r="BO38" i="72"/>
  <c r="BN38" i="72"/>
  <c r="AX66" i="69" a="1"/>
  <c r="AX66" i="69" s="1"/>
  <c r="H488" i="15" a="1"/>
  <c r="H488" i="15" s="1"/>
  <c r="BS51" i="69"/>
  <c r="R51" i="69"/>
  <c r="BN51" i="69" a="1"/>
  <c r="BN51" i="69" s="1"/>
  <c r="AP51" i="69" a="1"/>
  <c r="AP51" i="69" s="1"/>
  <c r="BM51" i="69" a="1"/>
  <c r="BM51" i="69" s="1"/>
  <c r="BT51" i="69"/>
  <c r="BG51" i="69"/>
  <c r="AW51" i="69" s="1" a="1"/>
  <c r="AW51" i="69" s="1"/>
  <c r="BD51" i="69"/>
  <c r="BY52" i="72"/>
  <c r="BX52" i="72" s="1"/>
  <c r="CA52" i="72" s="1"/>
  <c r="CF52" i="72" a="1"/>
  <c r="CF52" i="72" s="1"/>
  <c r="AH52" i="72" s="1" a="1"/>
  <c r="AH52" i="72" s="1"/>
  <c r="CG52" i="72" a="1"/>
  <c r="CG52" i="72" s="1"/>
  <c r="E52" i="72"/>
  <c r="H249" i="15" a="1"/>
  <c r="H249" i="15" s="1"/>
  <c r="BN53" i="72"/>
  <c r="BO53" i="72"/>
  <c r="BQ84" i="69" a="1"/>
  <c r="BQ84" i="69" s="1"/>
  <c r="BG37" i="69"/>
  <c r="AV37" i="69" s="1" a="1"/>
  <c r="AV37" i="69" s="1"/>
  <c r="R37" i="69"/>
  <c r="BM37" i="69" a="1"/>
  <c r="BM37" i="69" s="1"/>
  <c r="BD37" i="69"/>
  <c r="AP37" i="69" a="1"/>
  <c r="AP37" i="69" s="1"/>
  <c r="BN37" i="69" a="1"/>
  <c r="BN37" i="69" s="1"/>
  <c r="BT37" i="69"/>
  <c r="AD26" i="69"/>
  <c r="AV591" i="13"/>
  <c r="DX89" i="4"/>
  <c r="BI89" i="4"/>
  <c r="BM89" i="4"/>
  <c r="H445" i="15" a="1"/>
  <c r="H445" i="15" s="1"/>
  <c r="AL15" i="72" a="1"/>
  <c r="AL15" i="72" s="1"/>
  <c r="R15" i="72"/>
  <c r="AY15" i="72" a="1"/>
  <c r="AY15" i="72" s="1"/>
  <c r="BW15" i="72" a="1"/>
  <c r="BW15" i="72" s="1"/>
  <c r="BP15" i="72"/>
  <c r="BF15" i="72" s="1" a="1"/>
  <c r="BF15" i="72" s="1"/>
  <c r="BM15" i="72"/>
  <c r="AR15" i="72" s="1" a="1"/>
  <c r="AR15" i="72" s="1"/>
  <c r="AT15" i="72" a="1"/>
  <c r="AT15" i="72" s="1"/>
  <c r="AS15" i="72" a="1"/>
  <c r="AS15" i="72" s="1"/>
  <c r="AW15" i="72"/>
  <c r="BV15" i="72" a="1"/>
  <c r="BV15" i="72" s="1"/>
  <c r="AU15" i="72" a="1"/>
  <c r="AU15" i="72" s="1"/>
  <c r="U78" i="69" a="1"/>
  <c r="U78" i="69" s="1"/>
  <c r="AD38" i="69"/>
  <c r="BQ93" i="69" a="1"/>
  <c r="BQ93" i="69" s="1"/>
  <c r="BN7" i="4"/>
  <c r="BF7" i="4" s="1" a="1"/>
  <c r="BF7" i="4" s="1"/>
  <c r="BN6" i="4"/>
  <c r="BV46" i="69"/>
  <c r="AT46" i="69" a="1"/>
  <c r="AT46" i="69" s="1"/>
  <c r="I554" i="15" a="1"/>
  <c r="I554" i="15" s="1"/>
  <c r="BQ68" i="72"/>
  <c r="CF68" i="72" a="1"/>
  <c r="CF68" i="72" s="1"/>
  <c r="AH68" i="72" s="1" a="1"/>
  <c r="AH68" i="72" s="1"/>
  <c r="CG68" i="72" a="1"/>
  <c r="CG68" i="72" s="1"/>
  <c r="E68" i="72"/>
  <c r="AD22" i="72"/>
  <c r="BG61" i="72" a="1"/>
  <c r="BG61" i="72" s="1"/>
  <c r="BH13" i="69"/>
  <c r="AX1427" i="13"/>
  <c r="AV1427" i="13"/>
  <c r="A1526" i="13"/>
  <c r="Z1531" i="13"/>
  <c r="I404" i="15" a="1"/>
  <c r="I404" i="15" s="1"/>
  <c r="BG12" i="72" a="1"/>
  <c r="BG12" i="72" s="1"/>
  <c r="I461" i="15" a="1"/>
  <c r="I461" i="15" s="1"/>
  <c r="E68" i="69"/>
  <c r="BI22" i="69"/>
  <c r="BF61" i="69"/>
  <c r="BE61" i="69"/>
  <c r="AN61" i="69" s="1" a="1"/>
  <c r="AN61" i="69" s="1"/>
  <c r="BH18" i="69"/>
  <c r="U83" i="69" a="1"/>
  <c r="U83" i="69" s="1"/>
  <c r="BA1768" i="13" a="1"/>
  <c r="BA1768" i="13" s="1"/>
  <c r="BF1768" i="13" s="1"/>
  <c r="BS39" i="69"/>
  <c r="BQ41" i="72"/>
  <c r="CF41" i="72" a="1"/>
  <c r="CF41" i="72" s="1"/>
  <c r="AH41" i="72" s="1" a="1"/>
  <c r="AH41" i="72" s="1"/>
  <c r="CG41" i="72" a="1"/>
  <c r="CG41" i="72" s="1"/>
  <c r="E41" i="72"/>
  <c r="H480" i="15" a="1"/>
  <c r="H480" i="15" s="1"/>
  <c r="AR41" i="4"/>
  <c r="AY541" i="13"/>
  <c r="AS41" i="4"/>
  <c r="BO35" i="69"/>
  <c r="BR35" i="69" s="1"/>
  <c r="BS72" i="69"/>
  <c r="BY76" i="72"/>
  <c r="BX76" i="72" s="1"/>
  <c r="CA76" i="72" s="1"/>
  <c r="AY57" i="69" a="1"/>
  <c r="AY57" i="69" s="1"/>
  <c r="BX71" i="72"/>
  <c r="CA71" i="72" s="1"/>
  <c r="BV77" i="69"/>
  <c r="AT77" i="69" a="1"/>
  <c r="AT77" i="69" s="1"/>
  <c r="A1550" i="13"/>
  <c r="AX1451" i="13"/>
  <c r="Z1555" i="13"/>
  <c r="AV1451" i="13"/>
  <c r="CZ97" i="4"/>
  <c r="AR38" i="4"/>
  <c r="AY538" i="13"/>
  <c r="AS38" i="4"/>
  <c r="G69" i="72"/>
  <c r="BN69" i="72"/>
  <c r="AR69" i="72" s="1" a="1"/>
  <c r="AR69" i="72" s="1"/>
  <c r="BO69" i="72"/>
  <c r="U67" i="72" a="1"/>
  <c r="U67" i="72" s="1"/>
  <c r="AF72" i="72" a="1"/>
  <c r="AF72" i="72" s="1"/>
  <c r="BW72" i="72" s="1" a="1"/>
  <c r="BW72" i="72" s="1"/>
  <c r="BP72" i="72"/>
  <c r="R72" i="72"/>
  <c r="AL72" i="72" a="1"/>
  <c r="AL72" i="72" s="1"/>
  <c r="AU72" i="72" a="1"/>
  <c r="AU72" i="72" s="1"/>
  <c r="AT72" i="72" a="1"/>
  <c r="AT72" i="72" s="1"/>
  <c r="AS72" i="72" a="1"/>
  <c r="AS72" i="72" s="1"/>
  <c r="AW72" i="72"/>
  <c r="BV72" i="72" a="1"/>
  <c r="BV72" i="72" s="1"/>
  <c r="BM72" i="72"/>
  <c r="CD57" i="72"/>
  <c r="AP57" i="72"/>
  <c r="CB57" i="72"/>
  <c r="CE57" i="72" a="1"/>
  <c r="CE57" i="72" s="1"/>
  <c r="AV57" i="72" a="1"/>
  <c r="AV57" i="72" s="1"/>
  <c r="AM57" i="72"/>
  <c r="BZ57" i="72" a="1"/>
  <c r="BZ57" i="72" s="1"/>
  <c r="BT57" i="72"/>
  <c r="BH71" i="69"/>
  <c r="AK77" i="72" a="1"/>
  <c r="AK77" i="72" s="1"/>
  <c r="K33" i="69" a="1"/>
  <c r="K33" i="69" s="1"/>
  <c r="G185" i="15"/>
  <c r="AE73" i="69" a="1"/>
  <c r="AE73" i="69" s="1"/>
  <c r="AT73" i="69" s="1" a="1"/>
  <c r="AT73" i="69" s="1"/>
  <c r="BV73" i="69"/>
  <c r="K34" i="72" a="1"/>
  <c r="K34" i="72" s="1"/>
  <c r="I662" i="15" a="1"/>
  <c r="I662" i="15" s="1"/>
  <c r="L5" i="72"/>
  <c r="BQ65" i="72"/>
  <c r="BN65" i="72"/>
  <c r="AR65" i="72" s="1" a="1"/>
  <c r="AR65" i="72" s="1"/>
  <c r="BO65" i="72"/>
  <c r="BV87" i="69"/>
  <c r="AT87" i="69" a="1"/>
  <c r="AT87" i="69" s="1"/>
  <c r="BG20" i="72" a="1"/>
  <c r="BG20" i="72" s="1"/>
  <c r="AK20" i="72" a="1"/>
  <c r="AK20" i="72" s="1"/>
  <c r="U87" i="72" a="1"/>
  <c r="U87" i="72" s="1"/>
  <c r="BE56" i="4"/>
  <c r="BS56" i="4" s="1"/>
  <c r="AM43" i="72"/>
  <c r="BZ43" i="72" a="1"/>
  <c r="BZ43" i="72" s="1"/>
  <c r="CB43" i="72"/>
  <c r="AP43" i="72"/>
  <c r="CD43" i="72"/>
  <c r="CE43" i="72" a="1"/>
  <c r="CE43" i="72" s="1"/>
  <c r="AV43" i="72" a="1"/>
  <c r="AV43" i="72" s="1"/>
  <c r="CC43" i="72"/>
  <c r="AI43" i="72" s="1"/>
  <c r="BT43" i="72"/>
  <c r="BI36" i="69"/>
  <c r="BE75" i="4"/>
  <c r="BS75" i="4" s="1"/>
  <c r="BP67" i="69"/>
  <c r="BO67" i="69" s="1"/>
  <c r="BR67" i="69" s="1"/>
  <c r="B85" i="69"/>
  <c r="BV85" i="69"/>
  <c r="AT85" i="69" a="1"/>
  <c r="AT85" i="69" s="1"/>
  <c r="AD54" i="72"/>
  <c r="BN54" i="72"/>
  <c r="BO54" i="72"/>
  <c r="H474" i="15" a="1"/>
  <c r="H474" i="15" s="1"/>
  <c r="AE24" i="69" a="1"/>
  <c r="AE24" i="69" s="1"/>
  <c r="BN24" i="69" s="1" a="1"/>
  <c r="BN24" i="69" s="1"/>
  <c r="L24" i="69"/>
  <c r="BG24" i="69"/>
  <c r="BD24" i="69"/>
  <c r="R24" i="69"/>
  <c r="BT24" i="69"/>
  <c r="BM24" i="69" a="1"/>
  <c r="BM24" i="69" s="1"/>
  <c r="E24" i="69"/>
  <c r="F355" i="15" a="1"/>
  <c r="F355" i="15" s="1"/>
  <c r="H355" i="15" a="1"/>
  <c r="H355" i="15" s="1"/>
  <c r="I355" i="15" a="1"/>
  <c r="I355" i="15" s="1"/>
  <c r="BR33" i="72"/>
  <c r="CI33" i="72"/>
  <c r="BC33" i="72" a="1"/>
  <c r="BC33" i="72" s="1"/>
  <c r="K73" i="72" a="1"/>
  <c r="K73" i="72" s="1"/>
  <c r="AK73" i="72" a="1"/>
  <c r="AK73" i="72" s="1"/>
  <c r="H34" i="69"/>
  <c r="BX16" i="72"/>
  <c r="CA16" i="72" s="1"/>
  <c r="AT16" i="72" a="1"/>
  <c r="AT16" i="72" s="1"/>
  <c r="BP16" i="72"/>
  <c r="BE16" i="72" s="1" a="1"/>
  <c r="BE16" i="72" s="1"/>
  <c r="R16" i="72"/>
  <c r="AS16" i="72" a="1"/>
  <c r="AS16" i="72" s="1"/>
  <c r="AW16" i="72"/>
  <c r="AL16" i="72" a="1"/>
  <c r="AL16" i="72" s="1"/>
  <c r="BM16" i="72"/>
  <c r="AR16" i="72" s="1" a="1"/>
  <c r="AR16" i="72" s="1"/>
  <c r="BV16" i="72" a="1"/>
  <c r="BV16" i="72" s="1"/>
  <c r="AU16" i="72" a="1"/>
  <c r="AU16" i="72" s="1"/>
  <c r="BW16" i="72" a="1"/>
  <c r="BW16" i="72" s="1"/>
  <c r="AY16" i="72" a="1"/>
  <c r="AY16" i="72" s="1"/>
  <c r="L65" i="69"/>
  <c r="DK3" i="4" a="1"/>
  <c r="BH57" i="4"/>
  <c r="AV1155" i="13" s="1"/>
  <c r="X57" i="4"/>
  <c r="L57" i="4"/>
  <c r="BH74" i="4"/>
  <c r="AV1172" i="13" s="1"/>
  <c r="BS74" i="4"/>
  <c r="BT74" i="72" s="1"/>
  <c r="L74" i="4"/>
  <c r="BH59" i="4"/>
  <c r="AV1157" i="13" s="1"/>
  <c r="X59" i="4"/>
  <c r="BS59" i="4"/>
  <c r="L59" i="4"/>
  <c r="BH95" i="4"/>
  <c r="AV1193" i="13" s="1"/>
  <c r="BS95" i="4"/>
  <c r="O95" i="72" s="1"/>
  <c r="L95" i="4"/>
  <c r="BG83" i="4"/>
  <c r="BG87" i="4"/>
  <c r="BG86" i="4"/>
  <c r="BG65" i="4"/>
  <c r="AX77" i="69" l="1" a="1"/>
  <c r="AX77" i="69" s="1"/>
  <c r="AK77" i="69" a="1"/>
  <c r="AK77" i="69" s="1"/>
  <c r="BW41" i="72" a="1"/>
  <c r="BW41" i="72" s="1"/>
  <c r="AQ77" i="69" a="1"/>
  <c r="AQ77" i="69" s="1"/>
  <c r="CC25" i="72"/>
  <c r="AI25" i="72" s="1"/>
  <c r="AY41" i="72" a="1"/>
  <c r="AY41" i="72" s="1"/>
  <c r="AI7" i="69" a="1"/>
  <c r="AI7" i="69" s="1"/>
  <c r="AX73" i="72" a="1"/>
  <c r="AX73" i="72" s="1"/>
  <c r="AJ73" i="72" a="1"/>
  <c r="AJ73" i="72" s="1"/>
  <c r="AR81" i="72" a="1"/>
  <c r="AR81" i="72" s="1"/>
  <c r="BF13" i="72" a="1"/>
  <c r="BF13" i="72" s="1"/>
  <c r="AJ29" i="72" a="1"/>
  <c r="AJ29" i="72" s="1"/>
  <c r="BE41" i="72" a="1"/>
  <c r="BE41" i="72" s="1"/>
  <c r="AX89" i="72" a="1"/>
  <c r="AX89" i="72" s="1"/>
  <c r="BD84" i="72" a="1"/>
  <c r="BD84" i="72" s="1"/>
  <c r="AZ77" i="69" a="1"/>
  <c r="AZ77" i="69" s="1"/>
  <c r="BW13" i="72" a="1"/>
  <c r="BW13" i="72" s="1"/>
  <c r="AF77" i="69" a="1"/>
  <c r="AF77" i="69" s="1"/>
  <c r="AQ18" i="69" a="1"/>
  <c r="AQ18" i="69" s="1"/>
  <c r="AI82" i="69" a="1"/>
  <c r="AI82" i="69" s="1"/>
  <c r="BI13" i="72" a="1"/>
  <c r="BI13" i="72" s="1"/>
  <c r="AI33" i="69" a="1"/>
  <c r="AI33" i="69" s="1"/>
  <c r="AZ52" i="72" a="1"/>
  <c r="AZ52" i="72" s="1"/>
  <c r="AH33" i="69" a="1"/>
  <c r="AH33" i="69" s="1"/>
  <c r="BA20" i="69" a="1"/>
  <c r="BA20" i="69" s="1"/>
  <c r="AH89" i="69" a="1"/>
  <c r="AH89" i="69" s="1"/>
  <c r="AZ88" i="72" a="1"/>
  <c r="AZ88" i="72" s="1"/>
  <c r="AO63" i="69" a="1"/>
  <c r="AO63" i="69" s="1"/>
  <c r="AQ33" i="69" a="1"/>
  <c r="AQ33" i="69" s="1"/>
  <c r="BC88" i="72" a="1"/>
  <c r="BC88" i="72" s="1"/>
  <c r="AX67" i="72" a="1"/>
  <c r="AX67" i="72" s="1"/>
  <c r="AX27" i="69" a="1"/>
  <c r="AX27" i="69" s="1"/>
  <c r="AH27" i="69" a="1"/>
  <c r="AH27" i="69" s="1"/>
  <c r="AI39" i="69" a="1"/>
  <c r="AI39" i="69" s="1"/>
  <c r="BJ90" i="72" a="1"/>
  <c r="BJ90" i="72" s="1"/>
  <c r="BG31" i="72" a="1"/>
  <c r="BG31" i="72" s="1"/>
  <c r="BD90" i="72" a="1"/>
  <c r="BD90" i="72" s="1"/>
  <c r="AY48" i="72" a="1"/>
  <c r="AY48" i="72" s="1"/>
  <c r="AZ11" i="72" a="1"/>
  <c r="AZ11" i="72" s="1"/>
  <c r="AZ33" i="69" a="1"/>
  <c r="AZ33" i="69" s="1"/>
  <c r="AX20" i="69" a="1"/>
  <c r="AX20" i="69" s="1"/>
  <c r="BE48" i="72" a="1"/>
  <c r="BE48" i="72" s="1"/>
  <c r="BN49" i="69" a="1"/>
  <c r="BN49" i="69" s="1"/>
  <c r="AQ49" i="69" a="1"/>
  <c r="AQ49" i="69" s="1"/>
  <c r="AZ63" i="69" a="1"/>
  <c r="AZ63" i="69" s="1"/>
  <c r="AK39" i="69" a="1"/>
  <c r="AK39" i="69" s="1"/>
  <c r="BD67" i="72" a="1"/>
  <c r="BD67" i="72" s="1"/>
  <c r="AU20" i="69" a="1"/>
  <c r="AU20" i="69" s="1"/>
  <c r="BD41" i="72" a="1"/>
  <c r="BD41" i="72" s="1"/>
  <c r="AY90" i="72" a="1"/>
  <c r="AY90" i="72" s="1"/>
  <c r="AU39" i="69" a="1"/>
  <c r="AU39" i="69" s="1"/>
  <c r="AF39" i="69" a="1"/>
  <c r="AF39" i="69" s="1"/>
  <c r="AZ39" i="69" a="1"/>
  <c r="AZ39" i="69" s="1"/>
  <c r="AH39" i="69" a="1"/>
  <c r="AH39" i="69" s="1"/>
  <c r="BT50" i="72"/>
  <c r="BT35" i="72"/>
  <c r="O72" i="69"/>
  <c r="AJ41" i="72" a="1"/>
  <c r="AJ41" i="72" s="1"/>
  <c r="AU45" i="69" a="1"/>
  <c r="AU45" i="69" s="1"/>
  <c r="AZ21" i="72" a="1"/>
  <c r="AZ21" i="72" s="1"/>
  <c r="BG29" i="72" a="1"/>
  <c r="BG29" i="72" s="1"/>
  <c r="BG90" i="72" a="1"/>
  <c r="BG90" i="72" s="1"/>
  <c r="BJ89" i="72" a="1"/>
  <c r="BJ89" i="72" s="1"/>
  <c r="BI67" i="72" a="1"/>
  <c r="BI67" i="72" s="1"/>
  <c r="AI89" i="69" a="1"/>
  <c r="AI89" i="69" s="1"/>
  <c r="BD13" i="72" a="1"/>
  <c r="BD13" i="72" s="1"/>
  <c r="AF31" i="69" a="1"/>
  <c r="AF31" i="69" s="1"/>
  <c r="AZ49" i="69" a="1"/>
  <c r="AZ49" i="69" s="1"/>
  <c r="AJ13" i="72" a="1"/>
  <c r="AJ13" i="72" s="1"/>
  <c r="AH31" i="69" a="1"/>
  <c r="AH31" i="69" s="1"/>
  <c r="BD35" i="72" a="1"/>
  <c r="BD35" i="72" s="1"/>
  <c r="K69" i="69" a="1"/>
  <c r="K69" i="69" s="1"/>
  <c r="AK18" i="69" a="1"/>
  <c r="AK18" i="69" s="1"/>
  <c r="AO45" i="69" a="1"/>
  <c r="AO45" i="69" s="1"/>
  <c r="AV43" i="69" a="1"/>
  <c r="AV43" i="69" s="1"/>
  <c r="AX90" i="72" a="1"/>
  <c r="AX90" i="72" s="1"/>
  <c r="AZ20" i="69" a="1"/>
  <c r="AZ20" i="69" s="1"/>
  <c r="AF59" i="69" a="1"/>
  <c r="AF59" i="69" s="1"/>
  <c r="BG93" i="72" a="1"/>
  <c r="BG93" i="72" s="1"/>
  <c r="AZ89" i="69" a="1"/>
  <c r="AZ89" i="69" s="1"/>
  <c r="W98" i="72"/>
  <c r="AZ57" i="72" a="1"/>
  <c r="AZ57" i="72" s="1"/>
  <c r="AZ89" i="72" a="1"/>
  <c r="AZ89" i="72" s="1"/>
  <c r="AR59" i="72" a="1"/>
  <c r="AR59" i="72" s="1"/>
  <c r="AO40" i="69" a="1"/>
  <c r="AO40" i="69" s="1"/>
  <c r="AY17" i="72" a="1"/>
  <c r="AY17" i="72" s="1"/>
  <c r="BK72" i="69"/>
  <c r="AX33" i="72" a="1"/>
  <c r="AX33" i="72" s="1"/>
  <c r="AI27" i="69" a="1"/>
  <c r="AI27" i="69" s="1"/>
  <c r="BI11" i="72" a="1"/>
  <c r="BI11" i="72" s="1"/>
  <c r="BD44" i="72" a="1"/>
  <c r="BD44" i="72" s="1"/>
  <c r="AQ20" i="69" a="1"/>
  <c r="AQ20" i="69" s="1"/>
  <c r="AH35" i="72" a="1"/>
  <c r="AH35" i="72" s="1"/>
  <c r="BA67" i="69" a="1"/>
  <c r="BA67" i="69" s="1"/>
  <c r="AF20" i="69" a="1"/>
  <c r="AF20" i="69" s="1"/>
  <c r="AI67" i="69" a="1"/>
  <c r="AI67" i="69" s="1"/>
  <c r="BG11" i="72" a="1"/>
  <c r="BG11" i="72" s="1"/>
  <c r="BA82" i="69" a="1"/>
  <c r="BA82" i="69" s="1"/>
  <c r="AZ31" i="69" a="1"/>
  <c r="AZ31" i="69" s="1"/>
  <c r="AZ82" i="69" a="1"/>
  <c r="AZ82" i="69" s="1"/>
  <c r="BA31" i="69" a="1"/>
  <c r="BA31" i="69" s="1"/>
  <c r="AQ82" i="69" a="1"/>
  <c r="AQ82" i="69" s="1"/>
  <c r="BG44" i="72" a="1"/>
  <c r="BG44" i="72" s="1"/>
  <c r="BA77" i="69" a="1"/>
  <c r="BA77" i="69" s="1"/>
  <c r="BN20" i="69" a="1"/>
  <c r="BN20" i="69" s="1"/>
  <c r="AX41" i="72" a="1"/>
  <c r="AX41" i="72" s="1"/>
  <c r="BA89" i="69" a="1"/>
  <c r="BA89" i="69" s="1"/>
  <c r="BJ88" i="72" a="1"/>
  <c r="BJ88" i="72" s="1"/>
  <c r="AI59" i="69" a="1"/>
  <c r="AI59" i="69" s="1"/>
  <c r="AD39" i="72"/>
  <c r="AQ75" i="69" a="1"/>
  <c r="AQ75" i="69" s="1"/>
  <c r="BI52" i="72" a="1"/>
  <c r="BI52" i="72" s="1"/>
  <c r="AK59" i="69" a="1"/>
  <c r="AK59" i="69" s="1"/>
  <c r="AX67" i="69" a="1"/>
  <c r="AX67" i="69" s="1"/>
  <c r="BD52" i="72" a="1"/>
  <c r="BD52" i="72" s="1"/>
  <c r="BD40" i="72" a="1"/>
  <c r="BD40" i="72" s="1"/>
  <c r="AI31" i="69" a="1"/>
  <c r="AI31" i="69" s="1"/>
  <c r="AU82" i="69" a="1"/>
  <c r="AU82" i="69" s="1"/>
  <c r="AF27" i="69" a="1"/>
  <c r="AF27" i="69" s="1"/>
  <c r="BI90" i="72" a="1"/>
  <c r="BI90" i="72" s="1"/>
  <c r="AW40" i="69" a="1"/>
  <c r="AW40" i="69" s="1"/>
  <c r="AF67" i="69" a="1"/>
  <c r="AF67" i="69" s="1"/>
  <c r="AR38" i="72" a="1"/>
  <c r="AR38" i="72" s="1"/>
  <c r="BG65" i="72" a="1"/>
  <c r="BG65" i="72" s="1"/>
  <c r="AX11" i="72" a="1"/>
  <c r="AX11" i="72" s="1"/>
  <c r="BD88" i="72" a="1"/>
  <c r="BD88" i="72" s="1"/>
  <c r="AZ65" i="72" a="1"/>
  <c r="AZ65" i="72" s="1"/>
  <c r="BJ11" i="72" a="1"/>
  <c r="BJ11" i="72" s="1"/>
  <c r="AH65" i="72" a="1"/>
  <c r="AH65" i="72" s="1"/>
  <c r="H60" i="69"/>
  <c r="BJ33" i="72" a="1"/>
  <c r="BJ33" i="72" s="1"/>
  <c r="AI45" i="69" a="1"/>
  <c r="AI45" i="69" s="1"/>
  <c r="AH12" i="69" a="1"/>
  <c r="AH12" i="69" s="1"/>
  <c r="F55" i="72"/>
  <c r="AJ46" i="72" a="1"/>
  <c r="AJ46" i="72" s="1"/>
  <c r="BI91" i="72" a="1"/>
  <c r="BI91" i="72" s="1"/>
  <c r="AX49" i="69" a="1"/>
  <c r="AX49" i="69" s="1"/>
  <c r="AH18" i="69" a="1"/>
  <c r="AH18" i="69" s="1"/>
  <c r="AU49" i="69" a="1"/>
  <c r="AU49" i="69" s="1"/>
  <c r="AI18" i="69" a="1"/>
  <c r="AI18" i="69" s="1"/>
  <c r="AJ50" i="72" a="1"/>
  <c r="AJ50" i="72" s="1"/>
  <c r="BG57" i="72" a="1"/>
  <c r="BG57" i="72" s="1"/>
  <c r="AX75" i="69" a="1"/>
  <c r="AX75" i="69" s="1"/>
  <c r="AX35" i="72" a="1"/>
  <c r="AX35" i="72" s="1"/>
  <c r="G281" i="15"/>
  <c r="BJ78" i="72" a="1"/>
  <c r="BJ78" i="72" s="1"/>
  <c r="BG41" i="72" a="1"/>
  <c r="BG41" i="72" s="1"/>
  <c r="G71" i="15"/>
  <c r="G482" i="15"/>
  <c r="I38" i="15"/>
  <c r="G358" i="15"/>
  <c r="G154" i="15"/>
  <c r="G441" i="15"/>
  <c r="BA88" i="69" a="1"/>
  <c r="BA88" i="69" s="1"/>
  <c r="AZ91" i="72" a="1"/>
  <c r="AZ91" i="72" s="1"/>
  <c r="AZ13" i="72" a="1"/>
  <c r="AZ13" i="72" s="1"/>
  <c r="AO77" i="69" a="1"/>
  <c r="AO77" i="69" s="1"/>
  <c r="BK104" i="4"/>
  <c r="G355" i="15"/>
  <c r="G310" i="15"/>
  <c r="AQ88" i="69" a="1"/>
  <c r="AQ88" i="69" s="1"/>
  <c r="AY91" i="72" a="1"/>
  <c r="AY91" i="72" s="1"/>
  <c r="AX13" i="72" a="1"/>
  <c r="AX13" i="72" s="1"/>
  <c r="AI77" i="69" a="1"/>
  <c r="AI77" i="69" s="1"/>
  <c r="AO12" i="69" a="1"/>
  <c r="AO12" i="69" s="1"/>
  <c r="AP90" i="69" a="1"/>
  <c r="AP90" i="69" s="1"/>
  <c r="AI75" i="69" a="1"/>
  <c r="AI75" i="69" s="1"/>
  <c r="BG35" i="72" a="1"/>
  <c r="BG35" i="72" s="1"/>
  <c r="BC11" i="72" a="1"/>
  <c r="BC11" i="72" s="1"/>
  <c r="BD32" i="72" a="1"/>
  <c r="BD32" i="72" s="1"/>
  <c r="AQ67" i="69" a="1"/>
  <c r="AQ67" i="69" s="1"/>
  <c r="BD46" i="72" a="1"/>
  <c r="BD46" i="72" s="1"/>
  <c r="AU67" i="69" a="1"/>
  <c r="AU67" i="69" s="1"/>
  <c r="AJ11" i="72" a="1"/>
  <c r="AJ11" i="72" s="1"/>
  <c r="AI20" i="69" a="1"/>
  <c r="AI20" i="69" s="1"/>
  <c r="AH67" i="69" a="1"/>
  <c r="AH67" i="69" s="1"/>
  <c r="BG33" i="72" a="1"/>
  <c r="BG33" i="72" s="1"/>
  <c r="AZ44" i="72" a="1"/>
  <c r="AZ44" i="72" s="1"/>
  <c r="AK31" i="69" a="1"/>
  <c r="AK31" i="69" s="1"/>
  <c r="AH82" i="69" a="1"/>
  <c r="AH82" i="69" s="1"/>
  <c r="BG67" i="72" a="1"/>
  <c r="BG67" i="72" s="1"/>
  <c r="AH20" i="69" a="1"/>
  <c r="AH20" i="69" s="1"/>
  <c r="AJ67" i="72" a="1"/>
  <c r="AJ67" i="72" s="1"/>
  <c r="BI88" i="72" a="1"/>
  <c r="BI88" i="72" s="1"/>
  <c r="BA59" i="69" a="1"/>
  <c r="BA59" i="69" s="1"/>
  <c r="AJ65" i="72" a="1"/>
  <c r="AJ65" i="72" s="1"/>
  <c r="AJ93" i="72" a="1"/>
  <c r="AJ93" i="72" s="1"/>
  <c r="BJ21" i="72" a="1"/>
  <c r="BJ21" i="72" s="1"/>
  <c r="AI12" i="69" a="1"/>
  <c r="AI12" i="69" s="1"/>
  <c r="BJ29" i="72" a="1"/>
  <c r="BJ29" i="72" s="1"/>
  <c r="AX93" i="72" a="1"/>
  <c r="AX93" i="72" s="1"/>
  <c r="AJ21" i="72" a="1"/>
  <c r="AJ21" i="72" s="1"/>
  <c r="BA12" i="69" a="1"/>
  <c r="BA12" i="69" s="1"/>
  <c r="BD29" i="72" a="1"/>
  <c r="BD29" i="72" s="1"/>
  <c r="AF12" i="69" a="1"/>
  <c r="AF12" i="69" s="1"/>
  <c r="AR40" i="72" a="1"/>
  <c r="AR40" i="72" s="1"/>
  <c r="BI35" i="72" a="1"/>
  <c r="BI35" i="72" s="1"/>
  <c r="AY21" i="72" a="1"/>
  <c r="AY21" i="72" s="1"/>
  <c r="AU36" i="69" a="1"/>
  <c r="AU36" i="69" s="1"/>
  <c r="AF89" i="69" a="1"/>
  <c r="AF89" i="69" s="1"/>
  <c r="AW64" i="69" a="1"/>
  <c r="AW64" i="69" s="1"/>
  <c r="BA72" i="69" a="1"/>
  <c r="BA72" i="69" s="1"/>
  <c r="BI93" i="72" a="1"/>
  <c r="BI93" i="72" s="1"/>
  <c r="BG21" i="72" a="1"/>
  <c r="BG21" i="72" s="1"/>
  <c r="AZ29" i="72" a="1"/>
  <c r="AZ29" i="72" s="1"/>
  <c r="AR27" i="72" a="1"/>
  <c r="AR27" i="72" s="1"/>
  <c r="AK36" i="69" a="1"/>
  <c r="AK36" i="69" s="1"/>
  <c r="BG32" i="72" a="1"/>
  <c r="BG32" i="72" s="1"/>
  <c r="BI78" i="72" a="1"/>
  <c r="BI78" i="72" s="1"/>
  <c r="AK67" i="69" a="1"/>
  <c r="AK67" i="69" s="1"/>
  <c r="BG91" i="72" a="1"/>
  <c r="BG91" i="72" s="1"/>
  <c r="AX52" i="72" a="1"/>
  <c r="AX52" i="72" s="1"/>
  <c r="AQ12" i="69" a="1"/>
  <c r="AQ12" i="69" s="1"/>
  <c r="AH81" i="69" a="1"/>
  <c r="AH81" i="69" s="1"/>
  <c r="AU59" i="69" a="1"/>
  <c r="AU59" i="69" s="1"/>
  <c r="AF36" i="69" a="1"/>
  <c r="AF36" i="69" s="1"/>
  <c r="AX44" i="72" a="1"/>
  <c r="AX44" i="72" s="1"/>
  <c r="AF49" i="69" a="1"/>
  <c r="AF49" i="69" s="1"/>
  <c r="BI57" i="72" a="1"/>
  <c r="BI57" i="72" s="1"/>
  <c r="AK89" i="69" a="1"/>
  <c r="AK89" i="69" s="1"/>
  <c r="BJ67" i="72" a="1"/>
  <c r="BJ67" i="72" s="1"/>
  <c r="AJ88" i="72" a="1"/>
  <c r="AJ88" i="72" s="1"/>
  <c r="AK72" i="69" a="1"/>
  <c r="AK72" i="69" s="1"/>
  <c r="AQ36" i="69" a="1"/>
  <c r="AQ36" i="69" s="1"/>
  <c r="AJ44" i="72" a="1"/>
  <c r="AJ44" i="72" s="1"/>
  <c r="AJ57" i="72" a="1"/>
  <c r="AJ57" i="72" s="1"/>
  <c r="AQ89" i="69" a="1"/>
  <c r="AQ89" i="69" s="1"/>
  <c r="BD78" i="72" a="1"/>
  <c r="BD78" i="72" s="1"/>
  <c r="BJ65" i="72" a="1"/>
  <c r="BJ65" i="72" s="1"/>
  <c r="BJ35" i="72" a="1"/>
  <c r="BJ35" i="72" s="1"/>
  <c r="AK49" i="69" a="1"/>
  <c r="AK49" i="69" s="1"/>
  <c r="AX36" i="69" a="1"/>
  <c r="AX36" i="69" s="1"/>
  <c r="BJ91" i="72" a="1"/>
  <c r="BJ91" i="72" s="1"/>
  <c r="BA49" i="69" a="1"/>
  <c r="BA49" i="69" s="1"/>
  <c r="AJ91" i="72" a="1"/>
  <c r="AJ91" i="72" s="1"/>
  <c r="BG52" i="72" a="1"/>
  <c r="BG52" i="72" s="1"/>
  <c r="BT107" i="4"/>
  <c r="BA75" i="69" a="1"/>
  <c r="BA75" i="69" s="1"/>
  <c r="AO67" i="69" a="1"/>
  <c r="AO67" i="69" s="1"/>
  <c r="BI65" i="72" a="1"/>
  <c r="BI65" i="72" s="1"/>
  <c r="AZ35" i="72" a="1"/>
  <c r="AZ35" i="72" s="1"/>
  <c r="AZ33" i="72" a="1"/>
  <c r="AZ33" i="72" s="1"/>
  <c r="BJ52" i="72" a="1"/>
  <c r="BJ52" i="72" s="1"/>
  <c r="AX45" i="69" a="1"/>
  <c r="AX45" i="69" s="1"/>
  <c r="AX88" i="72" a="1"/>
  <c r="AX88" i="72" s="1"/>
  <c r="AR54" i="72" a="1"/>
  <c r="AR54" i="72" s="1"/>
  <c r="K60" i="69" a="1"/>
  <c r="K60" i="69" s="1"/>
  <c r="BI46" i="72" a="1"/>
  <c r="BI46" i="72" s="1"/>
  <c r="AF75" i="69" a="1"/>
  <c r="AF75" i="69" s="1"/>
  <c r="BA36" i="69" a="1"/>
  <c r="BA36" i="69" s="1"/>
  <c r="AZ41" i="72" a="1"/>
  <c r="AZ41" i="72" s="1"/>
  <c r="BG13" i="72" a="1"/>
  <c r="BG13" i="72" s="1"/>
  <c r="AZ40" i="72" a="1"/>
  <c r="AZ40" i="72" s="1"/>
  <c r="AZ45" i="69" a="1"/>
  <c r="AZ45" i="69" s="1"/>
  <c r="AZ12" i="69" a="1"/>
  <c r="AZ12" i="69" s="1"/>
  <c r="BI32" i="72" a="1"/>
  <c r="BI32" i="72" s="1"/>
  <c r="AQ59" i="69" a="1"/>
  <c r="AQ59" i="69" s="1"/>
  <c r="AK88" i="69" a="1"/>
  <c r="AK88" i="69" s="1"/>
  <c r="AJ40" i="72" a="1"/>
  <c r="AJ40" i="72" s="1"/>
  <c r="AZ32" i="72" a="1"/>
  <c r="AZ32" i="72" s="1"/>
  <c r="AH88" i="69" a="1"/>
  <c r="AH88" i="69" s="1"/>
  <c r="AX40" i="72" a="1"/>
  <c r="AX40" i="72" s="1"/>
  <c r="BA45" i="69" a="1"/>
  <c r="BA45" i="69" s="1"/>
  <c r="AX32" i="72" a="1"/>
  <c r="AX32" i="72" s="1"/>
  <c r="AZ88" i="69" a="1"/>
  <c r="AZ88" i="69" s="1"/>
  <c r="BJ40" i="72" a="1"/>
  <c r="BJ40" i="72" s="1"/>
  <c r="AH45" i="69" a="1"/>
  <c r="AH45" i="69" s="1"/>
  <c r="BA27" i="69" a="1"/>
  <c r="BA27" i="69" s="1"/>
  <c r="AX39" i="69" a="1"/>
  <c r="AX39" i="69" s="1"/>
  <c r="AZ90" i="72" a="1"/>
  <c r="AZ90" i="72" s="1"/>
  <c r="AH88" i="72" a="1"/>
  <c r="AH88" i="72" s="1"/>
  <c r="AG14" i="69" a="1"/>
  <c r="AG14" i="69" s="1"/>
  <c r="AX59" i="69" a="1"/>
  <c r="AX59" i="69" s="1"/>
  <c r="BI33" i="72" a="1"/>
  <c r="BI33" i="72" s="1"/>
  <c r="AK45" i="69" a="1"/>
  <c r="AK45" i="69" s="1"/>
  <c r="AQ39" i="69" a="1"/>
  <c r="AQ39" i="69" s="1"/>
  <c r="BD33" i="72" a="1"/>
  <c r="BD33" i="72" s="1"/>
  <c r="AF45" i="69" a="1"/>
  <c r="AF45" i="69" s="1"/>
  <c r="AZ59" i="69" a="1"/>
  <c r="AZ59" i="69" s="1"/>
  <c r="AX88" i="69" a="1"/>
  <c r="AX88" i="69" s="1"/>
  <c r="AZ36" i="69" a="1"/>
  <c r="AZ36" i="69" s="1"/>
  <c r="AK12" i="69" a="1"/>
  <c r="AK12" i="69" s="1"/>
  <c r="AO39" i="69" a="1"/>
  <c r="AO39" i="69" s="1"/>
  <c r="AO72" i="69" a="1"/>
  <c r="AO72" i="69" s="1"/>
  <c r="AU88" i="69" a="1"/>
  <c r="AU88" i="69" s="1"/>
  <c r="BJ41" i="72" a="1"/>
  <c r="BJ41" i="72" s="1"/>
  <c r="BD57" i="72" a="1"/>
  <c r="BD57" i="72" s="1"/>
  <c r="AU27" i="69" a="1"/>
  <c r="AU27" i="69" s="1"/>
  <c r="BJ32" i="72" a="1"/>
  <c r="BJ32" i="72" s="1"/>
  <c r="AI72" i="69" a="1"/>
  <c r="AI72" i="69" s="1"/>
  <c r="BG50" i="72" a="1"/>
  <c r="BG50" i="72" s="1"/>
  <c r="BD65" i="72" a="1"/>
  <c r="BD65" i="72" s="1"/>
  <c r="BJ13" i="72" a="1"/>
  <c r="BJ13" i="72" s="1"/>
  <c r="AU12" i="69" a="1"/>
  <c r="AU12" i="69" s="1"/>
  <c r="AU89" i="69" a="1"/>
  <c r="AU89" i="69" s="1"/>
  <c r="AQ72" i="69" a="1"/>
  <c r="AQ72" i="69" s="1"/>
  <c r="BD50" i="72" a="1"/>
  <c r="BD50" i="72" s="1"/>
  <c r="BJ57" i="72" a="1"/>
  <c r="BJ57" i="72" s="1"/>
  <c r="AU72" i="69" a="1"/>
  <c r="AU72" i="69" s="1"/>
  <c r="AF88" i="69" a="1"/>
  <c r="AF88" i="69" s="1"/>
  <c r="AX81" i="69" a="1"/>
  <c r="AX81" i="69" s="1"/>
  <c r="AZ81" i="69" a="1"/>
  <c r="AZ81" i="69" s="1"/>
  <c r="AK27" i="69" a="1"/>
  <c r="AK27" i="69" s="1"/>
  <c r="AW86" i="69" a="1"/>
  <c r="AW86" i="69" s="1"/>
  <c r="AK81" i="69" a="1"/>
  <c r="AK81" i="69" s="1"/>
  <c r="AI81" i="69" a="1"/>
  <c r="AI81" i="69" s="1"/>
  <c r="BA81" i="69" a="1"/>
  <c r="BA81" i="69" s="1"/>
  <c r="AZ93" i="72" a="1"/>
  <c r="AZ93" i="72" s="1"/>
  <c r="AV48" i="69" a="1"/>
  <c r="AV48" i="69" s="1"/>
  <c r="AK75" i="69" a="1"/>
  <c r="AK75" i="69" s="1"/>
  <c r="BD93" i="72" a="1"/>
  <c r="BD93" i="72" s="1"/>
  <c r="AX21" i="72" a="1"/>
  <c r="AX21" i="72" s="1"/>
  <c r="AU31" i="69" a="1"/>
  <c r="AU31" i="69" s="1"/>
  <c r="BN40" i="69" a="1"/>
  <c r="BN40" i="69" s="1"/>
  <c r="AX31" i="69" a="1"/>
  <c r="AX31" i="69" s="1"/>
  <c r="AK82" i="69" a="1"/>
  <c r="AK82" i="69" s="1"/>
  <c r="AZ75" i="69" a="1"/>
  <c r="AZ75" i="69" s="1"/>
  <c r="BI44" i="72" a="1"/>
  <c r="BI44" i="72" s="1"/>
  <c r="AX82" i="69" a="1"/>
  <c r="AX82" i="69" s="1"/>
  <c r="AW80" i="69" a="1"/>
  <c r="AW80" i="69" s="1"/>
  <c r="AR20" i="72" a="1"/>
  <c r="AR20" i="72" s="1"/>
  <c r="AN90" i="69" a="1"/>
  <c r="AN90" i="69" s="1"/>
  <c r="AH72" i="69" a="1"/>
  <c r="AH72" i="69" s="1"/>
  <c r="AR53" i="72" a="1"/>
  <c r="AR53" i="72" s="1"/>
  <c r="AW66" i="69" a="1"/>
  <c r="AW66" i="69" s="1"/>
  <c r="BJ50" i="72" a="1"/>
  <c r="BJ50" i="72" s="1"/>
  <c r="BN80" i="69" a="1"/>
  <c r="BN80" i="69" s="1"/>
  <c r="BS23" i="69"/>
  <c r="BG78" i="72" a="1"/>
  <c r="BG78" i="72" s="1"/>
  <c r="BG46" i="72" a="1"/>
  <c r="BG46" i="72" s="1"/>
  <c r="AZ18" i="69" a="1"/>
  <c r="AZ18" i="69" s="1"/>
  <c r="AX78" i="72" a="1"/>
  <c r="AX78" i="72" s="1"/>
  <c r="BJ46" i="72" a="1"/>
  <c r="BJ46" i="72" s="1"/>
  <c r="AZ78" i="72" a="1"/>
  <c r="AZ78" i="72" s="1"/>
  <c r="AZ46" i="72" a="1"/>
  <c r="AZ46" i="72" s="1"/>
  <c r="AX91" i="72" a="1"/>
  <c r="AX91" i="72" s="1"/>
  <c r="AI49" i="69" a="1"/>
  <c r="AI49" i="69" s="1"/>
  <c r="AZ27" i="69" a="1"/>
  <c r="AZ27" i="69" s="1"/>
  <c r="BP60" i="69"/>
  <c r="BO60" i="69" s="1"/>
  <c r="BR60" i="69" s="1"/>
  <c r="AZ72" i="69" a="1"/>
  <c r="AZ72" i="69" s="1"/>
  <c r="BI50" i="72" a="1"/>
  <c r="BI50" i="72" s="1"/>
  <c r="AH75" i="69" a="1"/>
  <c r="AH75" i="69" s="1"/>
  <c r="AO36" i="69" a="1"/>
  <c r="AO36" i="69" s="1"/>
  <c r="AR88" i="72" a="1"/>
  <c r="AR88" i="72" s="1"/>
  <c r="BR60" i="72"/>
  <c r="BH23" i="72" a="1"/>
  <c r="BH23" i="72" s="1"/>
  <c r="BT103" i="4"/>
  <c r="Z1725" i="13" s="1"/>
  <c r="E23" i="69"/>
  <c r="AF81" i="69" a="1"/>
  <c r="AF81" i="69" s="1"/>
  <c r="BW50" i="72" a="1"/>
  <c r="BW50" i="72" s="1"/>
  <c r="AH36" i="69" a="1"/>
  <c r="AH36" i="69" s="1"/>
  <c r="AP80" i="69" a="1"/>
  <c r="AP80" i="69" s="1"/>
  <c r="AY66" i="72" a="1"/>
  <c r="AY66" i="72" s="1"/>
  <c r="AO81" i="69" a="1"/>
  <c r="AO81" i="69" s="1"/>
  <c r="AX72" i="69" a="1"/>
  <c r="AX72" i="69" s="1"/>
  <c r="AQ81" i="69" a="1"/>
  <c r="AQ81" i="69" s="1"/>
  <c r="BN6" i="69" a="1"/>
  <c r="BN6" i="69" s="1"/>
  <c r="AH66" i="72" a="1"/>
  <c r="AH66" i="72" s="1"/>
  <c r="BW66" i="72" a="1"/>
  <c r="BW66" i="72" s="1"/>
  <c r="I55" i="72"/>
  <c r="BF66" i="72" a="1"/>
  <c r="BF66" i="72" s="1"/>
  <c r="AF60" i="72" a="1"/>
  <c r="AF60" i="72" s="1"/>
  <c r="BC60" i="72" s="1" a="1"/>
  <c r="BC60" i="72" s="1"/>
  <c r="BQ23" i="72"/>
  <c r="AR25" i="72" a="1"/>
  <c r="AR25" i="72" s="1"/>
  <c r="AK23" i="72" a="1"/>
  <c r="AK23" i="72" s="1"/>
  <c r="AR85" i="72" a="1"/>
  <c r="AR85" i="72" s="1"/>
  <c r="AY60" i="69" a="1"/>
  <c r="AY60" i="69" s="1"/>
  <c r="AR68" i="72" a="1"/>
  <c r="AR68" i="72" s="1"/>
  <c r="AR31" i="72" a="1"/>
  <c r="AR31" i="72" s="1"/>
  <c r="AR39" i="72" a="1"/>
  <c r="AR39" i="72" s="1"/>
  <c r="AR11" i="72" a="1"/>
  <c r="AR11" i="72" s="1"/>
  <c r="AR33" i="72" a="1"/>
  <c r="AR33" i="72" s="1"/>
  <c r="AR93" i="72" a="1"/>
  <c r="AR93" i="72" s="1"/>
  <c r="AR46" i="72" a="1"/>
  <c r="AR46" i="72" s="1"/>
  <c r="AR84" i="72" a="1"/>
  <c r="AR84" i="72" s="1"/>
  <c r="AX50" i="72" a="1"/>
  <c r="AX50" i="72" s="1"/>
  <c r="AR36" i="72" a="1"/>
  <c r="AR36" i="72" s="1"/>
  <c r="AY18" i="72" a="1"/>
  <c r="AY18" i="72" s="1"/>
  <c r="AT35" i="69" a="1"/>
  <c r="AT35" i="69" s="1"/>
  <c r="BT104" i="4"/>
  <c r="Z1746" i="13" s="1"/>
  <c r="AV1746" i="13" s="1"/>
  <c r="AR86" i="72" a="1"/>
  <c r="AR86" i="72" s="1"/>
  <c r="AR67" i="72" a="1"/>
  <c r="AR67" i="72" s="1"/>
  <c r="AR78" i="72" a="1"/>
  <c r="AR78" i="72" s="1"/>
  <c r="AR57" i="72" a="1"/>
  <c r="AR57" i="72" s="1"/>
  <c r="AR44" i="72" a="1"/>
  <c r="AR44" i="72" s="1"/>
  <c r="AR91" i="72" a="1"/>
  <c r="AR91" i="72" s="1"/>
  <c r="AR47" i="72" a="1"/>
  <c r="AR47" i="72" s="1"/>
  <c r="O89" i="69"/>
  <c r="BK89" i="69"/>
  <c r="O89" i="72"/>
  <c r="AR7" i="72" a="1"/>
  <c r="AR7" i="72" s="1"/>
  <c r="AR41" i="72" a="1"/>
  <c r="AR41" i="72" s="1"/>
  <c r="AG48" i="69" a="1"/>
  <c r="AG48" i="69" s="1"/>
  <c r="BH60" i="72" a="1"/>
  <c r="BH60" i="72" s="1"/>
  <c r="AR32" i="72" a="1"/>
  <c r="AR32" i="72" s="1"/>
  <c r="AN68" i="69" a="1"/>
  <c r="AN68" i="69" s="1"/>
  <c r="BU97" i="4"/>
  <c r="AR30" i="72" a="1"/>
  <c r="AR30" i="72" s="1"/>
  <c r="AR83" i="72" a="1"/>
  <c r="AR83" i="72" s="1"/>
  <c r="AR63" i="72" a="1"/>
  <c r="AR63" i="72" s="1"/>
  <c r="AR12" i="72" a="1"/>
  <c r="AR12" i="72" s="1"/>
  <c r="E60" i="69"/>
  <c r="BN91" i="69" a="1"/>
  <c r="BN91" i="69" s="1"/>
  <c r="AR92" i="72" a="1"/>
  <c r="AR92" i="72" s="1"/>
  <c r="AR29" i="72" a="1"/>
  <c r="AR29" i="72" s="1"/>
  <c r="AR90" i="72" a="1"/>
  <c r="AR90" i="72" s="1"/>
  <c r="BT86" i="72"/>
  <c r="AR49" i="72" a="1"/>
  <c r="AR49" i="72" s="1"/>
  <c r="AR52" i="72" a="1"/>
  <c r="AR52" i="72" s="1"/>
  <c r="X98" i="69"/>
  <c r="BX23" i="72"/>
  <c r="CA23" i="72" s="1"/>
  <c r="AR71" i="72" a="1"/>
  <c r="AR71" i="72" s="1"/>
  <c r="BE18" i="72" a="1"/>
  <c r="BE18" i="72" s="1"/>
  <c r="AW21" i="69" a="1"/>
  <c r="AW21" i="69" s="1"/>
  <c r="AE60" i="69" a="1"/>
  <c r="AE60" i="69" s="1"/>
  <c r="AP60" i="69" s="1" a="1"/>
  <c r="AP60" i="69" s="1"/>
  <c r="AY23" i="69" a="1"/>
  <c r="AY23" i="69" s="1"/>
  <c r="O91" i="72"/>
  <c r="O91" i="69"/>
  <c r="BK91" i="69"/>
  <c r="BT91" i="72"/>
  <c r="O75" i="72"/>
  <c r="BK75" i="69"/>
  <c r="O75" i="69"/>
  <c r="BT75" i="72"/>
  <c r="O59" i="69"/>
  <c r="O59" i="72"/>
  <c r="BK59" i="69"/>
  <c r="S39" i="4"/>
  <c r="Z1631" i="13"/>
  <c r="T39" i="4"/>
  <c r="G179" i="15"/>
  <c r="AV1582" i="13"/>
  <c r="AV1681" i="13" s="1"/>
  <c r="A1681" i="13"/>
  <c r="AX1681" i="13" s="1"/>
  <c r="AX1582" i="13"/>
  <c r="S34" i="4"/>
  <c r="Z1626" i="13"/>
  <c r="T34" i="4"/>
  <c r="G598" i="15"/>
  <c r="G702" i="15"/>
  <c r="G667" i="15"/>
  <c r="G360" i="15"/>
  <c r="AK69" i="69" a="1"/>
  <c r="AK69" i="69" s="1"/>
  <c r="AN69" i="69" a="1"/>
  <c r="AN69" i="69" s="1"/>
  <c r="AG69" i="69" a="1"/>
  <c r="AG69" i="69" s="1"/>
  <c r="AI69" i="69" a="1"/>
  <c r="AI69" i="69" s="1"/>
  <c r="AV69" i="69" a="1"/>
  <c r="AV69" i="69" s="1"/>
  <c r="AQ69" i="69" a="1"/>
  <c r="AQ69" i="69" s="1"/>
  <c r="AF69" i="69" a="1"/>
  <c r="AF69" i="69" s="1"/>
  <c r="AU69" i="69" a="1"/>
  <c r="AU69" i="69" s="1"/>
  <c r="AZ69" i="69" a="1"/>
  <c r="AZ69" i="69" s="1"/>
  <c r="AH69" i="69" a="1"/>
  <c r="AH69" i="69" s="1"/>
  <c r="BA69" i="69" a="1"/>
  <c r="BA69" i="69" s="1"/>
  <c r="AX69" i="69" a="1"/>
  <c r="AX69" i="69" s="1"/>
  <c r="BK88" i="69"/>
  <c r="O88" i="69"/>
  <c r="O88" i="72"/>
  <c r="G425" i="15"/>
  <c r="G131" i="15"/>
  <c r="G402" i="15"/>
  <c r="AS76" i="4"/>
  <c r="AR76" i="4"/>
  <c r="AY576" i="13"/>
  <c r="S49" i="4"/>
  <c r="T49" i="4"/>
  <c r="Z1641" i="13"/>
  <c r="AW29" i="69" a="1"/>
  <c r="AW29" i="69" s="1"/>
  <c r="AV29" i="69" a="1"/>
  <c r="AV29" i="69" s="1"/>
  <c r="AQ29" i="69" a="1"/>
  <c r="AQ29" i="69" s="1"/>
  <c r="BA29" i="69" a="1"/>
  <c r="BA29" i="69" s="1"/>
  <c r="AZ29" i="69" a="1"/>
  <c r="AZ29" i="69" s="1"/>
  <c r="AF29" i="69" a="1"/>
  <c r="AF29" i="69" s="1"/>
  <c r="AI29" i="69" a="1"/>
  <c r="AI29" i="69" s="1"/>
  <c r="AH29" i="69" a="1"/>
  <c r="AH29" i="69" s="1"/>
  <c r="AK29" i="69" a="1"/>
  <c r="AK29" i="69" s="1"/>
  <c r="AO29" i="69" a="1"/>
  <c r="AO29" i="69" s="1"/>
  <c r="AN29" i="69" a="1"/>
  <c r="AN29" i="69" s="1"/>
  <c r="AU29" i="69" a="1"/>
  <c r="AU29" i="69" s="1"/>
  <c r="AX29" i="69" a="1"/>
  <c r="AX29" i="69" s="1"/>
  <c r="H43" i="69"/>
  <c r="H43" i="72"/>
  <c r="BN61" i="4"/>
  <c r="BF61" i="4" s="1" a="1"/>
  <c r="BF61" i="4" s="1"/>
  <c r="AD61" i="72"/>
  <c r="AD61" i="69"/>
  <c r="BI61" i="69"/>
  <c r="BR61" i="72"/>
  <c r="A1634" i="13"/>
  <c r="AX1634" i="13" s="1"/>
  <c r="AV1535" i="13"/>
  <c r="AV1634" i="13" s="1"/>
  <c r="AX1535" i="13"/>
  <c r="AW81" i="4" a="1"/>
  <c r="AW81" i="4" s="1"/>
  <c r="AU81" i="4" a="1"/>
  <c r="AU81" i="4" s="1"/>
  <c r="AV81" i="4"/>
  <c r="Y81" i="4"/>
  <c r="CB81" i="4"/>
  <c r="BR81" i="4"/>
  <c r="AV93" i="4"/>
  <c r="AW93" i="4" a="1"/>
  <c r="AW93" i="4" s="1"/>
  <c r="AU93" i="4" a="1"/>
  <c r="AU93" i="4" s="1"/>
  <c r="Y93" i="4"/>
  <c r="CB93" i="4"/>
  <c r="BR93" i="4"/>
  <c r="DA93" i="4"/>
  <c r="DB93" i="4" s="1"/>
  <c r="P95" i="9" s="1"/>
  <c r="BE76" i="72" a="1"/>
  <c r="BE76" i="72" s="1"/>
  <c r="BN56" i="4"/>
  <c r="BF56" i="4" s="1" a="1"/>
  <c r="BF56" i="4" s="1"/>
  <c r="BR56" i="72"/>
  <c r="AD56" i="72"/>
  <c r="AD56" i="69"/>
  <c r="BI56" i="69"/>
  <c r="G497" i="15"/>
  <c r="AX1540" i="13"/>
  <c r="A1639" i="13"/>
  <c r="AX1639" i="13" s="1"/>
  <c r="AV1540" i="13"/>
  <c r="AV1639" i="13" s="1"/>
  <c r="G526" i="15"/>
  <c r="AR28" i="72" a="1"/>
  <c r="AR28" i="72" s="1"/>
  <c r="BF28" i="72" a="1"/>
  <c r="BF28" i="72" s="1"/>
  <c r="AJ28" i="72" a="1"/>
  <c r="AJ28" i="72" s="1"/>
  <c r="BE28" i="72" a="1"/>
  <c r="BE28" i="72" s="1"/>
  <c r="BI28" i="72" a="1"/>
  <c r="BI28" i="72" s="1"/>
  <c r="BD28" i="72" a="1"/>
  <c r="BD28" i="72" s="1"/>
  <c r="AH28" i="72" a="1"/>
  <c r="AH28" i="72" s="1"/>
  <c r="BJ28" i="72" a="1"/>
  <c r="BJ28" i="72" s="1"/>
  <c r="AX28" i="72" a="1"/>
  <c r="AX28" i="72" s="1"/>
  <c r="AZ28" i="72" a="1"/>
  <c r="AZ28" i="72" s="1"/>
  <c r="BG28" i="72" a="1"/>
  <c r="BG28" i="72" s="1"/>
  <c r="AV75" i="4"/>
  <c r="AW75" i="4" a="1"/>
  <c r="AW75" i="4" s="1"/>
  <c r="Y75" i="4"/>
  <c r="AU75" i="4" a="1"/>
  <c r="AU75" i="4" s="1"/>
  <c r="BR75" i="4"/>
  <c r="DA75" i="4"/>
  <c r="DB75" i="4" s="1"/>
  <c r="CB75" i="4"/>
  <c r="AS94" i="4"/>
  <c r="AR94" i="4"/>
  <c r="AY594" i="13"/>
  <c r="AH61" i="69" a="1"/>
  <c r="AH61" i="69" s="1"/>
  <c r="AK61" i="69" a="1"/>
  <c r="AK61" i="69" s="1"/>
  <c r="AF61" i="69" a="1"/>
  <c r="AF61" i="69" s="1"/>
  <c r="AZ61" i="69" a="1"/>
  <c r="AZ61" i="69" s="1"/>
  <c r="AQ61" i="69" a="1"/>
  <c r="AQ61" i="69" s="1"/>
  <c r="AW61" i="69" a="1"/>
  <c r="AW61" i="69" s="1"/>
  <c r="AG61" i="69" a="1"/>
  <c r="AG61" i="69" s="1"/>
  <c r="BA61" i="69" a="1"/>
  <c r="BA61" i="69" s="1"/>
  <c r="AO61" i="69" a="1"/>
  <c r="AO61" i="69" s="1"/>
  <c r="AU61" i="69" a="1"/>
  <c r="AU61" i="69" s="1"/>
  <c r="AI61" i="69" a="1"/>
  <c r="AI61" i="69" s="1"/>
  <c r="AX61" i="69" a="1"/>
  <c r="AX61" i="69" s="1"/>
  <c r="G452" i="15"/>
  <c r="AW44" i="69" a="1"/>
  <c r="AW44" i="69" s="1"/>
  <c r="BD1770" i="13"/>
  <c r="Y72" i="4"/>
  <c r="AW72" i="4" a="1"/>
  <c r="AW72" i="4" s="1"/>
  <c r="AU72" i="4" a="1"/>
  <c r="AU72" i="4" s="1"/>
  <c r="AV72" i="4"/>
  <c r="CB72" i="4"/>
  <c r="DA72" i="4"/>
  <c r="DB72" i="4" s="1"/>
  <c r="P74" i="9" s="1"/>
  <c r="BR72" i="4"/>
  <c r="T19" i="4"/>
  <c r="Z1611" i="13"/>
  <c r="S19" i="4"/>
  <c r="T75" i="4"/>
  <c r="S75" i="4"/>
  <c r="Z1667" i="13"/>
  <c r="AT29" i="69" a="1"/>
  <c r="AT29" i="69" s="1"/>
  <c r="G307" i="15"/>
  <c r="AD60" i="69"/>
  <c r="L60" i="69"/>
  <c r="BT60" i="69"/>
  <c r="BM60" i="69" a="1"/>
  <c r="BM60" i="69" s="1"/>
  <c r="BD60" i="69"/>
  <c r="BG60" i="69"/>
  <c r="R60" i="69"/>
  <c r="AV1528" i="13"/>
  <c r="AV1627" i="13" s="1"/>
  <c r="A1627" i="13"/>
  <c r="AX1627" i="13" s="1"/>
  <c r="AX1528" i="13"/>
  <c r="G512" i="15"/>
  <c r="AH77" i="72" a="1"/>
  <c r="AH77" i="72" s="1"/>
  <c r="BN66" i="4"/>
  <c r="BF66" i="4" s="1" a="1"/>
  <c r="BF66" i="4" s="1"/>
  <c r="AD66" i="72"/>
  <c r="AD66" i="69"/>
  <c r="BI66" i="69"/>
  <c r="BR66" i="72"/>
  <c r="G283" i="15"/>
  <c r="AV1534" i="13"/>
  <c r="AV1633" i="13" s="1"/>
  <c r="A1633" i="13"/>
  <c r="AX1633" i="13" s="1"/>
  <c r="AX1534" i="13"/>
  <c r="AX1586" i="13"/>
  <c r="AV1586" i="13"/>
  <c r="AV1685" i="13" s="1"/>
  <c r="A1685" i="13"/>
  <c r="AX1685" i="13" s="1"/>
  <c r="G615" i="15"/>
  <c r="BW80" i="72" a="1"/>
  <c r="BW80" i="72" s="1"/>
  <c r="DA83" i="4"/>
  <c r="DB83" i="4" s="1"/>
  <c r="AV83" i="4"/>
  <c r="Y83" i="4"/>
  <c r="AW83" i="4" a="1"/>
  <c r="AW83" i="4" s="1"/>
  <c r="AU83" i="4" a="1"/>
  <c r="AU83" i="4" s="1"/>
  <c r="CB83" i="4"/>
  <c r="BR83" i="4"/>
  <c r="AW77" i="4" a="1"/>
  <c r="AW77" i="4" s="1"/>
  <c r="AV77" i="4"/>
  <c r="Y77" i="4"/>
  <c r="AU77" i="4" a="1"/>
  <c r="AU77" i="4" s="1"/>
  <c r="CB77" i="4"/>
  <c r="BR77" i="4"/>
  <c r="DA77" i="4"/>
  <c r="DB77" i="4" s="1"/>
  <c r="P79" i="9" s="1"/>
  <c r="BN83" i="69" a="1"/>
  <c r="BN83" i="69" s="1"/>
  <c r="A1658" i="13"/>
  <c r="AX1658" i="13" s="1"/>
  <c r="AX1559" i="13"/>
  <c r="AV1559" i="13"/>
  <c r="AV1658" i="13" s="1"/>
  <c r="K75" i="69" a="1"/>
  <c r="K75" i="69" s="1"/>
  <c r="AG85" i="69" a="1"/>
  <c r="AG85" i="69" s="1"/>
  <c r="AP61" i="69" a="1"/>
  <c r="AP61" i="69" s="1"/>
  <c r="AX1558" i="13"/>
  <c r="AV1558" i="13"/>
  <c r="AV1657" i="13" s="1"/>
  <c r="A1657" i="13"/>
  <c r="AX1657" i="13" s="1"/>
  <c r="G110" i="15"/>
  <c r="AP17" i="69" a="1"/>
  <c r="AP17" i="69" s="1"/>
  <c r="AN76" i="69" a="1"/>
  <c r="AN76" i="69" s="1"/>
  <c r="AV30" i="69" a="1"/>
  <c r="AV30" i="69" s="1"/>
  <c r="AW59" i="69" a="1"/>
  <c r="AW59" i="69" s="1"/>
  <c r="AW75" i="69" a="1"/>
  <c r="AW75" i="69" s="1"/>
  <c r="AG36" i="69" a="1"/>
  <c r="AG36" i="69" s="1"/>
  <c r="BF33" i="72" a="1"/>
  <c r="BF33" i="72" s="1"/>
  <c r="AW49" i="69" a="1"/>
  <c r="AW49" i="69" s="1"/>
  <c r="BF75" i="72" a="1"/>
  <c r="BF75" i="72" s="1"/>
  <c r="BF38" i="72" a="1"/>
  <c r="BF38" i="72" s="1"/>
  <c r="BF69" i="72" a="1"/>
  <c r="BF69" i="72" s="1"/>
  <c r="BE27" i="72" a="1"/>
  <c r="BE27" i="72" s="1"/>
  <c r="BF84" i="72" a="1"/>
  <c r="BF84" i="72" s="1"/>
  <c r="BE56" i="72" a="1"/>
  <c r="BE56" i="72" s="1"/>
  <c r="AX1530" i="13"/>
  <c r="AV1530" i="13"/>
  <c r="AV1629" i="13" s="1"/>
  <c r="A1629" i="13"/>
  <c r="AX1629" i="13" s="1"/>
  <c r="G588" i="15"/>
  <c r="G655" i="15"/>
  <c r="AT93" i="69" a="1"/>
  <c r="AT93" i="69" s="1"/>
  <c r="AZ93" i="69" a="1"/>
  <c r="AZ93" i="69" s="1"/>
  <c r="AG93" i="69" a="1"/>
  <c r="AG93" i="69" s="1"/>
  <c r="AF93" i="69" a="1"/>
  <c r="AF93" i="69" s="1"/>
  <c r="AK93" i="69" a="1"/>
  <c r="AK93" i="69" s="1"/>
  <c r="BA93" i="69" a="1"/>
  <c r="BA93" i="69" s="1"/>
  <c r="AH93" i="69" a="1"/>
  <c r="AH93" i="69" s="1"/>
  <c r="AI93" i="69" a="1"/>
  <c r="AI93" i="69" s="1"/>
  <c r="AN93" i="69" a="1"/>
  <c r="AN93" i="69" s="1"/>
  <c r="AQ93" i="69" a="1"/>
  <c r="AQ93" i="69" s="1"/>
  <c r="AU93" i="69" a="1"/>
  <c r="AU93" i="69" s="1"/>
  <c r="AO93" i="69" a="1"/>
  <c r="AO93" i="69" s="1"/>
  <c r="AV93" i="69" a="1"/>
  <c r="AV93" i="69" s="1"/>
  <c r="AW93" i="69" a="1"/>
  <c r="AW93" i="69" s="1"/>
  <c r="AX93" i="69" a="1"/>
  <c r="AX93" i="69" s="1"/>
  <c r="AT52" i="69" a="1"/>
  <c r="AT52" i="69" s="1"/>
  <c r="AO52" i="69" a="1"/>
  <c r="AO52" i="69" s="1"/>
  <c r="AK52" i="69" a="1"/>
  <c r="AK52" i="69" s="1"/>
  <c r="AQ52" i="69" a="1"/>
  <c r="AQ52" i="69" s="1"/>
  <c r="AH52" i="69" a="1"/>
  <c r="AH52" i="69" s="1"/>
  <c r="AV52" i="69" a="1"/>
  <c r="AV52" i="69" s="1"/>
  <c r="AI52" i="69" a="1"/>
  <c r="AI52" i="69" s="1"/>
  <c r="AZ52" i="69" a="1"/>
  <c r="AZ52" i="69" s="1"/>
  <c r="AF52" i="69" a="1"/>
  <c r="AF52" i="69" s="1"/>
  <c r="BA52" i="69" a="1"/>
  <c r="BA52" i="69" s="1"/>
  <c r="AN52" i="69" a="1"/>
  <c r="AN52" i="69" s="1"/>
  <c r="AW52" i="69" a="1"/>
  <c r="AW52" i="69" s="1"/>
  <c r="AU52" i="69" a="1"/>
  <c r="AU52" i="69" s="1"/>
  <c r="AG52" i="69" a="1"/>
  <c r="AG52" i="69" s="1"/>
  <c r="AX52" i="69" a="1"/>
  <c r="AX52" i="69" s="1"/>
  <c r="AV357" i="13"/>
  <c r="S3" i="1" s="1" a="1"/>
  <c r="AQ97" i="4"/>
  <c r="Z1634" i="13"/>
  <c r="S42" i="4"/>
  <c r="T42" i="4"/>
  <c r="AT17" i="69" a="1"/>
  <c r="AT17" i="69" s="1"/>
  <c r="AX1541" i="13"/>
  <c r="AV1541" i="13"/>
  <c r="AV1640" i="13" s="1"/>
  <c r="A1640" i="13"/>
  <c r="AX1640" i="13" s="1"/>
  <c r="C43" i="69"/>
  <c r="D43" i="69" s="1" a="1"/>
  <c r="D43" i="69" s="1"/>
  <c r="C43" i="72"/>
  <c r="D43" i="72" s="1" a="1"/>
  <c r="D43" i="72" s="1"/>
  <c r="BE6" i="72" a="1"/>
  <c r="BE6" i="72" s="1"/>
  <c r="O65" i="69"/>
  <c r="BK65" i="69"/>
  <c r="O65" i="72"/>
  <c r="DA70" i="4"/>
  <c r="DB70" i="4" s="1"/>
  <c r="AV70" i="4"/>
  <c r="AU70" i="4" a="1"/>
  <c r="AU70" i="4" s="1"/>
  <c r="Y70" i="4"/>
  <c r="AW70" i="4" a="1"/>
  <c r="AW70" i="4" s="1"/>
  <c r="BR70" i="4"/>
  <c r="CB70" i="4"/>
  <c r="G472" i="15"/>
  <c r="T31" i="4"/>
  <c r="S31" i="4"/>
  <c r="Z1623" i="13"/>
  <c r="S44" i="4"/>
  <c r="Z1636" i="13"/>
  <c r="T44" i="4"/>
  <c r="G361" i="15"/>
  <c r="AX1539" i="13"/>
  <c r="AV1539" i="13"/>
  <c r="AV1638" i="13" s="1"/>
  <c r="A1638" i="13"/>
  <c r="AX1638" i="13" s="1"/>
  <c r="AS73" i="4"/>
  <c r="AR73" i="4"/>
  <c r="AY573" i="13"/>
  <c r="G653" i="15"/>
  <c r="G269" i="15"/>
  <c r="BN52" i="69" a="1"/>
  <c r="BN52" i="69" s="1"/>
  <c r="AR95" i="4"/>
  <c r="AY595" i="13"/>
  <c r="AS95" i="4"/>
  <c r="X75" i="4"/>
  <c r="G240" i="15"/>
  <c r="AR79" i="72" a="1"/>
  <c r="AR79" i="72" s="1"/>
  <c r="AG21" i="69" a="1"/>
  <c r="AG21" i="69" s="1"/>
  <c r="BN69" i="4"/>
  <c r="BF69" i="4" s="1" a="1"/>
  <c r="BF69" i="4" s="1"/>
  <c r="AD69" i="69"/>
  <c r="BI69" i="69"/>
  <c r="AD69" i="72"/>
  <c r="BR69" i="72"/>
  <c r="AW69" i="69" a="1"/>
  <c r="AW69" i="69" s="1"/>
  <c r="AS62" i="4"/>
  <c r="AY562" i="13"/>
  <c r="AR62" i="4"/>
  <c r="O60" i="72"/>
  <c r="CI60" i="72"/>
  <c r="AN79" i="69" a="1"/>
  <c r="AN79" i="69" s="1"/>
  <c r="BJ19" i="72" a="1"/>
  <c r="BJ19" i="72" s="1"/>
  <c r="BD19" i="72" a="1"/>
  <c r="BD19" i="72" s="1"/>
  <c r="AX19" i="72" a="1"/>
  <c r="AX19" i="72" s="1"/>
  <c r="AJ19" i="72" a="1"/>
  <c r="AJ19" i="72" s="1"/>
  <c r="AZ19" i="72" a="1"/>
  <c r="AZ19" i="72" s="1"/>
  <c r="BI19" i="72" a="1"/>
  <c r="BI19" i="72" s="1"/>
  <c r="AR19" i="72" a="1"/>
  <c r="AR19" i="72" s="1"/>
  <c r="BF19" i="72" a="1"/>
  <c r="BF19" i="72" s="1"/>
  <c r="BG19" i="72" a="1"/>
  <c r="BG19" i="72" s="1"/>
  <c r="G500" i="15"/>
  <c r="AV80" i="4"/>
  <c r="Y80" i="4"/>
  <c r="AW80" i="4" a="1"/>
  <c r="AW80" i="4" s="1"/>
  <c r="AU80" i="4" a="1"/>
  <c r="AU80" i="4" s="1"/>
  <c r="DA80" i="4"/>
  <c r="DB80" i="4" s="1"/>
  <c r="P82" i="9" s="1"/>
  <c r="CB80" i="4"/>
  <c r="BR80" i="4"/>
  <c r="G215" i="15"/>
  <c r="BH60" i="69"/>
  <c r="BF60" i="69"/>
  <c r="BE60" i="69"/>
  <c r="AD94" i="69"/>
  <c r="BN94" i="4"/>
  <c r="BF94" i="4" s="1" a="1"/>
  <c r="BF94" i="4" s="1"/>
  <c r="BR94" i="72"/>
  <c r="BI94" i="69"/>
  <c r="AD94" i="72"/>
  <c r="AR89" i="72" a="1"/>
  <c r="AR89" i="72" s="1"/>
  <c r="BW43" i="72" a="1"/>
  <c r="BW43" i="72" s="1"/>
  <c r="AX1579" i="13"/>
  <c r="A1678" i="13"/>
  <c r="AX1678" i="13" s="1"/>
  <c r="AV1579" i="13"/>
  <c r="AV1678" i="13" s="1"/>
  <c r="BU103" i="4"/>
  <c r="Z1726" i="13" s="1"/>
  <c r="G535" i="15"/>
  <c r="G142" i="15"/>
  <c r="BW28" i="72" a="1"/>
  <c r="BW28" i="72" s="1"/>
  <c r="G268" i="15"/>
  <c r="G397" i="15"/>
  <c r="Z1639" i="13"/>
  <c r="S47" i="4"/>
  <c r="T47" i="4"/>
  <c r="AW71" i="69" a="1"/>
  <c r="AW71" i="69" s="1"/>
  <c r="BE71" i="72" a="1"/>
  <c r="BE71" i="72" s="1"/>
  <c r="AX22" i="72" a="1"/>
  <c r="AX22" i="72" s="1"/>
  <c r="AJ22" i="72" a="1"/>
  <c r="AJ22" i="72" s="1"/>
  <c r="AZ22" i="72" a="1"/>
  <c r="AZ22" i="72" s="1"/>
  <c r="AR22" i="72" a="1"/>
  <c r="AR22" i="72" s="1"/>
  <c r="BJ22" i="72" a="1"/>
  <c r="BJ22" i="72" s="1"/>
  <c r="BE22" i="72" a="1"/>
  <c r="BE22" i="72" s="1"/>
  <c r="BI22" i="72" a="1"/>
  <c r="BI22" i="72" s="1"/>
  <c r="BD22" i="72" a="1"/>
  <c r="BD22" i="72" s="1"/>
  <c r="BF22" i="72" a="1"/>
  <c r="BF22" i="72" s="1"/>
  <c r="BG22" i="72" a="1"/>
  <c r="BG22" i="72" s="1"/>
  <c r="O85" i="72"/>
  <c r="BK85" i="69"/>
  <c r="O85" i="69"/>
  <c r="G395" i="15"/>
  <c r="H18" i="69"/>
  <c r="H18" i="72"/>
  <c r="O83" i="72"/>
  <c r="BK83" i="69"/>
  <c r="O83" i="69"/>
  <c r="G662" i="15"/>
  <c r="G354" i="15"/>
  <c r="G461" i="15"/>
  <c r="G445" i="15"/>
  <c r="C40" i="72"/>
  <c r="D40" i="72" s="1" a="1"/>
  <c r="D40" i="72" s="1"/>
  <c r="C40" i="69"/>
  <c r="D40" i="69" s="1" a="1"/>
  <c r="D40" i="69" s="1"/>
  <c r="AV1460" i="13"/>
  <c r="AU23" i="72" a="1"/>
  <c r="AU23" i="72" s="1"/>
  <c r="BV23" i="72" a="1"/>
  <c r="BV23" i="72" s="1"/>
  <c r="BM23" i="72"/>
  <c r="AT23" i="72" a="1"/>
  <c r="AT23" i="72" s="1"/>
  <c r="AL23" i="72" a="1"/>
  <c r="AL23" i="72" s="1"/>
  <c r="R23" i="72"/>
  <c r="BP23" i="72"/>
  <c r="AS23" i="72" a="1"/>
  <c r="AS23" i="72" s="1"/>
  <c r="AW23" i="72"/>
  <c r="AW97" i="72" s="1"/>
  <c r="AS89" i="4"/>
  <c r="AR89" i="4"/>
  <c r="AY589" i="13"/>
  <c r="BN88" i="4"/>
  <c r="BF88" i="4" s="1" a="1"/>
  <c r="BF88" i="4" s="1"/>
  <c r="BR88" i="72"/>
  <c r="AD88" i="72"/>
  <c r="BI88" i="69"/>
  <c r="AD88" i="69"/>
  <c r="AY561" i="13"/>
  <c r="AS61" i="4"/>
  <c r="AR61" i="4"/>
  <c r="BF32" i="72" a="1"/>
  <c r="BF32" i="72" s="1"/>
  <c r="AG81" i="69" a="1"/>
  <c r="AG81" i="69" s="1"/>
  <c r="BF50" i="72" a="1"/>
  <c r="BF50" i="72" s="1"/>
  <c r="AG75" i="69" a="1"/>
  <c r="AG75" i="69" s="1"/>
  <c r="BF41" i="72" a="1"/>
  <c r="BF41" i="72" s="1"/>
  <c r="BF54" i="72" a="1"/>
  <c r="BF54" i="72" s="1"/>
  <c r="BF57" i="72" a="1"/>
  <c r="BF57" i="72" s="1"/>
  <c r="AN28" i="69" a="1"/>
  <c r="AN28" i="69" s="1"/>
  <c r="BF90" i="72" a="1"/>
  <c r="BF90" i="72" s="1"/>
  <c r="AN33" i="69" a="1"/>
  <c r="AN33" i="69" s="1"/>
  <c r="A1623" i="13"/>
  <c r="AX1623" i="13" s="1"/>
  <c r="AV1524" i="13"/>
  <c r="AV1623" i="13" s="1"/>
  <c r="AX1524" i="13"/>
  <c r="G91" i="15"/>
  <c r="AW85" i="4" a="1"/>
  <c r="AW85" i="4" s="1"/>
  <c r="Y85" i="4"/>
  <c r="AV85" i="4"/>
  <c r="AU85" i="4" a="1"/>
  <c r="AU85" i="4" s="1"/>
  <c r="CB85" i="4"/>
  <c r="BR85" i="4"/>
  <c r="AS93" i="4"/>
  <c r="AY593" i="13"/>
  <c r="AR93" i="4"/>
  <c r="BF1766" i="13"/>
  <c r="BA1770" i="13"/>
  <c r="G247" i="15"/>
  <c r="A1628" i="13"/>
  <c r="AX1628" i="13" s="1"/>
  <c r="AV1529" i="13"/>
  <c r="AV1628" i="13" s="1"/>
  <c r="AX1529" i="13"/>
  <c r="S87" i="4"/>
  <c r="Z1679" i="13"/>
  <c r="T87" i="4"/>
  <c r="G690" i="15"/>
  <c r="AY563" i="13"/>
  <c r="AR63" i="4"/>
  <c r="AS63" i="4"/>
  <c r="AD70" i="69"/>
  <c r="AD70" i="72"/>
  <c r="BK70" i="69"/>
  <c r="O70" i="72"/>
  <c r="O70" i="69"/>
  <c r="AX1556" i="13"/>
  <c r="A1655" i="13"/>
  <c r="AX1655" i="13" s="1"/>
  <c r="AV1556" i="13"/>
  <c r="AV1655" i="13" s="1"/>
  <c r="G241" i="15"/>
  <c r="Z1640" i="13"/>
  <c r="T48" i="4"/>
  <c r="S48" i="4"/>
  <c r="A1630" i="13"/>
  <c r="AX1630" i="13" s="1"/>
  <c r="AV1531" i="13"/>
  <c r="AV1630" i="13" s="1"/>
  <c r="AX1531" i="13"/>
  <c r="BN56" i="69" a="1"/>
  <c r="BN56" i="69" s="1"/>
  <c r="T15" i="4"/>
  <c r="Z1607" i="13"/>
  <c r="S15" i="4"/>
  <c r="O81" i="72"/>
  <c r="BK81" i="69"/>
  <c r="O81" i="69"/>
  <c r="H11" i="69"/>
  <c r="H11" i="72"/>
  <c r="BE1770" i="13"/>
  <c r="AR58" i="4"/>
  <c r="AY558" i="13"/>
  <c r="AS58" i="4"/>
  <c r="AX1547" i="13"/>
  <c r="A1646" i="13"/>
  <c r="AX1646" i="13" s="1"/>
  <c r="AV1547" i="13"/>
  <c r="AV1646" i="13" s="1"/>
  <c r="BF64" i="72" a="1"/>
  <c r="BF64" i="72" s="1"/>
  <c r="AP52" i="69" a="1"/>
  <c r="AP52" i="69" s="1"/>
  <c r="BN93" i="4"/>
  <c r="BF93" i="4" s="1" a="1"/>
  <c r="BF93" i="4" s="1"/>
  <c r="BR93" i="72"/>
  <c r="AD93" i="72"/>
  <c r="AD93" i="69"/>
  <c r="BI93" i="69"/>
  <c r="T56" i="4"/>
  <c r="Z1648" i="13"/>
  <c r="S56" i="4"/>
  <c r="AV88" i="4"/>
  <c r="AW88" i="4" a="1"/>
  <c r="AW88" i="4" s="1"/>
  <c r="AU88" i="4" a="1"/>
  <c r="AU88" i="4" s="1"/>
  <c r="Y88" i="4"/>
  <c r="CB88" i="4"/>
  <c r="DA88" i="4"/>
  <c r="DB88" i="4" s="1"/>
  <c r="BR88" i="4"/>
  <c r="BY60" i="72"/>
  <c r="C36" i="14"/>
  <c r="B36" i="14"/>
  <c r="BF36" i="72" a="1"/>
  <c r="BF36" i="72" s="1"/>
  <c r="BS80" i="4"/>
  <c r="AD96" i="72"/>
  <c r="BK96" i="69"/>
  <c r="O96" i="69"/>
  <c r="O96" i="72"/>
  <c r="BK95" i="69"/>
  <c r="O94" i="69"/>
  <c r="O95" i="69"/>
  <c r="BK94" i="69"/>
  <c r="BT96" i="72"/>
  <c r="BT95" i="72"/>
  <c r="BT90" i="72"/>
  <c r="O90" i="72"/>
  <c r="AD90" i="69"/>
  <c r="BK90" i="69"/>
  <c r="O90" i="69"/>
  <c r="T33" i="4"/>
  <c r="Z1625" i="13"/>
  <c r="S33" i="4"/>
  <c r="BI60" i="69"/>
  <c r="Y56" i="4"/>
  <c r="AU56" i="4" a="1"/>
  <c r="AU56" i="4" s="1"/>
  <c r="AW56" i="4" a="1"/>
  <c r="AW56" i="4" s="1"/>
  <c r="AV56" i="4"/>
  <c r="BR56" i="4"/>
  <c r="CB56" i="4"/>
  <c r="AX1418" i="13"/>
  <c r="AV1418" i="13"/>
  <c r="Z1522" i="13"/>
  <c r="A1517" i="13"/>
  <c r="AH45" i="72" a="1"/>
  <c r="AH45" i="72" s="1"/>
  <c r="BE24" i="72" a="1"/>
  <c r="BE24" i="72" s="1"/>
  <c r="AX19" i="69" a="1"/>
  <c r="AX19" i="69" s="1"/>
  <c r="AQ19" i="69" a="1"/>
  <c r="AQ19" i="69" s="1"/>
  <c r="AU19" i="69" a="1"/>
  <c r="AU19" i="69" s="1"/>
  <c r="AN19" i="69" a="1"/>
  <c r="AN19" i="69" s="1"/>
  <c r="AH19" i="69" a="1"/>
  <c r="AH19" i="69" s="1"/>
  <c r="AI19" i="69" a="1"/>
  <c r="AI19" i="69" s="1"/>
  <c r="AV19" i="69" a="1"/>
  <c r="AV19" i="69" s="1"/>
  <c r="AZ19" i="69" a="1"/>
  <c r="AZ19" i="69" s="1"/>
  <c r="AK19" i="69" a="1"/>
  <c r="AK19" i="69" s="1"/>
  <c r="AG19" i="69" a="1"/>
  <c r="AG19" i="69" s="1"/>
  <c r="BA19" i="69" a="1"/>
  <c r="BA19" i="69" s="1"/>
  <c r="AF19" i="69" a="1"/>
  <c r="AF19" i="69" s="1"/>
  <c r="C5" i="69"/>
  <c r="D5" i="69" s="1" a="1"/>
  <c r="D5" i="69" s="1"/>
  <c r="C5" i="72"/>
  <c r="D5" i="72" s="1" a="1"/>
  <c r="D5" i="72" s="1"/>
  <c r="O93" i="72"/>
  <c r="O93" i="69"/>
  <c r="BK93" i="69"/>
  <c r="C18" i="69"/>
  <c r="D18" i="69" s="1" a="1"/>
  <c r="D18" i="69" s="1"/>
  <c r="C18" i="72"/>
  <c r="D18" i="72" s="1" a="1"/>
  <c r="D18" i="72" s="1"/>
  <c r="G340" i="15"/>
  <c r="AR73" i="72" a="1"/>
  <c r="AR73" i="72" s="1"/>
  <c r="O23" i="69"/>
  <c r="BK14" i="69"/>
  <c r="O14" i="72"/>
  <c r="O14" i="69"/>
  <c r="K87" i="69" a="1"/>
  <c r="K87" i="69" s="1"/>
  <c r="AY559" i="13"/>
  <c r="AS59" i="4"/>
  <c r="AR59" i="4"/>
  <c r="BN87" i="4"/>
  <c r="BF87" i="4" s="1" a="1"/>
  <c r="BF87" i="4" s="1"/>
  <c r="AD87" i="72"/>
  <c r="BR87" i="72"/>
  <c r="AD87" i="69"/>
  <c r="BI87" i="69"/>
  <c r="G257" i="15"/>
  <c r="G259" i="15"/>
  <c r="AN37" i="69" a="1"/>
  <c r="AN37" i="69" s="1"/>
  <c r="AN59" i="69" a="1"/>
  <c r="AN59" i="69" s="1"/>
  <c r="AV36" i="69" a="1"/>
  <c r="AV36" i="69" s="1"/>
  <c r="BE35" i="72" a="1"/>
  <c r="BE35" i="72" s="1"/>
  <c r="BF11" i="72" a="1"/>
  <c r="BF11" i="72" s="1"/>
  <c r="BF68" i="72" a="1"/>
  <c r="BF68" i="72" s="1"/>
  <c r="AN27" i="69" a="1"/>
  <c r="AN27" i="69" s="1"/>
  <c r="DM55" i="4"/>
  <c r="DM63" i="4"/>
  <c r="DM85" i="4"/>
  <c r="DM25" i="4"/>
  <c r="DM10" i="4"/>
  <c r="DM79" i="4"/>
  <c r="DM57" i="4"/>
  <c r="DM35" i="4"/>
  <c r="DM18" i="4"/>
  <c r="DM24" i="4"/>
  <c r="DM44" i="4"/>
  <c r="DM21" i="4"/>
  <c r="DM22" i="4"/>
  <c r="DM82" i="4"/>
  <c r="DM33" i="4"/>
  <c r="DM86" i="4"/>
  <c r="DM68" i="4"/>
  <c r="DM84" i="4"/>
  <c r="DM93" i="4"/>
  <c r="DM12" i="4"/>
  <c r="DM17" i="4"/>
  <c r="DM53" i="4"/>
  <c r="DM64" i="4"/>
  <c r="DM26" i="4"/>
  <c r="DM7" i="4"/>
  <c r="DM92" i="4"/>
  <c r="DM77" i="4"/>
  <c r="DM16" i="4"/>
  <c r="DM6" i="4"/>
  <c r="DM30" i="4"/>
  <c r="DM56" i="4"/>
  <c r="DM75" i="4"/>
  <c r="DM37" i="4"/>
  <c r="DM72" i="4"/>
  <c r="DM50" i="4"/>
  <c r="DM90" i="4"/>
  <c r="DM43" i="4"/>
  <c r="DM67" i="4"/>
  <c r="DM31" i="4"/>
  <c r="DM46" i="4"/>
  <c r="DM36" i="4"/>
  <c r="DM89" i="4"/>
  <c r="DM73" i="4"/>
  <c r="DM40" i="4"/>
  <c r="DM54" i="4"/>
  <c r="DM71" i="4"/>
  <c r="DM95" i="4"/>
  <c r="DM65" i="4"/>
  <c r="DM49" i="4"/>
  <c r="DM34" i="4"/>
  <c r="DM62" i="4"/>
  <c r="DM87" i="4"/>
  <c r="DM52" i="4"/>
  <c r="DM88" i="4"/>
  <c r="DM11" i="4"/>
  <c r="DM94" i="4"/>
  <c r="DK3" i="4"/>
  <c r="DM3" i="4" s="1"/>
  <c r="DM80" i="4"/>
  <c r="DM96" i="4"/>
  <c r="DM5" i="4"/>
  <c r="DM8" i="4"/>
  <c r="DM4" i="4"/>
  <c r="DM78" i="4"/>
  <c r="DM83" i="4"/>
  <c r="DM60" i="4"/>
  <c r="DM32" i="4"/>
  <c r="DM27" i="4"/>
  <c r="DM61" i="4"/>
  <c r="DM69" i="4"/>
  <c r="DM9" i="4"/>
  <c r="DM15" i="4"/>
  <c r="DM39" i="4"/>
  <c r="DM48" i="4"/>
  <c r="DM51" i="4"/>
  <c r="DM42" i="4"/>
  <c r="DM20" i="4"/>
  <c r="DM14" i="4"/>
  <c r="DM45" i="4"/>
  <c r="DM70" i="4"/>
  <c r="DM91" i="4"/>
  <c r="DM19" i="4"/>
  <c r="DM38" i="4"/>
  <c r="DM59" i="4"/>
  <c r="DM23" i="4"/>
  <c r="DM41" i="4"/>
  <c r="DM58" i="4"/>
  <c r="DM13" i="4"/>
  <c r="DM66" i="4"/>
  <c r="DM81" i="4"/>
  <c r="DM29" i="4"/>
  <c r="DM76" i="4"/>
  <c r="DM28" i="4"/>
  <c r="DM74" i="4"/>
  <c r="DM47" i="4"/>
  <c r="AZ32" i="69" a="1"/>
  <c r="AZ32" i="69" s="1"/>
  <c r="AV32" i="69" a="1"/>
  <c r="AV32" i="69" s="1"/>
  <c r="AK32" i="69" a="1"/>
  <c r="AK32" i="69" s="1"/>
  <c r="AF32" i="69" a="1"/>
  <c r="AF32" i="69" s="1"/>
  <c r="AH32" i="69" a="1"/>
  <c r="AH32" i="69" s="1"/>
  <c r="AQ32" i="69" a="1"/>
  <c r="AQ32" i="69" s="1"/>
  <c r="AO32" i="69" a="1"/>
  <c r="AO32" i="69" s="1"/>
  <c r="BA32" i="69" a="1"/>
  <c r="BA32" i="69" s="1"/>
  <c r="AU32" i="69" a="1"/>
  <c r="AU32" i="69" s="1"/>
  <c r="AN32" i="69" a="1"/>
  <c r="AN32" i="69" s="1"/>
  <c r="AI32" i="69" a="1"/>
  <c r="AI32" i="69" s="1"/>
  <c r="AX32" i="69" a="1"/>
  <c r="AX32" i="69" s="1"/>
  <c r="BN91" i="4"/>
  <c r="BF91" i="4" s="1" a="1"/>
  <c r="BF91" i="4" s="1"/>
  <c r="BR91" i="72"/>
  <c r="AD91" i="72"/>
  <c r="AD91" i="69"/>
  <c r="BI91" i="69"/>
  <c r="Z1627" i="13"/>
  <c r="S35" i="4"/>
  <c r="T35" i="4"/>
  <c r="AU55" i="4" a="1"/>
  <c r="AU55" i="4" s="1"/>
  <c r="H55" i="69" s="1"/>
  <c r="Y55" i="4"/>
  <c r="AW55" i="4" a="1"/>
  <c r="AW55" i="4" s="1"/>
  <c r="C55" i="69" s="1"/>
  <c r="AV55" i="4"/>
  <c r="BR55" i="4"/>
  <c r="G625" i="15"/>
  <c r="G419" i="15"/>
  <c r="BE97" i="4"/>
  <c r="AX1518" i="13"/>
  <c r="A1617" i="13"/>
  <c r="AX1617" i="13" s="1"/>
  <c r="AV1518" i="13"/>
  <c r="AV1617" i="13" s="1"/>
  <c r="AP56" i="69" a="1"/>
  <c r="AP56" i="69" s="1"/>
  <c r="Z1644" i="13"/>
  <c r="T52" i="4"/>
  <c r="S52" i="4"/>
  <c r="AF17" i="27"/>
  <c r="A8" i="27"/>
  <c r="A7" i="27" s="1"/>
  <c r="C15" i="27"/>
  <c r="H38" i="15"/>
  <c r="AV1587" i="13"/>
  <c r="AV1686" i="13" s="1"/>
  <c r="AX1587" i="13"/>
  <c r="A1686" i="13"/>
  <c r="AX1686" i="13" s="1"/>
  <c r="C53" i="69"/>
  <c r="D53" i="69" s="1" a="1"/>
  <c r="D53" i="69" s="1"/>
  <c r="C53" i="72"/>
  <c r="D53" i="72" s="1" a="1"/>
  <c r="D53" i="72" s="1"/>
  <c r="AV1543" i="13"/>
  <c r="AV1642" i="13" s="1"/>
  <c r="A1642" i="13"/>
  <c r="AX1642" i="13" s="1"/>
  <c r="AX1543" i="13"/>
  <c r="G191" i="15"/>
  <c r="G235" i="15"/>
  <c r="G261" i="15"/>
  <c r="G369" i="15"/>
  <c r="X88" i="4"/>
  <c r="H50" i="72"/>
  <c r="H50" i="69"/>
  <c r="BJ60" i="72" a="1"/>
  <c r="BJ60" i="72" s="1"/>
  <c r="AJ60" i="72" a="1"/>
  <c r="AJ60" i="72" s="1"/>
  <c r="AZ60" i="72" a="1"/>
  <c r="AZ60" i="72" s="1"/>
  <c r="AX60" i="72" a="1"/>
  <c r="AX60" i="72" s="1"/>
  <c r="BD60" i="72" a="1"/>
  <c r="BD60" i="72" s="1"/>
  <c r="BI60" i="72" a="1"/>
  <c r="BI60" i="72" s="1"/>
  <c r="AV1566" i="13"/>
  <c r="AV1665" i="13" s="1"/>
  <c r="A1665" i="13"/>
  <c r="AX1665" i="13" s="1"/>
  <c r="AX1566" i="13"/>
  <c r="P35" i="14"/>
  <c r="I35" i="14"/>
  <c r="M35" i="14"/>
  <c r="O35" i="14"/>
  <c r="Q35" i="14"/>
  <c r="J35" i="14"/>
  <c r="N35" i="14"/>
  <c r="H35" i="14"/>
  <c r="Z35" i="14"/>
  <c r="V35" i="14"/>
  <c r="S35" i="14"/>
  <c r="L35" i="14"/>
  <c r="W35" i="14"/>
  <c r="X35" i="14"/>
  <c r="K35" i="14"/>
  <c r="R35" i="14"/>
  <c r="F35" i="14"/>
  <c r="T35" i="14"/>
  <c r="G35" i="14"/>
  <c r="U35" i="14"/>
  <c r="Y35" i="14"/>
  <c r="H20" i="72"/>
  <c r="H20" i="69"/>
  <c r="AU57" i="69" a="1"/>
  <c r="AU57" i="69" s="1"/>
  <c r="AO57" i="69" a="1"/>
  <c r="AO57" i="69" s="1"/>
  <c r="AF57" i="69" a="1"/>
  <c r="AF57" i="69" s="1"/>
  <c r="AK57" i="69" a="1"/>
  <c r="AK57" i="69" s="1"/>
  <c r="AZ57" i="69" a="1"/>
  <c r="AZ57" i="69" s="1"/>
  <c r="AQ57" i="69" a="1"/>
  <c r="AQ57" i="69" s="1"/>
  <c r="BA57" i="69" a="1"/>
  <c r="BA57" i="69" s="1"/>
  <c r="AI57" i="69" a="1"/>
  <c r="AI57" i="69" s="1"/>
  <c r="AH57" i="69" a="1"/>
  <c r="AH57" i="69" s="1"/>
  <c r="AW57" i="69" a="1"/>
  <c r="AW57" i="69" s="1"/>
  <c r="AG57" i="69" a="1"/>
  <c r="AG57" i="69" s="1"/>
  <c r="AX57" i="69" a="1"/>
  <c r="AX57" i="69" s="1"/>
  <c r="AQ60" i="69" a="1"/>
  <c r="AQ60" i="69" s="1"/>
  <c r="AK60" i="69" a="1"/>
  <c r="AK60" i="69" s="1"/>
  <c r="AW60" i="69" a="1"/>
  <c r="AW60" i="69" s="1"/>
  <c r="BA60" i="69" a="1"/>
  <c r="BA60" i="69" s="1"/>
  <c r="AO60" i="69" a="1"/>
  <c r="AO60" i="69" s="1"/>
  <c r="AR96" i="4"/>
  <c r="AS96" i="4"/>
  <c r="AY596" i="13"/>
  <c r="X56" i="4"/>
  <c r="AV61" i="4"/>
  <c r="AW61" i="4" a="1"/>
  <c r="AW61" i="4" s="1"/>
  <c r="Y61" i="4"/>
  <c r="AU61" i="4" a="1"/>
  <c r="AU61" i="4" s="1"/>
  <c r="CB61" i="4"/>
  <c r="BR61" i="4"/>
  <c r="DA61" i="4"/>
  <c r="DB61" i="4" s="1"/>
  <c r="AR18" i="72" a="1"/>
  <c r="AR18" i="72" s="1"/>
  <c r="G675" i="15"/>
  <c r="G210" i="15"/>
  <c r="AG71" i="69" a="1"/>
  <c r="AG71" i="69" s="1"/>
  <c r="G304" i="15"/>
  <c r="Z1685" i="13"/>
  <c r="S93" i="4"/>
  <c r="T93" i="4"/>
  <c r="H5" i="69"/>
  <c r="H5" i="72"/>
  <c r="BE14" i="72" a="1"/>
  <c r="BE14" i="72" s="1"/>
  <c r="A1683" i="13"/>
  <c r="AX1683" i="13" s="1"/>
  <c r="AV1584" i="13"/>
  <c r="AV1683" i="13" s="1"/>
  <c r="AX1584" i="13"/>
  <c r="H19" i="72"/>
  <c r="H19" i="69"/>
  <c r="K77" i="69" a="1"/>
  <c r="K77" i="69" s="1"/>
  <c r="S55" i="69"/>
  <c r="S97" i="69" s="1"/>
  <c r="G55" i="69"/>
  <c r="J55" i="69"/>
  <c r="AA55" i="69"/>
  <c r="Z55" i="69"/>
  <c r="V55" i="69"/>
  <c r="BU55" i="69"/>
  <c r="U55" i="69" a="1"/>
  <c r="U55" i="69" s="1"/>
  <c r="U97" i="69" s="1"/>
  <c r="AS55" i="69"/>
  <c r="BB55" i="69"/>
  <c r="A55" i="69"/>
  <c r="AR55" i="69"/>
  <c r="N55" i="69" a="1"/>
  <c r="N55" i="69" s="1"/>
  <c r="K55" i="69" a="1"/>
  <c r="K55" i="69" s="1"/>
  <c r="AC55" i="69"/>
  <c r="AB55" i="69" a="1"/>
  <c r="AB55" i="69" s="1"/>
  <c r="Q55" i="69"/>
  <c r="P55" i="69"/>
  <c r="T55" i="69"/>
  <c r="B8" i="27" s="1"/>
  <c r="M55" i="69"/>
  <c r="BC55" i="69"/>
  <c r="Y55" i="69"/>
  <c r="W55" i="69"/>
  <c r="K90" i="69" a="1"/>
  <c r="K90" i="69" s="1"/>
  <c r="K84" i="69" a="1"/>
  <c r="K84" i="69" s="1"/>
  <c r="K63" i="69" a="1"/>
  <c r="K63" i="69" s="1"/>
  <c r="K74" i="69" a="1"/>
  <c r="K74" i="69" s="1"/>
  <c r="K81" i="69" a="1"/>
  <c r="K81" i="69" s="1"/>
  <c r="K64" i="69" a="1"/>
  <c r="K64" i="69" s="1"/>
  <c r="K61" i="69" a="1"/>
  <c r="K61" i="69" s="1"/>
  <c r="K68" i="69" a="1"/>
  <c r="K68" i="69" s="1"/>
  <c r="K82" i="69" a="1"/>
  <c r="K82" i="69" s="1"/>
  <c r="K93" i="69" a="1"/>
  <c r="K93" i="69" s="1"/>
  <c r="K89" i="69" a="1"/>
  <c r="K89" i="69" s="1"/>
  <c r="K62" i="69" a="1"/>
  <c r="K62" i="69" s="1"/>
  <c r="K79" i="69" a="1"/>
  <c r="K79" i="69" s="1"/>
  <c r="K70" i="69" a="1"/>
  <c r="K70" i="69" s="1"/>
  <c r="K78" i="69" a="1"/>
  <c r="K78" i="69" s="1"/>
  <c r="K56" i="69" a="1"/>
  <c r="K56" i="69" s="1"/>
  <c r="K92" i="69" a="1"/>
  <c r="K92" i="69" s="1"/>
  <c r="K66" i="69" a="1"/>
  <c r="K66" i="69" s="1"/>
  <c r="K91" i="69" a="1"/>
  <c r="K91" i="69" s="1"/>
  <c r="K88" i="69" a="1"/>
  <c r="K88" i="69" s="1"/>
  <c r="K80" i="69" a="1"/>
  <c r="K80" i="69" s="1"/>
  <c r="K59" i="69" a="1"/>
  <c r="K59" i="69" s="1"/>
  <c r="AD23" i="69"/>
  <c r="BV23" i="69"/>
  <c r="BP23" i="69"/>
  <c r="BO23" i="69" s="1"/>
  <c r="BR23" i="69" s="1"/>
  <c r="BD23" i="69"/>
  <c r="BG23" i="69"/>
  <c r="BM23" i="69" a="1"/>
  <c r="BM23" i="69" s="1"/>
  <c r="BT23" i="69"/>
  <c r="R23" i="69"/>
  <c r="O31" i="72"/>
  <c r="O31" i="69"/>
  <c r="BK31" i="69"/>
  <c r="BF25" i="72" a="1"/>
  <c r="BF25" i="72" s="1"/>
  <c r="BE7" i="72" a="1"/>
  <c r="BE7" i="72" s="1"/>
  <c r="G326" i="15"/>
  <c r="CC29" i="72"/>
  <c r="AI29" i="72" s="1"/>
  <c r="CC23" i="72"/>
  <c r="AI23" i="72" s="1"/>
  <c r="AP23" i="72"/>
  <c r="CD23" i="72"/>
  <c r="BZ23" i="72" a="1"/>
  <c r="BZ23" i="72" s="1"/>
  <c r="CB23" i="72"/>
  <c r="AM23" i="72"/>
  <c r="CE23" i="72" a="1"/>
  <c r="CE23" i="72" s="1"/>
  <c r="AV23" i="72" a="1"/>
  <c r="AV23" i="72" s="1"/>
  <c r="C23" i="72"/>
  <c r="D23" i="72" s="1" a="1"/>
  <c r="D23" i="72" s="1"/>
  <c r="BN57" i="4"/>
  <c r="BF57" i="4" s="1" a="1"/>
  <c r="BF57" i="4" s="1"/>
  <c r="AD57" i="69"/>
  <c r="BI57" i="69"/>
  <c r="AD57" i="72"/>
  <c r="BR57" i="72"/>
  <c r="AH51" i="72" a="1"/>
  <c r="AH51" i="72" s="1"/>
  <c r="CC38" i="72"/>
  <c r="AI38" i="72" s="1"/>
  <c r="BK5" i="69"/>
  <c r="O5" i="72"/>
  <c r="O5" i="69"/>
  <c r="S36" i="4"/>
  <c r="T36" i="4"/>
  <c r="Z1628" i="13"/>
  <c r="G274" i="15"/>
  <c r="BE73" i="72" a="1"/>
  <c r="BE73" i="72" s="1"/>
  <c r="AW37" i="69" a="1"/>
  <c r="AW37" i="69" s="1"/>
  <c r="AW15" i="69" a="1"/>
  <c r="AW15" i="69" s="1"/>
  <c r="BE78" i="72" a="1"/>
  <c r="BE78" i="72" s="1"/>
  <c r="BF91" i="72" a="1"/>
  <c r="BF91" i="72" s="1"/>
  <c r="BE40" i="72" a="1"/>
  <c r="BE40" i="72" s="1"/>
  <c r="BF30" i="72" a="1"/>
  <c r="BF30" i="72" s="1"/>
  <c r="G405" i="15"/>
  <c r="G594" i="15"/>
  <c r="BU104" i="4"/>
  <c r="Z1747" i="13" s="1"/>
  <c r="BN76" i="4"/>
  <c r="BF76" i="4" s="1" a="1"/>
  <c r="BF76" i="4" s="1"/>
  <c r="AD76" i="69"/>
  <c r="BI76" i="69"/>
  <c r="AD76" i="72"/>
  <c r="BR76" i="72"/>
  <c r="S88" i="4"/>
  <c r="T88" i="4"/>
  <c r="Z1680" i="13"/>
  <c r="AW65" i="4" a="1"/>
  <c r="AW65" i="4" s="1"/>
  <c r="AU65" i="4" a="1"/>
  <c r="AU65" i="4" s="1"/>
  <c r="AV65" i="4"/>
  <c r="Y65" i="4"/>
  <c r="BR65" i="4"/>
  <c r="CB65" i="4"/>
  <c r="AV68" i="4"/>
  <c r="AW68" i="4" a="1"/>
  <c r="AW68" i="4" s="1"/>
  <c r="Y68" i="4"/>
  <c r="AU68" i="4" a="1"/>
  <c r="AU68" i="4" s="1"/>
  <c r="BR68" i="4"/>
  <c r="DA68" i="4"/>
  <c r="DB68" i="4" s="1"/>
  <c r="P70" i="9" s="1"/>
  <c r="CB68" i="4"/>
  <c r="T28" i="4"/>
  <c r="S28" i="4"/>
  <c r="Z1620" i="13"/>
  <c r="G560" i="15"/>
  <c r="S69" i="4"/>
  <c r="T69" i="4"/>
  <c r="Z1661" i="13"/>
  <c r="AY8" i="72" a="1"/>
  <c r="AY8" i="72" s="1"/>
  <c r="BI8" i="72" a="1"/>
  <c r="BI8" i="72" s="1"/>
  <c r="BD8" i="72" a="1"/>
  <c r="BD8" i="72" s="1"/>
  <c r="BE8" i="72" a="1"/>
  <c r="BE8" i="72" s="1"/>
  <c r="BF8" i="72" a="1"/>
  <c r="BF8" i="72" s="1"/>
  <c r="AZ8" i="72" a="1"/>
  <c r="AZ8" i="72" s="1"/>
  <c r="AH8" i="72" a="1"/>
  <c r="AH8" i="72" s="1"/>
  <c r="AJ8" i="72" a="1"/>
  <c r="AJ8" i="72" s="1"/>
  <c r="BJ8" i="72" a="1"/>
  <c r="BJ8" i="72" s="1"/>
  <c r="AX8" i="72" a="1"/>
  <c r="AX8" i="72" s="1"/>
  <c r="AR8" i="72" a="1"/>
  <c r="AR8" i="72" s="1"/>
  <c r="BG8" i="72" a="1"/>
  <c r="BG8" i="72" s="1"/>
  <c r="Y66" i="4"/>
  <c r="AU66" i="4" a="1"/>
  <c r="AU66" i="4" s="1"/>
  <c r="AW66" i="4" a="1"/>
  <c r="AW66" i="4" s="1"/>
  <c r="AV66" i="4"/>
  <c r="BR66" i="4"/>
  <c r="CB66" i="4"/>
  <c r="DA66" i="4"/>
  <c r="DB66" i="4" s="1"/>
  <c r="P68" i="9" s="1"/>
  <c r="Z1612" i="13"/>
  <c r="T20" i="4"/>
  <c r="S20" i="4"/>
  <c r="G448" i="15"/>
  <c r="T60" i="4"/>
  <c r="Z1652" i="13"/>
  <c r="S60" i="4"/>
  <c r="G694" i="15"/>
  <c r="AG64" i="69" a="1"/>
  <c r="AG64" i="69" s="1"/>
  <c r="G81" i="15"/>
  <c r="G265" i="15"/>
  <c r="G531" i="15"/>
  <c r="AD58" i="69"/>
  <c r="BK58" i="69"/>
  <c r="O58" i="69"/>
  <c r="O58" i="72"/>
  <c r="BT58" i="72"/>
  <c r="Y84" i="4"/>
  <c r="AU84" i="4" a="1"/>
  <c r="AU84" i="4" s="1"/>
  <c r="AV84" i="4"/>
  <c r="AW84" i="4" a="1"/>
  <c r="AW84" i="4" s="1"/>
  <c r="BR84" i="4"/>
  <c r="CB84" i="4"/>
  <c r="AX1551" i="13"/>
  <c r="AV1551" i="13"/>
  <c r="AV1650" i="13" s="1"/>
  <c r="A1650" i="13"/>
  <c r="AX1650" i="13" s="1"/>
  <c r="Z1671" i="13"/>
  <c r="T79" i="4"/>
  <c r="S79" i="4"/>
  <c r="G108" i="15"/>
  <c r="G442" i="15"/>
  <c r="AV79" i="4"/>
  <c r="AU79" i="4" a="1"/>
  <c r="AU79" i="4" s="1"/>
  <c r="AW79" i="4" a="1"/>
  <c r="AW79" i="4" s="1"/>
  <c r="Y79" i="4"/>
  <c r="BR79" i="4"/>
  <c r="CB79" i="4"/>
  <c r="C20" i="69"/>
  <c r="D20" i="69" s="1" a="1"/>
  <c r="D20" i="69" s="1"/>
  <c r="C20" i="72"/>
  <c r="D20" i="72" s="1" a="1"/>
  <c r="D20" i="72" s="1"/>
  <c r="G628" i="15"/>
  <c r="H45" i="72"/>
  <c r="H45" i="69"/>
  <c r="G279" i="15"/>
  <c r="G433" i="15"/>
  <c r="G446" i="15"/>
  <c r="AH62" i="69" a="1"/>
  <c r="AH62" i="69" s="1"/>
  <c r="AK62" i="69" a="1"/>
  <c r="AK62" i="69" s="1"/>
  <c r="AI62" i="69" a="1"/>
  <c r="AI62" i="69" s="1"/>
  <c r="AW62" i="69" a="1"/>
  <c r="AW62" i="69" s="1"/>
  <c r="AF62" i="69" a="1"/>
  <c r="AF62" i="69" s="1"/>
  <c r="AN62" i="69" a="1"/>
  <c r="AN62" i="69" s="1"/>
  <c r="AU62" i="69" a="1"/>
  <c r="AU62" i="69" s="1"/>
  <c r="AV62" i="69" a="1"/>
  <c r="AV62" i="69" s="1"/>
  <c r="AZ62" i="69" a="1"/>
  <c r="AZ62" i="69" s="1"/>
  <c r="AG62" i="69" a="1"/>
  <c r="AG62" i="69" s="1"/>
  <c r="AO62" i="69" a="1"/>
  <c r="AO62" i="69" s="1"/>
  <c r="AQ62" i="69" a="1"/>
  <c r="AQ62" i="69" s="1"/>
  <c r="BA62" i="69" a="1"/>
  <c r="BA62" i="69" s="1"/>
  <c r="AX62" i="69" a="1"/>
  <c r="AX62" i="69" s="1"/>
  <c r="O61" i="72"/>
  <c r="BK61" i="69"/>
  <c r="O61" i="69"/>
  <c r="G620" i="15"/>
  <c r="A1641" i="13"/>
  <c r="AX1641" i="13" s="1"/>
  <c r="AX1542" i="13"/>
  <c r="AV1542" i="13"/>
  <c r="AV1641" i="13" s="1"/>
  <c r="BU107" i="4"/>
  <c r="BS108" i="4" s="1"/>
  <c r="AY566" i="13"/>
  <c r="AR66" i="4"/>
  <c r="AS66" i="4"/>
  <c r="AV78" i="69" a="1"/>
  <c r="AV78" i="69" s="1"/>
  <c r="AW63" i="4" a="1"/>
  <c r="AW63" i="4" s="1"/>
  <c r="AV63" i="4"/>
  <c r="AU63" i="4" a="1"/>
  <c r="AU63" i="4" s="1"/>
  <c r="Y63" i="4"/>
  <c r="DA63" i="4"/>
  <c r="DB63" i="4" s="1"/>
  <c r="P65" i="9" s="1"/>
  <c r="BR63" i="4"/>
  <c r="CB63" i="4"/>
  <c r="A1679" i="13"/>
  <c r="AX1679" i="13" s="1"/>
  <c r="AX1580" i="13"/>
  <c r="AV1580" i="13"/>
  <c r="AV1679" i="13" s="1"/>
  <c r="BF51" i="72" a="1"/>
  <c r="BF51" i="72" s="1"/>
  <c r="K78" i="72" a="1"/>
  <c r="K78" i="72" s="1"/>
  <c r="AO55" i="72"/>
  <c r="BA55" i="72"/>
  <c r="N55" i="72" a="1"/>
  <c r="N55" i="72" s="1"/>
  <c r="AE55" i="72"/>
  <c r="J55" i="72"/>
  <c r="Q55" i="72"/>
  <c r="M55" i="72"/>
  <c r="S55" i="72"/>
  <c r="S97" i="72" s="1"/>
  <c r="BB55" i="72"/>
  <c r="P55" i="72"/>
  <c r="T55" i="72"/>
  <c r="AN55" i="72"/>
  <c r="CC64" i="72" s="1"/>
  <c r="AI64" i="72" s="1"/>
  <c r="B55" i="72"/>
  <c r="BL55" i="72"/>
  <c r="Y55" i="72"/>
  <c r="BY55" i="72" s="1"/>
  <c r="Z55" i="72"/>
  <c r="K55" i="72" a="1"/>
  <c r="K55" i="72" s="1"/>
  <c r="AQ55" i="72"/>
  <c r="AG55" i="72"/>
  <c r="AC55" i="72"/>
  <c r="A55" i="72"/>
  <c r="M28" i="73" s="1" a="1"/>
  <c r="M28" i="73" s="1"/>
  <c r="W55" i="72"/>
  <c r="X55" i="72"/>
  <c r="BK55" i="72"/>
  <c r="AB55" i="72"/>
  <c r="G55" i="72"/>
  <c r="AA55" i="72" a="1"/>
  <c r="AA55" i="72" s="1"/>
  <c r="U55" i="72" a="1"/>
  <c r="U55" i="72" s="1"/>
  <c r="U97" i="72" s="1"/>
  <c r="K58" i="72" a="1"/>
  <c r="K58" i="72" s="1"/>
  <c r="K56" i="72" a="1"/>
  <c r="K56" i="72" s="1"/>
  <c r="K88" i="72" a="1"/>
  <c r="K88" i="72" s="1"/>
  <c r="K85" i="72" a="1"/>
  <c r="K85" i="72" s="1"/>
  <c r="K71" i="72" a="1"/>
  <c r="K71" i="72" s="1"/>
  <c r="K86" i="72" a="1"/>
  <c r="K86" i="72" s="1"/>
  <c r="K93" i="72" a="1"/>
  <c r="K93" i="72" s="1"/>
  <c r="K91" i="72" a="1"/>
  <c r="K91" i="72" s="1"/>
  <c r="K92" i="72" a="1"/>
  <c r="K92" i="72" s="1"/>
  <c r="K63" i="72" a="1"/>
  <c r="K63" i="72" s="1"/>
  <c r="K83" i="72" a="1"/>
  <c r="K83" i="72" s="1"/>
  <c r="K68" i="72" a="1"/>
  <c r="K68" i="72" s="1"/>
  <c r="K82" i="72" a="1"/>
  <c r="K82" i="72" s="1"/>
  <c r="K80" i="72" a="1"/>
  <c r="K80" i="72" s="1"/>
  <c r="K72" i="72" a="1"/>
  <c r="K72" i="72" s="1"/>
  <c r="K61" i="72" a="1"/>
  <c r="K61" i="72" s="1"/>
  <c r="K70" i="72" a="1"/>
  <c r="K70" i="72" s="1"/>
  <c r="K62" i="72" a="1"/>
  <c r="K62" i="72" s="1"/>
  <c r="K64" i="72" a="1"/>
  <c r="K64" i="72" s="1"/>
  <c r="K74" i="72" a="1"/>
  <c r="K74" i="72" s="1"/>
  <c r="K75" i="72" a="1"/>
  <c r="K75" i="72" s="1"/>
  <c r="K81" i="72" a="1"/>
  <c r="K81" i="72" s="1"/>
  <c r="K89" i="72" a="1"/>
  <c r="K89" i="72" s="1"/>
  <c r="K76" i="72" a="1"/>
  <c r="K76" i="72" s="1"/>
  <c r="K84" i="72" a="1"/>
  <c r="K84" i="72" s="1"/>
  <c r="K66" i="72" a="1"/>
  <c r="K66" i="72" s="1"/>
  <c r="K79" i="72" a="1"/>
  <c r="K79" i="72" s="1"/>
  <c r="K59" i="72" a="1"/>
  <c r="K59" i="72" s="1"/>
  <c r="BF20" i="72" a="1"/>
  <c r="BF20" i="72" s="1"/>
  <c r="G209" i="15"/>
  <c r="BE12" i="72" a="1"/>
  <c r="BE12" i="72" s="1"/>
  <c r="Z1668" i="13"/>
  <c r="S76" i="4"/>
  <c r="T76" i="4"/>
  <c r="AT26" i="69" a="1"/>
  <c r="AT26" i="69" s="1"/>
  <c r="H40" i="72"/>
  <c r="H40" i="69"/>
  <c r="BF1767" i="13"/>
  <c r="K96" i="72" a="1"/>
  <c r="K96" i="72" s="1"/>
  <c r="BO23" i="72"/>
  <c r="BN23" i="72"/>
  <c r="G480" i="15"/>
  <c r="G698" i="15"/>
  <c r="AS90" i="4"/>
  <c r="AY590" i="13"/>
  <c r="AR90" i="4"/>
  <c r="G336" i="15"/>
  <c r="A1622" i="13"/>
  <c r="AX1622" i="13" s="1"/>
  <c r="AX1523" i="13"/>
  <c r="AV1523" i="13"/>
  <c r="AV1622" i="13" s="1"/>
  <c r="G549" i="15"/>
  <c r="AV65" i="69" a="1"/>
  <c r="AV65" i="69" s="1"/>
  <c r="AV45" i="69" a="1"/>
  <c r="AV45" i="69" s="1"/>
  <c r="G120" i="15"/>
  <c r="BF86" i="72" a="1"/>
  <c r="BF86" i="72" s="1"/>
  <c r="AV84" i="69" a="1"/>
  <c r="AV84" i="69" s="1"/>
  <c r="AN20" i="69" a="1"/>
  <c r="AN20" i="69" s="1"/>
  <c r="AV1526" i="13"/>
  <c r="AV1625" i="13" s="1"/>
  <c r="A1625" i="13"/>
  <c r="AX1625" i="13" s="1"/>
  <c r="AX1526" i="13"/>
  <c r="BN78" i="4"/>
  <c r="BF78" i="4" s="1" a="1"/>
  <c r="BF78" i="4" s="1"/>
  <c r="BI78" i="69"/>
  <c r="AD78" i="69"/>
  <c r="BR78" i="72"/>
  <c r="AD78" i="72"/>
  <c r="BT106" i="4"/>
  <c r="BR108" i="4" s="1"/>
  <c r="AX1501" i="13"/>
  <c r="AV1501" i="13"/>
  <c r="AV1600" i="13" s="1"/>
  <c r="A1600" i="13"/>
  <c r="AX1600" i="13" s="1"/>
  <c r="BI55" i="4"/>
  <c r="BI97" i="4" s="1"/>
  <c r="BF108" i="4" s="1"/>
  <c r="DX55" i="4"/>
  <c r="AV557" i="13"/>
  <c r="BM55" i="4"/>
  <c r="G3" i="1" s="1" a="1"/>
  <c r="G3" i="1" s="1"/>
  <c r="G101" i="1" s="1"/>
  <c r="AV1578" i="13"/>
  <c r="AV1677" i="13" s="1"/>
  <c r="AX1578" i="13"/>
  <c r="A1677" i="13"/>
  <c r="AX1677" i="13" s="1"/>
  <c r="G634" i="15"/>
  <c r="A1673" i="13"/>
  <c r="AX1673" i="13" s="1"/>
  <c r="AV1574" i="13"/>
  <c r="AV1673" i="13" s="1"/>
  <c r="AX1574" i="13"/>
  <c r="G421" i="15"/>
  <c r="BN73" i="69" a="1"/>
  <c r="BN73" i="69" s="1"/>
  <c r="AU73" i="69" a="1"/>
  <c r="AU73" i="69" s="1"/>
  <c r="AN73" i="69" a="1"/>
  <c r="AN73" i="69" s="1"/>
  <c r="AF73" i="69" a="1"/>
  <c r="AF73" i="69" s="1"/>
  <c r="AQ73" i="69" a="1"/>
  <c r="AQ73" i="69" s="1"/>
  <c r="AV73" i="69" a="1"/>
  <c r="AV73" i="69" s="1"/>
  <c r="AZ73" i="69" a="1"/>
  <c r="AZ73" i="69" s="1"/>
  <c r="AI73" i="69" a="1"/>
  <c r="AI73" i="69" s="1"/>
  <c r="AG73" i="69" a="1"/>
  <c r="AG73" i="69" s="1"/>
  <c r="AO73" i="69" a="1"/>
  <c r="AO73" i="69" s="1"/>
  <c r="BA73" i="69" a="1"/>
  <c r="BA73" i="69" s="1"/>
  <c r="AH73" i="69" a="1"/>
  <c r="AH73" i="69" s="1"/>
  <c r="AW73" i="69" a="1"/>
  <c r="AW73" i="69" s="1"/>
  <c r="AK73" i="69" a="1"/>
  <c r="AK73" i="69" s="1"/>
  <c r="AX73" i="69" a="1"/>
  <c r="AX73" i="69" s="1"/>
  <c r="A1632" i="13"/>
  <c r="AX1632" i="13" s="1"/>
  <c r="AX1533" i="13"/>
  <c r="AV1533" i="13"/>
  <c r="AV1632" i="13" s="1"/>
  <c r="AX1544" i="13"/>
  <c r="AV1544" i="13"/>
  <c r="AV1643" i="13" s="1"/>
  <c r="A1643" i="13"/>
  <c r="AX1643" i="13" s="1"/>
  <c r="AR80" i="4"/>
  <c r="AY580" i="13"/>
  <c r="AS80" i="4"/>
  <c r="Y92" i="4"/>
  <c r="AV92" i="4"/>
  <c r="AW92" i="4" a="1"/>
  <c r="AW92" i="4" s="1"/>
  <c r="AU92" i="4" a="1"/>
  <c r="AU92" i="4" s="1"/>
  <c r="CB92" i="4"/>
  <c r="DA92" i="4"/>
  <c r="DB92" i="4" s="1"/>
  <c r="BR92" i="4"/>
  <c r="BD77" i="72" a="1"/>
  <c r="BD77" i="72" s="1"/>
  <c r="AJ77" i="72" a="1"/>
  <c r="AJ77" i="72" s="1"/>
  <c r="BJ77" i="72" a="1"/>
  <c r="BJ77" i="72" s="1"/>
  <c r="BI77" i="72" a="1"/>
  <c r="BI77" i="72" s="1"/>
  <c r="AX77" i="72" a="1"/>
  <c r="AX77" i="72" s="1"/>
  <c r="AZ77" i="72" a="1"/>
  <c r="AZ77" i="72" s="1"/>
  <c r="BE77" i="72" a="1"/>
  <c r="BE77" i="72" s="1"/>
  <c r="AR77" i="72" a="1"/>
  <c r="AR77" i="72" s="1"/>
  <c r="BG77" i="72" a="1"/>
  <c r="BG77" i="72" s="1"/>
  <c r="S18" i="4"/>
  <c r="T18" i="4"/>
  <c r="Z1610" i="13"/>
  <c r="G228" i="15"/>
  <c r="AV1553" i="13"/>
  <c r="AV1652" i="13" s="1"/>
  <c r="AX1553" i="13"/>
  <c r="A1652" i="13"/>
  <c r="AX1652" i="13" s="1"/>
  <c r="AV1522" i="13"/>
  <c r="AV1621" i="13" s="1"/>
  <c r="AX1522" i="13"/>
  <c r="A1621" i="13"/>
  <c r="AX1621" i="13" s="1"/>
  <c r="Y67" i="4"/>
  <c r="AV67" i="4"/>
  <c r="AW67" i="4" a="1"/>
  <c r="AW67" i="4" s="1"/>
  <c r="AU67" i="4" a="1"/>
  <c r="AU67" i="4" s="1"/>
  <c r="CB67" i="4"/>
  <c r="DA67" i="4"/>
  <c r="DB67" i="4" s="1"/>
  <c r="P69" i="9" s="1"/>
  <c r="BR67" i="4"/>
  <c r="AW94" i="4" a="1"/>
  <c r="AW94" i="4" s="1"/>
  <c r="Y94" i="4"/>
  <c r="AU94" i="4" a="1"/>
  <c r="AU94" i="4" s="1"/>
  <c r="AV94" i="4"/>
  <c r="BR94" i="4"/>
  <c r="CB94" i="4"/>
  <c r="DA94" i="4"/>
  <c r="DB94" i="4" s="1"/>
  <c r="P96" i="9" s="1"/>
  <c r="O78" i="72"/>
  <c r="BK78" i="69"/>
  <c r="O78" i="69"/>
  <c r="AU40" i="69" a="1"/>
  <c r="AU40" i="69" s="1"/>
  <c r="AZ40" i="69" a="1"/>
  <c r="AZ40" i="69" s="1"/>
  <c r="AF40" i="69" a="1"/>
  <c r="AF40" i="69" s="1"/>
  <c r="AQ40" i="69" a="1"/>
  <c r="AQ40" i="69" s="1"/>
  <c r="AI40" i="69" a="1"/>
  <c r="AI40" i="69" s="1"/>
  <c r="AV40" i="69" a="1"/>
  <c r="AV40" i="69" s="1"/>
  <c r="AN40" i="69" a="1"/>
  <c r="AN40" i="69" s="1"/>
  <c r="BA40" i="69" a="1"/>
  <c r="BA40" i="69" s="1"/>
  <c r="AH40" i="69" a="1"/>
  <c r="AH40" i="69" s="1"/>
  <c r="AK40" i="69" a="1"/>
  <c r="AK40" i="69" s="1"/>
  <c r="AX40" i="69" a="1"/>
  <c r="AX40" i="69" s="1"/>
  <c r="AX1575" i="13"/>
  <c r="AV1575" i="13"/>
  <c r="AV1674" i="13" s="1"/>
  <c r="A1674" i="13"/>
  <c r="AX1674" i="13" s="1"/>
  <c r="AV86" i="4"/>
  <c r="AW86" i="4" a="1"/>
  <c r="AW86" i="4" s="1"/>
  <c r="Y86" i="4"/>
  <c r="AU86" i="4" a="1"/>
  <c r="AU86" i="4" s="1"/>
  <c r="BR86" i="4"/>
  <c r="CB86" i="4"/>
  <c r="AV1515" i="13"/>
  <c r="AV1614" i="13" s="1"/>
  <c r="AX1515" i="13"/>
  <c r="A1614" i="13"/>
  <c r="AX1614" i="13" s="1"/>
  <c r="G578" i="15"/>
  <c r="BC17" i="72" a="1"/>
  <c r="BC17" i="72" s="1"/>
  <c r="BD17" i="72" a="1"/>
  <c r="BD17" i="72" s="1"/>
  <c r="AH17" i="72" a="1"/>
  <c r="AH17" i="72" s="1"/>
  <c r="AR17" i="72" a="1"/>
  <c r="AR17" i="72" s="1"/>
  <c r="AX17" i="72" a="1"/>
  <c r="AX17" i="72" s="1"/>
  <c r="AJ17" i="72" a="1"/>
  <c r="AJ17" i="72" s="1"/>
  <c r="AZ17" i="72" a="1"/>
  <c r="AZ17" i="72" s="1"/>
  <c r="BI17" i="72" a="1"/>
  <c r="BI17" i="72" s="1"/>
  <c r="BF17" i="72" a="1"/>
  <c r="BF17" i="72" s="1"/>
  <c r="BJ17" i="72" a="1"/>
  <c r="BJ17" i="72" s="1"/>
  <c r="BE17" i="72" a="1"/>
  <c r="BE17" i="72" s="1"/>
  <c r="BG17" i="72" a="1"/>
  <c r="BG17" i="72" s="1"/>
  <c r="Z1769" i="13"/>
  <c r="AV1727" i="13"/>
  <c r="AB1727" i="13"/>
  <c r="AY571" i="13"/>
  <c r="AS71" i="4"/>
  <c r="AR71" i="4"/>
  <c r="G486" i="15"/>
  <c r="A1654" i="13"/>
  <c r="AX1654" i="13" s="1"/>
  <c r="AV1555" i="13"/>
  <c r="AV1654" i="13" s="1"/>
  <c r="AX1555" i="13"/>
  <c r="G233" i="15"/>
  <c r="O66" i="69"/>
  <c r="O66" i="72"/>
  <c r="BK66" i="69"/>
  <c r="BE61" i="72" a="1"/>
  <c r="BE61" i="72" s="1"/>
  <c r="H53" i="69"/>
  <c r="H53" i="72"/>
  <c r="AV1252" i="13"/>
  <c r="AG3" i="1" s="1" a="1"/>
  <c r="AG3" i="1" s="1"/>
  <c r="AG101" i="1" s="1"/>
  <c r="Z97" i="4"/>
  <c r="G242" i="15"/>
  <c r="BN75" i="4"/>
  <c r="BF75" i="4" s="1" a="1"/>
  <c r="BF75" i="4" s="1"/>
  <c r="AD75" i="69"/>
  <c r="BR75" i="72"/>
  <c r="AD75" i="72"/>
  <c r="BI75" i="69"/>
  <c r="AD84" i="69"/>
  <c r="AD84" i="72"/>
  <c r="O84" i="69"/>
  <c r="BK84" i="69"/>
  <c r="O84" i="72"/>
  <c r="S29" i="4"/>
  <c r="Z1621" i="13"/>
  <c r="T29" i="4"/>
  <c r="BW18" i="72" a="1"/>
  <c r="BW18" i="72" s="1"/>
  <c r="AJ18" i="72" a="1"/>
  <c r="AJ18" i="72" s="1"/>
  <c r="AZ18" i="72" a="1"/>
  <c r="AZ18" i="72" s="1"/>
  <c r="AX18" i="72" a="1"/>
  <c r="AX18" i="72" s="1"/>
  <c r="BJ18" i="72" a="1"/>
  <c r="BJ18" i="72" s="1"/>
  <c r="BF18" i="72" a="1"/>
  <c r="BF18" i="72" s="1"/>
  <c r="BI18" i="72" a="1"/>
  <c r="BI18" i="72" s="1"/>
  <c r="BD18" i="72" a="1"/>
  <c r="BD18" i="72" s="1"/>
  <c r="BG18" i="72" a="1"/>
  <c r="BG18" i="72" s="1"/>
  <c r="C50" i="72"/>
  <c r="D50" i="72" s="1" a="1"/>
  <c r="D50" i="72" s="1"/>
  <c r="C50" i="69"/>
  <c r="D50" i="69" s="1" a="1"/>
  <c r="D50" i="69" s="1"/>
  <c r="G670" i="15"/>
  <c r="BQ60" i="72"/>
  <c r="CF60" i="72" a="1"/>
  <c r="CF60" i="72" s="1"/>
  <c r="AH60" i="72" s="1" a="1"/>
  <c r="AH60" i="72" s="1"/>
  <c r="CG60" i="72" a="1"/>
  <c r="CG60" i="72" s="1"/>
  <c r="E60" i="72"/>
  <c r="AG40" i="69" a="1"/>
  <c r="AG40" i="69" s="1"/>
  <c r="G337" i="15"/>
  <c r="BS79" i="4"/>
  <c r="BF77" i="72" a="1"/>
  <c r="BF77" i="72" s="1"/>
  <c r="C45" i="72"/>
  <c r="D45" i="72" s="1" a="1"/>
  <c r="D45" i="72" s="1"/>
  <c r="C45" i="69"/>
  <c r="D45" i="69" s="1" a="1"/>
  <c r="D45" i="69" s="1"/>
  <c r="AX1520" i="13"/>
  <c r="AV1520" i="13"/>
  <c r="AV1619" i="13" s="1"/>
  <c r="A1619" i="13"/>
  <c r="AX1619" i="13" s="1"/>
  <c r="AK78" i="69" a="1"/>
  <c r="AK78" i="69" s="1"/>
  <c r="AO78" i="69" a="1"/>
  <c r="AO78" i="69" s="1"/>
  <c r="BA78" i="69" a="1"/>
  <c r="BA78" i="69" s="1"/>
  <c r="AF78" i="69" a="1"/>
  <c r="AF78" i="69" s="1"/>
  <c r="AN78" i="69" a="1"/>
  <c r="AN78" i="69" s="1"/>
  <c r="AQ78" i="69" a="1"/>
  <c r="AQ78" i="69" s="1"/>
  <c r="AU78" i="69" a="1"/>
  <c r="AU78" i="69" s="1"/>
  <c r="AZ78" i="69" a="1"/>
  <c r="AZ78" i="69" s="1"/>
  <c r="AI78" i="69" a="1"/>
  <c r="AI78" i="69" s="1"/>
  <c r="AH78" i="69" a="1"/>
  <c r="AH78" i="69" s="1"/>
  <c r="AG78" i="69" a="1"/>
  <c r="AG78" i="69" s="1"/>
  <c r="AW78" i="69" a="1"/>
  <c r="AW78" i="69" s="1"/>
  <c r="AX78" i="69" a="1"/>
  <c r="AX78" i="69" s="1"/>
  <c r="AV51" i="69" a="1"/>
  <c r="AV51" i="69" s="1"/>
  <c r="BC42" i="72" a="1"/>
  <c r="BC42" i="72" s="1"/>
  <c r="BJ42" i="72" a="1"/>
  <c r="BJ42" i="72" s="1"/>
  <c r="BF42" i="72" a="1"/>
  <c r="BF42" i="72" s="1"/>
  <c r="BI42" i="72" a="1"/>
  <c r="BI42" i="72" s="1"/>
  <c r="BE42" i="72" a="1"/>
  <c r="BE42" i="72" s="1"/>
  <c r="AJ42" i="72" a="1"/>
  <c r="AJ42" i="72" s="1"/>
  <c r="BD42" i="72" a="1"/>
  <c r="BD42" i="72" s="1"/>
  <c r="AH42" i="72" a="1"/>
  <c r="AH42" i="72" s="1"/>
  <c r="AR42" i="72" a="1"/>
  <c r="AR42" i="72" s="1"/>
  <c r="AX42" i="72" a="1"/>
  <c r="AX42" i="72" s="1"/>
  <c r="AZ42" i="72" a="1"/>
  <c r="AZ42" i="72" s="1"/>
  <c r="BG42" i="72" a="1"/>
  <c r="BG42" i="72" s="1"/>
  <c r="AN8" i="69" a="1"/>
  <c r="AN8" i="69" s="1"/>
  <c r="AX1564" i="13"/>
  <c r="A1663" i="13"/>
  <c r="AX1663" i="13" s="1"/>
  <c r="AV1564" i="13"/>
  <c r="AV1663" i="13" s="1"/>
  <c r="Y96" i="4"/>
  <c r="AU96" i="4" a="1"/>
  <c r="AU96" i="4" s="1"/>
  <c r="AV96" i="4"/>
  <c r="AW96" i="4" a="1"/>
  <c r="AW96" i="4" s="1"/>
  <c r="CB96" i="4"/>
  <c r="BR96" i="4"/>
  <c r="DA96" i="4"/>
  <c r="DB96" i="4" s="1"/>
  <c r="BN62" i="4"/>
  <c r="BF62" i="4" s="1" a="1"/>
  <c r="BF62" i="4" s="1"/>
  <c r="BR62" i="72"/>
  <c r="BI62" i="69"/>
  <c r="BN64" i="4"/>
  <c r="BF64" i="4" s="1" a="1"/>
  <c r="BF64" i="4" s="1"/>
  <c r="BI64" i="69"/>
  <c r="BR64" i="72"/>
  <c r="AD64" i="72"/>
  <c r="AD64" i="69"/>
  <c r="AP78" i="69" a="1"/>
  <c r="AP78" i="69" s="1"/>
  <c r="G367" i="15"/>
  <c r="G373" i="15"/>
  <c r="G603" i="15"/>
  <c r="BG59" i="72" a="1"/>
  <c r="BG59" i="72" s="1"/>
  <c r="AX59" i="72" a="1"/>
  <c r="AX59" i="72" s="1"/>
  <c r="AZ59" i="72" a="1"/>
  <c r="AZ59" i="72" s="1"/>
  <c r="AJ59" i="72" a="1"/>
  <c r="AJ59" i="72" s="1"/>
  <c r="BJ59" i="72" a="1"/>
  <c r="BJ59" i="72" s="1"/>
  <c r="BF59" i="72" a="1"/>
  <c r="BF59" i="72" s="1"/>
  <c r="BE59" i="72" a="1"/>
  <c r="BE59" i="72" s="1"/>
  <c r="BI59" i="72" a="1"/>
  <c r="BI59" i="72" s="1"/>
  <c r="BD59" i="72" a="1"/>
  <c r="BD59" i="72" s="1"/>
  <c r="BF16" i="72" a="1"/>
  <c r="BF16" i="72" s="1"/>
  <c r="AE97" i="4"/>
  <c r="AQ115" i="72" a="1"/>
  <c r="AQ115" i="72" s="1"/>
  <c r="K101" i="1"/>
  <c r="AM130" i="72" a="1"/>
  <c r="AM130" i="72" s="1"/>
  <c r="AM129" i="72" a="1"/>
  <c r="AM129" i="72" s="1"/>
  <c r="AM128" i="72" a="1"/>
  <c r="AM128" i="72" s="1"/>
  <c r="AM124" i="72" a="1"/>
  <c r="AM124" i="72" s="1"/>
  <c r="AM125" i="72" a="1"/>
  <c r="AM125" i="72" s="1"/>
  <c r="AM127" i="72" a="1"/>
  <c r="AM127" i="72" s="1"/>
  <c r="AM126" i="72" a="1"/>
  <c r="AM126" i="72" s="1"/>
  <c r="BW51" i="72" a="1"/>
  <c r="BW51" i="72" s="1"/>
  <c r="AT62" i="69" a="1"/>
  <c r="AT62" i="69" s="1"/>
  <c r="C19" i="72"/>
  <c r="D19" i="72" s="1" a="1"/>
  <c r="D19" i="72" s="1"/>
  <c r="C19" i="69"/>
  <c r="D19" i="69" s="1" a="1"/>
  <c r="D19" i="69" s="1"/>
  <c r="K96" i="69" a="1"/>
  <c r="K96" i="69" s="1"/>
  <c r="BK23" i="69"/>
  <c r="AV1563" i="13"/>
  <c r="AV1662" i="13" s="1"/>
  <c r="A1662" i="13"/>
  <c r="AX1662" i="13" s="1"/>
  <c r="AX1563" i="13"/>
  <c r="AG17" i="69" a="1"/>
  <c r="AG17" i="69" s="1"/>
  <c r="BF92" i="72" a="1"/>
  <c r="BF92" i="72" s="1"/>
  <c r="AP5" i="69" a="1"/>
  <c r="AP5" i="69" s="1"/>
  <c r="AH5" i="69" a="1"/>
  <c r="AH5" i="69" s="1"/>
  <c r="AU5" i="69" a="1"/>
  <c r="AU5" i="69" s="1"/>
  <c r="BA5" i="69" a="1"/>
  <c r="BA5" i="69" s="1"/>
  <c r="AW5" i="69" a="1"/>
  <c r="AW5" i="69" s="1"/>
  <c r="AN5" i="69" a="1"/>
  <c r="AN5" i="69" s="1"/>
  <c r="AF5" i="69" a="1"/>
  <c r="AF5" i="69" s="1"/>
  <c r="AQ5" i="69" a="1"/>
  <c r="AQ5" i="69" s="1"/>
  <c r="AK5" i="69" a="1"/>
  <c r="AK5" i="69" s="1"/>
  <c r="AV5" i="69" a="1"/>
  <c r="AV5" i="69" s="1"/>
  <c r="AI5" i="69" a="1"/>
  <c r="AI5" i="69" s="1"/>
  <c r="AZ5" i="69" a="1"/>
  <c r="AZ5" i="69" s="1"/>
  <c r="AG5" i="69" a="1"/>
  <c r="AG5" i="69" s="1"/>
  <c r="AO5" i="69" a="1"/>
  <c r="AO5" i="69" s="1"/>
  <c r="AX5" i="69" a="1"/>
  <c r="AX5" i="69" s="1"/>
  <c r="K58" i="69" a="1"/>
  <c r="K58" i="69" s="1"/>
  <c r="BC51" i="72" a="1"/>
  <c r="BC51" i="72" s="1"/>
  <c r="AX53" i="69" a="1"/>
  <c r="AX53" i="69" s="1"/>
  <c r="AF53" i="69" a="1"/>
  <c r="AF53" i="69" s="1"/>
  <c r="AI53" i="69" a="1"/>
  <c r="AI53" i="69" s="1"/>
  <c r="AV53" i="69" a="1"/>
  <c r="AV53" i="69" s="1"/>
  <c r="AO53" i="69" a="1"/>
  <c r="AO53" i="69" s="1"/>
  <c r="AH53" i="69" a="1"/>
  <c r="AH53" i="69" s="1"/>
  <c r="AZ53" i="69" a="1"/>
  <c r="AZ53" i="69" s="1"/>
  <c r="AW53" i="69" a="1"/>
  <c r="AW53" i="69" s="1"/>
  <c r="AU53" i="69" a="1"/>
  <c r="AU53" i="69" s="1"/>
  <c r="BA53" i="69" a="1"/>
  <c r="BA53" i="69" s="1"/>
  <c r="AQ53" i="69" a="1"/>
  <c r="AQ53" i="69" s="1"/>
  <c r="AK53" i="69" a="1"/>
  <c r="AK53" i="69" s="1"/>
  <c r="AG53" i="69" a="1"/>
  <c r="AG53" i="69" s="1"/>
  <c r="R43" i="15" a="1"/>
  <c r="R43" i="15" s="1"/>
  <c r="AG47" i="69" a="1"/>
  <c r="AG47" i="69" s="1"/>
  <c r="K95" i="69" a="1"/>
  <c r="K95" i="69" s="1"/>
  <c r="AW81" i="69" a="1"/>
  <c r="AW81" i="69" s="1"/>
  <c r="AV74" i="69" a="1"/>
  <c r="AV74" i="69" s="1"/>
  <c r="AG65" i="69" a="1"/>
  <c r="AG65" i="69" s="1"/>
  <c r="AG45" i="69" a="1"/>
  <c r="AG45" i="69" s="1"/>
  <c r="AG84" i="69" a="1"/>
  <c r="AG84" i="69" s="1"/>
  <c r="AG70" i="69" a="1"/>
  <c r="AG70" i="69" s="1"/>
  <c r="AV11" i="69" a="1"/>
  <c r="AV11" i="69" s="1"/>
  <c r="AG25" i="69" a="1"/>
  <c r="AG25" i="69" s="1"/>
  <c r="AW12" i="69" a="1"/>
  <c r="AW12" i="69" s="1"/>
  <c r="AW27" i="69" a="1"/>
  <c r="AW27" i="69" s="1"/>
  <c r="AV28" i="69" a="1"/>
  <c r="AV28" i="69" s="1"/>
  <c r="AV77" i="69" a="1"/>
  <c r="AV77" i="69" s="1"/>
  <c r="AB1725" i="13"/>
  <c r="AV1725" i="13"/>
  <c r="Z1767" i="13"/>
  <c r="AV57" i="4"/>
  <c r="Y57" i="4"/>
  <c r="AW57" i="4" a="1"/>
  <c r="AW57" i="4" s="1"/>
  <c r="AU57" i="4" a="1"/>
  <c r="AU57" i="4" s="1"/>
  <c r="BR57" i="4"/>
  <c r="CB57" i="4"/>
  <c r="AT24" i="69" a="1"/>
  <c r="AT24" i="69" s="1"/>
  <c r="AU24" i="69" a="1"/>
  <c r="AU24" i="69" s="1"/>
  <c r="AK24" i="69" a="1"/>
  <c r="AK24" i="69" s="1"/>
  <c r="AV24" i="69" a="1"/>
  <c r="AV24" i="69" s="1"/>
  <c r="AZ24" i="69" a="1"/>
  <c r="AZ24" i="69" s="1"/>
  <c r="AQ24" i="69" a="1"/>
  <c r="AQ24" i="69" s="1"/>
  <c r="AN24" i="69" a="1"/>
  <c r="AN24" i="69" s="1"/>
  <c r="AG24" i="69" a="1"/>
  <c r="AG24" i="69" s="1"/>
  <c r="AI24" i="69" a="1"/>
  <c r="AI24" i="69" s="1"/>
  <c r="AH24" i="69" a="1"/>
  <c r="AH24" i="69" s="1"/>
  <c r="AF24" i="69" a="1"/>
  <c r="AF24" i="69" s="1"/>
  <c r="AW24" i="69" a="1"/>
  <c r="AW24" i="69" s="1"/>
  <c r="AO24" i="69" a="1"/>
  <c r="AO24" i="69" s="1"/>
  <c r="BA24" i="69" a="1"/>
  <c r="BA24" i="69" s="1"/>
  <c r="AX24" i="69" a="1"/>
  <c r="AX24" i="69" s="1"/>
  <c r="BC72" i="72" a="1"/>
  <c r="BC72" i="72" s="1"/>
  <c r="AH72" i="72" a="1"/>
  <c r="AH72" i="72" s="1"/>
  <c r="BE72" i="72" a="1"/>
  <c r="BE72" i="72" s="1"/>
  <c r="BI72" i="72" a="1"/>
  <c r="BI72" i="72" s="1"/>
  <c r="BF72" i="72" a="1"/>
  <c r="BF72" i="72" s="1"/>
  <c r="BD72" i="72" a="1"/>
  <c r="BD72" i="72" s="1"/>
  <c r="AJ72" i="72" a="1"/>
  <c r="AJ72" i="72" s="1"/>
  <c r="AX72" i="72" a="1"/>
  <c r="AX72" i="72" s="1"/>
  <c r="AR72" i="72" a="1"/>
  <c r="AR72" i="72" s="1"/>
  <c r="BJ72" i="72" a="1"/>
  <c r="BJ72" i="72" s="1"/>
  <c r="AZ72" i="72" a="1"/>
  <c r="AZ72" i="72" s="1"/>
  <c r="BG72" i="72" a="1"/>
  <c r="BG72" i="72" s="1"/>
  <c r="T63" i="4"/>
  <c r="Z1655" i="13"/>
  <c r="S63" i="4"/>
  <c r="BF6" i="4" a="1"/>
  <c r="BF6" i="4" s="1"/>
  <c r="Z1638" i="13"/>
  <c r="T46" i="4"/>
  <c r="S46" i="4"/>
  <c r="T57" i="4"/>
  <c r="S57" i="4"/>
  <c r="Z1649" i="13"/>
  <c r="BN63" i="4"/>
  <c r="BF63" i="4" s="1" a="1"/>
  <c r="BF63" i="4" s="1"/>
  <c r="BI63" i="69"/>
  <c r="AD63" i="69"/>
  <c r="BR63" i="72"/>
  <c r="AD63" i="72"/>
  <c r="AS78" i="4"/>
  <c r="AR78" i="4"/>
  <c r="AY578" i="13"/>
  <c r="S21" i="4"/>
  <c r="Z1613" i="13"/>
  <c r="T21" i="4"/>
  <c r="BS92" i="4"/>
  <c r="S23" i="4"/>
  <c r="Z1615" i="13"/>
  <c r="T23" i="4"/>
  <c r="BN73" i="4"/>
  <c r="BF73" i="4" s="1" a="1"/>
  <c r="BF73" i="4" s="1"/>
  <c r="BR73" i="72"/>
  <c r="BI73" i="69"/>
  <c r="A1450" i="13"/>
  <c r="AX1351" i="13"/>
  <c r="G249" i="15"/>
  <c r="AF42" i="69" a="1"/>
  <c r="AF42" i="69" s="1"/>
  <c r="AK42" i="69" a="1"/>
  <c r="AK42" i="69" s="1"/>
  <c r="BA42" i="69" a="1"/>
  <c r="BA42" i="69" s="1"/>
  <c r="AI42" i="69" a="1"/>
  <c r="AI42" i="69" s="1"/>
  <c r="AW42" i="69" a="1"/>
  <c r="AW42" i="69" s="1"/>
  <c r="AG42" i="69" a="1"/>
  <c r="AG42" i="69" s="1"/>
  <c r="AZ42" i="69" a="1"/>
  <c r="AZ42" i="69" s="1"/>
  <c r="AN42" i="69" a="1"/>
  <c r="AN42" i="69" s="1"/>
  <c r="AU42" i="69" a="1"/>
  <c r="AU42" i="69" s="1"/>
  <c r="AO42" i="69" a="1"/>
  <c r="AO42" i="69" s="1"/>
  <c r="AQ42" i="69" a="1"/>
  <c r="AQ42" i="69" s="1"/>
  <c r="AH42" i="69" a="1"/>
  <c r="AH42" i="69" s="1"/>
  <c r="AV42" i="69" a="1"/>
  <c r="AV42" i="69" s="1"/>
  <c r="AX42" i="69" a="1"/>
  <c r="AX42" i="69" s="1"/>
  <c r="Z1682" i="13"/>
  <c r="T90" i="4"/>
  <c r="S90" i="4"/>
  <c r="T66" i="4"/>
  <c r="S66" i="4"/>
  <c r="Z1658" i="13"/>
  <c r="AV1560" i="13"/>
  <c r="AV1659" i="13" s="1"/>
  <c r="A1659" i="13"/>
  <c r="AX1659" i="13" s="1"/>
  <c r="AX1560" i="13"/>
  <c r="BN93" i="69" a="1"/>
  <c r="BN93" i="69" s="1"/>
  <c r="G295" i="15"/>
  <c r="H42" i="15" a="1"/>
  <c r="H42" i="15" s="1"/>
  <c r="BT193" i="4"/>
  <c r="BK103" i="4"/>
  <c r="BK105" i="4" s="1"/>
  <c r="A1606" i="13"/>
  <c r="AX1606" i="13" s="1"/>
  <c r="AX1507" i="13"/>
  <c r="AV1507" i="13"/>
  <c r="AV1606" i="13" s="1"/>
  <c r="BF1769" i="13"/>
  <c r="BC8" i="72" a="1"/>
  <c r="BC8" i="72" s="1"/>
  <c r="AV1509" i="13"/>
  <c r="AV1608" i="13" s="1"/>
  <c r="AX1509" i="13"/>
  <c r="A1608" i="13"/>
  <c r="AX1608" i="13" s="1"/>
  <c r="Y71" i="4"/>
  <c r="AU71" i="4" a="1"/>
  <c r="AU71" i="4" s="1"/>
  <c r="AV71" i="4"/>
  <c r="AW71" i="4" a="1"/>
  <c r="AW71" i="4" s="1"/>
  <c r="CB71" i="4"/>
  <c r="BR71" i="4"/>
  <c r="DA71" i="4"/>
  <c r="DB71" i="4" s="1"/>
  <c r="P73" i="9" s="1"/>
  <c r="BG24" i="72" a="1"/>
  <c r="BG24" i="72" s="1"/>
  <c r="AZ24" i="72" a="1"/>
  <c r="AZ24" i="72" s="1"/>
  <c r="BJ24" i="72" a="1"/>
  <c r="BJ24" i="72" s="1"/>
  <c r="BI24" i="72" a="1"/>
  <c r="BI24" i="72" s="1"/>
  <c r="AJ24" i="72" a="1"/>
  <c r="AJ24" i="72" s="1"/>
  <c r="BD24" i="72" a="1"/>
  <c r="BD24" i="72" s="1"/>
  <c r="AH24" i="72" a="1"/>
  <c r="AH24" i="72" s="1"/>
  <c r="AX24" i="72" a="1"/>
  <c r="AX24" i="72" s="1"/>
  <c r="AR24" i="72" a="1"/>
  <c r="AR24" i="72" s="1"/>
  <c r="BF24" i="72" a="1"/>
  <c r="BF24" i="72" s="1"/>
  <c r="AY577" i="13"/>
  <c r="AR77" i="4"/>
  <c r="AS77" i="4"/>
  <c r="AW38" i="69" a="1"/>
  <c r="AW38" i="69" s="1"/>
  <c r="G432" i="15"/>
  <c r="BK39" i="69"/>
  <c r="O39" i="69"/>
  <c r="O39" i="72"/>
  <c r="AD39" i="69"/>
  <c r="AX1516" i="13"/>
  <c r="A1615" i="13"/>
  <c r="AX1615" i="13" s="1"/>
  <c r="AV1516" i="13"/>
  <c r="AV1615" i="13" s="1"/>
  <c r="G299" i="15"/>
  <c r="H41" i="69"/>
  <c r="H41" i="72"/>
  <c r="S64" i="4"/>
  <c r="T64" i="4"/>
  <c r="Z1656" i="13"/>
  <c r="AD60" i="72"/>
  <c r="AW32" i="69" a="1"/>
  <c r="AW32" i="69" s="1"/>
  <c r="AQ6" i="69" a="1"/>
  <c r="AQ6" i="69" s="1"/>
  <c r="AO6" i="69" a="1"/>
  <c r="AO6" i="69" s="1"/>
  <c r="AI6" i="69" a="1"/>
  <c r="AI6" i="69" s="1"/>
  <c r="AH6" i="69" a="1"/>
  <c r="AH6" i="69" s="1"/>
  <c r="AK6" i="69" a="1"/>
  <c r="AK6" i="69" s="1"/>
  <c r="AG6" i="69" a="1"/>
  <c r="AG6" i="69" s="1"/>
  <c r="AN6" i="69" a="1"/>
  <c r="AN6" i="69" s="1"/>
  <c r="AU6" i="69" a="1"/>
  <c r="AU6" i="69" s="1"/>
  <c r="AZ6" i="69" a="1"/>
  <c r="AZ6" i="69" s="1"/>
  <c r="AW6" i="69" a="1"/>
  <c r="AW6" i="69" s="1"/>
  <c r="BA6" i="69" a="1"/>
  <c r="BA6" i="69" s="1"/>
  <c r="AV6" i="69" a="1"/>
  <c r="AV6" i="69" s="1"/>
  <c r="AF6" i="69" a="1"/>
  <c r="AF6" i="69" s="1"/>
  <c r="AX6" i="69" a="1"/>
  <c r="AX6" i="69" s="1"/>
  <c r="AB1772" i="13"/>
  <c r="AV1772" i="13"/>
  <c r="AS85" i="4"/>
  <c r="AR85" i="4"/>
  <c r="AY585" i="13"/>
  <c r="G195" i="15"/>
  <c r="D60" i="69" a="1"/>
  <c r="D60" i="69" s="1"/>
  <c r="AV8" i="69" a="1"/>
  <c r="AV8" i="69" s="1"/>
  <c r="S77" i="4"/>
  <c r="T77" i="4"/>
  <c r="Z1669" i="13"/>
  <c r="X96" i="4"/>
  <c r="AU16" i="69" a="1"/>
  <c r="AU16" i="69" s="1"/>
  <c r="AO16" i="69" a="1"/>
  <c r="AO16" i="69" s="1"/>
  <c r="AI16" i="69" a="1"/>
  <c r="AI16" i="69" s="1"/>
  <c r="AK16" i="69" a="1"/>
  <c r="AK16" i="69" s="1"/>
  <c r="AG16" i="69" a="1"/>
  <c r="AG16" i="69" s="1"/>
  <c r="AV16" i="69" a="1"/>
  <c r="AV16" i="69" s="1"/>
  <c r="AQ16" i="69" a="1"/>
  <c r="AQ16" i="69" s="1"/>
  <c r="AW16" i="69" a="1"/>
  <c r="AW16" i="69" s="1"/>
  <c r="AH16" i="69" a="1"/>
  <c r="AH16" i="69" s="1"/>
  <c r="AZ16" i="69" a="1"/>
  <c r="AZ16" i="69" s="1"/>
  <c r="BA16" i="69" a="1"/>
  <c r="BA16" i="69" s="1"/>
  <c r="AN16" i="69" a="1"/>
  <c r="AN16" i="69" s="1"/>
  <c r="AF16" i="69" a="1"/>
  <c r="AF16" i="69" s="1"/>
  <c r="AX16" i="69" a="1"/>
  <c r="AX16" i="69" s="1"/>
  <c r="G258" i="15"/>
  <c r="O50" i="69"/>
  <c r="BK50" i="69"/>
  <c r="O50" i="72"/>
  <c r="G377" i="15"/>
  <c r="BT59" i="72"/>
  <c r="AT61" i="69" a="1"/>
  <c r="AT61" i="69" s="1"/>
  <c r="G648" i="15"/>
  <c r="D60" i="72" a="1"/>
  <c r="D60" i="72" s="1"/>
  <c r="BW14" i="72" a="1"/>
  <c r="BW14" i="72" s="1"/>
  <c r="BE80" i="72" a="1"/>
  <c r="BE80" i="72" s="1"/>
  <c r="Y62" i="4"/>
  <c r="AU62" i="4" a="1"/>
  <c r="AU62" i="4" s="1"/>
  <c r="AW62" i="4" a="1"/>
  <c r="AW62" i="4" s="1"/>
  <c r="AV62" i="4"/>
  <c r="DA62" i="4"/>
  <c r="DB62" i="4" s="1"/>
  <c r="P64" i="9" s="1"/>
  <c r="BR62" i="4"/>
  <c r="CB62" i="4"/>
  <c r="AP73" i="69" a="1"/>
  <c r="AP73" i="69" s="1"/>
  <c r="H23" i="69"/>
  <c r="AV1464" i="13"/>
  <c r="AT78" i="69" a="1"/>
  <c r="AT78" i="69" s="1"/>
  <c r="Q43" i="15" a="1"/>
  <c r="Q43" i="15" s="1"/>
  <c r="AW41" i="69" a="1"/>
  <c r="AW41" i="69" s="1"/>
  <c r="BE81" i="72" a="1"/>
  <c r="BE81" i="72" s="1"/>
  <c r="BN95" i="4"/>
  <c r="BF95" i="4" s="1" a="1"/>
  <c r="BF95" i="4" s="1"/>
  <c r="BR95" i="72"/>
  <c r="BI95" i="69"/>
  <c r="O52" i="69"/>
  <c r="O52" i="72"/>
  <c r="AD52" i="69"/>
  <c r="BK52" i="69"/>
  <c r="Z1662" i="13"/>
  <c r="T70" i="4"/>
  <c r="S70" i="4"/>
  <c r="CI23" i="72"/>
  <c r="AW17" i="69" a="1"/>
  <c r="AW17" i="69" s="1"/>
  <c r="AY567" i="13"/>
  <c r="AR67" i="4"/>
  <c r="AS67" i="4"/>
  <c r="G296" i="15"/>
  <c r="BF45" i="72" a="1"/>
  <c r="BF45" i="72" s="1"/>
  <c r="AW76" i="69" a="1"/>
  <c r="AW76" i="69" s="1"/>
  <c r="AV7" i="69" a="1"/>
  <c r="AV7" i="69" s="1"/>
  <c r="AV13" i="69" a="1"/>
  <c r="AV13" i="69" s="1"/>
  <c r="AM97" i="4"/>
  <c r="BE13" i="72" a="1"/>
  <c r="BE13" i="72" s="1"/>
  <c r="AV63" i="69" a="1"/>
  <c r="AV63" i="69" s="1"/>
  <c r="BF89" i="72" a="1"/>
  <c r="BF89" i="72" s="1"/>
  <c r="BF31" i="72" a="1"/>
  <c r="BF31" i="72" s="1"/>
  <c r="AW18" i="69" a="1"/>
  <c r="AW18" i="69" s="1"/>
  <c r="AW70" i="69" a="1"/>
  <c r="AW70" i="69" s="1"/>
  <c r="AG11" i="69" a="1"/>
  <c r="AG11" i="69" s="1"/>
  <c r="BE29" i="72" a="1"/>
  <c r="BE29" i="72" s="1"/>
  <c r="BE88" i="72" a="1"/>
  <c r="BE88" i="72" s="1"/>
  <c r="G677" i="15"/>
  <c r="AV74" i="4"/>
  <c r="AU74" i="4" a="1"/>
  <c r="AU74" i="4" s="1"/>
  <c r="Y74" i="4"/>
  <c r="AW74" i="4" a="1"/>
  <c r="AW74" i="4" s="1"/>
  <c r="CB74" i="4"/>
  <c r="BR74" i="4"/>
  <c r="O56" i="72"/>
  <c r="O56" i="69"/>
  <c r="BK56" i="69"/>
  <c r="Z1635" i="13"/>
  <c r="S43" i="4"/>
  <c r="T43" i="4"/>
  <c r="AV1505" i="13"/>
  <c r="AV1604" i="13" s="1"/>
  <c r="A1604" i="13"/>
  <c r="AX1604" i="13" s="1"/>
  <c r="AX1505" i="13"/>
  <c r="AY591" i="13"/>
  <c r="AS91" i="4"/>
  <c r="AR91" i="4"/>
  <c r="AR65" i="4"/>
  <c r="AS65" i="4"/>
  <c r="AY565" i="13"/>
  <c r="A1607" i="13"/>
  <c r="AX1607" i="13" s="1"/>
  <c r="AV1508" i="13"/>
  <c r="AV1607" i="13" s="1"/>
  <c r="AX1508" i="13"/>
  <c r="AV1510" i="13"/>
  <c r="AV1609" i="13" s="1"/>
  <c r="AX1510" i="13"/>
  <c r="A1609" i="13"/>
  <c r="AX1609" i="13" s="1"/>
  <c r="AR75" i="4"/>
  <c r="AY575" i="13"/>
  <c r="AS75" i="4"/>
  <c r="G554" i="15"/>
  <c r="AJ6" i="72" a="1"/>
  <c r="AJ6" i="72" s="1"/>
  <c r="AR6" i="72" a="1"/>
  <c r="AR6" i="72" s="1"/>
  <c r="BF6" i="72" a="1"/>
  <c r="BF6" i="72" s="1"/>
  <c r="AX6" i="72" a="1"/>
  <c r="AX6" i="72" s="1"/>
  <c r="BJ6" i="72" a="1"/>
  <c r="BJ6" i="72" s="1"/>
  <c r="BI6" i="72" a="1"/>
  <c r="BI6" i="72" s="1"/>
  <c r="AZ6" i="72" a="1"/>
  <c r="AZ6" i="72" s="1"/>
  <c r="BD6" i="72" a="1"/>
  <c r="BD6" i="72" s="1"/>
  <c r="BG6" i="72" a="1"/>
  <c r="BG6" i="72" s="1"/>
  <c r="S91" i="4"/>
  <c r="T91" i="4"/>
  <c r="Z1683" i="13"/>
  <c r="S73" i="4"/>
  <c r="T73" i="4"/>
  <c r="Z1665" i="13"/>
  <c r="AP93" i="69" a="1"/>
  <c r="AP93" i="69" s="1"/>
  <c r="AR60" i="4"/>
  <c r="AS60" i="4"/>
  <c r="AY560" i="13"/>
  <c r="BW6" i="72" a="1"/>
  <c r="BW6" i="72" s="1"/>
  <c r="BK86" i="69"/>
  <c r="O86" i="69"/>
  <c r="O86" i="72"/>
  <c r="AD86" i="72"/>
  <c r="AN94" i="69" a="1"/>
  <c r="AN94" i="69" s="1"/>
  <c r="AG94" i="69" a="1"/>
  <c r="AG94" i="69" s="1"/>
  <c r="O67" i="72"/>
  <c r="O67" i="69"/>
  <c r="BK67" i="69"/>
  <c r="F41" i="15"/>
  <c r="AV1561" i="13"/>
  <c r="AV1660" i="13" s="1"/>
  <c r="AX1561" i="13"/>
  <c r="A1660" i="13"/>
  <c r="AX1660" i="13" s="1"/>
  <c r="BT108" i="4"/>
  <c r="AN87" i="69" a="1"/>
  <c r="AN87" i="69" s="1"/>
  <c r="BT67" i="72"/>
  <c r="G613" i="15"/>
  <c r="G660" i="15"/>
  <c r="AV1500" i="13"/>
  <c r="AV1599" i="13" s="1"/>
  <c r="AX1500" i="13"/>
  <c r="A1599" i="13"/>
  <c r="AX1599" i="13" s="1"/>
  <c r="AR69" i="4"/>
  <c r="AS69" i="4"/>
  <c r="AY569" i="13"/>
  <c r="AX1513" i="13"/>
  <c r="AV1513" i="13"/>
  <c r="AV1612" i="13" s="1"/>
  <c r="A1612" i="13"/>
  <c r="AX1612" i="13" s="1"/>
  <c r="BN69" i="69" a="1"/>
  <c r="BN69" i="69" s="1"/>
  <c r="C41" i="69"/>
  <c r="D41" i="69" s="1" a="1"/>
  <c r="D41" i="69" s="1"/>
  <c r="C41" i="72"/>
  <c r="D41" i="72" s="1" a="1"/>
  <c r="D41" i="72" s="1"/>
  <c r="AV122" i="72"/>
  <c r="AV113" i="72"/>
  <c r="AV108" i="72"/>
  <c r="AT127" i="72" a="1"/>
  <c r="AT127" i="72" s="1"/>
  <c r="AV126" i="72"/>
  <c r="AV125" i="72"/>
  <c r="AV109" i="72"/>
  <c r="AT120" i="72" a="1"/>
  <c r="AT120" i="72" s="1"/>
  <c r="AT126" i="72" a="1"/>
  <c r="AT126" i="72" s="1"/>
  <c r="AV116" i="72"/>
  <c r="AV110" i="72"/>
  <c r="AT117" i="72" a="1"/>
  <c r="AT117" i="72" s="1"/>
  <c r="AT128" i="72" a="1"/>
  <c r="AT128" i="72" s="1"/>
  <c r="AV115" i="72"/>
  <c r="AV111" i="72"/>
  <c r="AT118" i="72" a="1"/>
  <c r="AT118" i="72" s="1"/>
  <c r="AT129" i="72" a="1"/>
  <c r="AT129" i="72" s="1"/>
  <c r="AV117" i="72"/>
  <c r="AS106" i="72"/>
  <c r="AT122" i="72" a="1"/>
  <c r="AT122" i="72" s="1"/>
  <c r="AT119" i="72" a="1"/>
  <c r="AT119" i="72" s="1"/>
  <c r="AV127" i="72"/>
  <c r="AT110" i="72" a="1"/>
  <c r="AT110" i="72" s="1"/>
  <c r="AV114" i="72"/>
  <c r="AT107" i="72" a="1"/>
  <c r="AT107" i="72" s="1"/>
  <c r="AT115" i="72" a="1"/>
  <c r="AT115" i="72" s="1"/>
  <c r="AT125" i="72" a="1"/>
  <c r="AT125" i="72" s="1"/>
  <c r="AV112" i="72"/>
  <c r="AV120" i="72"/>
  <c r="AT109" i="72" a="1"/>
  <c r="AT109" i="72" s="1"/>
  <c r="AT124" i="72" a="1"/>
  <c r="AT124" i="72" s="1"/>
  <c r="AT114" i="72" a="1"/>
  <c r="AT114" i="72" s="1"/>
  <c r="AV128" i="72"/>
  <c r="AV121" i="72"/>
  <c r="AT108" i="72" a="1"/>
  <c r="AT108" i="72" s="1"/>
  <c r="AT130" i="72" a="1"/>
  <c r="AT130" i="72" s="1"/>
  <c r="AT123" i="72" a="1"/>
  <c r="AT123" i="72" s="1"/>
  <c r="AV129" i="72"/>
  <c r="AV118" i="72"/>
  <c r="AT111" i="72" a="1"/>
  <c r="AT111" i="72" s="1"/>
  <c r="AT116" i="72" a="1"/>
  <c r="AT116" i="72" s="1"/>
  <c r="AT121" i="72" a="1"/>
  <c r="AT121" i="72" s="1"/>
  <c r="AV124" i="72"/>
  <c r="AV119" i="72"/>
  <c r="AV130" i="72"/>
  <c r="AV123" i="72"/>
  <c r="AV107" i="72"/>
  <c r="AT112" i="72" a="1"/>
  <c r="AT112" i="72" s="1"/>
  <c r="AT113" i="72" a="1"/>
  <c r="AT113" i="72" s="1"/>
  <c r="AU113" i="72"/>
  <c r="AU114" i="72"/>
  <c r="AU117" i="72"/>
  <c r="AU122" i="72"/>
  <c r="AU116" i="72"/>
  <c r="AU111" i="72"/>
  <c r="AU108" i="72"/>
  <c r="AU125" i="72"/>
  <c r="AU123" i="72"/>
  <c r="AU110" i="72"/>
  <c r="AU118" i="72"/>
  <c r="AU121" i="72"/>
  <c r="AU112" i="72"/>
  <c r="AU129" i="72"/>
  <c r="AU127" i="72"/>
  <c r="AU119" i="72"/>
  <c r="AU126" i="72"/>
  <c r="AU109" i="72"/>
  <c r="A1667" i="13"/>
  <c r="AX1667" i="13" s="1"/>
  <c r="AV1568" i="13"/>
  <c r="AV1667" i="13" s="1"/>
  <c r="AX1568" i="13"/>
  <c r="A1644" i="13"/>
  <c r="AX1644" i="13" s="1"/>
  <c r="AV1545" i="13"/>
  <c r="AV1644" i="13" s="1"/>
  <c r="AX1545" i="13"/>
  <c r="BN81" i="4"/>
  <c r="BF81" i="4" s="1" a="1"/>
  <c r="BF81" i="4" s="1"/>
  <c r="BR81" i="72"/>
  <c r="AD81" i="72"/>
  <c r="AD81" i="69"/>
  <c r="BI81" i="69"/>
  <c r="C46" i="72"/>
  <c r="D46" i="72" s="1" a="1"/>
  <c r="D46" i="72" s="1"/>
  <c r="C46" i="69"/>
  <c r="D46" i="69" s="1" a="1"/>
  <c r="D46" i="69" s="1"/>
  <c r="BH202" i="4"/>
  <c r="Z1731" i="13"/>
  <c r="Y78" i="4"/>
  <c r="AU78" i="4" a="1"/>
  <c r="AU78" i="4" s="1"/>
  <c r="AV78" i="4"/>
  <c r="AW78" i="4" a="1"/>
  <c r="AW78" i="4" s="1"/>
  <c r="CB78" i="4"/>
  <c r="BR78" i="4"/>
  <c r="BW5" i="72" a="1"/>
  <c r="BW5" i="72" s="1"/>
  <c r="BN83" i="4"/>
  <c r="BF83" i="4" s="1" a="1"/>
  <c r="BF83" i="4" s="1"/>
  <c r="BR83" i="72"/>
  <c r="AD83" i="72"/>
  <c r="AD83" i="69"/>
  <c r="BI83" i="69"/>
  <c r="G396" i="15"/>
  <c r="BK60" i="69"/>
  <c r="BV60" i="69"/>
  <c r="AT60" i="69" a="1"/>
  <c r="AT60" i="69" s="1"/>
  <c r="BN85" i="4"/>
  <c r="BF85" i="4" s="1" a="1"/>
  <c r="BF85" i="4" s="1"/>
  <c r="AD85" i="69"/>
  <c r="BR85" i="72"/>
  <c r="BI85" i="69"/>
  <c r="AD85" i="72"/>
  <c r="AS64" i="4"/>
  <c r="AY564" i="13"/>
  <c r="AR64" i="4"/>
  <c r="AN57" i="69" a="1"/>
  <c r="AN57" i="69" s="1"/>
  <c r="AY14" i="72" a="1"/>
  <c r="AY14" i="72" s="1"/>
  <c r="AV1351" i="13"/>
  <c r="AI3" i="1" s="1" a="1"/>
  <c r="AI3" i="1" s="1"/>
  <c r="AI101" i="1" s="1"/>
  <c r="AI97" i="4"/>
  <c r="AE23" i="69" a="1"/>
  <c r="AE23" i="69" s="1"/>
  <c r="BF23" i="69"/>
  <c r="BE23" i="69"/>
  <c r="AT57" i="69" a="1"/>
  <c r="AT57" i="69" s="1"/>
  <c r="G488" i="15"/>
  <c r="BN79" i="69" a="1"/>
  <c r="BN79" i="69" s="1"/>
  <c r="BN62" i="69" a="1"/>
  <c r="BN62" i="69" s="1"/>
  <c r="BK63" i="69"/>
  <c r="O63" i="72"/>
  <c r="O63" i="69"/>
  <c r="CC34" i="72"/>
  <c r="AI34" i="72" s="1"/>
  <c r="E23" i="72"/>
  <c r="CG23" i="72" a="1"/>
  <c r="CG23" i="72" s="1"/>
  <c r="CF23" i="72" a="1"/>
  <c r="CF23" i="72" s="1"/>
  <c r="AV1511" i="13"/>
  <c r="AV1610" i="13" s="1"/>
  <c r="A1610" i="13"/>
  <c r="AX1610" i="13" s="1"/>
  <c r="AX1511" i="13"/>
  <c r="BN65" i="4"/>
  <c r="BF65" i="4" s="1" a="1"/>
  <c r="BF65" i="4" s="1"/>
  <c r="AD65" i="69"/>
  <c r="BI65" i="69"/>
  <c r="BR65" i="72"/>
  <c r="AD65" i="72"/>
  <c r="A1626" i="13"/>
  <c r="AX1626" i="13" s="1"/>
  <c r="AV1527" i="13"/>
  <c r="AV1626" i="13" s="1"/>
  <c r="AX1527" i="13"/>
  <c r="BF63" i="72" a="1"/>
  <c r="BF63" i="72" s="1"/>
  <c r="BE46" i="72" a="1"/>
  <c r="BE46" i="72" s="1"/>
  <c r="AN13" i="69" a="1"/>
  <c r="AN13" i="69" s="1"/>
  <c r="G581" i="15"/>
  <c r="BE44" i="72" a="1"/>
  <c r="BE44" i="72" s="1"/>
  <c r="AG74" i="69" a="1"/>
  <c r="AG74" i="69" s="1"/>
  <c r="AG18" i="69" a="1"/>
  <c r="AG18" i="69" s="1"/>
  <c r="AG12" i="69" a="1"/>
  <c r="AG12" i="69" s="1"/>
  <c r="AV89" i="69" a="1"/>
  <c r="AV89" i="69" s="1"/>
  <c r="AG77" i="69" a="1"/>
  <c r="AG77" i="69" s="1"/>
  <c r="AD74" i="69"/>
  <c r="O74" i="69"/>
  <c r="BK74" i="69"/>
  <c r="O74" i="72"/>
  <c r="BN89" i="4"/>
  <c r="BF89" i="4" s="1" a="1"/>
  <c r="BF89" i="4" s="1"/>
  <c r="BI89" i="69"/>
  <c r="BR89" i="72"/>
  <c r="AD89" i="69"/>
  <c r="AD89" i="72"/>
  <c r="AW95" i="4" a="1"/>
  <c r="AW95" i="4" s="1"/>
  <c r="C95" i="72" s="1"/>
  <c r="D95" i="72" s="1" a="1"/>
  <c r="D95" i="72" s="1"/>
  <c r="AU95" i="4" a="1"/>
  <c r="AU95" i="4" s="1"/>
  <c r="H95" i="69" s="1"/>
  <c r="Y95" i="4"/>
  <c r="AV95" i="4"/>
  <c r="CB95" i="4"/>
  <c r="DA95" i="4"/>
  <c r="DB95" i="4" s="1"/>
  <c r="BR95" i="4"/>
  <c r="AY72" i="72" a="1"/>
  <c r="AY72" i="72" s="1"/>
  <c r="A1649" i="13"/>
  <c r="AX1649" i="13" s="1"/>
  <c r="AX1550" i="13"/>
  <c r="AV1550" i="13"/>
  <c r="AV1649" i="13" s="1"/>
  <c r="G226" i="15"/>
  <c r="AU82" i="4" a="1"/>
  <c r="AU82" i="4" s="1"/>
  <c r="AV82" i="4"/>
  <c r="AW82" i="4" a="1"/>
  <c r="AW82" i="4" s="1"/>
  <c r="Y82" i="4"/>
  <c r="CB82" i="4"/>
  <c r="BR82" i="4"/>
  <c r="DA82" i="4"/>
  <c r="DB82" i="4" s="1"/>
  <c r="P84" i="9" s="1"/>
  <c r="H32" i="72"/>
  <c r="H32" i="69"/>
  <c r="BG51" i="72" a="1"/>
  <c r="BG51" i="72" s="1"/>
  <c r="BI51" i="72" a="1"/>
  <c r="BI51" i="72" s="1"/>
  <c r="AJ51" i="72" a="1"/>
  <c r="AJ51" i="72" s="1"/>
  <c r="AX51" i="72" a="1"/>
  <c r="AX51" i="72" s="1"/>
  <c r="AZ51" i="72" a="1"/>
  <c r="AZ51" i="72" s="1"/>
  <c r="BJ51" i="72" a="1"/>
  <c r="BJ51" i="72" s="1"/>
  <c r="BD51" i="72" a="1"/>
  <c r="BD51" i="72" s="1"/>
  <c r="BE51" i="72" a="1"/>
  <c r="BE51" i="72" s="1"/>
  <c r="AX1569" i="13"/>
  <c r="A1668" i="13"/>
  <c r="AX1668" i="13" s="1"/>
  <c r="AV1569" i="13"/>
  <c r="AV1668" i="13" s="1"/>
  <c r="AV1577" i="13"/>
  <c r="AV1676" i="13" s="1"/>
  <c r="A1676" i="13"/>
  <c r="AX1676" i="13" s="1"/>
  <c r="AX1577" i="13"/>
  <c r="AT32" i="69" a="1"/>
  <c r="AT32" i="69" s="1"/>
  <c r="S59" i="4"/>
  <c r="Z1651" i="13"/>
  <c r="T59" i="4"/>
  <c r="AV1565" i="13"/>
  <c r="AV1664" i="13" s="1"/>
  <c r="AX1565" i="13"/>
  <c r="A1664" i="13"/>
  <c r="AX1664" i="13" s="1"/>
  <c r="AX91" i="69" a="1"/>
  <c r="AX91" i="69" s="1"/>
  <c r="AN91" i="69" a="1"/>
  <c r="AN91" i="69" s="1"/>
  <c r="AG91" i="69" a="1"/>
  <c r="AG91" i="69" s="1"/>
  <c r="BA91" i="69" a="1"/>
  <c r="BA91" i="69" s="1"/>
  <c r="AF91" i="69" a="1"/>
  <c r="AF91" i="69" s="1"/>
  <c r="AH91" i="69" a="1"/>
  <c r="AH91" i="69" s="1"/>
  <c r="AZ91" i="69" a="1"/>
  <c r="AZ91" i="69" s="1"/>
  <c r="AW91" i="69" a="1"/>
  <c r="AW91" i="69" s="1"/>
  <c r="AK91" i="69" a="1"/>
  <c r="AK91" i="69" s="1"/>
  <c r="AO91" i="69" a="1"/>
  <c r="AO91" i="69" s="1"/>
  <c r="AQ91" i="69" a="1"/>
  <c r="AQ91" i="69" s="1"/>
  <c r="AI91" i="69" a="1"/>
  <c r="AI91" i="69" s="1"/>
  <c r="AU91" i="69" a="1"/>
  <c r="AU91" i="69" s="1"/>
  <c r="AV91" i="69" a="1"/>
  <c r="AV91" i="69" s="1"/>
  <c r="G641" i="15"/>
  <c r="AZ80" i="72" a="1"/>
  <c r="AZ80" i="72" s="1"/>
  <c r="BJ80" i="72" a="1"/>
  <c r="BJ80" i="72" s="1"/>
  <c r="BI80" i="72" a="1"/>
  <c r="BI80" i="72" s="1"/>
  <c r="AR80" i="72" a="1"/>
  <c r="AR80" i="72" s="1"/>
  <c r="BF80" i="72" a="1"/>
  <c r="BF80" i="72" s="1"/>
  <c r="BD80" i="72" a="1"/>
  <c r="BD80" i="72" s="1"/>
  <c r="AX80" i="72" a="1"/>
  <c r="AX80" i="72" s="1"/>
  <c r="AJ80" i="72" a="1"/>
  <c r="AJ80" i="72" s="1"/>
  <c r="BG80" i="72" a="1"/>
  <c r="BG80" i="72" s="1"/>
  <c r="AV64" i="4"/>
  <c r="AU64" i="4" a="1"/>
  <c r="AU64" i="4" s="1"/>
  <c r="Y64" i="4"/>
  <c r="AW64" i="4" a="1"/>
  <c r="AW64" i="4" s="1"/>
  <c r="CB64" i="4"/>
  <c r="BR64" i="4"/>
  <c r="G583" i="15"/>
  <c r="S96" i="4"/>
  <c r="Z1688" i="13"/>
  <c r="T96" i="4"/>
  <c r="G436" i="15"/>
  <c r="G490" i="15"/>
  <c r="AF56" i="69" a="1"/>
  <c r="AF56" i="69" s="1"/>
  <c r="AW56" i="69" a="1"/>
  <c r="AW56" i="69" s="1"/>
  <c r="AI56" i="69" a="1"/>
  <c r="AI56" i="69" s="1"/>
  <c r="AZ56" i="69" a="1"/>
  <c r="AZ56" i="69" s="1"/>
  <c r="AU56" i="69" a="1"/>
  <c r="AU56" i="69" s="1"/>
  <c r="AH56" i="69" a="1"/>
  <c r="AH56" i="69" s="1"/>
  <c r="AQ56" i="69" a="1"/>
  <c r="AQ56" i="69" s="1"/>
  <c r="AK56" i="69" a="1"/>
  <c r="AK56" i="69" s="1"/>
  <c r="BA56" i="69" a="1"/>
  <c r="BA56" i="69" s="1"/>
  <c r="AG56" i="69" a="1"/>
  <c r="AG56" i="69" s="1"/>
  <c r="AN56" i="69" a="1"/>
  <c r="AN56" i="69" s="1"/>
  <c r="AO56" i="69" a="1"/>
  <c r="AO56" i="69" s="1"/>
  <c r="AV56" i="69" a="1"/>
  <c r="AV56" i="69" s="1"/>
  <c r="AX56" i="69" a="1"/>
  <c r="AX56" i="69" s="1"/>
  <c r="BN58" i="4"/>
  <c r="BF58" i="4" s="1" a="1"/>
  <c r="BF58" i="4" s="1"/>
  <c r="AD58" i="72"/>
  <c r="BI58" i="69"/>
  <c r="BR58" i="72"/>
  <c r="G481" i="15"/>
  <c r="AH80" i="72" a="1"/>
  <c r="AH80" i="72" s="1"/>
  <c r="O43" i="15" a="1"/>
  <c r="O43" i="15" s="1"/>
  <c r="AX1455" i="13"/>
  <c r="Z1559" i="13"/>
  <c r="AV1455" i="13"/>
  <c r="A1554" i="13"/>
  <c r="G428" i="15"/>
  <c r="T74" i="4"/>
  <c r="Z1666" i="13"/>
  <c r="S74" i="4"/>
  <c r="AB1748" i="13"/>
  <c r="AV1748" i="13"/>
  <c r="G669" i="15"/>
  <c r="BC77" i="72" a="1"/>
  <c r="BC77" i="72" s="1"/>
  <c r="H6" i="72"/>
  <c r="H6" i="69"/>
  <c r="BT56" i="72"/>
  <c r="AX1572" i="13"/>
  <c r="AV1572" i="13"/>
  <c r="AV1671" i="13" s="1"/>
  <c r="A1671" i="13"/>
  <c r="AX1671" i="13" s="1"/>
  <c r="G76" i="15"/>
  <c r="AR25" i="4"/>
  <c r="AS25" i="4"/>
  <c r="AY525" i="13"/>
  <c r="BE15" i="72" a="1"/>
  <c r="BE15" i="72" s="1"/>
  <c r="A1618" i="13"/>
  <c r="AX1618" i="13" s="1"/>
  <c r="AX1519" i="13"/>
  <c r="AV1519" i="13"/>
  <c r="AV1618" i="13" s="1"/>
  <c r="BN67" i="4"/>
  <c r="BF67" i="4" s="1" a="1"/>
  <c r="BF67" i="4" s="1"/>
  <c r="BR67" i="72"/>
  <c r="AD67" i="69"/>
  <c r="BI67" i="69"/>
  <c r="AD67" i="72"/>
  <c r="Z1618" i="13"/>
  <c r="S26" i="4"/>
  <c r="T26" i="4"/>
  <c r="G519" i="15"/>
  <c r="G468" i="15"/>
  <c r="BT94" i="72"/>
  <c r="O94" i="72"/>
  <c r="AO69" i="69" a="1"/>
  <c r="AO69" i="69" s="1"/>
  <c r="T58" i="4"/>
  <c r="S58" i="4"/>
  <c r="Z1650" i="13"/>
  <c r="AS60" i="72" a="1"/>
  <c r="AS60" i="72" s="1"/>
  <c r="BP60" i="72"/>
  <c r="BE60" i="72" s="1" a="1"/>
  <c r="BE60" i="72" s="1"/>
  <c r="AW60" i="72"/>
  <c r="AU60" i="72" a="1"/>
  <c r="AU60" i="72" s="1"/>
  <c r="AY60" i="72" a="1"/>
  <c r="AY60" i="72" s="1"/>
  <c r="BW60" i="72" a="1"/>
  <c r="BW60" i="72" s="1"/>
  <c r="R60" i="72"/>
  <c r="AT60" i="72" a="1"/>
  <c r="AT60" i="72" s="1"/>
  <c r="BM60" i="72"/>
  <c r="BV60" i="72" a="1"/>
  <c r="BV60" i="72" s="1"/>
  <c r="AL60" i="72" a="1"/>
  <c r="AL60" i="72" s="1"/>
  <c r="BW77" i="72" a="1"/>
  <c r="BW77" i="72" s="1"/>
  <c r="A1675" i="13"/>
  <c r="AX1675" i="13" s="1"/>
  <c r="AV1576" i="13"/>
  <c r="AV1675" i="13" s="1"/>
  <c r="AX1576" i="13"/>
  <c r="G478" i="15"/>
  <c r="G654" i="15"/>
  <c r="Y73" i="4"/>
  <c r="AV73" i="4"/>
  <c r="AU73" i="4" a="1"/>
  <c r="AU73" i="4" s="1"/>
  <c r="AW73" i="4" a="1"/>
  <c r="AW73" i="4" s="1"/>
  <c r="CB73" i="4"/>
  <c r="BR73" i="4"/>
  <c r="AP35" i="69" a="1"/>
  <c r="AP35" i="69" s="1"/>
  <c r="BA35" i="69" a="1"/>
  <c r="BA35" i="69" s="1"/>
  <c r="AK35" i="69" a="1"/>
  <c r="AK35" i="69" s="1"/>
  <c r="AZ35" i="69" a="1"/>
  <c r="AZ35" i="69" s="1"/>
  <c r="AU35" i="69" a="1"/>
  <c r="AU35" i="69" s="1"/>
  <c r="AF35" i="69" a="1"/>
  <c r="AF35" i="69" s="1"/>
  <c r="AI35" i="69" a="1"/>
  <c r="AI35" i="69" s="1"/>
  <c r="AW35" i="69" a="1"/>
  <c r="AW35" i="69" s="1"/>
  <c r="AH35" i="69" a="1"/>
  <c r="AH35" i="69" s="1"/>
  <c r="AQ35" i="69" a="1"/>
  <c r="AQ35" i="69" s="1"/>
  <c r="AV35" i="69" a="1"/>
  <c r="AV35" i="69" s="1"/>
  <c r="AG35" i="69" a="1"/>
  <c r="AG35" i="69" s="1"/>
  <c r="AO35" i="69" a="1"/>
  <c r="AO35" i="69" s="1"/>
  <c r="AN35" i="69" a="1"/>
  <c r="AN35" i="69" s="1"/>
  <c r="AX35" i="69" a="1"/>
  <c r="AX35" i="69" s="1"/>
  <c r="AY28" i="72" a="1"/>
  <c r="AY28" i="72" s="1"/>
  <c r="AT69" i="69" a="1"/>
  <c r="AT69" i="69" s="1"/>
  <c r="S38" i="4"/>
  <c r="T38" i="4"/>
  <c r="Z1630" i="13"/>
  <c r="AV1482" i="13"/>
  <c r="G254" i="15"/>
  <c r="AH59" i="72" a="1"/>
  <c r="AH59" i="72" s="1"/>
  <c r="BS62" i="4"/>
  <c r="AD62" i="72" s="1"/>
  <c r="AV91" i="4"/>
  <c r="AW91" i="4" a="1"/>
  <c r="AW91" i="4" s="1"/>
  <c r="Y91" i="4"/>
  <c r="AU91" i="4" a="1"/>
  <c r="AU91" i="4" s="1"/>
  <c r="BR91" i="4"/>
  <c r="CB91" i="4"/>
  <c r="BQ23" i="69" a="1"/>
  <c r="BQ23" i="69" s="1"/>
  <c r="AP62" i="69" a="1"/>
  <c r="AP62" i="69" s="1"/>
  <c r="AD23" i="72"/>
  <c r="AQ46" i="69" a="1"/>
  <c r="AQ46" i="69" s="1"/>
  <c r="AW46" i="69" a="1"/>
  <c r="AW46" i="69" s="1"/>
  <c r="AH46" i="69" a="1"/>
  <c r="AH46" i="69" s="1"/>
  <c r="AF46" i="69" a="1"/>
  <c r="AF46" i="69" s="1"/>
  <c r="AU46" i="69" a="1"/>
  <c r="AU46" i="69" s="1"/>
  <c r="AO46" i="69" a="1"/>
  <c r="AO46" i="69" s="1"/>
  <c r="AZ46" i="69" a="1"/>
  <c r="AZ46" i="69" s="1"/>
  <c r="AV46" i="69" a="1"/>
  <c r="AV46" i="69" s="1"/>
  <c r="AI46" i="69" a="1"/>
  <c r="AI46" i="69" s="1"/>
  <c r="AN46" i="69" a="1"/>
  <c r="AN46" i="69" s="1"/>
  <c r="AK46" i="69" a="1"/>
  <c r="AK46" i="69" s="1"/>
  <c r="AG46" i="69" a="1"/>
  <c r="AG46" i="69" s="1"/>
  <c r="BA46" i="69" a="1"/>
  <c r="BA46" i="69" s="1"/>
  <c r="AX46" i="69" a="1"/>
  <c r="AX46" i="69" s="1"/>
  <c r="AT42" i="69" a="1"/>
  <c r="AT42" i="69" s="1"/>
  <c r="G536" i="15"/>
  <c r="G278" i="15"/>
  <c r="G465" i="15"/>
  <c r="AG15" i="69" a="1"/>
  <c r="AG15" i="69" s="1"/>
  <c r="AV54" i="69" a="1"/>
  <c r="AV54" i="69" s="1"/>
  <c r="G348" i="15"/>
  <c r="AG72" i="69" a="1"/>
  <c r="AG72" i="69" s="1"/>
  <c r="G166" i="15"/>
  <c r="G200" i="15"/>
  <c r="F97" i="4"/>
  <c r="BD105" i="4" s="1"/>
  <c r="BE21" i="72" a="1"/>
  <c r="BE21" i="72" s="1"/>
  <c r="BF85" i="72" a="1"/>
  <c r="BF85" i="72" s="1"/>
  <c r="AG31" i="69" a="1"/>
  <c r="AG31" i="69" s="1"/>
  <c r="BF67" i="72" a="1"/>
  <c r="BF67" i="72" s="1"/>
  <c r="BG97" i="4"/>
  <c r="C32" i="72"/>
  <c r="D32" i="72" s="1" a="1"/>
  <c r="D32" i="72" s="1"/>
  <c r="C32" i="69"/>
  <c r="D32" i="69" s="1" a="1"/>
  <c r="D32" i="69" s="1"/>
  <c r="AV1546" i="13"/>
  <c r="AV1645" i="13" s="1"/>
  <c r="A1645" i="13"/>
  <c r="AX1645" i="13" s="1"/>
  <c r="AX1546" i="13"/>
  <c r="BN82" i="4"/>
  <c r="BF82" i="4" s="1" a="1"/>
  <c r="BF82" i="4" s="1"/>
  <c r="BI82" i="69"/>
  <c r="AD82" i="72"/>
  <c r="AD82" i="69"/>
  <c r="BR82" i="72"/>
  <c r="G422" i="15"/>
  <c r="AX1585" i="13"/>
  <c r="AV1585" i="13"/>
  <c r="AV1684" i="13" s="1"/>
  <c r="A1684" i="13"/>
  <c r="AX1684" i="13" s="1"/>
  <c r="AV90" i="4"/>
  <c r="Y90" i="4"/>
  <c r="AW90" i="4" a="1"/>
  <c r="AW90" i="4" s="1"/>
  <c r="AU90" i="4" a="1"/>
  <c r="AU90" i="4" s="1"/>
  <c r="CB90" i="4"/>
  <c r="BR90" i="4"/>
  <c r="DA90" i="4"/>
  <c r="DB90" i="4" s="1"/>
  <c r="P92" i="9" s="1"/>
  <c r="I42" i="15" a="1"/>
  <c r="I42" i="15" s="1"/>
  <c r="I34" i="15" s="1"/>
  <c r="AZ45" i="72" a="1"/>
  <c r="AZ45" i="72" s="1"/>
  <c r="BD45" i="72" a="1"/>
  <c r="BD45" i="72" s="1"/>
  <c r="AX45" i="72" a="1"/>
  <c r="AX45" i="72" s="1"/>
  <c r="AR45" i="72" a="1"/>
  <c r="AR45" i="72" s="1"/>
  <c r="BJ45" i="72" a="1"/>
  <c r="BJ45" i="72" s="1"/>
  <c r="AJ45" i="72" a="1"/>
  <c r="AJ45" i="72" s="1"/>
  <c r="BI45" i="72" a="1"/>
  <c r="BI45" i="72" s="1"/>
  <c r="BE45" i="72" a="1"/>
  <c r="BE45" i="72" s="1"/>
  <c r="BG45" i="72" a="1"/>
  <c r="BG45" i="72" s="1"/>
  <c r="AU58" i="4" a="1"/>
  <c r="AU58" i="4" s="1"/>
  <c r="AW58" i="4" a="1"/>
  <c r="AW58" i="4" s="1"/>
  <c r="Y58" i="4"/>
  <c r="AV58" i="4"/>
  <c r="CB58" i="4"/>
  <c r="BR58" i="4"/>
  <c r="DA58" i="4"/>
  <c r="DB58" i="4" s="1"/>
  <c r="P60" i="9" s="1"/>
  <c r="S25" i="4"/>
  <c r="T25" i="4"/>
  <c r="Z1617" i="13"/>
  <c r="C6" i="69"/>
  <c r="D6" i="69" s="1" a="1"/>
  <c r="D6" i="69" s="1"/>
  <c r="C6" i="72"/>
  <c r="D6" i="72" s="1" a="1"/>
  <c r="D6" i="72" s="1"/>
  <c r="AG50" i="69" a="1"/>
  <c r="AG50" i="69" s="1"/>
  <c r="S85" i="4"/>
  <c r="Z1677" i="13"/>
  <c r="T85" i="4"/>
  <c r="S22" i="4"/>
  <c r="Z1614" i="13"/>
  <c r="T22" i="4"/>
  <c r="BC80" i="72" a="1"/>
  <c r="BC80" i="72" s="1"/>
  <c r="G270" i="15"/>
  <c r="O71" i="72"/>
  <c r="BK71" i="69"/>
  <c r="O71" i="69"/>
  <c r="G327" i="15"/>
  <c r="Z1624" i="13"/>
  <c r="T32" i="4"/>
  <c r="S32" i="4"/>
  <c r="T86" i="4"/>
  <c r="S86" i="4"/>
  <c r="Z1678" i="13"/>
  <c r="Y69" i="4"/>
  <c r="AV69" i="4"/>
  <c r="AW69" i="4" a="1"/>
  <c r="AW69" i="4" s="1"/>
  <c r="AU69" i="4" a="1"/>
  <c r="AU69" i="4" s="1"/>
  <c r="CB69" i="4"/>
  <c r="BR69" i="4"/>
  <c r="AJ106" i="72" a="1"/>
  <c r="AJ106" i="72" s="1"/>
  <c r="AL106" i="72" a="1"/>
  <c r="AY106" i="72" a="1"/>
  <c r="AY106" i="72" s="1"/>
  <c r="I101" i="1"/>
  <c r="AY583" i="13"/>
  <c r="AR83" i="4"/>
  <c r="AS83" i="4"/>
  <c r="BN60" i="72"/>
  <c r="BO60" i="72"/>
  <c r="BX60" i="72"/>
  <c r="CA60" i="72" s="1"/>
  <c r="G674" i="15"/>
  <c r="X78" i="4"/>
  <c r="BJ43" i="72" a="1"/>
  <c r="BJ43" i="72" s="1"/>
  <c r="BD43" i="72" a="1"/>
  <c r="BD43" i="72" s="1"/>
  <c r="BE43" i="72" a="1"/>
  <c r="BE43" i="72" s="1"/>
  <c r="AZ43" i="72" a="1"/>
  <c r="AZ43" i="72" s="1"/>
  <c r="AJ43" i="72" a="1"/>
  <c r="AJ43" i="72" s="1"/>
  <c r="BI43" i="72" a="1"/>
  <c r="BI43" i="72" s="1"/>
  <c r="AH43" i="72" a="1"/>
  <c r="AH43" i="72" s="1"/>
  <c r="AR43" i="72" a="1"/>
  <c r="AR43" i="72" s="1"/>
  <c r="BF43" i="72" a="1"/>
  <c r="BF43" i="72" s="1"/>
  <c r="AX43" i="72" a="1"/>
  <c r="AX43" i="72" s="1"/>
  <c r="BG43" i="72" a="1"/>
  <c r="BG43" i="72" s="1"/>
  <c r="AY77" i="72" a="1"/>
  <c r="AY77" i="72" s="1"/>
  <c r="AZ37" i="72" a="1"/>
  <c r="AZ37" i="72" s="1"/>
  <c r="BJ37" i="72" a="1"/>
  <c r="BJ37" i="72" s="1"/>
  <c r="BD37" i="72" a="1"/>
  <c r="BD37" i="72" s="1"/>
  <c r="AJ37" i="72" a="1"/>
  <c r="AJ37" i="72" s="1"/>
  <c r="BI37" i="72" a="1"/>
  <c r="BI37" i="72" s="1"/>
  <c r="AX37" i="72" a="1"/>
  <c r="AX37" i="72" s="1"/>
  <c r="BE37" i="72" a="1"/>
  <c r="BE37" i="72" s="1"/>
  <c r="AR37" i="72" a="1"/>
  <c r="AR37" i="72" s="1"/>
  <c r="BG37" i="72" a="1"/>
  <c r="BG37" i="72" s="1"/>
  <c r="G267" i="15"/>
  <c r="BS73" i="4"/>
  <c r="AX1514" i="13"/>
  <c r="A1613" i="13"/>
  <c r="AX1613" i="13" s="1"/>
  <c r="AV1514" i="13"/>
  <c r="AV1613" i="13" s="1"/>
  <c r="G440" i="15"/>
  <c r="AW76" i="4" a="1"/>
  <c r="AW76" i="4" s="1"/>
  <c r="AU76" i="4" a="1"/>
  <c r="AU76" i="4" s="1"/>
  <c r="AV76" i="4"/>
  <c r="Y76" i="4"/>
  <c r="CB76" i="4"/>
  <c r="DA76" i="4"/>
  <c r="DB76" i="4" s="1"/>
  <c r="P78" i="9" s="1"/>
  <c r="BR76" i="4"/>
  <c r="BI34" i="72" a="1"/>
  <c r="BI34" i="72" s="1"/>
  <c r="AR34" i="72" a="1"/>
  <c r="AR34" i="72" s="1"/>
  <c r="BD34" i="72" a="1"/>
  <c r="BD34" i="72" s="1"/>
  <c r="AZ34" i="72" a="1"/>
  <c r="AZ34" i="72" s="1"/>
  <c r="BE34" i="72" a="1"/>
  <c r="BE34" i="72" s="1"/>
  <c r="AX34" i="72" a="1"/>
  <c r="AX34" i="72" s="1"/>
  <c r="AJ34" i="72" a="1"/>
  <c r="AJ34" i="72" s="1"/>
  <c r="BF34" i="72" a="1"/>
  <c r="BF34" i="72" s="1"/>
  <c r="AH34" i="72" a="1"/>
  <c r="AH34" i="72" s="1"/>
  <c r="BJ34" i="72" a="1"/>
  <c r="BJ34" i="72" s="1"/>
  <c r="BG34" i="72" a="1"/>
  <c r="BG34" i="72" s="1"/>
  <c r="BE83" i="72" a="1"/>
  <c r="BE83" i="72" s="1"/>
  <c r="AV1525" i="13"/>
  <c r="AV1624" i="13" s="1"/>
  <c r="A1624" i="13"/>
  <c r="AX1624" i="13" s="1"/>
  <c r="AX1525" i="13"/>
  <c r="A1680" i="13"/>
  <c r="AX1680" i="13" s="1"/>
  <c r="AV1581" i="13"/>
  <c r="AV1680" i="13" s="1"/>
  <c r="AX1581" i="13"/>
  <c r="AT40" i="69" a="1"/>
  <c r="AT40" i="69" s="1"/>
  <c r="G390" i="15"/>
  <c r="AW87" i="4" a="1"/>
  <c r="AW87" i="4" s="1"/>
  <c r="AV87" i="4"/>
  <c r="AU87" i="4" a="1"/>
  <c r="AU87" i="4" s="1"/>
  <c r="Y87" i="4"/>
  <c r="BR87" i="4"/>
  <c r="CB87" i="4"/>
  <c r="AH34" i="69" a="1"/>
  <c r="AH34" i="69" s="1"/>
  <c r="AI34" i="69" a="1"/>
  <c r="AI34" i="69" s="1"/>
  <c r="AZ34" i="69" a="1"/>
  <c r="AZ34" i="69" s="1"/>
  <c r="AQ34" i="69" a="1"/>
  <c r="AQ34" i="69" s="1"/>
  <c r="AF34" i="69" a="1"/>
  <c r="AF34" i="69" s="1"/>
  <c r="AU34" i="69" a="1"/>
  <c r="AU34" i="69" s="1"/>
  <c r="AK34" i="69" a="1"/>
  <c r="AK34" i="69" s="1"/>
  <c r="BA34" i="69" a="1"/>
  <c r="BA34" i="69" s="1"/>
  <c r="AW34" i="69" a="1"/>
  <c r="AW34" i="69" s="1"/>
  <c r="AG34" i="69" a="1"/>
  <c r="AG34" i="69" s="1"/>
  <c r="AX34" i="69" a="1"/>
  <c r="AX34" i="69" s="1"/>
  <c r="BI23" i="69"/>
  <c r="AX1567" i="13"/>
  <c r="AV1567" i="13"/>
  <c r="AV1666" i="13" s="1"/>
  <c r="A1666" i="13"/>
  <c r="AX1666" i="13" s="1"/>
  <c r="G474" i="15"/>
  <c r="BD87" i="72" a="1"/>
  <c r="BD87" i="72" s="1"/>
  <c r="AZ87" i="72" a="1"/>
  <c r="AZ87" i="72" s="1"/>
  <c r="AJ87" i="72" a="1"/>
  <c r="AJ87" i="72" s="1"/>
  <c r="BJ87" i="72" a="1"/>
  <c r="BJ87" i="72" s="1"/>
  <c r="BI87" i="72" a="1"/>
  <c r="BI87" i="72" s="1"/>
  <c r="AX87" i="72" a="1"/>
  <c r="AX87" i="72" s="1"/>
  <c r="AR87" i="72" a="1"/>
  <c r="AR87" i="72" s="1"/>
  <c r="BE87" i="72" a="1"/>
  <c r="BE87" i="72" s="1"/>
  <c r="BG87" i="72" a="1"/>
  <c r="BG87" i="72" s="1"/>
  <c r="A1656" i="13"/>
  <c r="AX1656" i="13" s="1"/>
  <c r="AV1557" i="13"/>
  <c r="AV1656" i="13" s="1"/>
  <c r="AX1557" i="13"/>
  <c r="O23" i="72"/>
  <c r="G400" i="15"/>
  <c r="S24" i="4"/>
  <c r="Z1616" i="13"/>
  <c r="T24" i="4"/>
  <c r="BB1770" i="13"/>
  <c r="BG70" i="72" a="1"/>
  <c r="BG70" i="72" s="1"/>
  <c r="AR70" i="72" a="1"/>
  <c r="AR70" i="72" s="1"/>
  <c r="AZ70" i="72" a="1"/>
  <c r="AZ70" i="72" s="1"/>
  <c r="BF70" i="72" a="1"/>
  <c r="BF70" i="72" s="1"/>
  <c r="AJ70" i="72" a="1"/>
  <c r="AJ70" i="72" s="1"/>
  <c r="BD70" i="72" a="1"/>
  <c r="BD70" i="72" s="1"/>
  <c r="BJ70" i="72" a="1"/>
  <c r="BJ70" i="72" s="1"/>
  <c r="AX70" i="72" a="1"/>
  <c r="AX70" i="72" s="1"/>
  <c r="BI70" i="72" a="1"/>
  <c r="BI70" i="72" s="1"/>
  <c r="S61" i="4"/>
  <c r="T61" i="4"/>
  <c r="Z1653" i="13"/>
  <c r="AV1471" i="13"/>
  <c r="AR21" i="72" a="1"/>
  <c r="AR21" i="72" s="1"/>
  <c r="AY45" i="72" a="1"/>
  <c r="AY45" i="72" s="1"/>
  <c r="AV47" i="69" a="1"/>
  <c r="AV47" i="69" s="1"/>
  <c r="AW67" i="69" a="1"/>
  <c r="AW67" i="69" s="1"/>
  <c r="BE39" i="72" a="1"/>
  <c r="BE39" i="72" s="1"/>
  <c r="AG82" i="69" a="1"/>
  <c r="AG82" i="69" s="1"/>
  <c r="AV20" i="69" a="1"/>
  <c r="AV20" i="69" s="1"/>
  <c r="O82" i="69"/>
  <c r="BK82" i="69"/>
  <c r="O82" i="72"/>
  <c r="O64" i="69"/>
  <c r="O64" i="72"/>
  <c r="BK64" i="69"/>
  <c r="G686" i="15"/>
  <c r="AP24" i="69" a="1"/>
  <c r="AP24" i="69" s="1"/>
  <c r="AK17" i="69" a="1"/>
  <c r="AK17" i="69" s="1"/>
  <c r="AF17" i="69" a="1"/>
  <c r="AF17" i="69" s="1"/>
  <c r="AV17" i="69" a="1"/>
  <c r="AV17" i="69" s="1"/>
  <c r="AN17" i="69" a="1"/>
  <c r="AN17" i="69" s="1"/>
  <c r="AU17" i="69" a="1"/>
  <c r="AU17" i="69" s="1"/>
  <c r="AI17" i="69" a="1"/>
  <c r="AI17" i="69" s="1"/>
  <c r="AH17" i="69" a="1"/>
  <c r="AH17" i="69" s="1"/>
  <c r="AO17" i="69" a="1"/>
  <c r="AO17" i="69" s="1"/>
  <c r="BA17" i="69" a="1"/>
  <c r="BA17" i="69" s="1"/>
  <c r="AZ17" i="69" a="1"/>
  <c r="AZ17" i="69" s="1"/>
  <c r="AQ17" i="69" a="1"/>
  <c r="AQ17" i="69" s="1"/>
  <c r="AX17" i="69" a="1"/>
  <c r="AX17" i="69" s="1"/>
  <c r="G164" i="15"/>
  <c r="G464" i="15"/>
  <c r="AT83" i="69" a="1"/>
  <c r="AT83" i="69" s="1"/>
  <c r="AK83" i="69" a="1"/>
  <c r="AK83" i="69" s="1"/>
  <c r="AN83" i="69" a="1"/>
  <c r="AN83" i="69" s="1"/>
  <c r="AO83" i="69" a="1"/>
  <c r="AO83" i="69" s="1"/>
  <c r="AZ83" i="69" a="1"/>
  <c r="AZ83" i="69" s="1"/>
  <c r="AI83" i="69" a="1"/>
  <c r="AI83" i="69" s="1"/>
  <c r="AF83" i="69" a="1"/>
  <c r="AF83" i="69" s="1"/>
  <c r="AV83" i="69" a="1"/>
  <c r="AV83" i="69" s="1"/>
  <c r="AH83" i="69" a="1"/>
  <c r="AH83" i="69" s="1"/>
  <c r="AU83" i="69" a="1"/>
  <c r="AU83" i="69" s="1"/>
  <c r="AW83" i="69" a="1"/>
  <c r="AW83" i="69" s="1"/>
  <c r="AQ83" i="69" a="1"/>
  <c r="AQ83" i="69" s="1"/>
  <c r="BA83" i="69" a="1"/>
  <c r="BA83" i="69" s="1"/>
  <c r="AG83" i="69" a="1"/>
  <c r="AG83" i="69" s="1"/>
  <c r="AX83" i="69" a="1"/>
  <c r="AX83" i="69" s="1"/>
  <c r="S82" i="4"/>
  <c r="T82" i="4"/>
  <c r="Z1674" i="13"/>
  <c r="AX1537" i="13"/>
  <c r="A1636" i="13"/>
  <c r="AX1636" i="13" s="1"/>
  <c r="AV1537" i="13"/>
  <c r="AV1636" i="13" s="1"/>
  <c r="S78" i="4"/>
  <c r="Z1670" i="13"/>
  <c r="T78" i="4"/>
  <c r="Z1676" i="13"/>
  <c r="S84" i="4"/>
  <c r="T84" i="4"/>
  <c r="AS84" i="4"/>
  <c r="AY584" i="13"/>
  <c r="AR84" i="4"/>
  <c r="AV1583" i="13"/>
  <c r="AV1682" i="13" s="1"/>
  <c r="A1682" i="13"/>
  <c r="AX1682" i="13" s="1"/>
  <c r="AX1583" i="13"/>
  <c r="BT68" i="72"/>
  <c r="O68" i="69"/>
  <c r="O68" i="72"/>
  <c r="AD68" i="69"/>
  <c r="AD68" i="72"/>
  <c r="BK68" i="69"/>
  <c r="G494" i="15"/>
  <c r="G42" i="15"/>
  <c r="G574" i="15"/>
  <c r="AH6" i="72" a="1"/>
  <c r="AH6" i="72" s="1"/>
  <c r="G665" i="15"/>
  <c r="X58" i="4"/>
  <c r="G55" i="15"/>
  <c r="G471" i="15"/>
  <c r="G538" i="15"/>
  <c r="G623" i="15"/>
  <c r="G673" i="15"/>
  <c r="G457" i="15"/>
  <c r="G632" i="15"/>
  <c r="G701" i="15"/>
  <c r="G629" i="15"/>
  <c r="G404" i="15"/>
  <c r="G238" i="15"/>
  <c r="G368" i="15"/>
  <c r="G208" i="15"/>
  <c r="G663" i="15"/>
  <c r="G375" i="15"/>
  <c r="G70" i="15"/>
  <c r="G646" i="15"/>
  <c r="G664" i="15"/>
  <c r="G398" i="15"/>
  <c r="BA104" i="4"/>
  <c r="Z1752" i="13" s="1"/>
  <c r="AB1752" i="13" s="1"/>
  <c r="G443" i="15"/>
  <c r="BN71" i="4"/>
  <c r="BF71" i="4" s="1" a="1"/>
  <c r="BF71" i="4" s="1"/>
  <c r="AD71" i="72"/>
  <c r="AD71" i="69"/>
  <c r="BI71" i="69"/>
  <c r="BR71" i="72"/>
  <c r="BN92" i="4"/>
  <c r="BF92" i="4" s="1" a="1"/>
  <c r="BF92" i="4" s="1"/>
  <c r="BI92" i="69"/>
  <c r="BR92" i="72"/>
  <c r="AD92" i="72"/>
  <c r="AD92" i="69"/>
  <c r="AV1538" i="13"/>
  <c r="AV1637" i="13" s="1"/>
  <c r="AX1538" i="13"/>
  <c r="A1637" i="13"/>
  <c r="AX1637" i="13" s="1"/>
  <c r="AD35" i="72"/>
  <c r="O35" i="72"/>
  <c r="BK35" i="69"/>
  <c r="O35" i="69"/>
  <c r="AP29" i="69" a="1"/>
  <c r="AP29" i="69" s="1"/>
  <c r="A1672" i="13"/>
  <c r="AX1672" i="13" s="1"/>
  <c r="AV1573" i="13"/>
  <c r="AV1672" i="13" s="1"/>
  <c r="AX1573" i="13"/>
  <c r="G223" i="15"/>
  <c r="BG60" i="72" a="1"/>
  <c r="BG60" i="72" s="1"/>
  <c r="AP32" i="69" a="1"/>
  <c r="AP32" i="69" s="1"/>
  <c r="G608" i="15"/>
  <c r="G231" i="15"/>
  <c r="G413" i="15"/>
  <c r="BS60" i="69"/>
  <c r="AG32" i="69" a="1"/>
  <c r="AG32" i="69" s="1"/>
  <c r="AY587" i="13"/>
  <c r="AS87" i="4"/>
  <c r="AR87" i="4"/>
  <c r="BC6" i="72" a="1"/>
  <c r="BC6" i="72" s="1"/>
  <c r="G509" i="15"/>
  <c r="AT6" i="69" a="1"/>
  <c r="AT6" i="69" s="1"/>
  <c r="AY62" i="72" a="1"/>
  <c r="AY62" i="72" s="1"/>
  <c r="AX62" i="72" a="1"/>
  <c r="AX62" i="72" s="1"/>
  <c r="AJ62" i="72" a="1"/>
  <c r="AJ62" i="72" s="1"/>
  <c r="AZ62" i="72" a="1"/>
  <c r="AZ62" i="72" s="1"/>
  <c r="BE62" i="72" a="1"/>
  <c r="BE62" i="72" s="1"/>
  <c r="AH62" i="72" a="1"/>
  <c r="AH62" i="72" s="1"/>
  <c r="AR62" i="72" a="1"/>
  <c r="AR62" i="72" s="1"/>
  <c r="BJ62" i="72" a="1"/>
  <c r="BJ62" i="72" s="1"/>
  <c r="BD62" i="72" a="1"/>
  <c r="BD62" i="72" s="1"/>
  <c r="BF62" i="72" a="1"/>
  <c r="BF62" i="72" s="1"/>
  <c r="BI62" i="72" a="1"/>
  <c r="BI62" i="72" s="1"/>
  <c r="BG62" i="72" a="1"/>
  <c r="BG62" i="72" s="1"/>
  <c r="AD95" i="72"/>
  <c r="AY24" i="72" a="1"/>
  <c r="AY24" i="72" s="1"/>
  <c r="G102" i="15"/>
  <c r="BK34" i="69"/>
  <c r="O34" i="72"/>
  <c r="O34" i="69"/>
  <c r="G571" i="15"/>
  <c r="AR51" i="72" a="1"/>
  <c r="AR51" i="72" s="1"/>
  <c r="BC1770" i="13"/>
  <c r="BW8" i="72" a="1"/>
  <c r="BW8" i="72" s="1"/>
  <c r="AR14" i="72" a="1"/>
  <c r="AR14" i="72" s="1"/>
  <c r="G399" i="15"/>
  <c r="BW59" i="72" a="1"/>
  <c r="BW59" i="72" s="1"/>
  <c r="G172" i="15"/>
  <c r="O87" i="72"/>
  <c r="BK87" i="69"/>
  <c r="O87" i="69"/>
  <c r="X91" i="4"/>
  <c r="G306" i="15"/>
  <c r="CC26" i="72"/>
  <c r="AI26" i="72" s="1"/>
  <c r="G498" i="15"/>
  <c r="S80" i="4"/>
  <c r="T80" i="4"/>
  <c r="Z1672" i="13"/>
  <c r="AF23" i="72" a="1"/>
  <c r="AF23" i="72" s="1"/>
  <c r="AV61" i="69" a="1"/>
  <c r="AV61" i="69" s="1"/>
  <c r="A1647" i="13"/>
  <c r="AX1647" i="13" s="1"/>
  <c r="AX1548" i="13"/>
  <c r="AV1548" i="13"/>
  <c r="AV1647" i="13" s="1"/>
  <c r="G256" i="15"/>
  <c r="S83" i="4"/>
  <c r="T83" i="4"/>
  <c r="Z1675" i="13"/>
  <c r="BW45" i="72" a="1"/>
  <c r="BW45" i="72" s="1"/>
  <c r="AG30" i="69" a="1"/>
  <c r="AG30" i="69" s="1"/>
  <c r="AV88" i="69" a="1"/>
  <c r="AV88" i="69" s="1"/>
  <c r="AG67" i="69" a="1"/>
  <c r="AG67" i="69" s="1"/>
  <c r="BF93" i="72" a="1"/>
  <c r="BF93" i="72" s="1"/>
  <c r="BE52" i="72" a="1"/>
  <c r="BE52" i="72" s="1"/>
  <c r="BF47" i="72" a="1"/>
  <c r="BF47" i="72" s="1"/>
  <c r="AN63" i="69" a="1"/>
  <c r="AN63" i="69" s="1"/>
  <c r="AW25" i="69" a="1"/>
  <c r="AW25" i="69" s="1"/>
  <c r="AN39" i="69" a="1"/>
  <c r="AN39" i="69" s="1"/>
  <c r="BL97" i="4"/>
  <c r="BD106" i="4" s="1"/>
  <c r="BH55" i="4"/>
  <c r="AV1153" i="13" s="1"/>
  <c r="AE3" i="1" s="1" a="1"/>
  <c r="AE3" i="1" s="1"/>
  <c r="AE101" i="1" s="1"/>
  <c r="BS55" i="4"/>
  <c r="BK55" i="69" s="1"/>
  <c r="X55" i="4"/>
  <c r="BQ194" i="4"/>
  <c r="AX1521" i="13"/>
  <c r="AV1521" i="13"/>
  <c r="AV1620" i="13" s="1"/>
  <c r="A1620" i="13"/>
  <c r="AX1620" i="13" s="1"/>
  <c r="AU59" i="4" a="1"/>
  <c r="AU59" i="4" s="1"/>
  <c r="Y59" i="4"/>
  <c r="AW59" i="4" a="1"/>
  <c r="AW59" i="4" s="1"/>
  <c r="AV59" i="4"/>
  <c r="CB59" i="4"/>
  <c r="DA59" i="4"/>
  <c r="DB59" i="4" s="1"/>
  <c r="BR59" i="4"/>
  <c r="T37" i="4"/>
  <c r="Z1629" i="13"/>
  <c r="S37" i="4"/>
  <c r="S95" i="4"/>
  <c r="Z1687" i="13"/>
  <c r="T95" i="4"/>
  <c r="BG14" i="72" a="1"/>
  <c r="BG14" i="72" s="1"/>
  <c r="AX14" i="72" a="1"/>
  <c r="AX14" i="72" s="1"/>
  <c r="AZ14" i="72" a="1"/>
  <c r="AZ14" i="72" s="1"/>
  <c r="AH14" i="72" a="1"/>
  <c r="AH14" i="72" s="1"/>
  <c r="BJ14" i="72" a="1"/>
  <c r="BJ14" i="72" s="1"/>
  <c r="AJ14" i="72" a="1"/>
  <c r="AJ14" i="72" s="1"/>
  <c r="BD14" i="72" a="1"/>
  <c r="BD14" i="72" s="1"/>
  <c r="BI14" i="72" a="1"/>
  <c r="BI14" i="72" s="1"/>
  <c r="BF14" i="72" a="1"/>
  <c r="BF14" i="72" s="1"/>
  <c r="G516" i="15"/>
  <c r="BC5" i="72" a="1"/>
  <c r="BC5" i="72" s="1"/>
  <c r="AX5" i="72" a="1"/>
  <c r="AX5" i="72" s="1"/>
  <c r="AR5" i="72" a="1"/>
  <c r="AR5" i="72" s="1"/>
  <c r="BE5" i="72" a="1"/>
  <c r="BE5" i="72" s="1"/>
  <c r="AZ5" i="72" a="1"/>
  <c r="AZ5" i="72" s="1"/>
  <c r="AH5" i="72" a="1"/>
  <c r="AH5" i="72" s="1"/>
  <c r="BI5" i="72" a="1"/>
  <c r="BI5" i="72" s="1"/>
  <c r="AJ5" i="72" a="1"/>
  <c r="AJ5" i="72" s="1"/>
  <c r="BF5" i="72" a="1"/>
  <c r="BF5" i="72" s="1"/>
  <c r="BJ5" i="72" a="1"/>
  <c r="BJ5" i="72" s="1"/>
  <c r="BD5" i="72" a="1"/>
  <c r="BD5" i="72" s="1"/>
  <c r="BG5" i="72" a="1"/>
  <c r="BG5" i="72" s="1"/>
  <c r="T50" i="4"/>
  <c r="Z1642" i="13"/>
  <c r="S50" i="4"/>
  <c r="AV1571" i="13"/>
  <c r="AV1670" i="13" s="1"/>
  <c r="A1670" i="13"/>
  <c r="AX1670" i="13" s="1"/>
  <c r="AX1571" i="13"/>
  <c r="G479" i="15"/>
  <c r="BK29" i="69"/>
  <c r="O29" i="72"/>
  <c r="AD29" i="69"/>
  <c r="AD29" i="72"/>
  <c r="O29" i="69"/>
  <c r="BN74" i="4"/>
  <c r="BF74" i="4" s="1" a="1"/>
  <c r="BF74" i="4" s="1"/>
  <c r="BI74" i="69"/>
  <c r="BR74" i="72"/>
  <c r="AD74" i="72"/>
  <c r="AX1536" i="13"/>
  <c r="AV1536" i="13"/>
  <c r="AV1635" i="13" s="1"/>
  <c r="A1635" i="13"/>
  <c r="AX1635" i="13" s="1"/>
  <c r="AQ80" i="69" a="1"/>
  <c r="AQ80" i="69" s="1"/>
  <c r="AH80" i="69" a="1"/>
  <c r="AH80" i="69" s="1"/>
  <c r="AK80" i="69" a="1"/>
  <c r="AK80" i="69" s="1"/>
  <c r="AI80" i="69" a="1"/>
  <c r="AI80" i="69" s="1"/>
  <c r="BA80" i="69" a="1"/>
  <c r="BA80" i="69" s="1"/>
  <c r="AO80" i="69" a="1"/>
  <c r="AO80" i="69" s="1"/>
  <c r="AF80" i="69" a="1"/>
  <c r="AF80" i="69" s="1"/>
  <c r="AZ80" i="69" a="1"/>
  <c r="AZ80" i="69" s="1"/>
  <c r="AU80" i="69" a="1"/>
  <c r="AU80" i="69" s="1"/>
  <c r="AN80" i="69" a="1"/>
  <c r="AN80" i="69" s="1"/>
  <c r="AV80" i="69" a="1"/>
  <c r="AV80" i="69" s="1"/>
  <c r="AX80" i="69" a="1"/>
  <c r="AX80" i="69" s="1"/>
  <c r="A1601" i="13"/>
  <c r="AX1601" i="13" s="1"/>
  <c r="AV1502" i="13"/>
  <c r="AV1601" i="13" s="1"/>
  <c r="AX1502" i="13"/>
  <c r="A1611" i="13"/>
  <c r="AX1611" i="13" s="1"/>
  <c r="AX1512" i="13"/>
  <c r="AV1512" i="13"/>
  <c r="AV1611" i="13" s="1"/>
  <c r="C11" i="69"/>
  <c r="D11" i="69" s="1" a="1"/>
  <c r="D11" i="69" s="1"/>
  <c r="C11" i="72"/>
  <c r="D11" i="72" s="1" a="1"/>
  <c r="D11" i="72" s="1"/>
  <c r="AZ79" i="69" a="1"/>
  <c r="AZ79" i="69" s="1"/>
  <c r="AK79" i="69" a="1"/>
  <c r="AK79" i="69" s="1"/>
  <c r="AH79" i="69" a="1"/>
  <c r="AH79" i="69" s="1"/>
  <c r="AU79" i="69" a="1"/>
  <c r="AU79" i="69" s="1"/>
  <c r="AO79" i="69" a="1"/>
  <c r="AO79" i="69" s="1"/>
  <c r="BA79" i="69" a="1"/>
  <c r="BA79" i="69" s="1"/>
  <c r="AQ79" i="69" a="1"/>
  <c r="AQ79" i="69" s="1"/>
  <c r="AF79" i="69" a="1"/>
  <c r="AF79" i="69" s="1"/>
  <c r="AI79" i="69" a="1"/>
  <c r="AI79" i="69" s="1"/>
  <c r="AG79" i="69" a="1"/>
  <c r="AG79" i="69" s="1"/>
  <c r="AV79" i="69" a="1"/>
  <c r="AV79" i="69" s="1"/>
  <c r="AX79" i="69" a="1"/>
  <c r="AX79" i="69" s="1"/>
  <c r="A1631" i="13"/>
  <c r="AX1631" i="13" s="1"/>
  <c r="AX1532" i="13"/>
  <c r="AV1532" i="13"/>
  <c r="AV1631" i="13" s="1"/>
  <c r="G438" i="15"/>
  <c r="AX85" i="69" a="1"/>
  <c r="AX85" i="69" s="1"/>
  <c r="AH85" i="69" a="1"/>
  <c r="AH85" i="69" s="1"/>
  <c r="AN85" i="69" a="1"/>
  <c r="AN85" i="69" s="1"/>
  <c r="AQ85" i="69" a="1"/>
  <c r="AQ85" i="69" s="1"/>
  <c r="AI85" i="69" a="1"/>
  <c r="AI85" i="69" s="1"/>
  <c r="AZ85" i="69" a="1"/>
  <c r="AZ85" i="69" s="1"/>
  <c r="BA85" i="69" a="1"/>
  <c r="BA85" i="69" s="1"/>
  <c r="AU85" i="69" a="1"/>
  <c r="AU85" i="69" s="1"/>
  <c r="AF85" i="69" a="1"/>
  <c r="AF85" i="69" s="1"/>
  <c r="AW85" i="69" a="1"/>
  <c r="AW85" i="69" s="1"/>
  <c r="AK85" i="69" a="1"/>
  <c r="AK85" i="69" s="1"/>
  <c r="AO85" i="69" a="1"/>
  <c r="AO85" i="69" s="1"/>
  <c r="Z1643" i="13"/>
  <c r="S51" i="4"/>
  <c r="T51" i="4"/>
  <c r="BN26" i="69" a="1"/>
  <c r="BN26" i="69" s="1"/>
  <c r="AG26" i="69" a="1"/>
  <c r="AG26" i="69" s="1"/>
  <c r="AO26" i="69" a="1"/>
  <c r="AO26" i="69" s="1"/>
  <c r="AV26" i="69" a="1"/>
  <c r="AV26" i="69" s="1"/>
  <c r="AH26" i="69" a="1"/>
  <c r="AH26" i="69" s="1"/>
  <c r="AK26" i="69" a="1"/>
  <c r="AK26" i="69" s="1"/>
  <c r="AQ26" i="69" a="1"/>
  <c r="AQ26" i="69" s="1"/>
  <c r="AN26" i="69" a="1"/>
  <c r="AN26" i="69" s="1"/>
  <c r="AZ26" i="69" a="1"/>
  <c r="AZ26" i="69" s="1"/>
  <c r="AW26" i="69" a="1"/>
  <c r="AW26" i="69" s="1"/>
  <c r="AU26" i="69" a="1"/>
  <c r="AU26" i="69" s="1"/>
  <c r="AI26" i="69" a="1"/>
  <c r="AI26" i="69" s="1"/>
  <c r="AF26" i="69" a="1"/>
  <c r="AF26" i="69" s="1"/>
  <c r="BA26" i="69" a="1"/>
  <c r="BA26" i="69" s="1"/>
  <c r="AX26" i="69" a="1"/>
  <c r="AX26" i="69" s="1"/>
  <c r="BN29" i="69" a="1"/>
  <c r="BN29" i="69" s="1"/>
  <c r="AT91" i="69" a="1"/>
  <c r="AT91" i="69" s="1"/>
  <c r="AT92" i="69" a="1"/>
  <c r="AT92" i="69" s="1"/>
  <c r="AG92" i="69" a="1"/>
  <c r="AG92" i="69" s="1"/>
  <c r="AW92" i="69" a="1"/>
  <c r="AW92" i="69" s="1"/>
  <c r="AK92" i="69" a="1"/>
  <c r="AK92" i="69" s="1"/>
  <c r="BA92" i="69" a="1"/>
  <c r="BA92" i="69" s="1"/>
  <c r="AN92" i="69" a="1"/>
  <c r="AN92" i="69" s="1"/>
  <c r="AF92" i="69" a="1"/>
  <c r="AF92" i="69" s="1"/>
  <c r="AI92" i="69" a="1"/>
  <c r="AI92" i="69" s="1"/>
  <c r="AZ92" i="69" a="1"/>
  <c r="AZ92" i="69" s="1"/>
  <c r="AH92" i="69" a="1"/>
  <c r="AH92" i="69" s="1"/>
  <c r="AO92" i="69" a="1"/>
  <c r="AO92" i="69" s="1"/>
  <c r="AQ92" i="69" a="1"/>
  <c r="AQ92" i="69" s="1"/>
  <c r="AU92" i="69" a="1"/>
  <c r="AU92" i="69" s="1"/>
  <c r="AV92" i="69" a="1"/>
  <c r="AV92" i="69" s="1"/>
  <c r="AX92" i="69" a="1"/>
  <c r="AX92" i="69" s="1"/>
  <c r="O69" i="69"/>
  <c r="O69" i="72"/>
  <c r="BK69" i="69"/>
  <c r="AX1506" i="13"/>
  <c r="AV1506" i="13"/>
  <c r="AV1605" i="13" s="1"/>
  <c r="A1605" i="13"/>
  <c r="AX1605" i="13" s="1"/>
  <c r="AP69" i="69" a="1"/>
  <c r="AP69" i="69" s="1"/>
  <c r="AV1562" i="13"/>
  <c r="AV1661" i="13" s="1"/>
  <c r="A1661" i="13"/>
  <c r="AX1661" i="13" s="1"/>
  <c r="AX1562" i="13"/>
  <c r="AK60" i="72" a="1"/>
  <c r="AK60" i="72" s="1"/>
  <c r="AV60" i="72" a="1"/>
  <c r="AV60" i="72" s="1"/>
  <c r="CB60" i="72"/>
  <c r="AM60" i="72"/>
  <c r="AP60" i="72"/>
  <c r="BT60" i="72"/>
  <c r="CD60" i="72"/>
  <c r="BZ60" i="72" a="1"/>
  <c r="BZ60" i="72" s="1"/>
  <c r="CE60" i="72" a="1"/>
  <c r="CE60" i="72" s="1"/>
  <c r="CC60" i="72"/>
  <c r="AI60" i="72" s="1"/>
  <c r="G141" i="15"/>
  <c r="BG103" i="4"/>
  <c r="Z1715" i="13" s="1"/>
  <c r="AV1499" i="13"/>
  <c r="AV1598" i="13" s="1"/>
  <c r="A1598" i="13"/>
  <c r="AX1598" i="13" s="1"/>
  <c r="AX1499" i="13"/>
  <c r="BI66" i="72" a="1"/>
  <c r="BI66" i="72" s="1"/>
  <c r="BE66" i="72" a="1"/>
  <c r="BE66" i="72" s="1"/>
  <c r="BD66" i="72" a="1"/>
  <c r="BD66" i="72" s="1"/>
  <c r="AR66" i="72" a="1"/>
  <c r="AR66" i="72" s="1"/>
  <c r="AX66" i="72" a="1"/>
  <c r="AX66" i="72" s="1"/>
  <c r="BJ66" i="72" a="1"/>
  <c r="BJ66" i="72" s="1"/>
  <c r="AJ66" i="72" a="1"/>
  <c r="AJ66" i="72" s="1"/>
  <c r="AZ66" i="72" a="1"/>
  <c r="AZ66" i="72" s="1"/>
  <c r="BG66" i="72" a="1"/>
  <c r="BG66" i="72" s="1"/>
  <c r="BN42" i="69" a="1"/>
  <c r="BN42" i="69" s="1"/>
  <c r="AX60" i="69" a="1"/>
  <c r="AX60" i="69" s="1"/>
  <c r="T41" i="4"/>
  <c r="S41" i="4"/>
  <c r="Z1633" i="13"/>
  <c r="AZ48" i="72" a="1"/>
  <c r="AZ48" i="72" s="1"/>
  <c r="AJ48" i="72" a="1"/>
  <c r="AJ48" i="72" s="1"/>
  <c r="BD48" i="72" a="1"/>
  <c r="BD48" i="72" s="1"/>
  <c r="AX48" i="72" a="1"/>
  <c r="AX48" i="72" s="1"/>
  <c r="AR48" i="72" a="1"/>
  <c r="AR48" i="72" s="1"/>
  <c r="BF48" i="72" a="1"/>
  <c r="BF48" i="72" s="1"/>
  <c r="BJ48" i="72" a="1"/>
  <c r="BJ48" i="72" s="1"/>
  <c r="BI48" i="72" a="1"/>
  <c r="BI48" i="72" s="1"/>
  <c r="BG48" i="72" a="1"/>
  <c r="BG48" i="72" s="1"/>
  <c r="AW89" i="4" a="1"/>
  <c r="AW89" i="4" s="1"/>
  <c r="Y89" i="4"/>
  <c r="AU89" i="4" a="1"/>
  <c r="AU89" i="4" s="1"/>
  <c r="AV89" i="4"/>
  <c r="BR89" i="4"/>
  <c r="CB89" i="4"/>
  <c r="DA89" i="4"/>
  <c r="DB89" i="4" s="1"/>
  <c r="Z1684" i="13"/>
  <c r="T92" i="4"/>
  <c r="S92" i="4"/>
  <c r="BC103" i="4"/>
  <c r="AS68" i="4"/>
  <c r="AR68" i="4"/>
  <c r="AY568" i="13"/>
  <c r="BN78" i="69" a="1"/>
  <c r="BN78" i="69" s="1"/>
  <c r="G573" i="15"/>
  <c r="G107" i="15"/>
  <c r="AD95" i="69"/>
  <c r="BW24" i="72" a="1"/>
  <c r="BW24" i="72" s="1"/>
  <c r="S94" i="4"/>
  <c r="Z1686" i="13"/>
  <c r="T94" i="4"/>
  <c r="BT82" i="72"/>
  <c r="AY59" i="72" a="1"/>
  <c r="AY59" i="72" s="1"/>
  <c r="BH23" i="69"/>
  <c r="AW68" i="69" a="1"/>
  <c r="AW68" i="69" s="1"/>
  <c r="BF53" i="72" a="1"/>
  <c r="BF53" i="72" s="1"/>
  <c r="T72" i="4"/>
  <c r="Z1664" i="13"/>
  <c r="S72" i="4"/>
  <c r="AG41" i="69" a="1"/>
  <c r="AG41" i="69" s="1"/>
  <c r="AW79" i="69" a="1"/>
  <c r="AW79" i="69" s="1"/>
  <c r="AV1468" i="13"/>
  <c r="BR23" i="72"/>
  <c r="BN61" i="69" a="1"/>
  <c r="BN61" i="69" s="1"/>
  <c r="G284" i="15"/>
  <c r="AH37" i="72" a="1"/>
  <c r="AH37" i="72" s="1"/>
  <c r="AG29" i="69" a="1"/>
  <c r="AG29" i="69" s="1"/>
  <c r="A1669" i="13"/>
  <c r="AX1669" i="13" s="1"/>
  <c r="AV1570" i="13"/>
  <c r="AV1669" i="13" s="1"/>
  <c r="AX1570" i="13"/>
  <c r="BN59" i="4"/>
  <c r="BF59" i="4" s="1" a="1"/>
  <c r="BF59" i="4" s="1"/>
  <c r="AD59" i="69"/>
  <c r="AD59" i="72"/>
  <c r="BI59" i="69"/>
  <c r="BR59" i="72"/>
  <c r="AG7" i="69" a="1"/>
  <c r="AG7" i="69" s="1"/>
  <c r="AG54" i="69" a="1"/>
  <c r="AG54" i="69" s="1"/>
  <c r="AV72" i="69" a="1"/>
  <c r="AV72" i="69" s="1"/>
  <c r="AG88" i="69" a="1"/>
  <c r="AG88" i="69" s="1"/>
  <c r="BF65" i="72" a="1"/>
  <c r="BF65" i="72" s="1"/>
  <c r="AN49" i="69" a="1"/>
  <c r="AN49" i="69" s="1"/>
  <c r="AW31" i="69" a="1"/>
  <c r="AW31" i="69" s="1"/>
  <c r="AV82" i="69" a="1"/>
  <c r="AV82" i="69" s="1"/>
  <c r="AG89" i="69" a="1"/>
  <c r="AG89" i="69" s="1"/>
  <c r="AV39" i="69" a="1"/>
  <c r="AV39" i="69" s="1"/>
  <c r="AV33" i="69" a="1"/>
  <c r="AV33" i="69" s="1"/>
  <c r="AI60" i="69" l="1" a="1"/>
  <c r="AI60" i="69" s="1"/>
  <c r="BM97" i="4"/>
  <c r="BQ104" i="4"/>
  <c r="BQ103" i="4"/>
  <c r="BD103" i="4"/>
  <c r="AX104" i="4" a="1"/>
  <c r="AX104" i="4" s="1"/>
  <c r="BJ104" i="4"/>
  <c r="BI103" i="4"/>
  <c r="Z1717" i="13" s="1"/>
  <c r="AU120" i="72"/>
  <c r="AU60" i="69" a="1"/>
  <c r="AU60" i="69" s="1"/>
  <c r="BE104" i="4"/>
  <c r="AU124" i="72"/>
  <c r="AU115" i="72"/>
  <c r="AG60" i="69" a="1"/>
  <c r="AG60" i="69" s="1"/>
  <c r="AH60" i="69" a="1"/>
  <c r="AH60" i="69" s="1"/>
  <c r="AZ60" i="69" a="1"/>
  <c r="AZ60" i="69" s="1"/>
  <c r="C55" i="72"/>
  <c r="D55" i="72" s="1" a="1"/>
  <c r="D55" i="72" s="1"/>
  <c r="AF60" i="69" a="1"/>
  <c r="AF60" i="69" s="1"/>
  <c r="H55" i="72"/>
  <c r="AX103" i="4" a="1"/>
  <c r="AX103" i="4" s="1"/>
  <c r="BG104" i="4"/>
  <c r="Z1736" i="13" s="1"/>
  <c r="AU107" i="72"/>
  <c r="AN60" i="69" a="1"/>
  <c r="AN60" i="69" s="1"/>
  <c r="AU128" i="72"/>
  <c r="BH103" i="4"/>
  <c r="AY55" i="69" a="1"/>
  <c r="AY55" i="69" s="1"/>
  <c r="AB1746" i="13"/>
  <c r="AV60" i="69" a="1"/>
  <c r="AV60" i="69" s="1"/>
  <c r="BX55" i="72"/>
  <c r="CA55" i="72" s="1"/>
  <c r="BN60" i="69" a="1"/>
  <c r="BN60" i="69" s="1"/>
  <c r="X97" i="4"/>
  <c r="L55" i="69"/>
  <c r="BP55" i="69"/>
  <c r="AE55" i="69" a="1"/>
  <c r="AE55" i="69" s="1"/>
  <c r="AO55" i="69" s="1" a="1"/>
  <c r="AO55" i="69" s="1"/>
  <c r="BD107" i="4"/>
  <c r="BG107" i="4" s="1"/>
  <c r="AG23" i="69" a="1"/>
  <c r="AG23" i="69" s="1"/>
  <c r="BH55" i="69"/>
  <c r="BR97" i="72"/>
  <c r="CB97" i="4"/>
  <c r="H73" i="72"/>
  <c r="H73" i="69"/>
  <c r="S67" i="4"/>
  <c r="T67" i="4"/>
  <c r="Z1659" i="13"/>
  <c r="H92" i="69"/>
  <c r="H92" i="72"/>
  <c r="BH104" i="4"/>
  <c r="BN55" i="4"/>
  <c r="BS103" i="4"/>
  <c r="Z1724" i="13" s="1"/>
  <c r="BE103" i="4"/>
  <c r="BQ193" i="4"/>
  <c r="BS104" i="4"/>
  <c r="BS107" i="4"/>
  <c r="BS106" i="4"/>
  <c r="BF103" i="4"/>
  <c r="Z1714" i="13" s="1"/>
  <c r="BP103" i="4"/>
  <c r="X105" i="69"/>
  <c r="X103" i="69"/>
  <c r="X104" i="69"/>
  <c r="X102" i="69"/>
  <c r="H34" i="15"/>
  <c r="H37" i="15"/>
  <c r="I37" i="15"/>
  <c r="DN41" i="4"/>
  <c r="DO41" i="4"/>
  <c r="DP41" i="4"/>
  <c r="DN48" i="4"/>
  <c r="DP48" i="4"/>
  <c r="DO48" i="4"/>
  <c r="DP8" i="4"/>
  <c r="DL8" i="4" s="1"/>
  <c r="DN8" i="4"/>
  <c r="DO8" i="4"/>
  <c r="DO49" i="4"/>
  <c r="DP49" i="4"/>
  <c r="DN49" i="4"/>
  <c r="DO43" i="4"/>
  <c r="DP43" i="4"/>
  <c r="DL43" i="4" s="1"/>
  <c r="DN43" i="4"/>
  <c r="DO7" i="4"/>
  <c r="DP7" i="4"/>
  <c r="DL7" i="4" s="1"/>
  <c r="DN7" i="4"/>
  <c r="DN22" i="4"/>
  <c r="DO22" i="4"/>
  <c r="DP22" i="4"/>
  <c r="DN55" i="4"/>
  <c r="DP55" i="4"/>
  <c r="DL55" i="4" s="1"/>
  <c r="DO55" i="4"/>
  <c r="Z1622" i="13"/>
  <c r="T30" i="4"/>
  <c r="S30" i="4"/>
  <c r="H70" i="69"/>
  <c r="H70" i="72"/>
  <c r="C77" i="72"/>
  <c r="D77" i="72" s="1" a="1"/>
  <c r="D77" i="72" s="1"/>
  <c r="C77" i="69"/>
  <c r="D77" i="69" s="1" a="1"/>
  <c r="D77" i="69" s="1"/>
  <c r="C82" i="69"/>
  <c r="D82" i="69" s="1" a="1"/>
  <c r="D82" i="69" s="1"/>
  <c r="C82" i="72"/>
  <c r="D82" i="72" s="1" a="1"/>
  <c r="D82" i="72" s="1"/>
  <c r="AO23" i="69" a="1"/>
  <c r="AO23" i="69" s="1"/>
  <c r="AF23" i="69" a="1"/>
  <c r="AF23" i="69" s="1"/>
  <c r="AW23" i="69" a="1"/>
  <c r="AW23" i="69" s="1"/>
  <c r="AK23" i="69" a="1"/>
  <c r="AK23" i="69" s="1"/>
  <c r="AU23" i="69" a="1"/>
  <c r="AU23" i="69" s="1"/>
  <c r="BA23" i="69" a="1"/>
  <c r="BA23" i="69" s="1"/>
  <c r="AI23" i="69" a="1"/>
  <c r="AI23" i="69" s="1"/>
  <c r="AZ23" i="69" a="1"/>
  <c r="AZ23" i="69" s="1"/>
  <c r="AN23" i="69" a="1"/>
  <c r="AN23" i="69" s="1"/>
  <c r="AQ23" i="69" a="1"/>
  <c r="AQ23" i="69" s="1"/>
  <c r="AH23" i="69" a="1"/>
  <c r="AH23" i="69" s="1"/>
  <c r="AX23" i="69" a="1"/>
  <c r="AX23" i="69" s="1"/>
  <c r="H71" i="72"/>
  <c r="H71" i="69"/>
  <c r="H40" i="15"/>
  <c r="C95" i="69"/>
  <c r="D95" i="69" s="1" a="1"/>
  <c r="D95" i="69" s="1"/>
  <c r="C94" i="69"/>
  <c r="D94" i="69" s="1" a="1"/>
  <c r="D94" i="69" s="1"/>
  <c r="C96" i="72"/>
  <c r="D96" i="72" s="1" a="1"/>
  <c r="D96" i="72" s="1"/>
  <c r="C94" i="72"/>
  <c r="D94" i="72" s="1" a="1"/>
  <c r="D94" i="72" s="1"/>
  <c r="C96" i="69"/>
  <c r="D96" i="69" s="1" a="1"/>
  <c r="D96" i="69" s="1"/>
  <c r="C92" i="69"/>
  <c r="D92" i="69" s="1" a="1"/>
  <c r="D92" i="69" s="1"/>
  <c r="C92" i="72"/>
  <c r="D92" i="72" s="1" a="1"/>
  <c r="D92" i="72" s="1"/>
  <c r="AY557" i="13"/>
  <c r="AY599" i="13" s="1"/>
  <c r="AR57" i="4"/>
  <c r="AS57" i="4"/>
  <c r="C63" i="69"/>
  <c r="D63" i="69" s="1" a="1"/>
  <c r="D63" i="69" s="1"/>
  <c r="C63" i="72"/>
  <c r="D63" i="72" s="1" a="1"/>
  <c r="D63" i="72" s="1"/>
  <c r="AV23" i="69" a="1"/>
  <c r="AV23" i="69" s="1"/>
  <c r="BV55" i="69"/>
  <c r="D15" i="27"/>
  <c r="B12" i="27"/>
  <c r="C16" i="27"/>
  <c r="DN23" i="4"/>
  <c r="DO23" i="4"/>
  <c r="DP23" i="4"/>
  <c r="DN39" i="4"/>
  <c r="DO39" i="4"/>
  <c r="DP39" i="4"/>
  <c r="DL39" i="4" s="1"/>
  <c r="DP5" i="4"/>
  <c r="DN5" i="4"/>
  <c r="DO5" i="4"/>
  <c r="DN65" i="4"/>
  <c r="DO65" i="4"/>
  <c r="DP65" i="4"/>
  <c r="DL65" i="4" s="1"/>
  <c r="DN90" i="4"/>
  <c r="DP90" i="4"/>
  <c r="DO90" i="4"/>
  <c r="DP26" i="4"/>
  <c r="DO26" i="4"/>
  <c r="DN26" i="4"/>
  <c r="DO21" i="4"/>
  <c r="DP21" i="4"/>
  <c r="DL21" i="4" s="1"/>
  <c r="DN21" i="4"/>
  <c r="BE23" i="72" a="1"/>
  <c r="BE23" i="72" s="1"/>
  <c r="BG23" i="72" a="1"/>
  <c r="BG23" i="72" s="1"/>
  <c r="AH23" i="72" a="1"/>
  <c r="AH23" i="72" s="1"/>
  <c r="AH97" i="72" s="1"/>
  <c r="BJ23" i="72" a="1"/>
  <c r="BJ23" i="72" s="1"/>
  <c r="BI23" i="72" a="1"/>
  <c r="BI23" i="72" s="1"/>
  <c r="AX23" i="72" a="1"/>
  <c r="AX23" i="72" s="1"/>
  <c r="AJ23" i="72" a="1"/>
  <c r="AJ23" i="72" s="1"/>
  <c r="BD23" i="72" a="1"/>
  <c r="BD23" i="72" s="1"/>
  <c r="AZ23" i="72" a="1"/>
  <c r="AZ23" i="72" s="1"/>
  <c r="BF23" i="72" a="1"/>
  <c r="BF23" i="72" s="1"/>
  <c r="H91" i="69"/>
  <c r="H91" i="72"/>
  <c r="O92" i="72"/>
  <c r="BK92" i="69"/>
  <c r="O92" i="69"/>
  <c r="BT92" i="72"/>
  <c r="BN55" i="72"/>
  <c r="BN97" i="72" s="1"/>
  <c r="BO55" i="72"/>
  <c r="BO97" i="72" s="1"/>
  <c r="CC92" i="72"/>
  <c r="AI92" i="72" s="1"/>
  <c r="CD55" i="72"/>
  <c r="BT55" i="72"/>
  <c r="AP55" i="72"/>
  <c r="AM55" i="72"/>
  <c r="BZ55" i="72" a="1"/>
  <c r="BZ55" i="72" s="1"/>
  <c r="AV55" i="72" a="1"/>
  <c r="AV55" i="72" s="1"/>
  <c r="AV97" i="72" s="1"/>
  <c r="BF99" i="72" s="1"/>
  <c r="CB55" i="72"/>
  <c r="CE55" i="72" a="1"/>
  <c r="CE55" i="72" s="1"/>
  <c r="CC55" i="72"/>
  <c r="AI55" i="72" s="1"/>
  <c r="CC62" i="72"/>
  <c r="AI62" i="72" s="1"/>
  <c r="AN130" i="72"/>
  <c r="CC87" i="72"/>
  <c r="AI87" i="72" s="1"/>
  <c r="CC71" i="72"/>
  <c r="AI71" i="72" s="1"/>
  <c r="CC82" i="72"/>
  <c r="AI82" i="72" s="1"/>
  <c r="CC59" i="72"/>
  <c r="AI59" i="72" s="1"/>
  <c r="CC80" i="72"/>
  <c r="AI80" i="72" s="1"/>
  <c r="CC57" i="72"/>
  <c r="AI57" i="72" s="1"/>
  <c r="CC61" i="72"/>
  <c r="AI61" i="72" s="1"/>
  <c r="CC76" i="72"/>
  <c r="AI76" i="72" s="1"/>
  <c r="CC89" i="72"/>
  <c r="AI89" i="72" s="1"/>
  <c r="CC72" i="72"/>
  <c r="AI72" i="72" s="1"/>
  <c r="AN128" i="72"/>
  <c r="CC68" i="72"/>
  <c r="AI68" i="72" s="1"/>
  <c r="CC77" i="72"/>
  <c r="AI77" i="72" s="1"/>
  <c r="CC81" i="72"/>
  <c r="AI81" i="72" s="1"/>
  <c r="CC67" i="72"/>
  <c r="AI67" i="72" s="1"/>
  <c r="AN124" i="72"/>
  <c r="CC86" i="72"/>
  <c r="AI86" i="72" s="1"/>
  <c r="CC91" i="72"/>
  <c r="AI91" i="72" s="1"/>
  <c r="CC84" i="72"/>
  <c r="AI84" i="72" s="1"/>
  <c r="AN125" i="72"/>
  <c r="CC63" i="72"/>
  <c r="AI63" i="72" s="1"/>
  <c r="CC69" i="72"/>
  <c r="AI69" i="72" s="1"/>
  <c r="AN127" i="72"/>
  <c r="CC75" i="72"/>
  <c r="AI75" i="72" s="1"/>
  <c r="CC73" i="72"/>
  <c r="AI73" i="72" s="1"/>
  <c r="CC58" i="72"/>
  <c r="AI58" i="72" s="1"/>
  <c r="CC66" i="72"/>
  <c r="AI66" i="72" s="1"/>
  <c r="CC88" i="72"/>
  <c r="AI88" i="72" s="1"/>
  <c r="CC79" i="72"/>
  <c r="AI79" i="72" s="1"/>
  <c r="CC83" i="72"/>
  <c r="AI83" i="72" s="1"/>
  <c r="AN129" i="72"/>
  <c r="CC56" i="72"/>
  <c r="AI56" i="72" s="1"/>
  <c r="CC95" i="72"/>
  <c r="AI95" i="72" s="1"/>
  <c r="CC96" i="72"/>
  <c r="CC65" i="72"/>
  <c r="AI65" i="72" s="1"/>
  <c r="CC78" i="72"/>
  <c r="AI78" i="72" s="1"/>
  <c r="CC93" i="72"/>
  <c r="AI93" i="72" s="1"/>
  <c r="CC74" i="72"/>
  <c r="AI74" i="72" s="1"/>
  <c r="CC94" i="72"/>
  <c r="AI94" i="72" s="1"/>
  <c r="AN126" i="72"/>
  <c r="CC85" i="72"/>
  <c r="AI85" i="72" s="1"/>
  <c r="CC70" i="72"/>
  <c r="AI70" i="72" s="1"/>
  <c r="BI55" i="69"/>
  <c r="BI97" i="69" s="1"/>
  <c r="E55" i="69"/>
  <c r="N3" i="27" s="1" a="1"/>
  <c r="N3" i="27" s="1"/>
  <c r="BF60" i="72" a="1"/>
  <c r="BF60" i="72" s="1"/>
  <c r="DN59" i="4"/>
  <c r="DP59" i="4"/>
  <c r="DL59" i="4" s="1"/>
  <c r="DO59" i="4"/>
  <c r="DP15" i="4"/>
  <c r="DO15" i="4"/>
  <c r="DN15" i="4"/>
  <c r="DO96" i="4"/>
  <c r="DN96" i="4"/>
  <c r="DP96" i="4"/>
  <c r="DP95" i="4"/>
  <c r="DN95" i="4"/>
  <c r="DO95" i="4"/>
  <c r="DO50" i="4"/>
  <c r="DP50" i="4"/>
  <c r="DL50" i="4" s="1"/>
  <c r="DN50" i="4"/>
  <c r="DO64" i="4"/>
  <c r="DN64" i="4"/>
  <c r="DP64" i="4"/>
  <c r="DO44" i="4"/>
  <c r="DP44" i="4"/>
  <c r="DN44" i="4"/>
  <c r="H72" i="72"/>
  <c r="H72" i="69"/>
  <c r="H75" i="72"/>
  <c r="H75" i="69"/>
  <c r="AM119" i="72" a="1"/>
  <c r="AM119" i="72" s="1"/>
  <c r="AM110" i="72" a="1"/>
  <c r="AM110" i="72" s="1"/>
  <c r="AO117" i="72"/>
  <c r="AM122" i="72" a="1"/>
  <c r="AM122" i="72" s="1"/>
  <c r="AN111" i="72"/>
  <c r="AN119" i="72"/>
  <c r="AM120" i="72" a="1"/>
  <c r="AM120" i="72" s="1"/>
  <c r="AO110" i="72"/>
  <c r="AM115" i="72" a="1"/>
  <c r="AM115" i="72" s="1"/>
  <c r="AN122" i="72"/>
  <c r="AN120" i="72"/>
  <c r="AN118" i="72"/>
  <c r="AM123" i="72" a="1"/>
  <c r="AM123" i="72" s="1"/>
  <c r="AO119" i="72"/>
  <c r="AM121" i="72" a="1"/>
  <c r="AM121" i="72" s="1"/>
  <c r="AN109" i="72"/>
  <c r="AO107" i="72"/>
  <c r="AO108" i="72"/>
  <c r="AM117" i="72" a="1"/>
  <c r="AM117" i="72" s="1"/>
  <c r="AO118" i="72"/>
  <c r="AM116" i="72" a="1"/>
  <c r="AM116" i="72" s="1"/>
  <c r="AN107" i="72"/>
  <c r="AM107" i="72" a="1"/>
  <c r="AM107" i="72" s="1"/>
  <c r="AM118" i="72" a="1"/>
  <c r="AM118" i="72" s="1"/>
  <c r="AO112" i="72"/>
  <c r="AM111" i="72" a="1"/>
  <c r="AM111" i="72" s="1"/>
  <c r="AN113" i="72"/>
  <c r="AN108" i="72"/>
  <c r="AM109" i="72" a="1"/>
  <c r="AM109" i="72" s="1"/>
  <c r="AO114" i="72"/>
  <c r="AN112" i="72"/>
  <c r="AO109" i="72"/>
  <c r="AO121" i="72"/>
  <c r="AM108" i="72" a="1"/>
  <c r="AM108" i="72" s="1"/>
  <c r="AL106" i="72"/>
  <c r="AN123" i="72"/>
  <c r="AN114" i="72"/>
  <c r="AN116" i="72"/>
  <c r="AN110" i="72"/>
  <c r="AO120" i="72"/>
  <c r="AO113" i="72"/>
  <c r="AO115" i="72"/>
  <c r="AO111" i="72"/>
  <c r="AO122" i="72"/>
  <c r="AM114" i="72" a="1"/>
  <c r="AM114" i="72" s="1"/>
  <c r="AO123" i="72"/>
  <c r="AM112" i="72" a="1"/>
  <c r="AM112" i="72" s="1"/>
  <c r="AO116" i="72"/>
  <c r="AM113" i="72" a="1"/>
  <c r="AM113" i="72" s="1"/>
  <c r="AN115" i="72"/>
  <c r="AN121" i="72"/>
  <c r="AN117" i="72"/>
  <c r="H82" i="69"/>
  <c r="H82" i="72"/>
  <c r="BP104" i="4"/>
  <c r="H96" i="72"/>
  <c r="H95" i="72"/>
  <c r="H86" i="69"/>
  <c r="H86" i="72"/>
  <c r="BG108" i="4"/>
  <c r="CG55" i="72" a="1"/>
  <c r="CG55" i="72" s="1"/>
  <c r="CF55" i="72" a="1"/>
  <c r="CF55" i="72" s="1"/>
  <c r="E55" i="72"/>
  <c r="AB1747" i="13"/>
  <c r="AV1747" i="13"/>
  <c r="H61" i="72"/>
  <c r="H61" i="69"/>
  <c r="DO47" i="4"/>
  <c r="DN47" i="4"/>
  <c r="DP47" i="4"/>
  <c r="DO38" i="4"/>
  <c r="DP38" i="4"/>
  <c r="DN38" i="4"/>
  <c r="DO9" i="4"/>
  <c r="DN9" i="4"/>
  <c r="DP9" i="4"/>
  <c r="DN80" i="4"/>
  <c r="DP80" i="4"/>
  <c r="DL80" i="4" s="1"/>
  <c r="DO80" i="4"/>
  <c r="DN71" i="4"/>
  <c r="DO71" i="4"/>
  <c r="DP71" i="4"/>
  <c r="DP72" i="4"/>
  <c r="DL72" i="4" s="1"/>
  <c r="DN72" i="4"/>
  <c r="DO72" i="4"/>
  <c r="DP53" i="4"/>
  <c r="DN53" i="4"/>
  <c r="DO53" i="4"/>
  <c r="DP24" i="4"/>
  <c r="DN24" i="4"/>
  <c r="DO24" i="4"/>
  <c r="BS193" i="4"/>
  <c r="H88" i="72"/>
  <c r="H88" i="69"/>
  <c r="H83" i="72"/>
  <c r="H83" i="69"/>
  <c r="C72" i="72"/>
  <c r="D72" i="72" s="1" a="1"/>
  <c r="D72" i="72" s="1"/>
  <c r="C72" i="69"/>
  <c r="D72" i="69" s="1" a="1"/>
  <c r="D72" i="69" s="1"/>
  <c r="H81" i="72"/>
  <c r="H81" i="69"/>
  <c r="H89" i="72"/>
  <c r="H89" i="69"/>
  <c r="BM103" i="4"/>
  <c r="Z1712" i="13"/>
  <c r="BI202" i="4"/>
  <c r="BR193" i="4"/>
  <c r="C58" i="72"/>
  <c r="D58" i="72" s="1" a="1"/>
  <c r="D58" i="72" s="1"/>
  <c r="C58" i="69"/>
  <c r="D58" i="69" s="1" a="1"/>
  <c r="D58" i="69" s="1"/>
  <c r="C91" i="69"/>
  <c r="D91" i="69" s="1" a="1"/>
  <c r="D91" i="69" s="1"/>
  <c r="C91" i="72"/>
  <c r="D91" i="72" s="1" a="1"/>
  <c r="D91" i="72" s="1"/>
  <c r="AX105" i="4"/>
  <c r="C78" i="72"/>
  <c r="D78" i="72" s="1" a="1"/>
  <c r="D78" i="72" s="1"/>
  <c r="C78" i="69"/>
  <c r="D78" i="69" s="1" a="1"/>
  <c r="D78" i="69" s="1"/>
  <c r="H94" i="72"/>
  <c r="H94" i="69"/>
  <c r="BQ55" i="72"/>
  <c r="AK55" i="72" a="1"/>
  <c r="AK55" i="72" s="1"/>
  <c r="AK97" i="72" s="1"/>
  <c r="H65" i="69"/>
  <c r="H65" i="72"/>
  <c r="AD55" i="69"/>
  <c r="B35" i="14"/>
  <c r="C35" i="14"/>
  <c r="DN74" i="4"/>
  <c r="DO74" i="4"/>
  <c r="DP74" i="4"/>
  <c r="DO19" i="4"/>
  <c r="DP19" i="4"/>
  <c r="DN19" i="4"/>
  <c r="DN69" i="4"/>
  <c r="DO69" i="4"/>
  <c r="DP69" i="4"/>
  <c r="DN3" i="4"/>
  <c r="DP3" i="4"/>
  <c r="DO3" i="4"/>
  <c r="DN54" i="4"/>
  <c r="DO54" i="4"/>
  <c r="DP54" i="4"/>
  <c r="DN37" i="4"/>
  <c r="DP37" i="4"/>
  <c r="DO37" i="4"/>
  <c r="DP17" i="4"/>
  <c r="DO17" i="4"/>
  <c r="DN17" i="4"/>
  <c r="DN18" i="4"/>
  <c r="DO18" i="4"/>
  <c r="DP18" i="4"/>
  <c r="BI104" i="4"/>
  <c r="Z1738" i="13" s="1"/>
  <c r="C88" i="72"/>
  <c r="D88" i="72" s="1" a="1"/>
  <c r="D88" i="72" s="1"/>
  <c r="C88" i="69"/>
  <c r="D88" i="69" s="1" a="1"/>
  <c r="D88" i="69" s="1"/>
  <c r="C83" i="69"/>
  <c r="D83" i="69" s="1" a="1"/>
  <c r="D83" i="69" s="1"/>
  <c r="C83" i="72"/>
  <c r="D83" i="72" s="1" a="1"/>
  <c r="D83" i="72" s="1"/>
  <c r="C75" i="72"/>
  <c r="D75" i="72" s="1" a="1"/>
  <c r="D75" i="72" s="1"/>
  <c r="C75" i="69"/>
  <c r="D75" i="69" s="1" a="1"/>
  <c r="D75" i="69" s="1"/>
  <c r="C81" i="69"/>
  <c r="D81" i="69" s="1" a="1"/>
  <c r="D81" i="69" s="1"/>
  <c r="C81" i="72"/>
  <c r="D81" i="72" s="1" a="1"/>
  <c r="D81" i="72" s="1"/>
  <c r="C89" i="72"/>
  <c r="D89" i="72" s="1" a="1"/>
  <c r="D89" i="72" s="1"/>
  <c r="C89" i="69"/>
  <c r="D89" i="69" s="1" a="1"/>
  <c r="D89" i="69" s="1"/>
  <c r="O55" i="72"/>
  <c r="M105" i="4" a="1"/>
  <c r="M105" i="4" s="1"/>
  <c r="P43" i="15" a="1"/>
  <c r="P43" i="15" s="1"/>
  <c r="H87" i="69"/>
  <c r="H87" i="72"/>
  <c r="O73" i="72"/>
  <c r="BK73" i="69"/>
  <c r="O73" i="69"/>
  <c r="BT73" i="72"/>
  <c r="H58" i="72"/>
  <c r="H58" i="69"/>
  <c r="Z1554" i="13"/>
  <c r="AX1450" i="13"/>
  <c r="A1549" i="13"/>
  <c r="AV1450" i="13"/>
  <c r="O79" i="72"/>
  <c r="AD79" i="72"/>
  <c r="O79" i="69"/>
  <c r="BK79" i="69"/>
  <c r="AD79" i="69"/>
  <c r="BT79" i="72"/>
  <c r="C86" i="69"/>
  <c r="D86" i="69" s="1" a="1"/>
  <c r="D86" i="69" s="1"/>
  <c r="C86" i="72"/>
  <c r="D86" i="72" s="1" a="1"/>
  <c r="D86" i="72" s="1"/>
  <c r="BR55" i="72"/>
  <c r="C79" i="72"/>
  <c r="D79" i="72" s="1" a="1"/>
  <c r="D79" i="72" s="1"/>
  <c r="C79" i="69"/>
  <c r="D79" i="69" s="1" a="1"/>
  <c r="D79" i="69" s="1"/>
  <c r="C65" i="69"/>
  <c r="D65" i="69" s="1" a="1"/>
  <c r="D65" i="69" s="1"/>
  <c r="C65" i="72"/>
  <c r="D65" i="72" s="1" a="1"/>
  <c r="D65" i="72" s="1"/>
  <c r="AT23" i="69" a="1"/>
  <c r="AT23" i="69" s="1"/>
  <c r="D55" i="69" a="1"/>
  <c r="D55" i="69" s="1"/>
  <c r="C61" i="72"/>
  <c r="D61" i="72" s="1" a="1"/>
  <c r="D61" i="72" s="1"/>
  <c r="C61" i="69"/>
  <c r="D61" i="69" s="1" a="1"/>
  <c r="D61" i="69" s="1"/>
  <c r="DN28" i="4"/>
  <c r="DO28" i="4"/>
  <c r="DP28" i="4"/>
  <c r="DN91" i="4"/>
  <c r="DP91" i="4"/>
  <c r="DO91" i="4"/>
  <c r="DP61" i="4"/>
  <c r="DN61" i="4"/>
  <c r="DO61" i="4"/>
  <c r="DO94" i="4"/>
  <c r="DP94" i="4"/>
  <c r="DN94" i="4"/>
  <c r="DO40" i="4"/>
  <c r="DP40" i="4"/>
  <c r="DN40" i="4"/>
  <c r="DP75" i="4"/>
  <c r="DL75" i="4" s="1"/>
  <c r="DN75" i="4"/>
  <c r="DO75" i="4"/>
  <c r="DP12" i="4"/>
  <c r="DO12" i="4"/>
  <c r="DN12" i="4"/>
  <c r="DN35" i="4"/>
  <c r="DP35" i="4"/>
  <c r="DL35" i="4" s="1"/>
  <c r="DO35" i="4"/>
  <c r="H85" i="69"/>
  <c r="H85" i="72"/>
  <c r="AR23" i="72" a="1"/>
  <c r="AR23" i="72" s="1"/>
  <c r="H80" i="69"/>
  <c r="H80" i="72"/>
  <c r="BF106" i="72" a="1"/>
  <c r="BF106" i="72" s="1"/>
  <c r="S3" i="1"/>
  <c r="S101" i="1" s="1"/>
  <c r="O62" i="69"/>
  <c r="O62" i="72"/>
  <c r="BK62" i="69"/>
  <c r="BT62" i="72"/>
  <c r="BF104" i="4"/>
  <c r="Z1735" i="13" s="1"/>
  <c r="Z1744" i="13" s="1"/>
  <c r="C64" i="69"/>
  <c r="D64" i="69" s="1" a="1"/>
  <c r="D64" i="69" s="1"/>
  <c r="C64" i="72"/>
  <c r="D64" i="72" s="1" a="1"/>
  <c r="D64" i="72" s="1"/>
  <c r="AZ104" i="4"/>
  <c r="Z1739" i="13"/>
  <c r="BD203" i="4"/>
  <c r="H78" i="72"/>
  <c r="H78" i="69"/>
  <c r="AV106" i="72"/>
  <c r="AU106" i="72"/>
  <c r="AT106" i="72" a="1"/>
  <c r="AT106" i="72" s="1"/>
  <c r="C62" i="72"/>
  <c r="D62" i="72" s="1" a="1"/>
  <c r="D62" i="72" s="1"/>
  <c r="C62" i="69"/>
  <c r="D62" i="69" s="1" a="1"/>
  <c r="D62" i="69" s="1"/>
  <c r="AD73" i="69"/>
  <c r="H57" i="72"/>
  <c r="H57" i="69"/>
  <c r="BH55" i="72" a="1"/>
  <c r="BH55" i="72" s="1"/>
  <c r="H79" i="69"/>
  <c r="H79" i="72"/>
  <c r="C84" i="72"/>
  <c r="D84" i="72" s="1" a="1"/>
  <c r="D84" i="72" s="1"/>
  <c r="C84" i="69"/>
  <c r="D84" i="69" s="1" a="1"/>
  <c r="D84" i="69" s="1"/>
  <c r="DN76" i="4"/>
  <c r="DP76" i="4"/>
  <c r="DO76" i="4"/>
  <c r="DP70" i="4"/>
  <c r="DO70" i="4"/>
  <c r="DN70" i="4"/>
  <c r="DN27" i="4"/>
  <c r="DP27" i="4"/>
  <c r="DL27" i="4" s="1"/>
  <c r="DO27" i="4"/>
  <c r="DN11" i="4"/>
  <c r="DP11" i="4"/>
  <c r="DL11" i="4" s="1"/>
  <c r="DO11" i="4"/>
  <c r="DN73" i="4"/>
  <c r="DO73" i="4"/>
  <c r="DP73" i="4"/>
  <c r="DO56" i="4"/>
  <c r="DN56" i="4"/>
  <c r="DP56" i="4"/>
  <c r="DO93" i="4"/>
  <c r="DP93" i="4"/>
  <c r="DL93" i="4" s="1"/>
  <c r="DN93" i="4"/>
  <c r="DN57" i="4"/>
  <c r="DP57" i="4"/>
  <c r="DL57" i="4" s="1"/>
  <c r="DO57" i="4"/>
  <c r="BK80" i="69"/>
  <c r="AD80" i="72"/>
  <c r="AD80" i="69"/>
  <c r="O80" i="69"/>
  <c r="O80" i="72"/>
  <c r="BT80" i="72"/>
  <c r="C80" i="69"/>
  <c r="D80" i="69" s="1" a="1"/>
  <c r="D80" i="69" s="1"/>
  <c r="C80" i="72"/>
  <c r="D80" i="72" s="1" a="1"/>
  <c r="D80" i="72" s="1"/>
  <c r="AZ202" i="4"/>
  <c r="C1712" i="13"/>
  <c r="BB203" i="4"/>
  <c r="Z1734" i="13"/>
  <c r="C87" i="69"/>
  <c r="D87" i="69" s="1" a="1"/>
  <c r="D87" i="69" s="1"/>
  <c r="C87" i="72"/>
  <c r="D87" i="72" s="1" a="1"/>
  <c r="D87" i="72" s="1"/>
  <c r="H69" i="69"/>
  <c r="H69" i="72"/>
  <c r="AB1717" i="13"/>
  <c r="AV1717" i="13"/>
  <c r="Z1759" i="13"/>
  <c r="C74" i="69"/>
  <c r="D74" i="69" s="1" a="1"/>
  <c r="D74" i="69" s="1"/>
  <c r="C74" i="72"/>
  <c r="D74" i="72" s="1" a="1"/>
  <c r="D74" i="72" s="1"/>
  <c r="BC23" i="72" a="1"/>
  <c r="BC23" i="72" s="1"/>
  <c r="H62" i="72"/>
  <c r="H62" i="69"/>
  <c r="AD73" i="72"/>
  <c r="C57" i="72"/>
  <c r="D57" i="72" s="1" a="1"/>
  <c r="D57" i="72" s="1"/>
  <c r="C57" i="69"/>
  <c r="D57" i="69" s="1" a="1"/>
  <c r="D57" i="69" s="1"/>
  <c r="AD62" i="69"/>
  <c r="AD55" i="72"/>
  <c r="BL103" i="4"/>
  <c r="C66" i="72"/>
  <c r="D66" i="72" s="1" a="1"/>
  <c r="D66" i="72" s="1"/>
  <c r="C66" i="69"/>
  <c r="D66" i="69" s="1" a="1"/>
  <c r="D66" i="69" s="1"/>
  <c r="BQ55" i="69" a="1"/>
  <c r="BQ55" i="69" s="1"/>
  <c r="BN55" i="69" a="1"/>
  <c r="BN55" i="69" s="1"/>
  <c r="AP55" i="69" a="1"/>
  <c r="AP55" i="69" s="1"/>
  <c r="BM55" i="69" a="1"/>
  <c r="BM55" i="69" s="1"/>
  <c r="BT55" i="69"/>
  <c r="BD55" i="69"/>
  <c r="BG55" i="69"/>
  <c r="AV55" i="69" s="1" a="1"/>
  <c r="AV55" i="69" s="1"/>
  <c r="R55" i="69"/>
  <c r="DN29" i="4"/>
  <c r="DO29" i="4"/>
  <c r="DP29" i="4"/>
  <c r="DP45" i="4"/>
  <c r="DN45" i="4"/>
  <c r="DO45" i="4"/>
  <c r="DP32" i="4"/>
  <c r="DL32" i="4" s="1"/>
  <c r="DO32" i="4"/>
  <c r="DN32" i="4"/>
  <c r="DO88" i="4"/>
  <c r="DP88" i="4"/>
  <c r="DN88" i="4"/>
  <c r="DP89" i="4"/>
  <c r="DN89" i="4"/>
  <c r="DO89" i="4"/>
  <c r="DO30" i="4"/>
  <c r="DN30" i="4"/>
  <c r="DP30" i="4"/>
  <c r="DN84" i="4"/>
  <c r="DP84" i="4"/>
  <c r="DO84" i="4"/>
  <c r="DO79" i="4"/>
  <c r="DP79" i="4"/>
  <c r="DN79" i="4"/>
  <c r="BH97" i="4"/>
  <c r="AY23" i="72" a="1"/>
  <c r="AY23" i="72" s="1"/>
  <c r="C69" i="69"/>
  <c r="D69" i="69" s="1" a="1"/>
  <c r="D69" i="69" s="1"/>
  <c r="C69" i="72"/>
  <c r="D69" i="72" s="1" a="1"/>
  <c r="D69" i="72" s="1"/>
  <c r="H90" i="69"/>
  <c r="H90" i="72"/>
  <c r="H64" i="69"/>
  <c r="H64" i="72"/>
  <c r="BA105" i="4"/>
  <c r="AB1736" i="13"/>
  <c r="AV1736" i="13"/>
  <c r="BN103" i="4"/>
  <c r="Z1720" i="13" s="1"/>
  <c r="AV1769" i="13"/>
  <c r="AX1769" i="13" s="1"/>
  <c r="AB1769" i="13"/>
  <c r="CI55" i="72"/>
  <c r="H84" i="72"/>
  <c r="H84" i="69"/>
  <c r="H66" i="72"/>
  <c r="H66" i="69"/>
  <c r="H68" i="72"/>
  <c r="H68" i="69"/>
  <c r="BN23" i="69" a="1"/>
  <c r="BN23" i="69" s="1"/>
  <c r="BO55" i="69"/>
  <c r="BR55" i="69" s="1"/>
  <c r="BE55" i="69"/>
  <c r="AG55" i="69" s="1" a="1"/>
  <c r="AG55" i="69" s="1"/>
  <c r="AG97" i="69" s="1"/>
  <c r="BF55" i="69"/>
  <c r="BF97" i="69" s="1"/>
  <c r="DO81" i="4"/>
  <c r="DN81" i="4"/>
  <c r="DP81" i="4"/>
  <c r="DL81" i="4" s="1"/>
  <c r="DO14" i="4"/>
  <c r="DP14" i="4"/>
  <c r="DN14" i="4"/>
  <c r="DN60" i="4"/>
  <c r="DO60" i="4"/>
  <c r="DP60" i="4"/>
  <c r="DN52" i="4"/>
  <c r="DP52" i="4"/>
  <c r="DL52" i="4" s="1"/>
  <c r="DO52" i="4"/>
  <c r="DP36" i="4"/>
  <c r="DO36" i="4"/>
  <c r="DN36" i="4"/>
  <c r="DN6" i="4"/>
  <c r="DP6" i="4"/>
  <c r="DO6" i="4"/>
  <c r="DN68" i="4"/>
  <c r="DP68" i="4"/>
  <c r="DO68" i="4"/>
  <c r="DN10" i="4"/>
  <c r="DO10" i="4"/>
  <c r="DP10" i="4"/>
  <c r="DL10" i="4" s="1"/>
  <c r="C56" i="69"/>
  <c r="D56" i="69" s="1" a="1"/>
  <c r="D56" i="69" s="1"/>
  <c r="C56" i="72"/>
  <c r="D56" i="72" s="1" a="1"/>
  <c r="D56" i="72" s="1"/>
  <c r="C85" i="69"/>
  <c r="D85" i="69" s="1" a="1"/>
  <c r="D85" i="69" s="1"/>
  <c r="C85" i="72"/>
  <c r="D85" i="72" s="1" a="1"/>
  <c r="D85" i="72" s="1"/>
  <c r="BW23" i="72" a="1"/>
  <c r="BW23" i="72" s="1"/>
  <c r="H93" i="69"/>
  <c r="H93" i="72"/>
  <c r="C76" i="69"/>
  <c r="D76" i="69" s="1" a="1"/>
  <c r="D76" i="69" s="1"/>
  <c r="C76" i="72"/>
  <c r="D76" i="72" s="1" a="1"/>
  <c r="D76" i="72" s="1"/>
  <c r="AB1715" i="13"/>
  <c r="AV1715" i="13"/>
  <c r="Z1723" i="13"/>
  <c r="Z1757" i="13"/>
  <c r="C59" i="72"/>
  <c r="D59" i="72" s="1" a="1"/>
  <c r="D59" i="72" s="1"/>
  <c r="C59" i="69"/>
  <c r="D59" i="69" s="1" a="1"/>
  <c r="D59" i="69" s="1"/>
  <c r="H76" i="69"/>
  <c r="H76" i="72"/>
  <c r="AR60" i="72" a="1"/>
  <c r="AR60" i="72" s="1"/>
  <c r="C90" i="69"/>
  <c r="D90" i="69" s="1" a="1"/>
  <c r="D90" i="69" s="1"/>
  <c r="C90" i="72"/>
  <c r="D90" i="72" s="1" a="1"/>
  <c r="D90" i="72" s="1"/>
  <c r="A1653" i="13"/>
  <c r="AX1653" i="13" s="1"/>
  <c r="AX1554" i="13"/>
  <c r="AV1554" i="13"/>
  <c r="AV1653" i="13" s="1"/>
  <c r="AV1731" i="13"/>
  <c r="AB1731" i="13"/>
  <c r="Z1773" i="13"/>
  <c r="AZ97" i="72"/>
  <c r="H74" i="72"/>
  <c r="H74" i="69"/>
  <c r="Z1716" i="13"/>
  <c r="AF55" i="72" a="1"/>
  <c r="AF55" i="72" s="1"/>
  <c r="BW55" i="72" s="1" a="1"/>
  <c r="BW55" i="72" s="1"/>
  <c r="AP23" i="69" a="1"/>
  <c r="AP23" i="69" s="1"/>
  <c r="B55" i="69"/>
  <c r="DP66" i="4"/>
  <c r="DO66" i="4"/>
  <c r="DN66" i="4"/>
  <c r="DN20" i="4"/>
  <c r="DO20" i="4"/>
  <c r="DP20" i="4"/>
  <c r="DN83" i="4"/>
  <c r="DO83" i="4"/>
  <c r="DP83" i="4"/>
  <c r="DL83" i="4" s="1"/>
  <c r="DP87" i="4"/>
  <c r="DN87" i="4"/>
  <c r="DO87" i="4"/>
  <c r="DP46" i="4"/>
  <c r="DN46" i="4"/>
  <c r="DO46" i="4"/>
  <c r="DO16" i="4"/>
  <c r="DP16" i="4"/>
  <c r="DN16" i="4"/>
  <c r="DP86" i="4"/>
  <c r="DO86" i="4"/>
  <c r="DN86" i="4"/>
  <c r="DP25" i="4"/>
  <c r="DO25" i="4"/>
  <c r="DN25" i="4"/>
  <c r="H56" i="69"/>
  <c r="H56" i="72"/>
  <c r="H77" i="72"/>
  <c r="H77" i="69"/>
  <c r="C93" i="72"/>
  <c r="D93" i="72" s="1" a="1"/>
  <c r="D93" i="72" s="1"/>
  <c r="C93" i="69"/>
  <c r="D93" i="69" s="1" a="1"/>
  <c r="D93" i="69" s="1"/>
  <c r="CC90" i="72"/>
  <c r="AI90" i="72" s="1"/>
  <c r="C73" i="72"/>
  <c r="D73" i="72" s="1" a="1"/>
  <c r="D73" i="72" s="1"/>
  <c r="C73" i="69"/>
  <c r="D73" i="69" s="1" a="1"/>
  <c r="D73" i="69" s="1"/>
  <c r="BH204" i="4"/>
  <c r="BI97" i="72"/>
  <c r="AV1767" i="13"/>
  <c r="AX1767" i="13" s="1"/>
  <c r="AB1767" i="13"/>
  <c r="H67" i="72"/>
  <c r="H67" i="69"/>
  <c r="C68" i="69"/>
  <c r="D68" i="69" s="1" a="1"/>
  <c r="D68" i="69" s="1"/>
  <c r="C68" i="72"/>
  <c r="D68" i="72" s="1" a="1"/>
  <c r="D68" i="72" s="1"/>
  <c r="BS55" i="69"/>
  <c r="DO13" i="4"/>
  <c r="DN13" i="4"/>
  <c r="DP13" i="4"/>
  <c r="DL13" i="4" s="1"/>
  <c r="DP42" i="4"/>
  <c r="DO42" i="4"/>
  <c r="DN42" i="4"/>
  <c r="DN78" i="4"/>
  <c r="DP78" i="4"/>
  <c r="DL78" i="4" s="1"/>
  <c r="DO78" i="4"/>
  <c r="DP62" i="4"/>
  <c r="DO62" i="4"/>
  <c r="DN62" i="4"/>
  <c r="DN31" i="4"/>
  <c r="DP31" i="4"/>
  <c r="DL31" i="4" s="1"/>
  <c r="DO31" i="4"/>
  <c r="DP77" i="4"/>
  <c r="DO77" i="4"/>
  <c r="DN77" i="4"/>
  <c r="DO33" i="4"/>
  <c r="DP33" i="4"/>
  <c r="DN33" i="4"/>
  <c r="DP85" i="4"/>
  <c r="DO85" i="4"/>
  <c r="DN85" i="4"/>
  <c r="Z1768" i="13"/>
  <c r="AB1726" i="13"/>
  <c r="AV1726" i="13"/>
  <c r="C70" i="72"/>
  <c r="D70" i="72" s="1" a="1"/>
  <c r="D70" i="72" s="1"/>
  <c r="C70" i="69"/>
  <c r="D70" i="69" s="1" a="1"/>
  <c r="D70" i="69" s="1"/>
  <c r="BD104" i="4"/>
  <c r="H59" i="72"/>
  <c r="H59" i="69"/>
  <c r="BJ97" i="72"/>
  <c r="C71" i="72"/>
  <c r="D71" i="72" s="1" a="1"/>
  <c r="D71" i="72" s="1"/>
  <c r="C71" i="69"/>
  <c r="D71" i="69" s="1" a="1"/>
  <c r="D71" i="69" s="1"/>
  <c r="C67" i="72"/>
  <c r="D67" i="72" s="1" a="1"/>
  <c r="D67" i="72" s="1"/>
  <c r="C67" i="69"/>
  <c r="D67" i="69" s="1" a="1"/>
  <c r="D67" i="69" s="1"/>
  <c r="L55" i="72"/>
  <c r="BM55" i="72"/>
  <c r="AW55" i="72"/>
  <c r="AW101" i="72" s="1"/>
  <c r="AW102" i="72" s="1"/>
  <c r="AS55" i="72" a="1"/>
  <c r="AS55" i="72" s="1"/>
  <c r="AS97" i="72" s="1"/>
  <c r="AU55" i="72" a="1"/>
  <c r="AU55" i="72" s="1"/>
  <c r="AU97" i="72" s="1"/>
  <c r="BV55" i="72" a="1"/>
  <c r="BV55" i="72" s="1"/>
  <c r="AT55" i="72" a="1"/>
  <c r="AT55" i="72" s="1"/>
  <c r="AT97" i="72" s="1"/>
  <c r="R55" i="72"/>
  <c r="BP55" i="72"/>
  <c r="AL55" i="72" a="1"/>
  <c r="AL55" i="72" s="1"/>
  <c r="AL97" i="72" s="1"/>
  <c r="H63" i="69"/>
  <c r="H63" i="72"/>
  <c r="O55" i="69"/>
  <c r="A10" i="27"/>
  <c r="B9" i="27"/>
  <c r="BL104" i="4"/>
  <c r="Z1740" i="13" s="1"/>
  <c r="DN58" i="4"/>
  <c r="DO58" i="4"/>
  <c r="DP58" i="4"/>
  <c r="DL58" i="4" s="1"/>
  <c r="DP51" i="4"/>
  <c r="DN51" i="4"/>
  <c r="DO51" i="4"/>
  <c r="DO4" i="4"/>
  <c r="DN4" i="4"/>
  <c r="DP4" i="4"/>
  <c r="DP34" i="4"/>
  <c r="DN34" i="4"/>
  <c r="DO34" i="4"/>
  <c r="DN67" i="4"/>
  <c r="DP67" i="4"/>
  <c r="DO67" i="4"/>
  <c r="DP92" i="4"/>
  <c r="DN92" i="4"/>
  <c r="DO92" i="4"/>
  <c r="DP82" i="4"/>
  <c r="DN82" i="4"/>
  <c r="DO82" i="4"/>
  <c r="DO63" i="4"/>
  <c r="DP63" i="4"/>
  <c r="DN63" i="4"/>
  <c r="A1616" i="13"/>
  <c r="AX1616" i="13" s="1"/>
  <c r="AV1517" i="13"/>
  <c r="AV1616" i="13" s="1"/>
  <c r="AX1517" i="13"/>
  <c r="BF1765" i="13"/>
  <c r="BJ103" i="4"/>
  <c r="BO103" i="4" s="1"/>
  <c r="BC104" i="4"/>
  <c r="AT55" i="69" l="1" a="1"/>
  <c r="AT55" i="69" s="1"/>
  <c r="DL92" i="4"/>
  <c r="DL67" i="4"/>
  <c r="DL79" i="4"/>
  <c r="DL88" i="4"/>
  <c r="DL85" i="4"/>
  <c r="DL62" i="4"/>
  <c r="DL51" i="4"/>
  <c r="DL60" i="4"/>
  <c r="DL76" i="4"/>
  <c r="DL19" i="4"/>
  <c r="DL44" i="4"/>
  <c r="DL41" i="4"/>
  <c r="DL68" i="4"/>
  <c r="DL63" i="4"/>
  <c r="DL84" i="4"/>
  <c r="DL34" i="4"/>
  <c r="DL61" i="4"/>
  <c r="DL9" i="4"/>
  <c r="DL4" i="4"/>
  <c r="DL30" i="4"/>
  <c r="DL77" i="4"/>
  <c r="DL42" i="4"/>
  <c r="DL28" i="4"/>
  <c r="DL17" i="4"/>
  <c r="DL95" i="4"/>
  <c r="AX55" i="69" a="1"/>
  <c r="AX55" i="69" s="1"/>
  <c r="AQ55" i="69" a="1"/>
  <c r="AQ55" i="69" s="1"/>
  <c r="AQ99" i="69" s="1"/>
  <c r="AI55" i="69" a="1"/>
  <c r="AI55" i="69" s="1"/>
  <c r="AK55" i="69" a="1"/>
  <c r="AK55" i="69" s="1"/>
  <c r="AF55" i="69" a="1"/>
  <c r="AF55" i="69" s="1"/>
  <c r="AU55" i="69" a="1"/>
  <c r="AU55" i="69" s="1"/>
  <c r="AU97" i="69" s="1"/>
  <c r="AH55" i="69" a="1"/>
  <c r="AH55" i="69" s="1"/>
  <c r="BF55" i="72" a="1"/>
  <c r="BF55" i="72" s="1"/>
  <c r="BP99" i="72" s="1"/>
  <c r="AZ55" i="69" a="1"/>
  <c r="AZ55" i="69" s="1"/>
  <c r="AY55" i="72" a="1"/>
  <c r="AY55" i="72" s="1"/>
  <c r="BC55" i="72" a="1"/>
  <c r="BC55" i="72" s="1"/>
  <c r="BA55" i="69" a="1"/>
  <c r="BA55" i="69" s="1"/>
  <c r="AV1744" i="13"/>
  <c r="AB1744" i="13"/>
  <c r="C1733" i="13"/>
  <c r="AZ203" i="4"/>
  <c r="AZ204" i="4" s="1"/>
  <c r="AB1768" i="13"/>
  <c r="AV1768" i="13"/>
  <c r="AX1768" i="13" s="1"/>
  <c r="BD202" i="4"/>
  <c r="BD204" i="4" s="1"/>
  <c r="AZ103" i="4"/>
  <c r="Z1718" i="13"/>
  <c r="Z1760" i="13" s="1"/>
  <c r="DL25" i="4"/>
  <c r="DL87" i="4"/>
  <c r="BG55" i="72" a="1"/>
  <c r="BG55" i="72" s="1"/>
  <c r="AX55" i="72" a="1"/>
  <c r="AX55" i="72" s="1"/>
  <c r="AZ55" i="72" a="1"/>
  <c r="AZ55" i="72" s="1"/>
  <c r="BJ99" i="72" s="1"/>
  <c r="BD55" i="72" a="1"/>
  <c r="BD55" i="72" s="1"/>
  <c r="BD97" i="72" s="1"/>
  <c r="AJ55" i="72" a="1"/>
  <c r="AJ55" i="72" s="1"/>
  <c r="AJ97" i="72" s="1"/>
  <c r="BJ55" i="72" a="1"/>
  <c r="BJ55" i="72" s="1"/>
  <c r="BL98" i="72" s="1"/>
  <c r="BI55" i="72" a="1"/>
  <c r="BI55" i="72" s="1"/>
  <c r="BK98" i="72" s="1"/>
  <c r="BE55" i="72" a="1"/>
  <c r="BE55" i="72" s="1"/>
  <c r="AR55" i="72" a="1"/>
  <c r="AR55" i="72" s="1"/>
  <c r="AR97" i="72" s="1"/>
  <c r="AU130" i="72"/>
  <c r="DL29" i="4"/>
  <c r="C1759" i="13"/>
  <c r="AB1759" i="13"/>
  <c r="AV1759" i="13"/>
  <c r="BA202" i="4"/>
  <c r="BJ202" i="4" s="1"/>
  <c r="L3" i="27" a="1"/>
  <c r="L3" i="27" s="1"/>
  <c r="DL37" i="4"/>
  <c r="DL71" i="4"/>
  <c r="DL47" i="4"/>
  <c r="DL90" i="4"/>
  <c r="Z1737" i="13"/>
  <c r="Z1758" i="13" s="1"/>
  <c r="BO104" i="4"/>
  <c r="Z1742" i="13" s="1"/>
  <c r="Z1719" i="13"/>
  <c r="BL105" i="4"/>
  <c r="AB1712" i="13"/>
  <c r="Z1729" i="13"/>
  <c r="AV1712" i="13"/>
  <c r="AV1720" i="13"/>
  <c r="AB1720" i="13"/>
  <c r="DL89" i="4"/>
  <c r="BD106" i="72" a="1"/>
  <c r="BD106" i="72" s="1"/>
  <c r="DL54" i="4"/>
  <c r="DL74" i="4"/>
  <c r="DL96" i="4"/>
  <c r="DL86" i="4"/>
  <c r="Z1721" i="13"/>
  <c r="DL56" i="4"/>
  <c r="DL12" i="4"/>
  <c r="BM104" i="4"/>
  <c r="BM105" i="4" s="1"/>
  <c r="DL48" i="4"/>
  <c r="DL33" i="4"/>
  <c r="A1648" i="13"/>
  <c r="AX1648" i="13" s="1"/>
  <c r="AX1549" i="13"/>
  <c r="AV1549" i="13"/>
  <c r="AV1648" i="13" s="1"/>
  <c r="AV1738" i="13"/>
  <c r="AB1738" i="13"/>
  <c r="AV1714" i="13"/>
  <c r="AB1714" i="13"/>
  <c r="DL20" i="4"/>
  <c r="AB1716" i="13"/>
  <c r="AV1716" i="13"/>
  <c r="AV1740" i="13"/>
  <c r="AB1740" i="13"/>
  <c r="Z1749" i="13"/>
  <c r="DL16" i="4"/>
  <c r="DL6" i="4"/>
  <c r="DL14" i="4"/>
  <c r="DL70" i="4"/>
  <c r="AV1739" i="13"/>
  <c r="AB1739" i="13"/>
  <c r="Z1743" i="13"/>
  <c r="DL91" i="4"/>
  <c r="DL18" i="4"/>
  <c r="F43" i="14"/>
  <c r="P43" i="14" s="1"/>
  <c r="F41" i="14"/>
  <c r="P41" i="14" s="1"/>
  <c r="F42" i="14"/>
  <c r="P42" i="14" s="1"/>
  <c r="F40" i="14"/>
  <c r="P40" i="14" s="1"/>
  <c r="DL24" i="4"/>
  <c r="DL64" i="4"/>
  <c r="BQ108" i="4"/>
  <c r="BI203" i="4"/>
  <c r="Z1733" i="13"/>
  <c r="Z1754" i="13" s="1"/>
  <c r="DL73" i="4"/>
  <c r="S62" i="4"/>
  <c r="S97" i="4" s="1"/>
  <c r="Z1654" i="13"/>
  <c r="T62" i="4"/>
  <c r="T97" i="4" s="1"/>
  <c r="DL3" i="4"/>
  <c r="Z43" i="14"/>
  <c r="Z42" i="14"/>
  <c r="Z41" i="14"/>
  <c r="DL15" i="4"/>
  <c r="DL5" i="4"/>
  <c r="Z1745" i="13"/>
  <c r="BS105" i="4"/>
  <c r="DL40" i="4"/>
  <c r="DL69" i="4"/>
  <c r="DL53" i="4"/>
  <c r="AH55" i="72" a="1"/>
  <c r="AH55" i="72" s="1"/>
  <c r="DL36" i="4"/>
  <c r="AB1734" i="13"/>
  <c r="AV1734" i="13"/>
  <c r="Z1756" i="13"/>
  <c r="Z1765" i="13" s="1"/>
  <c r="AV1735" i="13"/>
  <c r="AB1735" i="13"/>
  <c r="DL49" i="4"/>
  <c r="BB202" i="4"/>
  <c r="Z1713" i="13"/>
  <c r="Z1755" i="13" s="1"/>
  <c r="AV101" i="72"/>
  <c r="AV102" i="72" s="1"/>
  <c r="AW55" i="69" a="1"/>
  <c r="AW55" i="69" s="1"/>
  <c r="AW99" i="69" s="1"/>
  <c r="AV1723" i="13"/>
  <c r="AB1723" i="13"/>
  <c r="BF203" i="4"/>
  <c r="DL38" i="4"/>
  <c r="AI96" i="72"/>
  <c r="A3" i="73" a="1"/>
  <c r="A3" i="73" s="1"/>
  <c r="DL26" i="4"/>
  <c r="AV1724" i="13"/>
  <c r="AB1724" i="13"/>
  <c r="AV1773" i="13"/>
  <c r="BB1754" i="13"/>
  <c r="AB1773" i="13"/>
  <c r="DL46" i="4"/>
  <c r="DL66" i="4"/>
  <c r="AB1757" i="13"/>
  <c r="AV1757" i="13"/>
  <c r="C1757" i="13"/>
  <c r="DL82" i="4"/>
  <c r="O3" i="1" a="1"/>
  <c r="O3" i="1" s="1"/>
  <c r="O101" i="1" s="1"/>
  <c r="BE97" i="69"/>
  <c r="DL45" i="4"/>
  <c r="DL94" i="4"/>
  <c r="AO106" i="72"/>
  <c r="AM106" i="72" a="1"/>
  <c r="AM106" i="72" s="1"/>
  <c r="AN106" i="72"/>
  <c r="DL23" i="4"/>
  <c r="DL22" i="4"/>
  <c r="BX103" i="4"/>
  <c r="BX104" i="4" s="1"/>
  <c r="BF55" i="4" a="1"/>
  <c r="BF55" i="4" s="1"/>
  <c r="BN104" i="4"/>
  <c r="Z1741" i="13" s="1"/>
  <c r="Z1762" i="13" s="1"/>
  <c r="BN97" i="4"/>
  <c r="AN55" i="69" a="1"/>
  <c r="AN55" i="69" s="1"/>
  <c r="AU101" i="72"/>
  <c r="AQ97" i="69" l="1"/>
  <c r="BF202" i="4"/>
  <c r="BG202" i="4" s="1"/>
  <c r="BG204" i="4" s="1"/>
  <c r="BO105" i="4"/>
  <c r="AH97" i="69"/>
  <c r="AH100" i="69"/>
  <c r="BA97" i="69"/>
  <c r="AO3" i="1" a="1"/>
  <c r="AO3" i="1" s="1"/>
  <c r="AO101" i="1" s="1"/>
  <c r="BB98" i="69"/>
  <c r="AZ97" i="69"/>
  <c r="BA98" i="69"/>
  <c r="AM3" i="1" a="1"/>
  <c r="AM3" i="1" s="1"/>
  <c r="AM101" i="1" s="1"/>
  <c r="AB1745" i="13"/>
  <c r="AV1745" i="13"/>
  <c r="C1762" i="13"/>
  <c r="AB1762" i="13"/>
  <c r="AV1762" i="13"/>
  <c r="AB1765" i="13"/>
  <c r="AV1765" i="13"/>
  <c r="Z1764" i="13"/>
  <c r="AB1760" i="13"/>
  <c r="AV1760" i="13"/>
  <c r="AV1756" i="13"/>
  <c r="C1756" i="13"/>
  <c r="AB1756" i="13"/>
  <c r="E1753" i="13"/>
  <c r="AB1754" i="13"/>
  <c r="AZ1754" i="13"/>
  <c r="BC1754" i="13" s="1"/>
  <c r="AV1754" i="13"/>
  <c r="Z1775" i="13"/>
  <c r="E1754" i="13"/>
  <c r="Z1771" i="13"/>
  <c r="AW1754" i="13"/>
  <c r="AV1718" i="13"/>
  <c r="Z1722" i="13"/>
  <c r="AB1718" i="13"/>
  <c r="AB1721" i="13"/>
  <c r="AV1721" i="13"/>
  <c r="Z1763" i="13"/>
  <c r="BB204" i="4"/>
  <c r="BK202" i="4"/>
  <c r="AV1755" i="13"/>
  <c r="AB1755" i="13"/>
  <c r="AB1729" i="13"/>
  <c r="AV1729" i="13"/>
  <c r="BI204" i="4"/>
  <c r="AV1749" i="13"/>
  <c r="AB1749" i="13"/>
  <c r="M3" i="73" a="1"/>
  <c r="M3" i="73" s="1"/>
  <c r="H3" i="73" a="1"/>
  <c r="H3" i="73" s="1"/>
  <c r="AN97" i="69"/>
  <c r="AN100" i="69"/>
  <c r="Z1766" i="13"/>
  <c r="Z1728" i="13"/>
  <c r="Z1761" i="13"/>
  <c r="AB1719" i="13"/>
  <c r="AV1719" i="13"/>
  <c r="BA203" i="4"/>
  <c r="BJ203" i="4" s="1"/>
  <c r="BC203" i="4"/>
  <c r="AV1713" i="13"/>
  <c r="AB1713" i="13"/>
  <c r="AB1742" i="13"/>
  <c r="AV1742" i="13"/>
  <c r="BC202" i="4"/>
  <c r="AB1743" i="13"/>
  <c r="AV1743" i="13"/>
  <c r="Z1753" i="13"/>
  <c r="AB1753" i="13" s="1"/>
  <c r="AB1737" i="13"/>
  <c r="AV1737" i="13"/>
  <c r="AV1741" i="13"/>
  <c r="AB1741" i="13"/>
  <c r="AV1758" i="13"/>
  <c r="AB1758" i="13"/>
  <c r="BF97" i="4"/>
  <c r="BA99" i="4" s="1"/>
  <c r="BY103" i="4"/>
  <c r="BY104" i="4" s="1"/>
  <c r="BZ103" i="4"/>
  <c r="BZ104" i="4" s="1"/>
  <c r="AV1733" i="13"/>
  <c r="Z1750" i="13"/>
  <c r="AB1733" i="13"/>
  <c r="BF204" i="4" l="1"/>
  <c r="BA204" i="4"/>
  <c r="C1761" i="13"/>
  <c r="AV1761" i="13"/>
  <c r="Z1770" i="13"/>
  <c r="AB1761" i="13"/>
  <c r="AB1728" i="13"/>
  <c r="AV1728" i="13"/>
  <c r="AB1771" i="13"/>
  <c r="AV1771" i="13"/>
  <c r="Z1774" i="13"/>
  <c r="AV1764" i="13"/>
  <c r="AB1764" i="13"/>
  <c r="BA1754" i="13"/>
  <c r="AV1750" i="13"/>
  <c r="AB1750" i="13"/>
  <c r="AB1766" i="13"/>
  <c r="AV1766" i="13"/>
  <c r="AX1766" i="13" s="1"/>
  <c r="AX1770" i="13" s="1"/>
  <c r="BK203" i="4"/>
  <c r="BK204" i="4" s="1"/>
  <c r="BP202" i="4"/>
  <c r="BE202" i="4"/>
  <c r="BC204" i="4"/>
  <c r="BP204" i="4" s="1"/>
  <c r="BJ204" i="4"/>
  <c r="AV1775" i="13"/>
  <c r="AB1775" i="13"/>
  <c r="BE203" i="4"/>
  <c r="BO203" i="4" s="1"/>
  <c r="BP203" i="4"/>
  <c r="AB1763" i="13"/>
  <c r="AV1763" i="13"/>
  <c r="AV1722" i="13"/>
  <c r="Z1732" i="13"/>
  <c r="AB1732" i="13" s="1"/>
  <c r="AB1722" i="13"/>
  <c r="AB1770" i="13" l="1"/>
  <c r="AV1770" i="13"/>
  <c r="BM202" i="4"/>
  <c r="BO202" i="4"/>
  <c r="BE204" i="4"/>
  <c r="BM204" i="4" s="1"/>
  <c r="BM203" i="4"/>
  <c r="AV1774" i="13"/>
  <c r="AB1774" i="13"/>
  <c r="BO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tc={A9EF626A-0723-DA42-BBA6-0DFC16A1D66D}</author>
    <author>tc={1C615AE0-AC28-0846-86EF-4600F9F8ABE8}</author>
    <author>tc={23662D19-EFA1-9C4C-8E28-D08CCABBFF8C}</author>
    <author>tc={B88E60D0-5074-024F-AAA2-0AAE41594DAD}</author>
    <author>tc={E93C4148-D6D9-E74E-ACED-0B9B7233B7A3}</author>
    <author>tc={1D92521E-462F-794E-AF89-66F3D3F2943A}</author>
    <author>tc={32F6D12D-0A3F-7549-B52D-DD9E6D80565E}</author>
    <author>tc={EBBB06EC-E38D-FE4F-A319-4361EEEF1F7D}</author>
    <author>tc={5BE6D3C8-E351-2442-B8CF-81B513FBD525}</author>
    <author>tc={BDB37C6E-93C0-8342-A945-09E8BDEC507D}</author>
    <author>tc={F0006BD1-E326-1648-BA39-E24CC874D683}</author>
    <author>tc={FDB27F65-D730-1A46-8628-E63214B5F0E7}</author>
    <author>tc={16BE8569-0112-2642-BF7B-40D606010A6F}</author>
    <author>tc={F4FB172D-964F-4E4F-9937-A1DE53F539F9}</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tc={1A03EC20-8827-F743-8E9B-676DAD6FB05A}</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A9EF626A-0723-DA42-BBA6-0DFC16A1D66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23662D19-EFA1-9C4C-8E28-D08CCABBFF8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F4FB172D-964F-4E4F-9937-A1DE53F539F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1A03EC20-8827-F743-8E9B-676DAD6FB0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5"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6"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7"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8"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9"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0"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1"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2"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3"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4"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7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futureMetadata>
  <cellMetadata count="1">
    <bk>
      <rc t="1" v="0"/>
    </bk>
  </cellMetadata>
  <valueMetadata count="47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valueMetadata>
</metadata>
</file>

<file path=xl/sharedStrings.xml><?xml version="1.0" encoding="utf-8"?>
<sst xmlns="http://schemas.openxmlformats.org/spreadsheetml/2006/main" count="6322" uniqueCount="2975">
  <si>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</si>
  <si>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</si>
  <si>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</si>
  <si>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</si>
  <si>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</si>
  <si>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</si>
  <si>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</si>
  <si>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</si>
  <si>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</si>
  <si>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</si>
  <si>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</si>
  <si>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</si>
  <si>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</si>
  <si>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</si>
  <si>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</si>
  <si>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</si>
  <si>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</si>
  <si>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</si>
  <si>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</si>
  <si>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</si>
  <si>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</si>
  <si>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</si>
  <si>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</si>
  <si>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</si>
  <si>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</si>
  <si>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</si>
  <si>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</si>
  <si>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</si>
  <si>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</si>
  <si>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</si>
  <si>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</si>
  <si>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</si>
  <si>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</si>
  <si>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</si>
  <si>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</si>
  <si>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</si>
  <si>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</si>
  <si>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</si>
  <si>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</si>
  <si>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</si>
  <si>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</si>
  <si>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</si>
  <si>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</si>
  <si>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</si>
  <si>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</si>
  <si>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</si>
  <si>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</si>
  <si>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</si>
  <si>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</si>
  <si>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</si>
  <si>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</si>
  <si>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</si>
  <si>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</si>
  <si>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</si>
  <si>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</si>
  <si>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</si>
  <si>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</si>
  <si>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</si>
  <si>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</si>
  <si>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</si>
  <si>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</si>
  <si>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</si>
  <si>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</si>
  <si>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</si>
  <si>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</si>
  <si>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</si>
  <si>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</si>
  <si>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</si>
  <si>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</si>
  <si>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</si>
  <si>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</si>
  <si>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</si>
  <si>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</si>
  <si>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</si>
  <si>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</si>
  <si>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</si>
  <si>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</si>
  <si>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</si>
  <si>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</si>
  <si>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</si>
  <si>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</si>
  <si>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</si>
  <si>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</si>
  <si>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</si>
  <si>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</si>
  <si>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</si>
  <si>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</si>
  <si>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</si>
  <si>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</si>
  <si>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</si>
  <si>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</si>
  <si>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</si>
  <si>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</si>
  <si>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</si>
  <si>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</si>
  <si>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</si>
  <si>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</si>
  <si>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</si>
  <si>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</si>
  <si>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</si>
  <si>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</si>
  <si>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</si>
  <si>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</si>
  <si>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</si>
  <si>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</si>
  <si>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</si>
  <si>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</si>
  <si>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</si>
  <si>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</si>
  <si>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</si>
  <si>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</si>
  <si>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</si>
  <si>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</si>
  <si>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</si>
  <si>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</si>
  <si>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</si>
  <si>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</si>
  <si>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</si>
  <si>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</si>
  <si>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</si>
  <si>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</si>
  <si>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</si>
  <si>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</si>
  <si>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</si>
  <si>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</si>
  <si>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</si>
  <si>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</si>
  <si>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</si>
  <si>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</si>
  <si>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</si>
  <si>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</si>
  <si>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</si>
  <si>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</si>
  <si>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</si>
  <si>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</si>
  <si>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</si>
  <si>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</si>
  <si>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</si>
  <si>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</si>
  <si>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</si>
  <si>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</si>
  <si>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</si>
  <si>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</si>
  <si>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</si>
  <si>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</si>
  <si>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</si>
  <si>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</si>
  <si>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</si>
  <si>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</si>
  <si>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</si>
  <si>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</si>
  <si>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</si>
  <si>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</si>
  <si>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</si>
  <si>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</si>
  <si>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</si>
  <si>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</si>
  <si>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</si>
  <si>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</si>
  <si>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</si>
  <si>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</si>
  <si>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</si>
  <si>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</si>
  <si>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</si>
  <si>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</si>
  <si>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</si>
  <si>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</si>
  <si>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</si>
  <si>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</si>
  <si>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</si>
  <si>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</si>
  <si>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</si>
  <si>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</si>
  <si>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</si>
  <si>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</si>
  <si>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</si>
  <si>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</si>
  <si>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</si>
  <si>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</si>
  <si>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</si>
  <si>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</si>
  <si>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</si>
  <si>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</si>
  <si>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</si>
  <si>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</si>
  <si>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</si>
  <si>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</si>
  <si>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</si>
  <si>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</si>
  <si>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</si>
  <si>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</si>
  <si>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</si>
  <si>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</si>
  <si>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</si>
  <si>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</si>
  <si>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</si>
  <si>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</si>
  <si>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</si>
  <si>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</si>
  <si>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</si>
  <si>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</si>
  <si>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</si>
  <si>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</si>
  <si>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</si>
  <si>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</si>
  <si>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</si>
  <si>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</si>
  <si>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</si>
  <si>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</si>
  <si>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</si>
  <si>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</si>
  <si>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</si>
  <si>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</si>
  <si>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</si>
  <si>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</si>
  <si>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</si>
  <si>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</si>
  <si>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</si>
  <si>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</si>
  <si>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</si>
  <si>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</si>
  <si>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</si>
  <si>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</si>
  <si>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</si>
  <si>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</si>
  <si>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</si>
  <si>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</si>
  <si>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</si>
  <si>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</si>
  <si>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</si>
  <si>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</si>
  <si>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</si>
  <si>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</si>
  <si>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</si>
  <si>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</si>
  <si>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</si>
  <si>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</si>
  <si>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</si>
  <si>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</si>
  <si>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</si>
  <si>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</si>
  <si>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</si>
  <si>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</si>
  <si>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</si>
  <si>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</si>
  <si>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</si>
  <si>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</si>
  <si>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</si>
  <si>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</si>
  <si>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</si>
  <si>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</si>
  <si>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</si>
  <si>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</si>
  <si>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</si>
  <si>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</si>
  <si>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</si>
  <si>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</si>
  <si>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</si>
  <si>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</si>
  <si>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</si>
  <si>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</si>
  <si>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</si>
  <si>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</si>
  <si>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</si>
  <si>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</si>
  <si>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</si>
  <si>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</si>
  <si>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</si>
  <si>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</si>
  <si>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</si>
  <si>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</si>
  <si>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</si>
  <si>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</si>
  <si>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</si>
  <si>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</si>
  <si>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</si>
  <si>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</si>
  <si>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</si>
  <si>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</si>
  <si>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</si>
  <si>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</si>
  <si>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</si>
  <si>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</si>
  <si>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</si>
  <si>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</si>
  <si>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</si>
  <si>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</si>
  <si>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</si>
  <si>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</si>
  <si>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</si>
  <si>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</si>
  <si>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</si>
  <si>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</si>
  <si>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</si>
  <si>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</si>
  <si>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</si>
  <si>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</si>
  <si>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</si>
  <si>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</si>
  <si>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</si>
  <si>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</si>
  <si>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</si>
  <si>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</si>
  <si>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</si>
  <si>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</si>
  <si>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</si>
  <si>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</si>
  <si>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</si>
  <si>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</si>
  <si>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</si>
  <si>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</si>
  <si>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</si>
  <si>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</si>
  <si>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</si>
  <si>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</si>
  <si>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</si>
  <si>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</si>
  <si>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</si>
  <si>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</si>
  <si>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</si>
  <si>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</si>
  <si>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</si>
  <si>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</si>
  <si>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</si>
  <si>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</si>
  <si>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</si>
  <si>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</si>
  <si>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</si>
  <si>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</si>
  <si>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</si>
  <si>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</si>
  <si>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</si>
  <si>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</si>
  <si>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</si>
  <si>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</si>
  <si>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</si>
  <si>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</si>
  <si>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</si>
  <si>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</si>
  <si>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</si>
  <si>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</si>
  <si>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</si>
  <si>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</si>
  <si>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</si>
  <si>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</si>
  <si>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</si>
  <si>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</si>
  <si>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</si>
  <si>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</si>
  <si>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</si>
  <si>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</si>
  <si>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</si>
  <si>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</si>
  <si>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</si>
  <si>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</si>
  <si>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</si>
  <si>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</si>
  <si>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</si>
  <si>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</si>
  <si>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</si>
  <si>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</si>
  <si>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</si>
  <si>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</si>
  <si>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</si>
  <si>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</si>
  <si>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</si>
  <si>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</si>
  <si>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</si>
  <si>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</si>
  <si>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</si>
  <si>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</si>
  <si>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</si>
  <si>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</si>
  <si>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</si>
  <si>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</si>
  <si>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</si>
  <si>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</si>
  <si>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</si>
  <si>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</si>
  <si>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</si>
  <si>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</si>
  <si>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</si>
  <si>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</si>
  <si>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</si>
  <si>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</si>
  <si>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</si>
  <si>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</si>
  <si>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</si>
  <si>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</si>
  <si>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</si>
  <si>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</si>
  <si>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</si>
  <si>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</si>
  <si>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</si>
  <si>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</si>
  <si>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</si>
  <si>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</si>
  <si>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</si>
  <si>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</si>
  <si>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</si>
  <si>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</si>
  <si>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</si>
  <si>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</si>
  <si>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</si>
  <si>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</si>
  <si>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</si>
  <si>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</si>
  <si>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</si>
  <si>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</si>
  <si>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</si>
  <si>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</si>
  <si>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</si>
  <si>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</si>
  <si>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</si>
  <si>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</si>
  <si>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</si>
  <si>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</si>
  <si>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</si>
  <si>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</si>
  <si>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</si>
  <si>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</si>
  <si>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</si>
  <si>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</si>
  <si>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</si>
  <si>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</si>
  <si>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</si>
  <si>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</si>
  <si>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</si>
  <si>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</si>
  <si>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</si>
  <si>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</si>
  <si>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</si>
  <si>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</si>
  <si>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</si>
  <si>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</si>
  <si>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</si>
  <si>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</si>
  <si>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</si>
  <si>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</si>
  <si>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</si>
  <si>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</si>
  <si>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</si>
  <si>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</si>
  <si>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</si>
  <si>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</si>
  <si>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</si>
  <si>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</si>
  <si>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</si>
  <si>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</si>
  <si>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</si>
  <si>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</si>
  <si>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</si>
  <si>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</si>
  <si>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</si>
  <si>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</si>
  <si>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</si>
  <si>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</si>
  <si>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</si>
  <si>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</si>
  <si>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</si>
  <si>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</si>
  <si>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</si>
  <si>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</si>
  <si>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</si>
  <si>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</si>
  <si>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</si>
  <si>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</si>
  <si>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</si>
  <si>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</si>
  <si>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</si>
  <si>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</si>
  <si>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</si>
  <si>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</si>
  <si>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</si>
  <si>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</si>
  <si>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</si>
  <si>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</si>
  <si>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</si>
  <si>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</si>
  <si>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</si>
  <si>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</si>
  <si>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</si>
  <si>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</si>
  <si>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</si>
  <si>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</si>
  <si>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</si>
  <si>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</si>
  <si>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</si>
  <si>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</si>
  <si>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</si>
  <si>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</si>
  <si>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</si>
  <si>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</si>
  <si>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</si>
  <si>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</si>
  <si>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</si>
  <si>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</si>
  <si>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</si>
  <si>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</si>
  <si>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</si>
  <si>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</si>
  <si>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</si>
  <si>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</si>
  <si>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</si>
  <si>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</si>
  <si>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</si>
  <si>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</si>
  <si>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</si>
  <si>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</si>
  <si>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</si>
  <si>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</si>
  <si>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</si>
  <si>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</si>
  <si>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</si>
  <si>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</si>
  <si>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</si>
  <si>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</si>
  <si>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</si>
  <si>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</si>
  <si>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</si>
  <si>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</si>
  <si>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</si>
  <si>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</si>
  <si>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</si>
  <si>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</si>
  <si>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</si>
  <si>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</si>
  <si>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</si>
  <si>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</si>
  <si>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</si>
  <si>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</si>
  <si>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</si>
  <si>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</si>
  <si>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</si>
  <si>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</si>
  <si>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</si>
  <si>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</si>
  <si>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</si>
  <si>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</si>
  <si>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</si>
  <si>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</si>
  <si>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</si>
  <si>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</si>
  <si>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</si>
  <si>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</si>
  <si>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</si>
  <si>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</si>
  <si>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</si>
  <si>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</si>
  <si>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</si>
  <si>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</si>
  <si>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</si>
  <si>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</si>
  <si>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</si>
  <si>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</si>
  <si>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</si>
  <si>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</si>
  <si>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</si>
  <si>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</si>
  <si>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</si>
  <si>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</si>
  <si>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</si>
  <si>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</si>
  <si>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</si>
  <si>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</si>
  <si>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</si>
  <si>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</si>
  <si>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</si>
  <si>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</si>
  <si>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</si>
  <si>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</si>
  <si>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</si>
  <si>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</si>
  <si>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</si>
  <si>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</si>
  <si>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</si>
  <si>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</si>
  <si>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</si>
  <si>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</si>
  <si>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</si>
  <si>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</si>
  <si>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</si>
  <si>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</si>
  <si>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</si>
  <si>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</si>
  <si>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</si>
  <si>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</si>
  <si>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</si>
  <si>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</si>
  <si>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</si>
  <si>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</si>
  <si>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</si>
  <si>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</si>
  <si>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</si>
  <si>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</si>
  <si>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</si>
  <si>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</si>
  <si>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</si>
  <si>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</si>
  <si>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</si>
  <si>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</si>
  <si>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</si>
  <si>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</si>
  <si>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</si>
  <si>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</si>
  <si>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</si>
  <si>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</si>
  <si>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</si>
  <si>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</si>
  <si>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</si>
  <si>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</si>
  <si>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</si>
  <si>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</si>
  <si>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</si>
  <si>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</si>
  <si>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</si>
  <si>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</si>
  <si>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</si>
  <si>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</si>
  <si>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</si>
  <si>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</si>
  <si>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</si>
  <si>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</si>
  <si>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</si>
  <si>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</si>
  <si>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</si>
  <si>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</si>
  <si>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</si>
  <si>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</si>
  <si>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</si>
  <si>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</si>
  <si>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</si>
  <si>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</si>
  <si>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</si>
  <si>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</si>
  <si>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</si>
  <si>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</si>
  <si>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</si>
  <si>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</si>
  <si>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</si>
  <si>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</si>
  <si>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</si>
  <si>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</si>
  <si>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</si>
  <si>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</si>
  <si>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</si>
  <si>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</si>
  <si>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</si>
  <si>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</si>
  <si>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</si>
  <si>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</si>
  <si>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</si>
  <si>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</si>
  <si>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</si>
  <si>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</si>
  <si>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</si>
  <si>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</si>
  <si>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</si>
  <si>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</si>
  <si>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</si>
  <si>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</si>
  <si>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</si>
  <si>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</si>
  <si>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</si>
  <si>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</si>
  <si>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</si>
  <si>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</si>
  <si>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</si>
  <si>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</si>
  <si>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</si>
  <si>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</si>
  <si>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</si>
  <si>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</si>
  <si>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</si>
  <si>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</si>
  <si>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</si>
  <si>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</si>
  <si>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</si>
  <si>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</si>
  <si>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</si>
  <si>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</si>
  <si>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</si>
  <si>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</si>
  <si>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</si>
  <si>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</si>
  <si>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</si>
  <si>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</si>
  <si>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</si>
  <si>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</si>
  <si>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</si>
  <si>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</si>
  <si>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</si>
  <si>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</si>
  <si>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</si>
  <si>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</si>
  <si>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</si>
  <si>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</si>
  <si>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</si>
  <si>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</si>
  <si>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</si>
  <si>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</si>
  <si>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</si>
  <si>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</si>
  <si>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</si>
  <si>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</si>
  <si>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</si>
  <si>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</si>
  <si>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</si>
  <si>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</si>
  <si>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</si>
  <si>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</si>
  <si>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</si>
  <si>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</si>
  <si>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</si>
  <si>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</si>
  <si>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</si>
  <si>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</si>
  <si>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</si>
  <si>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</si>
  <si>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</si>
  <si>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</si>
  <si>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</si>
  <si>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</si>
  <si>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</si>
  <si>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</si>
  <si>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</si>
  <si>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</si>
  <si>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</si>
  <si>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</si>
  <si>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</si>
  <si>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</si>
  <si>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</si>
  <si>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</si>
  <si>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</si>
  <si>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</si>
  <si>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</si>
  <si>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</si>
  <si>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</si>
  <si>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</si>
  <si>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</si>
  <si>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</si>
  <si>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</si>
  <si>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</si>
  <si>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</si>
  <si>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</si>
  <si>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</si>
  <si>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</si>
  <si>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</si>
  <si>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</si>
  <si>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</si>
  <si>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</si>
  <si>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</si>
  <si>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</si>
  <si>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</si>
  <si>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</si>
  <si>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</si>
  <si>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</si>
  <si>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</si>
  <si>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</si>
  <si>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</si>
  <si>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</si>
  <si>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</si>
  <si>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</si>
  <si>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</si>
  <si>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</si>
  <si>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</si>
  <si>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</si>
  <si>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</si>
  <si>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</si>
  <si>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</si>
  <si>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</si>
  <si>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</si>
  <si>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</si>
  <si>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</si>
  <si>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</si>
  <si>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</si>
  <si>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</si>
  <si>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</si>
  <si>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</si>
  <si>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</si>
  <si>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</si>
  <si>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</si>
  <si>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</si>
  <si>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</si>
  <si>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</si>
  <si>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</si>
  <si>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</si>
  <si>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</si>
  <si>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</si>
  <si>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</si>
  <si>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</si>
  <si>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</si>
  <si>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</si>
  <si>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</si>
  <si>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</si>
  <si>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</si>
  <si>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</si>
  <si>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</si>
  <si>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</si>
  <si>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</si>
  <si>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</si>
  <si>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</si>
  <si>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</si>
  <si>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</si>
  <si>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</si>
  <si>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</si>
  <si>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</si>
  <si>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</si>
  <si>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</si>
  <si>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</si>
  <si>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</si>
  <si>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</si>
  <si>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</si>
  <si>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</si>
  <si>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</si>
  <si>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</si>
  <si>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</si>
  <si>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</si>
  <si>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</si>
  <si>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</si>
  <si>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</si>
  <si>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</si>
  <si>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</si>
  <si>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</si>
  <si>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</si>
  <si>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</si>
  <si>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</si>
  <si>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</si>
  <si>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</si>
  <si>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</si>
  <si>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</si>
  <si>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</si>
  <si>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</si>
  <si>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</si>
  <si>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</si>
  <si>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</si>
  <si>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</si>
  <si>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</si>
  <si>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</si>
  <si>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</si>
  <si>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</si>
  <si>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</si>
  <si>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</si>
  <si>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</si>
  <si>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</si>
  <si>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</si>
  <si>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</si>
  <si>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</si>
  <si>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</si>
  <si>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</si>
  <si>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</si>
  <si>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</si>
  <si>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</si>
  <si>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</si>
  <si>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</si>
  <si>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</si>
  <si>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</si>
  <si>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</si>
  <si>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</si>
  <si>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</si>
  <si>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</si>
  <si>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</si>
  <si>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</si>
  <si>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</si>
  <si>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</si>
  <si>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</si>
  <si>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</si>
  <si>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</si>
  <si>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</si>
  <si>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</si>
  <si>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</si>
  <si>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</si>
  <si>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</si>
  <si>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</si>
  <si>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</si>
  <si>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</si>
  <si>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</si>
  <si>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</si>
  <si>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</si>
  <si>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</si>
  <si>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</si>
  <si>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</si>
  <si>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</si>
  <si>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</si>
  <si>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</si>
  <si>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</si>
  <si>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</si>
  <si>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</si>
  <si>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</si>
  <si>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</si>
  <si>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</si>
  <si>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</si>
  <si>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</si>
  <si>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</si>
  <si>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</si>
  <si>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</si>
  <si>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</si>
  <si>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</si>
  <si>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</si>
  <si>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</si>
  <si>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</si>
  <si>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</si>
  <si>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</si>
  <si>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</si>
  <si>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</si>
  <si>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</si>
  <si>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</si>
  <si>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</si>
  <si>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</si>
  <si>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</si>
  <si>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</si>
  <si>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</si>
  <si>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</si>
  <si>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</si>
  <si>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</si>
  <si>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</si>
  <si>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</si>
  <si>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</si>
  <si>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</si>
  <si>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</si>
  <si>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</si>
  <si>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</si>
  <si>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</si>
  <si>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</si>
  <si>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</si>
  <si>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</si>
  <si>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</si>
  <si>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</si>
  <si>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</si>
  <si>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</si>
  <si>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</si>
  <si>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</si>
  <si>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</si>
  <si>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</si>
  <si>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</si>
  <si>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</si>
  <si>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</si>
  <si>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</si>
  <si>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</si>
  <si>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</si>
  <si>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</si>
  <si>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</si>
  <si>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</si>
  <si>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</si>
  <si>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</si>
  <si>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</si>
  <si>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</si>
  <si>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</si>
  <si>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</si>
  <si>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</si>
  <si>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</si>
  <si>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</si>
  <si>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</si>
  <si>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</si>
  <si>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</si>
  <si>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</si>
  <si>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</si>
  <si>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</si>
  <si>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</si>
  <si>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</si>
  <si>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</si>
  <si>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</si>
  <si>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</si>
  <si>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</si>
  <si>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</si>
  <si>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</si>
  <si>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</si>
  <si>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</si>
  <si>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</si>
  <si>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</si>
  <si>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</si>
  <si>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</si>
  <si>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</si>
  <si>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</si>
  <si>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</si>
  <si>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</si>
  <si>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</si>
  <si>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</si>
  <si>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</si>
  <si>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</si>
  <si>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</si>
  <si>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</si>
  <si>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</si>
  <si>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</si>
  <si>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</si>
  <si>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</si>
  <si>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</si>
  <si>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</si>
  <si>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</si>
  <si>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</si>
  <si>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</si>
  <si>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</si>
  <si>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</si>
  <si>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</si>
  <si>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</si>
  <si>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</si>
  <si>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</si>
  <si>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</si>
  <si>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</si>
  <si>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</si>
  <si>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</si>
  <si>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</si>
  <si>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</si>
  <si>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</si>
  <si>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</si>
  <si>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</si>
  <si>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</si>
  <si>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</si>
  <si>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</si>
  <si>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</si>
  <si>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</si>
  <si>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</si>
  <si>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</si>
  <si>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</si>
  <si>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</si>
  <si>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</si>
  <si>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</si>
  <si>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</si>
  <si>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</si>
  <si>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</si>
  <si>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</si>
  <si>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</si>
  <si>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</si>
  <si>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</si>
  <si>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</si>
  <si>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</si>
  <si>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</si>
  <si>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</si>
  <si>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</si>
  <si>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</si>
  <si>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</si>
  <si>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</si>
  <si>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</si>
  <si>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</si>
  <si>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</si>
  <si>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</si>
  <si>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</si>
  <si>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</si>
  <si>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</si>
  <si>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</si>
  <si>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</si>
  <si>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</si>
  <si>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</si>
  <si>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</si>
  <si>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</si>
  <si>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</si>
  <si>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</si>
  <si>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</si>
  <si>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</si>
  <si>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</si>
  <si>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</si>
  <si>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</si>
  <si>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</si>
  <si>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</si>
  <si>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</si>
  <si>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</si>
  <si>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</si>
  <si>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</si>
  <si>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</si>
  <si>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</si>
  <si>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</si>
  <si>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</si>
  <si>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</si>
  <si>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</si>
  <si>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</si>
  <si>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</si>
  <si>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</si>
  <si>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</si>
  <si>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</si>
  <si>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</si>
  <si>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</si>
  <si>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</si>
  <si>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</si>
  <si>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</si>
  <si>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</si>
  <si>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</si>
  <si>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</si>
  <si>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</si>
  <si>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</si>
  <si>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</si>
  <si>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</si>
  <si>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</si>
  <si>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</si>
  <si>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</si>
  <si>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</si>
  <si>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</si>
  <si>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</si>
  <si>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</si>
  <si>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</si>
  <si>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</si>
  <si>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</si>
  <si>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</si>
  <si>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</si>
  <si>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</si>
  <si>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</si>
  <si>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</si>
  <si>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</si>
  <si>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</si>
  <si>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</si>
  <si>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</si>
  <si>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</si>
  <si>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</si>
  <si>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</si>
  <si>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</si>
  <si>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</si>
  <si>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</si>
  <si>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</si>
  <si>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</si>
  <si>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</si>
  <si>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</si>
  <si>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</si>
  <si>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</si>
  <si>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</si>
  <si>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</si>
  <si>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</si>
  <si>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</si>
  <si>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</si>
  <si>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</si>
  <si>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</si>
  <si>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</si>
  <si>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</si>
  <si>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</si>
  <si>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</si>
  <si>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</si>
  <si>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</si>
  <si>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</si>
  <si>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</si>
  <si>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</si>
  <si>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</si>
  <si>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</si>
  <si>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</si>
  <si>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</si>
  <si>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</si>
  <si>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</si>
  <si>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</si>
  <si>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</si>
  <si>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</si>
  <si>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</si>
  <si>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</si>
  <si>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</si>
  <si>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</si>
  <si>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</si>
  <si>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</si>
  <si>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</si>
  <si>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</si>
  <si>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</si>
  <si>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</si>
  <si>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</si>
  <si>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</si>
  <si>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</si>
  <si>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</si>
  <si>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</si>
  <si>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</si>
  <si>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</si>
  <si>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</si>
  <si>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</si>
  <si>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</si>
  <si>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</si>
  <si>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</si>
  <si>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</si>
  <si>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</si>
  <si>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</si>
  <si>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</si>
  <si>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</si>
  <si>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</si>
  <si>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</si>
  <si>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</si>
  <si>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</si>
  <si>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</si>
  <si>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</si>
  <si>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</si>
  <si>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</si>
  <si>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</si>
  <si>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</si>
  <si>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</si>
  <si>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</si>
  <si>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</si>
  <si>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</si>
  <si>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</si>
  <si>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</si>
  <si>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</si>
  <si>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</si>
  <si>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</si>
  <si>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</si>
  <si>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</si>
  <si>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</si>
  <si>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</si>
  <si>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</si>
  <si>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</si>
  <si>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</si>
  <si>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</si>
  <si>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</si>
  <si>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</si>
  <si>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</si>
  <si>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</si>
  <si>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</si>
  <si>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</si>
  <si>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</si>
  <si>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</si>
  <si>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</si>
  <si>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</si>
  <si>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</si>
  <si>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</si>
  <si>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</si>
  <si>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</si>
  <si>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</si>
  <si>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</si>
  <si>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</si>
  <si>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</si>
  <si>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</si>
  <si>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</si>
  <si>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</si>
  <si>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</si>
  <si>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</si>
  <si>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</si>
  <si>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</si>
  <si>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</si>
  <si>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</si>
  <si>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</si>
  <si>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</si>
  <si>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</si>
  <si>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</si>
  <si>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</si>
  <si>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</si>
  <si>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</si>
  <si>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</si>
  <si>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</si>
  <si>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</si>
  <si>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</si>
  <si>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</si>
  <si>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</si>
  <si>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</si>
  <si>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</si>
  <si>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</si>
  <si>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</si>
  <si>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</si>
  <si>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</si>
  <si>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</si>
  <si>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</si>
  <si>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</si>
  <si>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</si>
  <si>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</si>
  <si>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</si>
  <si>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</si>
  <si>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</si>
  <si>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</si>
  <si>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</si>
  <si>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</si>
  <si>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</si>
  <si>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</si>
  <si>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</si>
  <si>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</si>
  <si>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</si>
  <si>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</si>
  <si>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</si>
  <si>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</si>
  <si>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</si>
  <si>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</si>
  <si>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</si>
  <si>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</si>
  <si>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</si>
  <si>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</si>
  <si>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</si>
  <si>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</si>
  <si>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</si>
  <si>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</si>
  <si>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</si>
  <si>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</si>
  <si>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</si>
  <si>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</si>
  <si>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</si>
  <si>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</si>
  <si>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</si>
  <si>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</si>
  <si>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</si>
  <si>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</si>
  <si>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</si>
  <si>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</si>
  <si>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</si>
  <si>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</si>
  <si>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</si>
  <si>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</si>
  <si>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</si>
  <si>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</si>
  <si>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</si>
  <si>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</si>
  <si>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</si>
  <si>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</si>
  <si>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</si>
  <si>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</si>
  <si>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</si>
  <si>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</si>
  <si>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</si>
  <si>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</si>
  <si>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</si>
  <si>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</si>
  <si>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</si>
  <si>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</si>
  <si>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</si>
  <si>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</si>
  <si>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</si>
  <si>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</si>
  <si>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</si>
  <si>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</si>
  <si>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</si>
  <si>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</si>
  <si>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</si>
  <si>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</si>
  <si>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</si>
  <si>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</si>
  <si>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</si>
  <si>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</si>
  <si>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</si>
  <si>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</si>
  <si>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</si>
  <si>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</si>
  <si>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</si>
  <si>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</si>
  <si>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</si>
  <si>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</si>
  <si>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</si>
  <si>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</si>
  <si>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</si>
  <si>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</si>
  <si>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</si>
  <si>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</si>
  <si>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</si>
  <si>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</si>
  <si>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</si>
  <si>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</si>
  <si>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</si>
  <si>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</si>
  <si>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</si>
  <si>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</si>
  <si>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</si>
  <si>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</si>
  <si>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</si>
  <si>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</si>
  <si>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</si>
  <si>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</si>
  <si>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</si>
  <si>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</si>
  <si>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</si>
  <si>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</si>
  <si>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</si>
  <si>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</si>
  <si>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</si>
  <si>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</si>
  <si>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</si>
  <si>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</si>
  <si>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</si>
  <si>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</si>
  <si>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</si>
  <si>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</si>
  <si>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</si>
  <si>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</si>
  <si>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</si>
  <si>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</si>
  <si>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</si>
  <si>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</si>
  <si>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</si>
  <si>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</si>
  <si>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</si>
  <si>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</si>
  <si>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</si>
  <si>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</si>
  <si>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</si>
  <si>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</si>
  <si>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</si>
  <si>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</si>
  <si>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</si>
  <si>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</si>
  <si>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</si>
  <si>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</si>
  <si>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</si>
  <si>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</si>
  <si>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</si>
  <si>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</si>
  <si>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</si>
  <si>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</si>
  <si>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</si>
  <si>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</si>
  <si>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</si>
  <si>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</si>
  <si>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</si>
  <si>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</si>
  <si>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</si>
  <si>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</si>
  <si>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</si>
  <si>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</si>
  <si>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</si>
  <si>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</si>
  <si>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</si>
  <si>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</si>
  <si>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</si>
  <si>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</si>
  <si>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</si>
  <si>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</si>
  <si>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</si>
  <si>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</si>
  <si>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</si>
  <si>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</si>
  <si>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</si>
  <si>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</si>
  <si>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</si>
  <si>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</si>
  <si>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</si>
  <si>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</si>
  <si>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</si>
  <si>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</si>
  <si>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</si>
  <si>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</si>
  <si>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</si>
  <si>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</si>
  <si>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</si>
  <si>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</si>
  <si>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</si>
  <si>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</si>
  <si>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</si>
  <si>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</si>
  <si>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</si>
  <si>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</si>
  <si>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</si>
  <si>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</si>
  <si>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</si>
  <si>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</si>
  <si>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</si>
  <si>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</si>
  <si>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</si>
  <si>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</si>
  <si>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</si>
  <si>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</si>
  <si>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</si>
  <si>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</si>
  <si>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</si>
  <si>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</si>
  <si>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</si>
  <si>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</si>
  <si>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</si>
  <si>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</si>
  <si>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</si>
  <si>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</si>
  <si>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</si>
  <si>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</si>
  <si>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</si>
  <si>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</si>
  <si>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</si>
  <si>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</si>
  <si>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</si>
  <si>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</si>
  <si>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</si>
  <si>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</si>
  <si>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</si>
  <si>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</si>
  <si>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</si>
  <si>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</si>
  <si>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</si>
  <si>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</si>
  <si>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</si>
  <si>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</si>
  <si>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</si>
  <si>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</si>
  <si>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</si>
  <si>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</si>
  <si>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</si>
  <si>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</si>
  <si>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</si>
  <si>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</si>
  <si>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</si>
  <si>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</si>
  <si>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</si>
  <si>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</si>
  <si>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</si>
  <si>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</si>
  <si>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</si>
  <si>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</si>
  <si>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</si>
  <si>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</si>
  <si>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</si>
  <si>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</si>
  <si>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</si>
  <si>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</si>
  <si>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</si>
  <si>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</si>
  <si>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</si>
  <si>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</si>
  <si>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</si>
  <si>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</si>
  <si>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</si>
  <si>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</si>
  <si>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</si>
  <si>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</si>
  <si>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</si>
  <si>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</si>
  <si>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</si>
  <si>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</si>
  <si>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</si>
  <si>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</si>
  <si>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</si>
  <si>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</si>
  <si>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</si>
  <si>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</si>
  <si>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</si>
  <si>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</si>
  <si>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</si>
  <si>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</si>
  <si>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</si>
  <si>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</si>
  <si>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</si>
  <si>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</si>
  <si>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</si>
  <si>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</si>
  <si>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</si>
  <si>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</si>
  <si>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</si>
  <si>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</si>
  <si>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</si>
  <si>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</si>
  <si>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</si>
  <si>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</si>
  <si>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</si>
  <si>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</si>
  <si>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</si>
  <si>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</si>
  <si>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</si>
  <si>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</si>
  <si>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</si>
  <si>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</si>
  <si>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</si>
  <si>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</si>
  <si>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</si>
  <si>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</si>
  <si>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</si>
  <si>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</si>
  <si>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</si>
  <si>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</si>
  <si>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</si>
  <si>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</si>
  <si>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</si>
  <si>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</si>
  <si>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</si>
  <si>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</si>
  <si>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</si>
  <si>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</si>
  <si>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</si>
  <si>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</si>
  <si>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</si>
  <si>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</si>
  <si>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</si>
  <si>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</si>
  <si>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</si>
  <si>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</si>
  <si>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</si>
  <si>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</si>
  <si>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</si>
  <si>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</si>
  <si>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</si>
  <si>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</si>
  <si>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</si>
  <si>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</si>
  <si>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</si>
  <si>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</si>
  <si>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</si>
  <si>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</si>
  <si>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</si>
  <si>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</si>
  <si>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</si>
  <si>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</si>
  <si>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</si>
  <si>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</si>
  <si>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</si>
  <si>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</si>
  <si>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</si>
  <si>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</si>
  <si>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</si>
  <si>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</si>
  <si>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</si>
  <si>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</si>
  <si>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</si>
  <si>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</si>
  <si>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</si>
  <si>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</si>
  <si>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</si>
  <si>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</si>
  <si>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</si>
  <si>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</si>
  <si>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</si>
  <si>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</si>
  <si>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</si>
  <si>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</si>
  <si>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</si>
  <si>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</si>
  <si>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</si>
  <si>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</si>
  <si>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</si>
  <si>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</si>
  <si>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</si>
  <si>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</si>
  <si>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</si>
  <si>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</si>
  <si>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</si>
  <si>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</si>
  <si>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</si>
  <si>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</si>
  <si>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</si>
  <si>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</si>
  <si>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</si>
  <si>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</si>
  <si>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</si>
  <si>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</si>
  <si>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</si>
  <si>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</si>
  <si>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</si>
  <si>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</si>
  <si>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</si>
  <si>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</si>
  <si>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</si>
  <si>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</si>
  <si>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</si>
  <si>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</si>
  <si>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</si>
  <si>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</si>
  <si>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</si>
  <si>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</si>
  <si>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</si>
  <si>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</si>
  <si>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</si>
  <si>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</si>
  <si>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</si>
  <si>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</si>
  <si>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</si>
  <si>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</si>
  <si>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</si>
  <si>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</si>
  <si>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</si>
  <si>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</si>
  <si>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</si>
  <si>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</si>
  <si>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</si>
  <si>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</si>
  <si>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</si>
  <si>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</si>
  <si>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</si>
  <si>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</si>
  <si>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</si>
  <si>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</si>
  <si>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</si>
  <si>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</si>
  <si>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</si>
  <si>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</si>
  <si>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</si>
  <si>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</si>
  <si>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</si>
  <si>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</si>
  <si>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</si>
  <si>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</si>
  <si>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</si>
  <si>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</si>
  <si>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</si>
  <si>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</si>
  <si>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</si>
  <si>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</si>
  <si>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</si>
  <si>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</si>
  <si>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</si>
  <si>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</si>
  <si>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</si>
  <si>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</si>
  <si>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</si>
  <si>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</si>
  <si>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</si>
  <si>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</si>
  <si>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</si>
  <si>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</si>
  <si>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</si>
  <si>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</si>
  <si>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</si>
  <si>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</si>
  <si>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</si>
  <si>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</si>
  <si>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</si>
  <si>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</si>
  <si>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</si>
  <si>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</si>
  <si>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</si>
  <si>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</si>
  <si>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</si>
  <si>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</si>
  <si>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</si>
  <si>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</si>
  <si>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</si>
  <si>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</si>
  <si>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</si>
  <si>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</si>
  <si>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</si>
  <si>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</si>
  <si>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</si>
  <si>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</si>
  <si>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</si>
  <si>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</si>
  <si>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</si>
  <si>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</si>
  <si>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</si>
  <si>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</si>
  <si>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</si>
  <si>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</si>
  <si>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</si>
  <si>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</si>
  <si>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</si>
  <si>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</si>
  <si>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</si>
  <si>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</si>
  <si>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</si>
  <si>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</si>
  <si>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</si>
  <si>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</si>
  <si>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</si>
  <si>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</si>
  <si>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</si>
  <si>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</si>
  <si>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</si>
  <si>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</si>
  <si>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</si>
  <si>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</si>
  <si>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</si>
  <si>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</si>
  <si>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</si>
  <si>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</si>
  <si>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</si>
  <si>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</si>
  <si>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</si>
  <si>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</si>
  <si>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</si>
  <si>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</si>
  <si>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</si>
  <si>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</si>
  <si>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</si>
  <si>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</si>
  <si>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</si>
  <si>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</si>
  <si>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</si>
  <si>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</si>
  <si>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</si>
  <si>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</si>
  <si>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</si>
  <si>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</si>
  <si>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</si>
  <si>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</si>
  <si>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</si>
  <si>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</si>
  <si>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</si>
  <si>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</si>
  <si>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</si>
  <si>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</si>
  <si>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</si>
  <si>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</si>
  <si>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</si>
  <si>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</si>
  <si>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</si>
  <si>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</si>
  <si>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</si>
  <si>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</si>
  <si>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</si>
  <si>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</si>
  <si>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</si>
  <si>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</si>
  <si>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</si>
  <si>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</si>
  <si>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</si>
  <si>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</si>
  <si>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</si>
  <si>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</si>
  <si>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</si>
  <si>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</si>
  <si>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</si>
  <si>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</si>
  <si>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</si>
  <si>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</si>
  <si>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</si>
  <si>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</si>
  <si>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</si>
  <si>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</si>
  <si>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</si>
  <si>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</si>
  <si>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</si>
  <si>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</si>
  <si>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</si>
  <si>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</si>
  <si>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</si>
  <si>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</si>
  <si>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</si>
  <si>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</si>
  <si>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</si>
  <si>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</si>
  <si>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</si>
  <si>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</si>
  <si>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</si>
  <si>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</si>
  <si>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</si>
  <si>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</si>
  <si>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</si>
  <si>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</si>
  <si>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</si>
  <si>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</si>
  <si>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</si>
  <si>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</si>
  <si>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</si>
  <si>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</si>
  <si>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</si>
  <si>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</si>
  <si>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</si>
  <si>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</si>
  <si>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</si>
  <si>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</si>
  <si>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</si>
  <si>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</si>
  <si>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</si>
  <si>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</si>
  <si>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</si>
  <si>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</si>
  <si>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</si>
  <si>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</si>
  <si>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</si>
  <si>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</si>
  <si>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</si>
  <si>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</si>
  <si>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</si>
  <si>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</si>
  <si>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</si>
  <si>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</si>
  <si>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</si>
  <si>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</si>
  <si>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</si>
  <si>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</si>
  <si>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</si>
  <si>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</si>
  <si>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</si>
  <si>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</si>
  <si>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</si>
  <si>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</si>
  <si>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</si>
  <si>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</si>
  <si>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</si>
  <si>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</si>
  <si>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</si>
  <si>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</si>
  <si>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</si>
  <si>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</si>
  <si>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</si>
  <si>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</si>
  <si>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</si>
  <si>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</si>
  <si>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</si>
  <si>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</si>
  <si>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</si>
  <si>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</si>
  <si>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</si>
  <si>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</si>
  <si>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</si>
  <si>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</si>
  <si>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</si>
  <si>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</si>
  <si>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</si>
  <si>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</si>
  <si>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</si>
  <si>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</si>
  <si>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</si>
  <si>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</si>
  <si>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</si>
  <si>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</si>
  <si>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</si>
  <si>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</si>
  <si>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</si>
  <si>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</si>
  <si>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</si>
  <si>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</si>
  <si>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</si>
  <si>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</si>
  <si>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</si>
  <si>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</si>
  <si>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</si>
  <si>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</si>
  <si>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</si>
  <si>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</si>
  <si>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</si>
  <si>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</si>
  <si>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</si>
  <si>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</si>
  <si>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</si>
  <si>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</si>
  <si>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</si>
  <si>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</si>
  <si>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</si>
  <si>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</si>
  <si>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</si>
  <si>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</si>
  <si>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</si>
  <si>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</si>
  <si>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</si>
  <si>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</si>
  <si>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</si>
  <si>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</si>
  <si>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</si>
  <si>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</si>
  <si>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</si>
  <si>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</si>
  <si>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</si>
  <si>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</si>
  <si>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</si>
  <si>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</si>
  <si>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</si>
  <si>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</si>
  <si>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</si>
  <si>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</si>
  <si>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</si>
  <si>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</si>
  <si>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</si>
  <si>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</si>
  <si>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</si>
  <si>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</si>
  <si>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</si>
  <si>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</si>
  <si>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</si>
  <si>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</si>
  <si>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</si>
  <si>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</si>
  <si>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</si>
  <si>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</si>
  <si>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</si>
  <si>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</si>
  <si>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</si>
  <si>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</si>
  <si>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</si>
  <si>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</si>
  <si>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</si>
  <si>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</si>
  <si>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</si>
  <si>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</si>
  <si>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</si>
  <si>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</si>
  <si>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</si>
  <si>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</si>
  <si>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</si>
  <si>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</si>
  <si>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</si>
  <si>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</si>
  <si>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</si>
  <si>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</si>
  <si>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</si>
  <si>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</si>
  <si>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</si>
  <si>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</si>
  <si>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</si>
  <si>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</si>
  <si>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</si>
  <si>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</si>
  <si>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</si>
  <si>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</si>
  <si>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</si>
  <si>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</si>
  <si>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</si>
  <si>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</si>
  <si>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</si>
  <si>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</si>
  <si>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</si>
  <si>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</si>
  <si>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</si>
  <si>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</si>
  <si>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</si>
  <si>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</si>
  <si>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</si>
  <si>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</si>
  <si>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</si>
  <si>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</si>
  <si>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</si>
  <si>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</si>
  <si>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</si>
  <si>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</si>
  <si>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</si>
  <si>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</si>
  <si>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</si>
  <si>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</si>
  <si>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</si>
  <si>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</si>
  <si>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</si>
  <si>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</si>
  <si>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</si>
  <si>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</si>
  <si>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</si>
  <si>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</si>
  <si>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</si>
  <si>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</si>
  <si>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</si>
  <si>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</si>
  <si>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</si>
  <si>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</si>
  <si>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</si>
  <si>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</si>
  <si>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</si>
  <si>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</si>
  <si>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</si>
  <si>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</si>
  <si>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</si>
  <si>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</si>
  <si>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</si>
  <si>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</si>
  <si>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</si>
  <si>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</si>
  <si>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</si>
  <si>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</si>
  <si>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</si>
  <si>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</si>
  <si>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</si>
  <si>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</si>
  <si>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</si>
  <si>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</si>
  <si>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</si>
  <si>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</si>
  <si>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</si>
  <si>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</si>
  <si>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</si>
  <si>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</si>
  <si>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</si>
  <si>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</si>
  <si>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</si>
  <si>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</si>
  <si>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</si>
  <si>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</si>
  <si>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</si>
  <si>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</si>
  <si>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</si>
  <si>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</si>
  <si>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</si>
  <si>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</si>
  <si>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</si>
  <si>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</si>
  <si>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</si>
  <si>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</si>
  <si>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</si>
  <si>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</si>
  <si>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</si>
  <si>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</si>
  <si>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</si>
  <si>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</si>
  <si>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</si>
  <si>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</si>
  <si>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</si>
  <si>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</si>
  <si>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</si>
  <si>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</si>
  <si>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</si>
  <si>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</si>
  <si>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</si>
  <si>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</si>
  <si>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</si>
  <si>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</si>
  <si>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</si>
  <si>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</si>
  <si>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</si>
  <si>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</si>
  <si>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</si>
  <si>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</si>
  <si>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</si>
  <si>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</si>
  <si>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</si>
  <si>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</si>
  <si>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</si>
  <si>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</si>
  <si>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</si>
  <si>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</si>
  <si>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</si>
  <si>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</si>
  <si>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</si>
  <si>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</si>
  <si>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</si>
  <si>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</si>
  <si>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</si>
  <si>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</si>
  <si>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</si>
  <si>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</si>
  <si>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</si>
  <si>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</si>
  <si>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</si>
  <si>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</si>
  <si>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</si>
  <si>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</si>
  <si>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</si>
  <si>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</si>
  <si>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</si>
  <si>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</si>
  <si>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</si>
  <si>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</si>
  <si>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</si>
  <si>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</si>
  <si>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</si>
  <si>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</si>
  <si>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</si>
  <si>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</si>
  <si>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</si>
  <si>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</si>
  <si>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</si>
  <si>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</si>
  <si>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</si>
  <si>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</si>
  <si>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</si>
  <si>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</si>
  <si>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</si>
  <si>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</si>
  <si>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</si>
  <si>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</si>
  <si>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</si>
  <si>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</si>
  <si>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</si>
  <si>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</si>
  <si>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</si>
  <si>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</si>
  <si>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</si>
  <si>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</si>
  <si>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</si>
  <si>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</si>
  <si>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</si>
  <si>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</si>
  <si>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</si>
  <si>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</si>
  <si>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</si>
  <si>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</si>
  <si>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</si>
  <si>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</si>
  <si>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</si>
  <si>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</si>
  <si>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</si>
  <si>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</si>
  <si>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</si>
  <si>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</si>
  <si>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</si>
  <si>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</si>
  <si>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</si>
  <si>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</si>
  <si>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</si>
  <si>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</si>
  <si>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</si>
  <si>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</si>
  <si>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</si>
  <si>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</si>
  <si>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</si>
  <si>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</si>
  <si>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</si>
  <si>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</si>
  <si>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</si>
  <si>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</si>
  <si>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</si>
  <si>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</si>
  <si>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</si>
  <si>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</si>
  <si>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</si>
  <si>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</si>
  <si>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</si>
  <si>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</si>
  <si>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</si>
  <si>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</si>
  <si>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</si>
  <si>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</si>
  <si>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</si>
  <si>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</si>
  <si>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</si>
  <si>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</si>
  <si>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</si>
  <si>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</si>
  <si>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</si>
  <si>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</si>
  <si>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</si>
  <si>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</si>
  <si>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</si>
  <si>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</si>
  <si>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</si>
  <si>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</si>
  <si>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</si>
  <si>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</si>
  <si>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</si>
  <si>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</si>
  <si>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</si>
  <si>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</si>
  <si>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</si>
  <si>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</si>
  <si>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</si>
  <si>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</si>
  <si>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</si>
  <si>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</si>
  <si>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</si>
  <si>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</si>
  <si>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</si>
  <si>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</si>
  <si>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</si>
  <si>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</si>
  <si>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</si>
  <si>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</si>
  <si>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</si>
  <si>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</si>
  <si>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</si>
  <si>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</si>
  <si>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</si>
  <si>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</si>
  <si>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</si>
  <si>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</si>
  <si>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</si>
  <si>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</si>
  <si>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</si>
  <si>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</si>
  <si>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</si>
  <si>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</si>
  <si>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</si>
  <si>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</si>
  <si>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</si>
  <si>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</si>
  <si>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</si>
  <si>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</si>
  <si>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</si>
  <si>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</si>
  <si>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</si>
  <si>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</si>
  <si>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</si>
  <si>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</si>
  <si>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</si>
  <si>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</si>
  <si>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</si>
  <si>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</si>
  <si>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</si>
  <si>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</si>
  <si>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</si>
  <si>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</si>
  <si>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</si>
  <si>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</si>
  <si>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</si>
  <si>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</si>
  <si>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</si>
  <si>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</si>
  <si>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</si>
  <si>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</si>
  <si>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</si>
  <si>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</si>
  <si>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</si>
  <si>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</si>
  <si>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</si>
  <si>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</si>
  <si>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</si>
  <si>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</si>
  <si>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</si>
  <si>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</si>
  <si>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</si>
  <si>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</si>
  <si>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</si>
  <si>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</si>
  <si>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</si>
  <si>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</si>
  <si>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</si>
  <si>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</si>
  <si>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</si>
  <si>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</si>
  <si>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</si>
  <si>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</si>
  <si>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</si>
  <si>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</si>
  <si>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</si>
  <si>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</si>
  <si>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</si>
  <si>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</si>
  <si>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</si>
  <si>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</si>
  <si>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</si>
  <si>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</si>
  <si>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</si>
  <si>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</si>
  <si>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</si>
  <si>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</si>
  <si>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</si>
  <si>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</si>
  <si>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</si>
  <si>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</si>
  <si>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</si>
  <si>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</si>
  <si>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</si>
  <si>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</si>
  <si>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</si>
  <si>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</si>
  <si>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</si>
  <si>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</si>
  <si>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</si>
  <si>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</si>
  <si>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</si>
  <si>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</si>
  <si>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</si>
  <si>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</si>
  <si>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</si>
  <si>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</si>
  <si>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</si>
  <si>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</si>
  <si>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</si>
  <si>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</si>
  <si>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</si>
  <si>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</si>
  <si>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</si>
  <si>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</si>
  <si>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</si>
  <si>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</si>
  <si>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</si>
  <si>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</si>
  <si>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</si>
  <si>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</si>
  <si>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</si>
  <si>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</si>
  <si>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</si>
  <si>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</si>
  <si>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</si>
  <si>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</si>
  <si>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</si>
  <si>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</si>
  <si>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</si>
  <si>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</si>
  <si>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</si>
  <si>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</si>
  <si>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</si>
  <si>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</si>
  <si>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</si>
  <si>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</si>
  <si>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</si>
  <si>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</si>
  <si>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</si>
  <si>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</si>
  <si>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</si>
  <si>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</si>
  <si>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</si>
  <si>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</si>
  <si>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</si>
  <si>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</si>
  <si>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</si>
  <si>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</si>
  <si>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</si>
  <si>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</si>
  <si>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</si>
  <si>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</si>
  <si>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</si>
  <si>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</si>
  <si>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</si>
  <si>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</si>
  <si>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</si>
  <si>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</si>
  <si>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</si>
  <si>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</si>
  <si>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</si>
  <si>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</si>
  <si>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</si>
  <si>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</si>
  <si>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</si>
  <si>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</si>
  <si>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</si>
  <si>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</si>
  <si>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</si>
  <si>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</si>
  <si>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</si>
  <si>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</si>
  <si>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</si>
  <si>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</si>
  <si>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</si>
  <si>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</si>
  <si>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</si>
  <si>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</si>
  <si>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</si>
  <si>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</si>
  <si>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</si>
  <si>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</si>
  <si>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</si>
  <si>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</si>
  <si>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</si>
  <si>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</si>
  <si>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</si>
  <si>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</si>
  <si>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</si>
  <si>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</si>
  <si>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</si>
  <si>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</si>
  <si>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</si>
  <si>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</si>
  <si>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</si>
  <si>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</si>
  <si>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</si>
  <si>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</si>
  <si>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</si>
  <si>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</si>
  <si>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</si>
  <si>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</si>
  <si>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</si>
  <si>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</si>
  <si>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</si>
  <si>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</si>
  <si>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</si>
  <si>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</si>
  <si>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</si>
  <si>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</si>
  <si>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</si>
  <si>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</si>
  <si>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</si>
  <si>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</si>
  <si>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</si>
  <si>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</si>
  <si>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</si>
  <si>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</si>
  <si>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</si>
  <si>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</si>
  <si>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</si>
  <si>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</si>
  <si>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</si>
  <si>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</si>
  <si>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</si>
  <si>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</si>
  <si>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</si>
  <si>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</si>
  <si>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</si>
  <si>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</si>
  <si>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</si>
  <si>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</si>
  <si>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</si>
  <si>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</si>
  <si>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</si>
  <si>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</si>
  <si>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</si>
  <si>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</si>
  <si>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</si>
  <si>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</si>
  <si>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</si>
  <si>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</si>
  <si>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</si>
  <si>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</si>
  <si>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</si>
  <si>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</si>
  <si>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</si>
  <si>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</si>
  <si>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</si>
  <si>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</si>
  <si>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</si>
  <si>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</si>
  <si>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</si>
  <si>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</si>
  <si>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</si>
  <si>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</si>
  <si>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</si>
  <si>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</si>
  <si>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</si>
  <si>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</si>
  <si>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</si>
  <si>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</si>
  <si>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</si>
  <si>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</si>
  <si>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</si>
  <si>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</si>
  <si>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</si>
  <si>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</si>
  <si>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</si>
  <si>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</si>
  <si>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</si>
  <si>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</si>
  <si>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</si>
  <si>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</si>
  <si>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</si>
  <si>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</si>
  <si>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</si>
  <si>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</si>
  <si>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</si>
  <si>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</si>
  <si>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</si>
  <si>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</si>
  <si>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</si>
  <si>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</si>
  <si>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</si>
  <si>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</si>
  <si>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</si>
  <si>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</si>
  <si>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</si>
  <si>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</si>
  <si>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</si>
  <si>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</si>
  <si>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</si>
  <si>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</si>
  <si>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</si>
  <si>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</si>
  <si>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</si>
  <si>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</si>
  <si>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</si>
  <si>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</si>
  <si>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</si>
  <si>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</si>
  <si>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</si>
  <si>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</si>
  <si>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</si>
  <si>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</si>
  <si>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</si>
  <si>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</si>
  <si>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</si>
  <si>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</si>
  <si>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</si>
  <si>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</si>
  <si>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</si>
  <si>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</si>
  <si>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</si>
  <si>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</si>
  <si>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</si>
  <si>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</si>
  <si>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</si>
  <si>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</si>
  <si>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</si>
  <si>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</si>
  <si>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</si>
  <si>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</si>
  <si>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</si>
  <si>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</si>
  <si>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</si>
  <si>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</si>
  <si>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</si>
  <si>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</si>
  <si>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</si>
  <si>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</si>
  <si>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</si>
  <si>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</si>
  <si>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</si>
  <si>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</si>
  <si>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</si>
  <si>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</si>
  <si>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</si>
  <si>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</si>
  <si>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</si>
  <si>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</si>
  <si>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</si>
  <si>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</si>
  <si>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</si>
  <si>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</si>
  <si>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</si>
  <si>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</si>
  <si>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</si>
  <si>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</si>
  <si>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</si>
  <si>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</si>
  <si>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</si>
  <si>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</si>
  <si>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</si>
  <si>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</si>
  <si>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</si>
  <si>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</si>
  <si>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</si>
  <si>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</si>
  <si>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</si>
  <si>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</si>
  <si>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</si>
  <si>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</si>
  <si>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</si>
  <si>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</si>
  <si>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</si>
  <si>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</si>
  <si>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</si>
  <si>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</si>
  <si>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</si>
  <si>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</si>
  <si>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</si>
  <si>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</si>
  <si>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</si>
  <si>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</si>
  <si>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</si>
  <si>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</si>
  <si>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</si>
  <si>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</si>
  <si>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</si>
  <si>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</si>
  <si>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</si>
  <si>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</si>
  <si>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</si>
  <si>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</si>
  <si>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</si>
  <si>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</si>
  <si>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</si>
  <si>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</si>
  <si>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</si>
  <si>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</si>
  <si>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</si>
  <si>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</si>
  <si>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</si>
  <si>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</si>
  <si>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</si>
  <si>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</si>
  <si>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</si>
  <si>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</si>
  <si>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</si>
  <si>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</si>
  <si>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</si>
  <si>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</si>
  <si>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</si>
  <si>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</si>
  <si>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</si>
  <si>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</si>
  <si>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</si>
  <si>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</si>
  <si>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</si>
  <si>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</si>
  <si>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</si>
  <si>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</si>
  <si>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</si>
  <si>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</si>
  <si>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</si>
  <si>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</si>
  <si>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</si>
  <si>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</si>
  <si>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</si>
  <si>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</si>
  <si>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</si>
  <si>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</si>
  <si>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</si>
  <si>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</si>
  <si>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</si>
  <si>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</si>
  <si>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</si>
  <si>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</si>
  <si>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</si>
  <si>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</si>
  <si>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</si>
  <si>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</si>
  <si>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</si>
  <si>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</si>
  <si>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</si>
  <si>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</si>
  <si>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</si>
  <si>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</si>
  <si>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</si>
  <si>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</si>
  <si>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</si>
  <si>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</si>
  <si>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</si>
  <si>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</si>
  <si>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</si>
  <si>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</si>
  <si>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</si>
  <si>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</si>
  <si>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</si>
  <si>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</si>
  <si>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</si>
  <si>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</si>
  <si>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</si>
  <si>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</si>
  <si>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</si>
  <si>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</si>
  <si>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</si>
  <si>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</si>
  <si>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</si>
  <si>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</si>
  <si>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</si>
  <si>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</si>
  <si>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</si>
  <si>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</si>
  <si>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</si>
  <si>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</si>
  <si>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</si>
  <si>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</si>
  <si>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</si>
  <si>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</si>
  <si>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</si>
  <si>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</si>
  <si>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</si>
  <si>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</si>
  <si>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</si>
  <si>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</si>
  <si>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</si>
  <si>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</si>
  <si>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</si>
  <si>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</si>
  <si>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</si>
  <si>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</si>
  <si>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</si>
  <si>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</si>
  <si>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</si>
  <si>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</si>
  <si>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</si>
  <si>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</si>
  <si>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</si>
  <si>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</si>
  <si>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</si>
  <si>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</si>
  <si>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</si>
  <si>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</si>
  <si>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</si>
  <si>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</si>
  <si>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</si>
  <si>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</si>
  <si>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</si>
  <si>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</si>
  <si>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</si>
  <si>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</si>
  <si>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</si>
  <si>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</si>
  <si>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</si>
  <si>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</si>
  <si>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</si>
  <si>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</si>
  <si>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</si>
  <si>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</si>
  <si>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</si>
  <si>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</si>
  <si>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</si>
  <si>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</si>
  <si>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</si>
  <si>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</si>
  <si>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</si>
  <si>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</si>
  <si>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</si>
  <si>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</si>
  <si>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</si>
  <si>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</si>
  <si>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</si>
  <si>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</si>
  <si>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</si>
  <si>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0=0@M: 5.9</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</si>
  <si>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</si>
  <si>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</si>
  <si>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</si>
  <si>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</si>
  <si>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</si>
  <si>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</si>
  <si>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</si>
  <si>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</si>
  <si>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</si>
  <si>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</si>
  <si>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</si>
  <si>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</si>
  <si>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</si>
  <si>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</si>
  <si>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</si>
  <si>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</si>
  <si>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</si>
  <si>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</si>
  <si>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</si>
  <si>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</si>
  <si>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</si>
  <si>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</si>
  <si>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</si>
  <si>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</si>
  <si>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</si>
  <si>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</si>
  <si>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</si>
  <si>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</si>
  <si>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</si>
  <si>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</si>
  <si>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</si>
  <si>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</si>
  <si>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</si>
  <si>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</si>
  <si>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</si>
  <si>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</si>
  <si>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</si>
  <si>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</si>
  <si>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</si>
  <si>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</si>
  <si>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</si>
  <si>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</si>
  <si>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</si>
  <si>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</si>
  <si>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</si>
  <si>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</si>
  <si>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</si>
  <si>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</si>
  <si>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</si>
  <si>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</si>
  <si>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</si>
  <si>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</si>
  <si>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</si>
  <si>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</si>
  <si>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</si>
  <si>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</si>
  <si>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(0.4%:75%)@5.90:(0=0@M: 5.9)&gt;UpMark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</si>
  <si>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</si>
  <si>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</si>
  <si>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</si>
  <si>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</si>
  <si>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</si>
  <si>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</si>
  <si>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</si>
  <si>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</si>
  <si>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</si>
  <si>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</si>
  <si>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</si>
  <si>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</si>
  <si>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</si>
  <si>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</si>
  <si>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</si>
  <si>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</si>
  <si>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</si>
  <si>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</si>
  <si>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</si>
  <si>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</si>
  <si>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</si>
  <si>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</si>
  <si>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</si>
  <si>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</si>
  <si>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</si>
  <si>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</si>
  <si>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</si>
  <si>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</si>
  <si>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</si>
  <si>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</si>
  <si>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</si>
  <si>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</si>
  <si>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</si>
  <si>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</si>
  <si>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</si>
  <si>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</si>
  <si>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</si>
  <si>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</si>
  <si>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</si>
  <si>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</si>
  <si>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</si>
  <si>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</si>
  <si>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</si>
  <si>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</si>
  <si>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</si>
  <si>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</si>
  <si>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</si>
  <si>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</si>
  <si>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</si>
  <si>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</si>
  <si>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</si>
  <si>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</si>
  <si>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</si>
  <si>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</si>
  <si>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</si>
  <si>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</si>
  <si>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</si>
  <si>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</si>
  <si>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</si>
  <si>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</si>
  <si>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</si>
  <si>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</si>
  <si>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</si>
  <si>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</si>
  <si>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</si>
  <si>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</si>
  <si>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</si>
  <si>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</si>
  <si>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</si>
  <si>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</si>
  <si>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</si>
  <si>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</si>
  <si>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</si>
  <si>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</si>
  <si>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</si>
  <si>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</si>
  <si>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</si>
  <si>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</si>
  <si>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</si>
  <si>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</si>
  <si>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</si>
  <si>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</si>
  <si>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</si>
  <si>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</si>
  <si>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</si>
  <si>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</si>
  <si>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</si>
  <si>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</si>
  <si>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</si>
  <si>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</si>
  <si>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</si>
  <si>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</si>
  <si>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</si>
  <si>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</si>
  <si>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</si>
  <si>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</si>
  <si>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</si>
  <si>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</si>
  <si>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</si>
  <si>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</si>
  <si>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</si>
  <si>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</si>
  <si>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</si>
  <si>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</si>
  <si>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</si>
  <si>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</si>
  <si>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</si>
  <si>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</si>
  <si>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</si>
  <si>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</si>
  <si>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</si>
  <si>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</si>
  <si>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</si>
  <si>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</si>
  <si>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</si>
  <si>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</si>
  <si>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</si>
  <si>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</si>
  <si>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</si>
  <si>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Re-Buy~AMY</t>
  </si>
  <si>
    <t>0=0@M: 120.405</t>
  </si>
  <si>
    <t>168=15,456@M: 92</t>
  </si>
  <si>
    <t>(0.6%:19%)@120.41:(0=0@M: 120.405)&gt;UpMark 0%</t>
  </si>
  <si>
    <t>(1.4%:37%)@92.0:(168=15,456@M: 92)&gt;UpMark 0%</t>
  </si>
  <si>
    <t>Buy_Case</t>
  </si>
  <si>
    <t>LSn*p;N*A</t>
  </si>
  <si>
    <t>Compared with M_Yesterday</t>
  </si>
  <si>
    <t>Valid Until</t>
  </si>
  <si>
    <t>Daily Summary</t>
  </si>
  <si>
    <t>Sales F&gt;0</t>
  </si>
  <si>
    <t>Purchases F&lt;0</t>
  </si>
  <si>
    <t>Ups=(/67/56% - 75/55/42%)</t>
  </si>
  <si>
    <t>Description 8/12/25</t>
  </si>
  <si>
    <t>for MVEGLE</t>
  </si>
  <si>
    <t>First purchase should have n=1, price 0.00001 (when a stock is coming from kind of non-trade opertaion to allow a correct A calculation</t>
  </si>
  <si>
    <t>Max &amp; Min Change from Yesterday</t>
  </si>
  <si>
    <t xml:space="preserve">Saldo </t>
  </si>
  <si>
    <t>Zeros line below</t>
  </si>
  <si>
    <t>76=21,097@M: 277.5901</t>
  </si>
  <si>
    <t>(-0.1%:89%)@277.59:(76=21,097@M: 277.5901)&gt;UpMark 0%</t>
  </si>
  <si>
    <t>Ups=(//78% - 43/55/55%)</t>
  </si>
  <si>
    <t>Growing saldo, high begin cost</t>
  </si>
  <si>
    <t>Sell More</t>
  </si>
  <si>
    <t>State</t>
  </si>
  <si>
    <t>LBnxp_NA</t>
  </si>
  <si>
    <t>Re_Sale_GL_An_AMY</t>
  </si>
  <si>
    <t>nM_YestM</t>
  </si>
  <si>
    <t>0=0@M: 2.49</t>
  </si>
  <si>
    <t>1424=34,895@M: 24.505</t>
  </si>
  <si>
    <t>405=19,499@M: 48.1457</t>
  </si>
  <si>
    <t>0=0@M: 210</t>
  </si>
  <si>
    <t>2572=157,664@M: 61.3</t>
  </si>
  <si>
    <t>1820=29,317@M: 16.108</t>
  </si>
  <si>
    <t>(0.2%:7%)@2.49:(0=0@M: 2.49)&gt;UpMark 0%</t>
  </si>
  <si>
    <t>(2.7%:42%)@24.51:(1424=34,895@M: 24.505)&gt;UpMark 0%</t>
  </si>
  <si>
    <t>(10.6%:187%)@48.15:(405=19,499@M: 48.1457)&gt;UpMark 0%</t>
  </si>
  <si>
    <t>(0.0%:64%)@210.0:(0=0@M: 210)&gt;UpMark 0%</t>
  </si>
  <si>
    <t>(0.0%:123%)@61.30:(2572=157,664@M: 61.3)&gt;UpMark 0%</t>
  </si>
  <si>
    <t>(0.2%:75%)@16.11:(1820=29,317@M: 16.108)&gt;UpMark 0%</t>
  </si>
  <si>
    <t>Buy More</t>
  </si>
  <si>
    <t>nb*(M-Lsp)</t>
  </si>
  <si>
    <t>nb*(M-A)</t>
  </si>
  <si>
    <t>3449=24,660@M: 7.15</t>
  </si>
  <si>
    <t>(3.6%:113%)@7.15:(3449=24,660@M: 7.15)&gt;UpMark 0%</t>
  </si>
  <si>
    <t>Description 12/10/25</t>
  </si>
  <si>
    <t>/50/%</t>
  </si>
  <si>
    <t>45/43/40%</t>
  </si>
  <si>
    <t>/25/%</t>
  </si>
  <si>
    <t>50/42/37%</t>
  </si>
  <si>
    <t>//56%</t>
  </si>
  <si>
    <t>50/27/35%</t>
  </si>
  <si>
    <t>25/36/42%</t>
  </si>
  <si>
    <t>32/33/40%</t>
  </si>
  <si>
    <t>/89/%</t>
  </si>
  <si>
    <t>58/41/38%</t>
  </si>
  <si>
    <t>/67/%</t>
  </si>
  <si>
    <t>31/42/43%</t>
  </si>
  <si>
    <t>40/49/43%</t>
  </si>
  <si>
    <t>/100/%</t>
  </si>
  <si>
    <t>100/33/49%</t>
  </si>
  <si>
    <t>/29/94%</t>
  </si>
  <si>
    <t>52/43/42%</t>
  </si>
  <si>
    <t>//%</t>
  </si>
  <si>
    <t>43/20/24%</t>
  </si>
  <si>
    <t>29/33/37%</t>
  </si>
  <si>
    <t>SALDO:Open</t>
  </si>
  <si>
    <t>/33/%</t>
  </si>
  <si>
    <t>50/53/44%</t>
  </si>
  <si>
    <t>/67/45%</t>
  </si>
  <si>
    <t>25/31/29%</t>
  </si>
  <si>
    <t>/50/50%</t>
  </si>
  <si>
    <t>11/32/39%</t>
  </si>
  <si>
    <t>17/52/39%</t>
  </si>
  <si>
    <t>TabFIFO updated: 2025-12-11 22:06:41</t>
  </si>
  <si>
    <t>/100/80%</t>
  </si>
  <si>
    <t>100/57/55%</t>
  </si>
  <si>
    <t>0=0@M: 15.24</t>
  </si>
  <si>
    <t>0=0@M: 62.215</t>
  </si>
  <si>
    <t>0=0@M: 94.09</t>
  </si>
  <si>
    <t>(0.8%:114%)@15.24:(0=0@M: 15.24)&gt;UpMark /89/%</t>
  </si>
  <si>
    <t>(1.6%:105%)@62.22:(0=0@M: 62.215)&gt;UpMark 0%</t>
  </si>
  <si>
    <t>(1.5%:93%)@94.09:(0=0@M: 94.09)&gt;UpMark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</si>
</sst>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7">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87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0" fontId="0" fillId="0" borderId="3" xfId="0" applyBorder="1"/>
    <xf numFmtId="38" fontId="0" fillId="0" borderId="13" xfId="0" applyNumberFormat="1" applyBorder="1"/>
    <xf numFmtId="177" fontId="0" fillId="0" borderId="13" xfId="2" applyNumberFormat="1" applyFont="1" applyBorder="1"/>
    <xf numFmtId="38" fontId="0" fillId="0" borderId="114" xfId="0" applyNumberFormat="1" applyBorder="1"/>
    <xf numFmtId="38" fontId="61" fillId="0" borderId="114"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1" xfId="1" applyNumberFormat="1" applyFont="1" applyFill="1" applyBorder="1"/>
    <xf numFmtId="170" fontId="0" fillId="33" borderId="8" xfId="0" applyNumberFormat="1" applyFill="1" applyBorder="1"/>
    <xf numFmtId="41" fontId="0" fillId="33" borderId="122" xfId="1" applyNumberFormat="1" applyFont="1" applyFill="1" applyBorder="1"/>
    <xf numFmtId="164" fontId="0" fillId="33" borderId="120"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3"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4"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25" xfId="0" applyFont="1" applyFill="1" applyBorder="1" applyAlignment="1">
      <alignment horizontal="center"/>
    </xf>
    <xf numFmtId="0" fontId="65" fillId="84" borderId="126" xfId="0" applyFont="1" applyFill="1" applyBorder="1" applyAlignment="1">
      <alignment horizontal="center"/>
    </xf>
    <xf numFmtId="0" fontId="65" fillId="84" borderId="126" xfId="0" applyFont="1" applyFill="1" applyBorder="1"/>
    <xf numFmtId="0" fontId="35" fillId="6" borderId="126" xfId="0" applyFont="1" applyFill="1" applyBorder="1" applyAlignment="1">
      <alignment horizontal="center"/>
    </xf>
    <xf numFmtId="184" fontId="9" fillId="13" borderId="127" xfId="1" applyNumberFormat="1" applyFont="1" applyFill="1" applyBorder="1" applyAlignment="1">
      <alignment horizontal="center"/>
    </xf>
    <xf numFmtId="0" fontId="9" fillId="22" borderId="127" xfId="0" applyFont="1" applyFill="1" applyBorder="1"/>
    <xf numFmtId="172" fontId="0" fillId="72" borderId="126" xfId="2" applyNumberFormat="1" applyFont="1" applyFill="1" applyBorder="1"/>
    <xf numFmtId="0" fontId="0" fillId="72" borderId="126" xfId="0" applyFill="1" applyBorder="1"/>
    <xf numFmtId="14" fontId="0" fillId="72" borderId="126" xfId="0" applyNumberFormat="1" applyFill="1" applyBorder="1"/>
    <xf numFmtId="38" fontId="0" fillId="72" borderId="126" xfId="0" applyNumberFormat="1" applyFill="1" applyBorder="1"/>
    <xf numFmtId="9" fontId="0" fillId="72" borderId="126" xfId="0" applyNumberFormat="1" applyFill="1" applyBorder="1"/>
    <xf numFmtId="40" fontId="0" fillId="72" borderId="126"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72" fontId="0" fillId="72" borderId="124" xfId="2" applyNumberFormat="1" applyFont="1" applyFill="1" applyBorder="1"/>
    <xf numFmtId="0" fontId="0" fillId="72" borderId="124" xfId="0" applyFill="1" applyBorder="1"/>
    <xf numFmtId="14" fontId="0" fillId="0" borderId="124" xfId="0" applyNumberFormat="1" applyBorder="1"/>
    <xf numFmtId="38" fontId="0" fillId="0" borderId="124" xfId="0" applyNumberFormat="1" applyBorder="1"/>
    <xf numFmtId="9" fontId="0" fillId="0" borderId="124" xfId="0" applyNumberFormat="1" applyBorder="1"/>
    <xf numFmtId="40" fontId="0" fillId="0" borderId="124" xfId="0" applyNumberFormat="1" applyBorder="1"/>
    <xf numFmtId="14" fontId="0" fillId="27" borderId="0" xfId="0" applyNumberFormat="1" applyFill="1"/>
    <xf numFmtId="0" fontId="65" fillId="0" borderId="126" xfId="0" applyFont="1" applyBorder="1" applyAlignment="1">
      <alignment horizontal="center"/>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0" fontId="2"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29" xfId="1" applyNumberFormat="1" applyFont="1" applyFill="1" applyBorder="1" applyAlignment="1">
      <alignment horizontal="center"/>
    </xf>
    <xf numFmtId="38" fontId="31" fillId="20" borderId="129" xfId="1" applyNumberFormat="1" applyFont="1" applyFill="1" applyBorder="1" applyAlignment="1">
      <alignment horizontal="right"/>
    </xf>
    <xf numFmtId="38" fontId="31" fillId="20" borderId="128" xfId="1" applyNumberFormat="1" applyFont="1" applyFill="1" applyBorder="1" applyAlignment="1">
      <alignment horizontal="center"/>
    </xf>
    <xf numFmtId="38" fontId="31" fillId="20" borderId="128"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20" xfId="1" applyNumberFormat="1" applyFont="1" applyFill="1" applyBorder="1" applyAlignment="1">
      <alignment horizontal="center"/>
    </xf>
    <xf numFmtId="0" fontId="0" fillId="20" borderId="9" xfId="0" applyFill="1" applyBorder="1"/>
    <xf numFmtId="38" fontId="31" fillId="20" borderId="120"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6" xfId="5" applyFont="1" applyBorder="1" applyAlignment="1">
      <alignment horizontal="center"/>
    </xf>
    <xf numFmtId="0" fontId="137" fillId="4" borderId="137" xfId="5" applyNumberFormat="1" applyFont="1" applyBorder="1" applyAlignment="1">
      <alignment horizontal="center"/>
    </xf>
    <xf numFmtId="0" fontId="193" fillId="36" borderId="138"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8"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8"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9"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40"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1" xfId="1" applyNumberFormat="1" applyFont="1" applyFill="1" applyBorder="1" applyAlignment="1">
      <alignment horizontal="center" vertical="center"/>
    </xf>
    <xf numFmtId="40" fontId="172" fillId="45" borderId="141"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8" xfId="1" applyNumberFormat="1" applyFont="1" applyFill="1" applyBorder="1" applyAlignment="1">
      <alignment horizontal="center" vertical="center"/>
    </xf>
    <xf numFmtId="38" fontId="173" fillId="27" borderId="142" xfId="1" applyNumberFormat="1" applyFont="1" applyFill="1" applyBorder="1" applyAlignment="1">
      <alignment horizontal="center" vertical="center"/>
    </xf>
    <xf numFmtId="38" fontId="179" fillId="27" borderId="142"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1" xfId="1" applyNumberFormat="1" applyFont="1" applyFill="1" applyBorder="1" applyAlignment="1">
      <alignment horizontal="left"/>
    </xf>
    <xf numFmtId="9" fontId="35" fillId="50" borderId="141" xfId="2" applyFont="1" applyFill="1" applyBorder="1" applyAlignment="1">
      <alignment horizontal="center" vertical="center"/>
    </xf>
    <xf numFmtId="9" fontId="65" fillId="63" borderId="141" xfId="2" applyFont="1" applyFill="1" applyBorder="1" applyAlignment="1">
      <alignment horizontal="center" vertical="center"/>
    </xf>
    <xf numFmtId="38" fontId="65" fillId="63" borderId="141"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1" xfId="1" applyNumberFormat="1" applyFont="1" applyFill="1" applyBorder="1" applyAlignment="1">
      <alignment horizontal="left"/>
    </xf>
    <xf numFmtId="167" fontId="65" fillId="62" borderId="141" xfId="1" applyNumberFormat="1" applyFont="1" applyFill="1" applyBorder="1" applyAlignment="1">
      <alignment horizontal="center"/>
    </xf>
    <xf numFmtId="167" fontId="186" fillId="33" borderId="141"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8"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8"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8"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3" xfId="0" applyFont="1" applyFill="1" applyBorder="1" applyAlignment="1">
      <alignment horizontal="center"/>
    </xf>
    <xf numFmtId="0" fontId="1" fillId="18" borderId="138" xfId="0" applyFont="1" applyFill="1" applyBorder="1"/>
    <xf numFmtId="40" fontId="1" fillId="18" borderId="21" xfId="1" applyNumberFormat="1" applyFont="1" applyFill="1" applyBorder="1" applyAlignment="1">
      <alignment horizontal="center"/>
    </xf>
    <xf numFmtId="179" fontId="1" fillId="18" borderId="138"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8" xfId="2" applyNumberFormat="1" applyFont="1" applyFill="1" applyBorder="1" applyAlignment="1">
      <alignment horizontal="center"/>
    </xf>
    <xf numFmtId="9" fontId="0" fillId="23" borderId="138"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8"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4" xfId="1" applyNumberFormat="1" applyFont="1" applyFill="1" applyBorder="1" applyAlignment="1">
      <alignment horizontal="right"/>
    </xf>
    <xf numFmtId="38" fontId="177" fillId="39" borderId="144" xfId="1" applyNumberFormat="1" applyFont="1" applyFill="1" applyBorder="1" applyAlignment="1">
      <alignment horizontal="right"/>
    </xf>
    <xf numFmtId="40" fontId="31" fillId="82" borderId="144"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1" xfId="1" applyNumberFormat="1" applyFont="1" applyFill="1" applyBorder="1" applyAlignment="1">
      <alignment horizontal="center"/>
    </xf>
    <xf numFmtId="40" fontId="31" fillId="82" borderId="141" xfId="0" applyNumberFormat="1" applyFont="1" applyFill="1" applyBorder="1" applyAlignment="1">
      <alignment horizontal="right"/>
    </xf>
    <xf numFmtId="38" fontId="137" fillId="27" borderId="142" xfId="1" applyNumberFormat="1" applyFont="1" applyFill="1" applyBorder="1" applyAlignment="1">
      <alignment horizontal="right"/>
    </xf>
    <xf numFmtId="38" fontId="178" fillId="49" borderId="142" xfId="1" applyNumberFormat="1" applyFont="1" applyFill="1" applyBorder="1" applyAlignment="1">
      <alignment horizontal="right"/>
    </xf>
    <xf numFmtId="40" fontId="31" fillId="82" borderId="145" xfId="0" applyNumberFormat="1" applyFont="1" applyFill="1" applyBorder="1" applyAlignment="1">
      <alignment horizontal="right"/>
    </xf>
    <xf numFmtId="4" fontId="137" fillId="36" borderId="146" xfId="1" applyNumberFormat="1" applyFont="1" applyFill="1" applyBorder="1" applyAlignment="1">
      <alignment horizontal="right"/>
    </xf>
    <xf numFmtId="38"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vertical="center"/>
    </xf>
    <xf numFmtId="38" fontId="31" fillId="36" borderId="146" xfId="2" applyNumberFormat="1" applyFont="1" applyFill="1" applyBorder="1" applyAlignment="1">
      <alignment horizontal="right"/>
    </xf>
    <xf numFmtId="9" fontId="184" fillId="36" borderId="146"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xf>
    <xf numFmtId="177" fontId="31" fillId="36" borderId="141" xfId="2" applyNumberFormat="1" applyFont="1" applyFill="1" applyBorder="1" applyAlignment="1">
      <alignment horizontal="right"/>
    </xf>
    <xf numFmtId="167" fontId="1" fillId="18" borderId="146"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8"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8" xfId="0" applyNumberFormat="1" applyFont="1" applyFill="1" applyBorder="1" applyAlignment="1">
      <alignment horizontal="center" vertical="center"/>
    </xf>
    <xf numFmtId="172" fontId="1" fillId="20" borderId="138" xfId="2" applyNumberFormat="1" applyFont="1" applyFill="1" applyBorder="1" applyAlignment="1">
      <alignment horizontal="center"/>
    </xf>
    <xf numFmtId="38" fontId="1" fillId="20" borderId="138" xfId="2" applyNumberFormat="1" applyFont="1" applyFill="1" applyBorder="1" applyAlignment="1">
      <alignment horizontal="center"/>
    </xf>
    <xf numFmtId="43" fontId="1" fillId="33" borderId="138" xfId="1" applyFont="1" applyFill="1" applyBorder="1" applyAlignment="1">
      <alignment horizontal="center"/>
    </xf>
    <xf numFmtId="172" fontId="1" fillId="33" borderId="138" xfId="2" applyNumberFormat="1" applyFont="1" applyFill="1" applyBorder="1" applyAlignment="1">
      <alignment horizontal="center"/>
    </xf>
    <xf numFmtId="1" fontId="1" fillId="33" borderId="138"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8" xfId="0" applyFont="1" applyBorder="1"/>
    <xf numFmtId="40" fontId="1" fillId="0" borderId="21" xfId="1" applyNumberFormat="1" applyFont="1" applyBorder="1" applyAlignment="1">
      <alignment horizontal="center"/>
    </xf>
    <xf numFmtId="179" fontId="1" fillId="0" borderId="138"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8" xfId="2" applyNumberFormat="1" applyFont="1" applyBorder="1" applyAlignment="1">
      <alignment horizontal="center"/>
    </xf>
    <xf numFmtId="38" fontId="74" fillId="0" borderId="138" xfId="0" applyNumberFormat="1" applyFont="1" applyBorder="1" applyAlignment="1">
      <alignment horizontal="center"/>
    </xf>
    <xf numFmtId="40" fontId="65" fillId="45" borderId="138" xfId="1" applyNumberFormat="1" applyFont="1" applyFill="1" applyBorder="1" applyAlignment="1">
      <alignment horizontal="center"/>
    </xf>
    <xf numFmtId="38" fontId="74"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 fontId="137" fillId="0" borderId="141" xfId="1" applyNumberFormat="1" applyFont="1" applyBorder="1" applyAlignment="1">
      <alignment horizontal="right"/>
    </xf>
    <xf numFmtId="38" fontId="31" fillId="0" borderId="141" xfId="1" applyNumberFormat="1" applyFont="1" applyBorder="1" applyAlignment="1">
      <alignment horizontal="right"/>
    </xf>
    <xf numFmtId="177" fontId="31" fillId="36" borderId="141" xfId="2" applyNumberFormat="1" applyFont="1" applyFill="1" applyBorder="1" applyAlignment="1">
      <alignment horizontal="center" vertical="center"/>
    </xf>
    <xf numFmtId="38" fontId="31" fillId="36" borderId="141" xfId="2" applyNumberFormat="1" applyFont="1" applyFill="1" applyBorder="1" applyAlignment="1">
      <alignment horizontal="right"/>
    </xf>
    <xf numFmtId="9" fontId="184" fillId="36" borderId="141"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1" xfId="1" applyNumberFormat="1" applyFont="1" applyFill="1" applyBorder="1" applyAlignment="1">
      <alignment horizontal="right"/>
    </xf>
    <xf numFmtId="40" fontId="31" fillId="36" borderId="141" xfId="1" applyNumberFormat="1" applyFont="1" applyFill="1" applyBorder="1" applyAlignment="1">
      <alignment horizontal="right"/>
    </xf>
    <xf numFmtId="177" fontId="31" fillId="36" borderId="141" xfId="2" applyNumberFormat="1" applyFont="1" applyFill="1" applyBorder="1" applyAlignment="1">
      <alignment horizontal="center"/>
    </xf>
    <xf numFmtId="167" fontId="1" fillId="0" borderId="141"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8" xfId="2" applyNumberFormat="1" applyFont="1" applyFill="1" applyBorder="1" applyAlignment="1">
      <alignment horizontal="center"/>
    </xf>
    <xf numFmtId="172" fontId="0" fillId="0" borderId="138"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8"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8" xfId="1" applyNumberFormat="1" applyFont="1" applyFill="1" applyBorder="1" applyAlignment="1">
      <alignment horizontal="center" vertical="center"/>
    </xf>
    <xf numFmtId="4" fontId="137" fillId="36" borderId="141" xfId="1" applyNumberFormat="1" applyFont="1" applyFill="1" applyBorder="1" applyAlignment="1">
      <alignment horizontal="right"/>
    </xf>
    <xf numFmtId="9" fontId="184" fillId="36" borderId="141"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1"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8"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8" xfId="0" applyNumberFormat="1" applyFont="1" applyFill="1" applyBorder="1" applyAlignment="1">
      <alignment horizontal="right"/>
    </xf>
    <xf numFmtId="38" fontId="31" fillId="82" borderId="138"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4" xfId="1" applyNumberFormat="1" applyFont="1" applyFill="1" applyBorder="1" applyAlignment="1">
      <alignment horizontal="right"/>
    </xf>
    <xf numFmtId="40" fontId="31" fillId="82" borderId="140" xfId="0" applyNumberFormat="1" applyFont="1" applyFill="1" applyBorder="1" applyAlignment="1">
      <alignment horizontal="right"/>
    </xf>
    <xf numFmtId="4" fontId="137" fillId="18" borderId="141" xfId="1" applyNumberFormat="1" applyFont="1" applyFill="1" applyBorder="1" applyAlignment="1">
      <alignment horizontal="right"/>
    </xf>
    <xf numFmtId="38" fontId="31" fillId="18" borderId="141" xfId="1" applyNumberFormat="1" applyFont="1" applyFill="1" applyBorder="1" applyAlignment="1">
      <alignment horizontal="right"/>
    </xf>
    <xf numFmtId="172" fontId="0" fillId="18" borderId="21" xfId="2" applyNumberFormat="1" applyFont="1" applyFill="1" applyBorder="1"/>
    <xf numFmtId="38" fontId="189"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172" fontId="177" fillId="39" borderId="140"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7" xfId="1" applyNumberFormat="1" applyFont="1" applyFill="1" applyBorder="1" applyAlignment="1">
      <alignment horizontal="right"/>
    </xf>
    <xf numFmtId="40" fontId="31" fillId="82" borderId="148" xfId="0" applyNumberFormat="1" applyFont="1" applyFill="1" applyBorder="1" applyAlignment="1">
      <alignment horizontal="right"/>
    </xf>
    <xf numFmtId="38" fontId="177" fillId="39" borderId="149"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1" xfId="2" applyFont="1" applyFill="1" applyBorder="1" applyAlignment="1">
      <alignment horizontal="center"/>
    </xf>
    <xf numFmtId="172" fontId="177" fillId="39" borderId="141"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8" xfId="2" applyNumberFormat="1" applyFont="1" applyBorder="1" applyAlignment="1">
      <alignment horizontal="center"/>
    </xf>
    <xf numFmtId="9" fontId="78" fillId="23" borderId="138"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8"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1" xfId="1" applyNumberFormat="1" applyFont="1" applyFill="1" applyBorder="1" applyAlignment="1">
      <alignment horizontal="right"/>
    </xf>
    <xf numFmtId="172" fontId="1" fillId="0" borderId="138" xfId="2" applyNumberFormat="1" applyFont="1" applyBorder="1" applyAlignment="1">
      <alignment horizontal="center"/>
    </xf>
    <xf numFmtId="9" fontId="31" fillId="20" borderId="138"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8" xfId="2" applyFont="1" applyFill="1" applyBorder="1" applyAlignment="1">
      <alignment horizontal="center" vertical="center"/>
    </xf>
    <xf numFmtId="40" fontId="182" fillId="82" borderId="141"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1" xfId="2" applyFont="1" applyFill="1" applyBorder="1" applyAlignment="1">
      <alignment horizontal="center" vertical="center"/>
    </xf>
    <xf numFmtId="9" fontId="31" fillId="36" borderId="141"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9" xfId="1" applyNumberFormat="1" applyFont="1" applyFill="1" applyBorder="1" applyAlignment="1">
      <alignment horizontal="center" vertical="center"/>
    </xf>
    <xf numFmtId="172" fontId="0" fillId="0" borderId="141"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4" xfId="0" applyFont="1" applyBorder="1"/>
    <xf numFmtId="0" fontId="160" fillId="0" borderId="131" xfId="0" applyFont="1" applyBorder="1"/>
    <xf numFmtId="0" fontId="160" fillId="0" borderId="132" xfId="0" applyFont="1" applyBorder="1" applyAlignment="1">
      <alignment horizontal="center"/>
    </xf>
    <xf numFmtId="0" fontId="189" fillId="0" borderId="131" xfId="0" applyFont="1" applyBorder="1" applyAlignment="1">
      <alignment horizontal="center"/>
    </xf>
    <xf numFmtId="0" fontId="191" fillId="0" borderId="131" xfId="0" applyFont="1" applyBorder="1" applyAlignment="1">
      <alignment horizontal="center"/>
    </xf>
    <xf numFmtId="0" fontId="160" fillId="0" borderId="66" xfId="0" applyFont="1" applyBorder="1"/>
    <xf numFmtId="0" fontId="160" fillId="0" borderId="132" xfId="0" applyFont="1" applyBorder="1"/>
    <xf numFmtId="0" fontId="160" fillId="0" borderId="131" xfId="0" applyFont="1" applyBorder="1" applyAlignment="1">
      <alignment horizontal="center"/>
    </xf>
    <xf numFmtId="0" fontId="190" fillId="0" borderId="131" xfId="0" applyFont="1" applyBorder="1" applyAlignment="1">
      <alignment horizontal="center"/>
    </xf>
    <xf numFmtId="0" fontId="160" fillId="0" borderId="131" xfId="0" applyFont="1" applyBorder="1" applyAlignment="1">
      <alignment horizontal="left" vertical="center"/>
    </xf>
    <xf numFmtId="0" fontId="192" fillId="28" borderId="131" xfId="0" applyFont="1" applyFill="1" applyBorder="1" applyAlignment="1">
      <alignment horizontal="center" vertical="center"/>
    </xf>
    <xf numFmtId="0" fontId="31" fillId="0" borderId="131" xfId="0" applyFont="1" applyBorder="1" applyAlignment="1">
      <alignment horizontal="left" vertical="center"/>
    </xf>
    <xf numFmtId="40" fontId="31" fillId="0" borderId="131" xfId="0" applyNumberFormat="1" applyFont="1" applyBorder="1" applyAlignment="1">
      <alignment horizontal="center" vertical="center"/>
    </xf>
    <xf numFmtId="177" fontId="160" fillId="0" borderId="131" xfId="0" applyNumberFormat="1" applyFont="1" applyBorder="1" applyAlignment="1">
      <alignment horizontal="center"/>
    </xf>
    <xf numFmtId="38" fontId="31" fillId="0" borderId="131" xfId="0" applyNumberFormat="1" applyFont="1" applyBorder="1" applyAlignment="1">
      <alignment horizontal="center"/>
    </xf>
    <xf numFmtId="9" fontId="128" fillId="23" borderId="132" xfId="0" applyNumberFormat="1" applyFont="1" applyFill="1" applyBorder="1" applyAlignment="1">
      <alignment horizontal="center" vertical="center"/>
    </xf>
    <xf numFmtId="38" fontId="74" fillId="0" borderId="130" xfId="0" applyNumberFormat="1" applyFont="1" applyBorder="1" applyAlignment="1">
      <alignment horizontal="center" vertical="center"/>
    </xf>
    <xf numFmtId="0" fontId="137" fillId="23" borderId="130" xfId="0" applyFont="1" applyFill="1" applyBorder="1" applyAlignment="1">
      <alignment horizontal="center" vertical="center"/>
    </xf>
    <xf numFmtId="164" fontId="130" fillId="65" borderId="133" xfId="0" applyNumberFormat="1" applyFont="1" applyFill="1" applyBorder="1" applyAlignment="1">
      <alignment horizontal="center" vertical="center"/>
    </xf>
    <xf numFmtId="0" fontId="31" fillId="0" borderId="131" xfId="0" applyFont="1" applyBorder="1" applyAlignment="1">
      <alignment horizontal="center"/>
    </xf>
    <xf numFmtId="177" fontId="74" fillId="34" borderId="131" xfId="0" applyNumberFormat="1" applyFont="1" applyFill="1" applyBorder="1"/>
    <xf numFmtId="0" fontId="130" fillId="62" borderId="133" xfId="0" applyFont="1" applyFill="1" applyBorder="1" applyAlignment="1">
      <alignment horizontal="center" vertical="center"/>
    </xf>
    <xf numFmtId="0" fontId="130" fillId="57" borderId="133"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50" xfId="0" applyNumberFormat="1" applyFont="1" applyFill="1" applyBorder="1" applyAlignment="1">
      <alignment horizontal="center"/>
    </xf>
    <xf numFmtId="40" fontId="31" fillId="39" borderId="132"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1" xfId="0" applyNumberFormat="1" applyFont="1" applyFill="1" applyBorder="1" applyAlignment="1">
      <alignment horizontal="center" vertical="center"/>
    </xf>
    <xf numFmtId="40" fontId="128" fillId="85" borderId="151" xfId="0" applyNumberFormat="1" applyFont="1" applyFill="1" applyBorder="1" applyAlignment="1">
      <alignment horizontal="center"/>
    </xf>
    <xf numFmtId="0" fontId="182" fillId="82" borderId="130" xfId="0" applyFont="1" applyFill="1" applyBorder="1" applyAlignment="1">
      <alignment horizontal="right"/>
    </xf>
    <xf numFmtId="40" fontId="65" fillId="27" borderId="151" xfId="0" applyNumberFormat="1" applyFont="1" applyFill="1" applyBorder="1" applyAlignment="1">
      <alignment horizontal="right"/>
    </xf>
    <xf numFmtId="38" fontId="183" fillId="27" borderId="132" xfId="0" applyNumberFormat="1" applyFont="1" applyFill="1" applyBorder="1" applyAlignment="1">
      <alignment horizontal="center"/>
    </xf>
    <xf numFmtId="38" fontId="137" fillId="27" borderId="151" xfId="0" applyNumberFormat="1" applyFont="1" applyFill="1" applyBorder="1" applyAlignment="1">
      <alignment horizontal="right"/>
    </xf>
    <xf numFmtId="38" fontId="31" fillId="62" borderId="151" xfId="0" applyNumberFormat="1" applyFont="1" applyFill="1" applyBorder="1" applyAlignment="1">
      <alignment horizontal="right"/>
    </xf>
    <xf numFmtId="38" fontId="137" fillId="27" borderId="132" xfId="0" applyNumberFormat="1" applyFont="1" applyFill="1" applyBorder="1" applyAlignment="1">
      <alignment horizontal="right"/>
    </xf>
    <xf numFmtId="4" fontId="137" fillId="62" borderId="151" xfId="0" applyNumberFormat="1" applyFont="1" applyFill="1" applyBorder="1" applyAlignment="1">
      <alignment horizontal="right"/>
    </xf>
    <xf numFmtId="38" fontId="65" fillId="62" borderId="132" xfId="0" applyNumberFormat="1" applyFont="1" applyFill="1" applyBorder="1" applyAlignment="1">
      <alignment horizontal="right"/>
    </xf>
    <xf numFmtId="38" fontId="31" fillId="62" borderId="132" xfId="0" applyNumberFormat="1" applyFont="1" applyFill="1" applyBorder="1" applyAlignment="1">
      <alignment horizontal="right"/>
    </xf>
    <xf numFmtId="38" fontId="31" fillId="62" borderId="132" xfId="0" applyNumberFormat="1" applyFont="1" applyFill="1" applyBorder="1" applyAlignment="1">
      <alignment horizontal="center"/>
    </xf>
    <xf numFmtId="9" fontId="184" fillId="62" borderId="132" xfId="0" applyNumberFormat="1" applyFont="1" applyFill="1" applyBorder="1" applyAlignment="1">
      <alignment horizontal="center" vertical="center"/>
    </xf>
    <xf numFmtId="40" fontId="31" fillId="62" borderId="132" xfId="0" applyNumberFormat="1" applyFont="1" applyFill="1" applyBorder="1" applyAlignment="1">
      <alignment horizontal="right"/>
    </xf>
    <xf numFmtId="9" fontId="65" fillId="62" borderId="152" xfId="0" applyNumberFormat="1" applyFont="1" applyFill="1" applyBorder="1" applyAlignment="1">
      <alignment horizontal="center" vertical="center"/>
    </xf>
    <xf numFmtId="9" fontId="65" fillId="62" borderId="132" xfId="0" applyNumberFormat="1" applyFont="1" applyFill="1" applyBorder="1" applyAlignment="1">
      <alignment horizontal="center"/>
    </xf>
    <xf numFmtId="0" fontId="160" fillId="0" borderId="132" xfId="0" applyFont="1" applyBorder="1" applyAlignment="1">
      <alignment horizontal="left" vertical="center"/>
    </xf>
    <xf numFmtId="0" fontId="160" fillId="0" borderId="131" xfId="0" applyFont="1" applyBorder="1" applyAlignment="1">
      <alignment horizontal="center" vertical="center"/>
    </xf>
    <xf numFmtId="179" fontId="160" fillId="0" borderId="132" xfId="0" applyNumberFormat="1" applyFont="1" applyBorder="1" applyAlignment="1">
      <alignment horizontal="center"/>
    </xf>
    <xf numFmtId="38" fontId="31" fillId="0" borderId="131" xfId="0" applyNumberFormat="1" applyFont="1" applyBorder="1" applyAlignment="1">
      <alignment horizontal="right"/>
    </xf>
    <xf numFmtId="172" fontId="65" fillId="57" borderId="130" xfId="0" applyNumberFormat="1" applyFont="1" applyFill="1" applyBorder="1" applyAlignment="1">
      <alignment horizontal="center"/>
    </xf>
    <xf numFmtId="0" fontId="31" fillId="36" borderId="131" xfId="0" applyFont="1" applyFill="1" applyBorder="1" applyAlignment="1">
      <alignment horizontal="center"/>
    </xf>
    <xf numFmtId="0" fontId="65" fillId="38" borderId="131" xfId="0" applyFont="1" applyFill="1" applyBorder="1" applyAlignment="1">
      <alignment horizontal="center" vertical="center"/>
    </xf>
    <xf numFmtId="0" fontId="160" fillId="20" borderId="131" xfId="0" applyFont="1" applyFill="1" applyBorder="1" applyAlignment="1">
      <alignment horizontal="center"/>
    </xf>
    <xf numFmtId="0" fontId="31" fillId="0" borderId="132" xfId="0" applyFont="1" applyBorder="1" applyAlignment="1">
      <alignment horizontal="center" vertical="center"/>
    </xf>
    <xf numFmtId="172" fontId="31" fillId="0" borderId="131" xfId="0" applyNumberFormat="1" applyFont="1" applyBorder="1"/>
    <xf numFmtId="0" fontId="31" fillId="0" borderId="131" xfId="0" applyFont="1" applyBorder="1"/>
    <xf numFmtId="0" fontId="31" fillId="33" borderId="131" xfId="0" applyFont="1" applyFill="1" applyBorder="1"/>
    <xf numFmtId="3" fontId="31" fillId="0" borderId="131" xfId="0" applyNumberFormat="1" applyFont="1" applyBorder="1"/>
    <xf numFmtId="0" fontId="31" fillId="0" borderId="135"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5" xfId="0" applyNumberFormat="1" applyFont="1" applyFill="1" applyBorder="1" applyAlignment="1">
      <alignment horizontal="center" vertical="center" wrapText="1"/>
    </xf>
    <xf numFmtId="49" fontId="90" fillId="39" borderId="116" xfId="0" applyNumberFormat="1" applyFont="1" applyFill="1" applyBorder="1" applyAlignment="1">
      <alignment horizontal="center" vertical="center" wrapText="1"/>
    </xf>
    <xf numFmtId="49" fontId="174" fillId="7" borderId="117" xfId="0" applyNumberFormat="1" applyFont="1" applyFill="1" applyBorder="1" applyAlignment="1">
      <alignment horizontal="center" vertical="center" wrapText="1"/>
    </xf>
    <xf numFmtId="49" fontId="174" fillId="7" borderId="115"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49" fontId="108" fillId="33" borderId="11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92">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91"/>
      <tableStyleElement type="headerRow" dxfId="2990"/>
      <tableStyleElement type="totalRow" dxfId="2989"/>
      <tableStyleElement type="firstColumn" dxfId="2988"/>
      <tableStyleElement type="lastColumn" dxfId="2987"/>
      <tableStyleElement type="firstRowStripe" dxfId="2986"/>
      <tableStyleElement type="firstColumnStripe" dxfId="2985"/>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NEM</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ID!$U$20:$U$42</c:f>
              <c:numCache>
                <c:formatCode>#,##0.00</c:formatCode>
                <c:ptCount val="23"/>
                <c:pt idx="0">
                  <c:v>19.104759999999999</c:v>
                </c:pt>
                <c:pt idx="1">
                  <c:v>37.18</c:v>
                </c:pt>
                <c:pt idx="2">
                  <c:v>40.7333</c:v>
                </c:pt>
                <c:pt idx="3">
                  <c:v>40.742199999999997</c:v>
                </c:pt>
                <c:pt idx="4">
                  <c:v>41.24</c:v>
                </c:pt>
                <c:pt idx="5">
                  <c:v>42.017000000000003</c:v>
                </c:pt>
                <c:pt idx="6">
                  <c:v>42.56</c:v>
                </c:pt>
                <c:pt idx="7">
                  <c:v>43.7</c:v>
                </c:pt>
                <c:pt idx="8">
                  <c:v>45.34</c:v>
                </c:pt>
                <c:pt idx="9">
                  <c:v>45.627899999999997</c:v>
                </c:pt>
                <c:pt idx="10">
                  <c:v>49.98</c:v>
                </c:pt>
                <c:pt idx="11">
                  <c:v>50.63</c:v>
                </c:pt>
                <c:pt idx="12">
                  <c:v>51.36</c:v>
                </c:pt>
                <c:pt idx="13">
                  <c:v>51.829875000000001</c:v>
                </c:pt>
                <c:pt idx="14">
                  <c:v>55.97</c:v>
                </c:pt>
                <c:pt idx="15">
                  <c:v>67.009778907882335</c:v>
                </c:pt>
                <c:pt idx="16">
                  <c:v>78.88</c:v>
                </c:pt>
                <c:pt idx="17">
                  <c:v>79.599000000000004</c:v>
                </c:pt>
                <c:pt idx="18" formatCode="General">
                  <c:v>79.88</c:v>
                </c:pt>
                <c:pt idx="19" formatCode="General">
                  <c:v>80.88</c:v>
                </c:pt>
                <c:pt idx="20" formatCode="General">
                  <c:v>83.501670000000004</c:v>
                </c:pt>
                <c:pt idx="21" formatCode="General">
                  <c:v>86.41</c:v>
                </c:pt>
                <c:pt idx="22" formatCode="General">
                  <c:v>99.43</c:v>
                </c:pt>
              </c:numCache>
            </c:numRef>
          </c:cat>
          <c:val>
            <c:numRef>
              <c:f>ID!$V$20:$V$42</c:f>
              <c:numCache>
                <c:formatCode>#,##0</c:formatCode>
                <c:ptCount val="23"/>
                <c:pt idx="0">
                  <c:v>0</c:v>
                </c:pt>
                <c:pt idx="1">
                  <c:v>0</c:v>
                </c:pt>
                <c:pt idx="2">
                  <c:v>0</c:v>
                </c:pt>
                <c:pt idx="3">
                  <c:v>0</c:v>
                </c:pt>
                <c:pt idx="4">
                  <c:v>0</c:v>
                </c:pt>
                <c:pt idx="5">
                  <c:v>0</c:v>
                </c:pt>
                <c:pt idx="6">
                  <c:v>0</c:v>
                </c:pt>
                <c:pt idx="7">
                  <c:v>2000</c:v>
                </c:pt>
                <c:pt idx="8">
                  <c:v>0</c:v>
                </c:pt>
                <c:pt idx="9">
                  <c:v>0</c:v>
                </c:pt>
                <c:pt idx="10">
                  <c:v>1000</c:v>
                </c:pt>
                <c:pt idx="11">
                  <c:v>2000</c:v>
                </c:pt>
                <c:pt idx="12">
                  <c:v>0</c:v>
                </c:pt>
                <c:pt idx="13">
                  <c:v>2000</c:v>
                </c:pt>
                <c:pt idx="14">
                  <c:v>1000</c:v>
                </c:pt>
                <c:pt idx="15">
                  <c:v>0</c:v>
                </c:pt>
                <c:pt idx="16">
                  <c:v>2000</c:v>
                </c:pt>
                <c:pt idx="17">
                  <c:v>1000</c:v>
                </c:pt>
                <c:pt idx="18" formatCode="General">
                  <c:v>1000</c:v>
                </c:pt>
                <c:pt idx="19" formatCode="General">
                  <c:v>1000</c:v>
                </c:pt>
                <c:pt idx="20" formatCode="General">
                  <c:v>2000</c:v>
                </c:pt>
                <c:pt idx="21" formatCode="General">
                  <c:v>2000</c:v>
                </c:pt>
                <c:pt idx="22" formatCode="General">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19.104759999999999</c:v>
                </c:pt>
                <c:pt idx="1">
                  <c:v>37.18</c:v>
                </c:pt>
                <c:pt idx="2">
                  <c:v>40.7333</c:v>
                </c:pt>
                <c:pt idx="3">
                  <c:v>40.742199999999997</c:v>
                </c:pt>
                <c:pt idx="4">
                  <c:v>41.24</c:v>
                </c:pt>
                <c:pt idx="5">
                  <c:v>42.017000000000003</c:v>
                </c:pt>
                <c:pt idx="6">
                  <c:v>42.56</c:v>
                </c:pt>
                <c:pt idx="7">
                  <c:v>43.7</c:v>
                </c:pt>
                <c:pt idx="8">
                  <c:v>45.34</c:v>
                </c:pt>
                <c:pt idx="9">
                  <c:v>45.627899999999997</c:v>
                </c:pt>
                <c:pt idx="10">
                  <c:v>49.98</c:v>
                </c:pt>
                <c:pt idx="11">
                  <c:v>50.63</c:v>
                </c:pt>
                <c:pt idx="12">
                  <c:v>51.36</c:v>
                </c:pt>
                <c:pt idx="13">
                  <c:v>51.829875000000001</c:v>
                </c:pt>
                <c:pt idx="14">
                  <c:v>55.97</c:v>
                </c:pt>
                <c:pt idx="15">
                  <c:v>67.009778907882335</c:v>
                </c:pt>
                <c:pt idx="16">
                  <c:v>78.88</c:v>
                </c:pt>
                <c:pt idx="17">
                  <c:v>79.599000000000004</c:v>
                </c:pt>
              </c:numCache>
            </c:numRef>
          </c:cat>
          <c:val>
            <c:numRef>
              <c:f>ID!$W$20:$W$42</c:f>
              <c:numCache>
                <c:formatCode>#,##0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2000</c:v>
                </c:pt>
                <c:pt idx="16">
                  <c:v>0</c:v>
                </c:pt>
                <c:pt idx="17">
                  <c:v>0</c:v>
                </c:pt>
                <c:pt idx="18" formatCode="General">
                  <c:v>0</c:v>
                </c:pt>
                <c:pt idx="19" formatCode="General">
                  <c:v>0</c:v>
                </c:pt>
                <c:pt idx="20" formatCode="General">
                  <c:v>0</c:v>
                </c:pt>
                <c:pt idx="21" formatCode="General">
                  <c:v>0</c:v>
                </c:pt>
                <c:pt idx="22"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19.104759999999999</c:v>
                </c:pt>
                <c:pt idx="1">
                  <c:v>37.18</c:v>
                </c:pt>
                <c:pt idx="2">
                  <c:v>40.7333</c:v>
                </c:pt>
                <c:pt idx="3">
                  <c:v>40.742199999999997</c:v>
                </c:pt>
                <c:pt idx="4">
                  <c:v>41.24</c:v>
                </c:pt>
                <c:pt idx="5">
                  <c:v>42.017000000000003</c:v>
                </c:pt>
                <c:pt idx="6">
                  <c:v>42.56</c:v>
                </c:pt>
                <c:pt idx="7">
                  <c:v>43.7</c:v>
                </c:pt>
                <c:pt idx="8">
                  <c:v>45.34</c:v>
                </c:pt>
                <c:pt idx="9">
                  <c:v>45.627899999999997</c:v>
                </c:pt>
                <c:pt idx="10">
                  <c:v>49.98</c:v>
                </c:pt>
                <c:pt idx="11">
                  <c:v>50.63</c:v>
                </c:pt>
                <c:pt idx="12">
                  <c:v>51.36</c:v>
                </c:pt>
                <c:pt idx="13">
                  <c:v>51.829875000000001</c:v>
                </c:pt>
                <c:pt idx="14">
                  <c:v>55.97</c:v>
                </c:pt>
                <c:pt idx="15">
                  <c:v>67.009778907882335</c:v>
                </c:pt>
                <c:pt idx="16">
                  <c:v>78.88</c:v>
                </c:pt>
                <c:pt idx="17">
                  <c:v>79.599000000000004</c:v>
                </c:pt>
              </c:numCache>
            </c:numRef>
          </c:cat>
          <c:val>
            <c:numRef>
              <c:f>ID!$X$20:$X$42</c:f>
              <c:numCache>
                <c:formatCode>#,##0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2000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NEM: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45995</c:v>
                </c:pt>
                <c:pt idx="1">
                  <c:v>45996</c:v>
                </c:pt>
                <c:pt idx="2">
                  <c:v>45999</c:v>
                </c:pt>
                <c:pt idx="3">
                  <c:v>46000</c:v>
                </c:pt>
                <c:pt idx="4">
                  <c:v>46001</c:v>
                </c:pt>
                <c:pt idx="5">
                  <c:v>46002</c:v>
                </c:pt>
              </c:numCache>
            </c:numRef>
          </c:cat>
          <c:val>
            <c:numRef>
              <c:f>ID!$P$16:$U$16</c:f>
              <c:numCache>
                <c:formatCode>0%</c:formatCode>
                <c:ptCount val="6"/>
                <c:pt idx="0">
                  <c:v>0.40993844553482967</c:v>
                </c:pt>
                <c:pt idx="1">
                  <c:v>0.71017578382977553</c:v>
                </c:pt>
                <c:pt idx="2">
                  <c:v>0.37105274924206511</c:v>
                </c:pt>
                <c:pt idx="3">
                  <c:v>1.4574439892383309</c:v>
                </c:pt>
                <c:pt idx="4">
                  <c:v>1.2314631296255434</c:v>
                </c:pt>
                <c:pt idx="5">
                  <c:v>1.2314631296255434</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45995</c:v>
                </c:pt>
                <c:pt idx="1">
                  <c:v>45996</c:v>
                </c:pt>
                <c:pt idx="2">
                  <c:v>45999</c:v>
                </c:pt>
                <c:pt idx="3">
                  <c:v>46000</c:v>
                </c:pt>
                <c:pt idx="4">
                  <c:v>46001</c:v>
                </c:pt>
                <c:pt idx="5">
                  <c:v>46002</c:v>
                </c:pt>
              </c:numCache>
            </c:numRef>
          </c:cat>
          <c:val>
            <c:numRef>
              <c:f>ID!$P$14:$U$14</c:f>
              <c:numCache>
                <c:formatCode>0.00%</c:formatCode>
                <c:ptCount val="6"/>
                <c:pt idx="0">
                  <c:v>-8.2128571428573618E-5</c:v>
                </c:pt>
                <c:pt idx="1">
                  <c:v>-5.183682142857143E-3</c:v>
                </c:pt>
                <c:pt idx="2">
                  <c:v>-7.8803095238095238E-3</c:v>
                </c:pt>
                <c:pt idx="3">
                  <c:v>-1.2419559523809524E-2</c:v>
                </c:pt>
                <c:pt idx="4">
                  <c:v>-1.3208130952380956E-2</c:v>
                </c:pt>
                <c:pt idx="5">
                  <c:v>-1.2856863095238097E-2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1.0095E-2</c:v>
                </c:pt>
                <c:pt idx="1">
                  <c:v>-1.0582000000000001E-2</c:v>
                </c:pt>
                <c:pt idx="2">
                  <c:v>4.0898999999999998E-2</c:v>
                </c:pt>
                <c:pt idx="3">
                  <c:v>3.454E-3</c:v>
                </c:pt>
                <c:pt idx="4">
                  <c:v>5.3284000000000005E-2</c:v>
                </c:pt>
                <c:pt idx="5">
                  <c:v>5.3284000000000005E-2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NEM</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45974</c:v>
                </c:pt>
                <c:pt idx="1">
                  <c:v>45975</c:v>
                </c:pt>
                <c:pt idx="2">
                  <c:v>45999</c:v>
                </c:pt>
                <c:pt idx="3">
                  <c:v>46000</c:v>
                </c:pt>
                <c:pt idx="4">
                  <c:v>46001</c:v>
                </c:pt>
                <c:pt idx="5">
                  <c:v>46002</c:v>
                </c:pt>
              </c:numCache>
            </c:numRef>
          </c:cat>
          <c:val>
            <c:numRef>
              <c:f>DataShift!$F$202:$Z$202</c:f>
              <c:numCache>
                <c:formatCode>#,##0_);[Red]\(#,##0\)</c:formatCode>
                <c:ptCount val="6"/>
                <c:pt idx="0">
                  <c:v>81.62</c:v>
                </c:pt>
                <c:pt idx="1">
                  <c:v>82.614800000000002</c:v>
                </c:pt>
                <c:pt idx="2">
                  <c:v>92.64</c:v>
                </c:pt>
                <c:pt idx="3">
                  <c:v>94.415000000000006</c:v>
                </c:pt>
                <c:pt idx="4">
                  <c:v>99.43</c:v>
                </c:pt>
                <c:pt idx="5">
                  <c:v>99.43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45974</c:v>
                </c:pt>
                <c:pt idx="1">
                  <c:v>45975</c:v>
                </c:pt>
                <c:pt idx="2">
                  <c:v>45999</c:v>
                </c:pt>
                <c:pt idx="3">
                  <c:v>46000</c:v>
                </c:pt>
                <c:pt idx="4">
                  <c:v>46001</c:v>
                </c:pt>
                <c:pt idx="5">
                  <c:v>46002</c:v>
                </c:pt>
              </c:numCache>
            </c:numRef>
          </c:cat>
          <c:val>
            <c:numRef>
              <c:f>DataShift!$AB$1197:$AV$1197</c:f>
              <c:numCache>
                <c:formatCode>#,##0_);[Red]\(#,##0\)</c:formatCode>
                <c:ptCount val="7"/>
                <c:pt idx="0">
                  <c:v>5480.0000000000182</c:v>
                </c:pt>
                <c:pt idx="1">
                  <c:v>7469.600000000014</c:v>
                </c:pt>
                <c:pt idx="2">
                  <c:v>21701</c:v>
                </c:pt>
                <c:pt idx="3">
                  <c:v>27445</c:v>
                </c:pt>
                <c:pt idx="4">
                  <c:v>30986</c:v>
                </c:pt>
                <c:pt idx="5">
                  <c:v>40989</c:v>
                </c:pt>
                <c:pt idx="6">
                  <c:v>40989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45974</c:v>
                </c:pt>
                <c:pt idx="1">
                  <c:v>45975</c:v>
                </c:pt>
                <c:pt idx="2">
                  <c:v>45999</c:v>
                </c:pt>
                <c:pt idx="3">
                  <c:v>46000</c:v>
                </c:pt>
                <c:pt idx="4">
                  <c:v>46001</c:v>
                </c:pt>
                <c:pt idx="5">
                  <c:v>46002</c:v>
                </c:pt>
              </c:numCache>
            </c:numRef>
          </c:cat>
          <c:val>
            <c:numRef>
              <c:f>DataShift!$AB$1296:$AV$1296</c:f>
              <c:numCache>
                <c:formatCode>#,##0_);[Red]\(#,##0\)</c:formatCode>
                <c:ptCount val="7"/>
                <c:pt idx="0">
                  <c:v>-300.00000000001137</c:v>
                </c:pt>
                <c:pt idx="1">
                  <c:v>-2289.6000000000072</c:v>
                </c:pt>
                <c:pt idx="2">
                  <c:v>1299.9999999999829</c:v>
                </c:pt>
                <c:pt idx="3">
                  <c:v>-4460.0000000000082</c:v>
                </c:pt>
                <c:pt idx="4">
                  <c:v>-8010.0000000000191</c:v>
                </c:pt>
                <c:pt idx="5">
                  <c:v>-80.000000000012506</c:v>
                </c:pt>
                <c:pt idx="6">
                  <c:v>-80.000000000012506</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NEM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90.73</c:v>
                </c:pt>
                <c:pt idx="1">
                  <c:v>92</c:v>
                </c:pt>
                <c:pt idx="2">
                  <c:v>90.454999999999998</c:v>
                </c:pt>
                <c:pt idx="3">
                  <c:v>91.18</c:v>
                </c:pt>
                <c:pt idx="4">
                  <c:v>89.67</c:v>
                </c:pt>
                <c:pt idx="5">
                  <c:v>90.555000000000007</c:v>
                </c:pt>
                <c:pt idx="6">
                  <c:v>89.76</c:v>
                </c:pt>
                <c:pt idx="7">
                  <c:v>92.64</c:v>
                </c:pt>
                <c:pt idx="8">
                  <c:v>94.415000000000006</c:v>
                </c:pt>
                <c:pt idx="9">
                  <c:v>99.43</c:v>
                </c:pt>
                <c:pt idx="10">
                  <c:v>99.43</c:v>
                </c:pt>
              </c:numCache>
            </c:numRef>
          </c:xVal>
          <c:yVal>
            <c:numRef>
              <c:f>ChaRSI!$P$35:$Z$35</c:f>
              <c:numCache>
                <c:formatCode>0</c:formatCode>
                <c:ptCount val="11"/>
                <c:pt idx="0">
                  <c:v>7</c:v>
                </c:pt>
                <c:pt idx="1">
                  <c:v>6</c:v>
                </c:pt>
                <c:pt idx="2">
                  <c:v>10</c:v>
                </c:pt>
                <c:pt idx="3">
                  <c:v>19</c:v>
                </c:pt>
                <c:pt idx="4">
                  <c:v>19</c:v>
                </c:pt>
                <c:pt idx="5">
                  <c:v>21</c:v>
                </c:pt>
                <c:pt idx="6">
                  <c:v>21</c:v>
                </c:pt>
                <c:pt idx="7">
                  <c:v>15</c:v>
                </c:pt>
                <c:pt idx="8">
                  <c:v>16</c:v>
                </c:pt>
                <c:pt idx="9">
                  <c:v>20</c:v>
                </c:pt>
                <c:pt idx="10">
                  <c:v>20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67.009778907882335</c:v>
                </c:pt>
                <c:pt idx="10">
                  <c:v>99.43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99.35</c:v>
                </c:pt>
                <c:pt idx="10">
                  <c:v>99.35</c:v>
                </c:pt>
              </c:numCache>
            </c:numRef>
          </c:xVal>
          <c:yVal>
            <c:numRef>
              <c:f>ChaRSI!$P$43:$Z$43</c:f>
              <c:numCache>
                <c:formatCode>General</c:formatCode>
                <c:ptCount val="11"/>
                <c:pt idx="0" formatCode="0">
                  <c:v>23.1</c:v>
                </c:pt>
                <c:pt idx="10" formatCode="0">
                  <c:v>20.790000000000003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78.88</c:v>
                </c:pt>
                <c:pt idx="10">
                  <c:v>78.88</c:v>
                </c:pt>
              </c:numCache>
            </c:numRef>
          </c:xVal>
          <c:yVal>
            <c:numRef>
              <c:f>ChaRSI!$P$42:$Z$42</c:f>
              <c:numCache>
                <c:formatCode>General</c:formatCode>
                <c:ptCount val="11"/>
                <c:pt idx="0" formatCode="0">
                  <c:v>25.2</c:v>
                </c:pt>
                <c:pt idx="10" formatCode="0">
                  <c:v>22.68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99.43</c:v>
                </c:pt>
                <c:pt idx="10">
                  <c:v>99.43</c:v>
                </c:pt>
              </c:numCache>
            </c:numRef>
          </c:xVal>
          <c:yVal>
            <c:numRef>
              <c:f>ChaRSI!$P$40:$Z$40</c:f>
              <c:numCache>
                <c:formatCode>General</c:formatCode>
                <c:ptCount val="11"/>
                <c:pt idx="0" formatCode="0">
                  <c:v>29.4</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67.009778907882335</c:v>
                </c:pt>
                <c:pt idx="10" formatCode="0.00">
                  <c:v>67.009778907882335</c:v>
                </c:pt>
              </c:numCache>
            </c:numRef>
          </c:xVal>
          <c:yVal>
            <c:numRef>
              <c:f>ChaRSI!$P$41:$Z$41</c:f>
              <c:numCache>
                <c:formatCode>General</c:formatCode>
                <c:ptCount val="11"/>
                <c:pt idx="0" formatCode="0">
                  <c:v>27.3</c:v>
                </c:pt>
                <c:pt idx="10" formatCode="0">
                  <c:v>24.57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9DF3C6D-6000-9943-9AC5-8A6B4AE92E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0DB949CD-0678-4C4B-B1B8-2F4117789F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81E3655-5B57-6644-87C8-67F96AEFC7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6BB3B9E8-6698-7942-AA63-E26C49049E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3B58860D-BC42-FF41-9B2E-9A76FBC401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2F12E87-8D48-FE46-977B-74E0B02AB1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A30D3597-BB0F-4D4D-90B4-4BE8F9BF4C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91A125B9-9FE2-1040-B407-FED8F835F2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55FDE0E5-3817-D94C-A7CA-BFAD07F376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D38427B5-3563-2947-A5A9-5C54E86373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8692DB7D-DA14-DA49-8CE9-9EDA764D2E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90.73</c:v>
                </c:pt>
                <c:pt idx="1">
                  <c:v>92</c:v>
                </c:pt>
                <c:pt idx="2">
                  <c:v>90.454999999999998</c:v>
                </c:pt>
                <c:pt idx="3">
                  <c:v>91.18</c:v>
                </c:pt>
                <c:pt idx="4">
                  <c:v>89.67</c:v>
                </c:pt>
                <c:pt idx="5">
                  <c:v>90.555000000000007</c:v>
                </c:pt>
                <c:pt idx="6">
                  <c:v>89.76</c:v>
                </c:pt>
                <c:pt idx="7">
                  <c:v>92.64</c:v>
                </c:pt>
                <c:pt idx="8">
                  <c:v>94.415000000000006</c:v>
                </c:pt>
                <c:pt idx="9">
                  <c:v>99.43</c:v>
                </c:pt>
                <c:pt idx="10">
                  <c:v>99.43</c:v>
                </c:pt>
              </c:numCache>
            </c:numRef>
          </c:xVal>
          <c:yVal>
            <c:numRef>
              <c:f>ChaRSI!$P$36:$Z$36</c:f>
              <c:numCache>
                <c:formatCode>0%</c:formatCode>
                <c:ptCount val="11"/>
                <c:pt idx="0">
                  <c:v>0.43724056602275047</c:v>
                </c:pt>
                <c:pt idx="1">
                  <c:v>0.37174167679023273</c:v>
                </c:pt>
                <c:pt idx="2">
                  <c:v>0.56105425904699657</c:v>
                </c:pt>
                <c:pt idx="3">
                  <c:v>1.0465396503253246</c:v>
                </c:pt>
                <c:pt idx="4">
                  <c:v>0.78299133027462031</c:v>
                </c:pt>
                <c:pt idx="5">
                  <c:v>0.40993844553482967</c:v>
                </c:pt>
                <c:pt idx="6">
                  <c:v>0.71017578382977553</c:v>
                </c:pt>
                <c:pt idx="7">
                  <c:v>0.37105274924206511</c:v>
                </c:pt>
                <c:pt idx="8">
                  <c:v>1.4574439892383309</c:v>
                </c:pt>
                <c:pt idx="9">
                  <c:v>1.2314631296255434</c:v>
                </c:pt>
                <c:pt idx="10">
                  <c:v>1.2314631296255434</c:v>
                </c:pt>
              </c:numCache>
            </c:numRef>
          </c:yVal>
          <c:smooth val="1"/>
          <c:extLst>
            <c:ext xmlns:c15="http://schemas.microsoft.com/office/drawing/2012/chart" uri="{02D57815-91ED-43cb-92C2-25804820EDAC}">
              <c15:datalabelsRange>
                <c15:f>ChaCha!$P$33:$Z$33</c15:f>
                <c15:dlblRangeCache>
                  <c:ptCount val="11"/>
                  <c:pt idx="0">
                    <c:v>27-Nov</c:v>
                  </c:pt>
                  <c:pt idx="10">
                    <c:v>11-Dec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00.4243"/>
          <c:min val="64.70436001886997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NEM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81.62</c:v>
                </c:pt>
                <c:pt idx="1">
                  <c:v>82.614800000000002</c:v>
                </c:pt>
                <c:pt idx="2">
                  <c:v>83.35</c:v>
                </c:pt>
                <c:pt idx="3">
                  <c:v>87.8</c:v>
                </c:pt>
                <c:pt idx="4">
                  <c:v>86.61</c:v>
                </c:pt>
                <c:pt idx="5">
                  <c:v>87.594999999999999</c:v>
                </c:pt>
                <c:pt idx="6">
                  <c:v>82.87</c:v>
                </c:pt>
                <c:pt idx="7">
                  <c:v>83.62</c:v>
                </c:pt>
                <c:pt idx="8">
                  <c:v>90.45</c:v>
                </c:pt>
                <c:pt idx="9">
                  <c:v>90.52</c:v>
                </c:pt>
                <c:pt idx="10">
                  <c:v>90.73</c:v>
                </c:pt>
                <c:pt idx="11">
                  <c:v>92</c:v>
                </c:pt>
                <c:pt idx="12">
                  <c:v>90.454999999999998</c:v>
                </c:pt>
                <c:pt idx="13">
                  <c:v>91.18</c:v>
                </c:pt>
                <c:pt idx="14">
                  <c:v>89.67</c:v>
                </c:pt>
                <c:pt idx="15">
                  <c:v>90.555000000000007</c:v>
                </c:pt>
                <c:pt idx="16">
                  <c:v>89.76</c:v>
                </c:pt>
                <c:pt idx="17">
                  <c:v>92.64</c:v>
                </c:pt>
                <c:pt idx="18">
                  <c:v>94.415000000000006</c:v>
                </c:pt>
                <c:pt idx="19">
                  <c:v>99.43</c:v>
                </c:pt>
                <c:pt idx="20">
                  <c:v>99.43</c:v>
                </c:pt>
              </c:numCache>
            </c:numRef>
          </c:xVal>
          <c:yVal>
            <c:numRef>
              <c:f>ChaRSI!$F$35:$Z$35</c:f>
              <c:numCache>
                <c:formatCode>0</c:formatCode>
                <c:ptCount val="21"/>
                <c:pt idx="0">
                  <c:v>32</c:v>
                </c:pt>
                <c:pt idx="1">
                  <c:v>27</c:v>
                </c:pt>
                <c:pt idx="2">
                  <c:v>24</c:v>
                </c:pt>
                <c:pt idx="3">
                  <c:v>19</c:v>
                </c:pt>
                <c:pt idx="4">
                  <c:v>17</c:v>
                </c:pt>
                <c:pt idx="5">
                  <c:v>16</c:v>
                </c:pt>
                <c:pt idx="6">
                  <c:v>16</c:v>
                </c:pt>
                <c:pt idx="7">
                  <c:v>17</c:v>
                </c:pt>
                <c:pt idx="8">
                  <c:v>18</c:v>
                </c:pt>
                <c:pt idx="9">
                  <c:v>15</c:v>
                </c:pt>
                <c:pt idx="10">
                  <c:v>7</c:v>
                </c:pt>
                <c:pt idx="11">
                  <c:v>6</c:v>
                </c:pt>
                <c:pt idx="12">
                  <c:v>10</c:v>
                </c:pt>
                <c:pt idx="13">
                  <c:v>19</c:v>
                </c:pt>
                <c:pt idx="14">
                  <c:v>19</c:v>
                </c:pt>
                <c:pt idx="15">
                  <c:v>21</c:v>
                </c:pt>
                <c:pt idx="16">
                  <c:v>21</c:v>
                </c:pt>
                <c:pt idx="17">
                  <c:v>15</c:v>
                </c:pt>
                <c:pt idx="18">
                  <c:v>16</c:v>
                </c:pt>
                <c:pt idx="19">
                  <c:v>20</c:v>
                </c:pt>
                <c:pt idx="20">
                  <c:v>20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99.35</c:v>
                </c:pt>
                <c:pt idx="10">
                  <c:v>99.35</c:v>
                </c:pt>
                <c:pt idx="20">
                  <c:v>99.35</c:v>
                </c:pt>
              </c:numCache>
            </c:numRef>
          </c:xVal>
          <c:yVal>
            <c:numRef>
              <c:f>ChaRSI!$F$41:$Z$41</c:f>
              <c:numCache>
                <c:formatCode>General</c:formatCode>
                <c:ptCount val="21"/>
                <c:pt idx="0" formatCode="0">
                  <c:v>27.3</c:v>
                </c:pt>
                <c:pt idx="10" formatCode="0">
                  <c:v>27.3</c:v>
                </c:pt>
                <c:pt idx="20" formatCode="0">
                  <c:v>24.57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78.88</c:v>
                </c:pt>
                <c:pt idx="10">
                  <c:v>78.88</c:v>
                </c:pt>
                <c:pt idx="20">
                  <c:v>78.88</c:v>
                </c:pt>
              </c:numCache>
            </c:numRef>
          </c:xVal>
          <c:yVal>
            <c:numRef>
              <c:f>ChaRSI!$F$41:$Z$41</c:f>
              <c:numCache>
                <c:formatCode>General</c:formatCode>
                <c:ptCount val="21"/>
                <c:pt idx="0" formatCode="0">
                  <c:v>27.3</c:v>
                </c:pt>
                <c:pt idx="10" formatCode="0">
                  <c:v>27.3</c:v>
                </c:pt>
                <c:pt idx="20" formatCode="0">
                  <c:v>24.57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38.51</c:v>
                </c:pt>
                <c:pt idx="10">
                  <c:v>38.51</c:v>
                </c:pt>
                <c:pt idx="20">
                  <c:v>38.51</c:v>
                </c:pt>
              </c:numCache>
            </c:numRef>
          </c:xVal>
          <c:yVal>
            <c:numRef>
              <c:f>ChaRSI!$F$40:$Z$40</c:f>
              <c:numCache>
                <c:formatCode>General</c:formatCode>
                <c:ptCount val="21"/>
                <c:pt idx="0" formatCode="0">
                  <c:v>29.4</c:v>
                </c:pt>
                <c:pt idx="10" formatCode="0">
                  <c:v>29.4</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86.41</c:v>
                </c:pt>
                <c:pt idx="10">
                  <c:v>86.41</c:v>
                </c:pt>
                <c:pt idx="20">
                  <c:v>86.41</c:v>
                </c:pt>
              </c:numCache>
            </c:numRef>
          </c:xVal>
          <c:yVal>
            <c:numRef>
              <c:f>ChaRSI!$F$42:$Z$42</c:f>
              <c:numCache>
                <c:formatCode>General</c:formatCode>
                <c:ptCount val="21"/>
                <c:pt idx="0" formatCode="0">
                  <c:v>25.2</c:v>
                </c:pt>
                <c:pt idx="10" formatCode="0">
                  <c:v>25.2</c:v>
                </c:pt>
                <c:pt idx="20" formatCode="0">
                  <c:v>22.68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99.35</c:v>
                </c:pt>
                <c:pt idx="10">
                  <c:v>99.35</c:v>
                </c:pt>
                <c:pt idx="20">
                  <c:v>99.35</c:v>
                </c:pt>
              </c:numCache>
            </c:numRef>
          </c:xVal>
          <c:yVal>
            <c:numRef>
              <c:f>ChaRSI!$F$43:$Z$43</c:f>
              <c:numCache>
                <c:formatCode>General</c:formatCode>
                <c:ptCount val="21"/>
                <c:pt idx="0" formatCode="0">
                  <c:v>23.1</c:v>
                </c:pt>
                <c:pt idx="10" formatCode="0">
                  <c:v>23.1</c:v>
                </c:pt>
                <c:pt idx="20" formatCode="0">
                  <c:v>20.790000000000003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19.104759999999999</c:v>
                </c:pt>
                <c:pt idx="10">
                  <c:v>19.104759999999999</c:v>
                </c:pt>
                <c:pt idx="20">
                  <c:v>19.104759999999999</c:v>
                </c:pt>
              </c:numCache>
            </c:numRef>
          </c:xVal>
          <c:yVal>
            <c:numRef>
              <c:f>ChaRSI!$F$42:$Z$42</c:f>
              <c:numCache>
                <c:formatCode>General</c:formatCode>
                <c:ptCount val="21"/>
                <c:pt idx="0" formatCode="0">
                  <c:v>25.2</c:v>
                </c:pt>
                <c:pt idx="10" formatCode="0">
                  <c:v>25.2</c:v>
                </c:pt>
                <c:pt idx="20" formatCode="0">
                  <c:v>22.68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99.43</c:v>
                </c:pt>
                <c:pt idx="10">
                  <c:v>99.43</c:v>
                </c:pt>
                <c:pt idx="20">
                  <c:v>99.43</c:v>
                </c:pt>
              </c:numCache>
            </c:numRef>
          </c:xVal>
          <c:yVal>
            <c:numRef>
              <c:f>ChaRSI!$F$40:$Z$40</c:f>
              <c:numCache>
                <c:formatCode>General</c:formatCode>
                <c:ptCount val="21"/>
                <c:pt idx="0" formatCode="0">
                  <c:v>29.4</c:v>
                </c:pt>
                <c:pt idx="10" formatCode="0">
                  <c:v>29.4</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67.009778907882335</c:v>
                </c:pt>
                <c:pt idx="10" formatCode="0.00">
                  <c:v>67.009778907882335</c:v>
                </c:pt>
              </c:numCache>
            </c:numRef>
          </c:xVal>
          <c:yVal>
            <c:numRef>
              <c:f>ChaRSI!$P$41:$Z$41</c:f>
              <c:numCache>
                <c:formatCode>General</c:formatCode>
                <c:ptCount val="11"/>
                <c:pt idx="0" formatCode="0">
                  <c:v>27.3</c:v>
                </c:pt>
                <c:pt idx="10" formatCode="0">
                  <c:v>24.57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81.62</c:v>
                </c:pt>
                <c:pt idx="1">
                  <c:v>82.614800000000002</c:v>
                </c:pt>
                <c:pt idx="2">
                  <c:v>83.35</c:v>
                </c:pt>
                <c:pt idx="3">
                  <c:v>87.8</c:v>
                </c:pt>
                <c:pt idx="4">
                  <c:v>86.61</c:v>
                </c:pt>
                <c:pt idx="5">
                  <c:v>87.594999999999999</c:v>
                </c:pt>
                <c:pt idx="6">
                  <c:v>82.87</c:v>
                </c:pt>
                <c:pt idx="7">
                  <c:v>83.62</c:v>
                </c:pt>
                <c:pt idx="8">
                  <c:v>90.45</c:v>
                </c:pt>
                <c:pt idx="9">
                  <c:v>90.52</c:v>
                </c:pt>
                <c:pt idx="10">
                  <c:v>90.73</c:v>
                </c:pt>
                <c:pt idx="11">
                  <c:v>92</c:v>
                </c:pt>
                <c:pt idx="12">
                  <c:v>90.454999999999998</c:v>
                </c:pt>
                <c:pt idx="13">
                  <c:v>91.18</c:v>
                </c:pt>
                <c:pt idx="14">
                  <c:v>89.67</c:v>
                </c:pt>
                <c:pt idx="15">
                  <c:v>90.555000000000007</c:v>
                </c:pt>
                <c:pt idx="16">
                  <c:v>89.76</c:v>
                </c:pt>
                <c:pt idx="17">
                  <c:v>92.64</c:v>
                </c:pt>
                <c:pt idx="18">
                  <c:v>94.415000000000006</c:v>
                </c:pt>
                <c:pt idx="19">
                  <c:v>99.43</c:v>
                </c:pt>
                <c:pt idx="20">
                  <c:v>99.43</c:v>
                </c:pt>
              </c:numCache>
            </c:numRef>
          </c:xVal>
          <c:yVal>
            <c:numRef>
              <c:f>ChaRSI!$F$36:$Z$36</c:f>
              <c:numCache>
                <c:formatCode>0%</c:formatCode>
                <c:ptCount val="21"/>
                <c:pt idx="0">
                  <c:v>0.70988661036447553</c:v>
                </c:pt>
                <c:pt idx="1">
                  <c:v>0.593655574422572</c:v>
                </c:pt>
                <c:pt idx="2">
                  <c:v>0.40252538018308653</c:v>
                </c:pt>
                <c:pt idx="3">
                  <c:v>0.79406715312605769</c:v>
                </c:pt>
                <c:pt idx="4">
                  <c:v>5.0409966514682275E-4</c:v>
                </c:pt>
                <c:pt idx="5">
                  <c:v>0.25524794759567165</c:v>
                </c:pt>
                <c:pt idx="6">
                  <c:v>0.42734697896095941</c:v>
                </c:pt>
                <c:pt idx="7">
                  <c:v>0.51356750038148724</c:v>
                </c:pt>
                <c:pt idx="8">
                  <c:v>0.35599048597291894</c:v>
                </c:pt>
                <c:pt idx="9">
                  <c:v>0.63897962490875171</c:v>
                </c:pt>
                <c:pt idx="10">
                  <c:v>0.43724056602275047</c:v>
                </c:pt>
                <c:pt idx="11">
                  <c:v>0.37174167679023273</c:v>
                </c:pt>
                <c:pt idx="12">
                  <c:v>0.56105425904699657</c:v>
                </c:pt>
                <c:pt idx="13">
                  <c:v>1.0465396503253246</c:v>
                </c:pt>
                <c:pt idx="14">
                  <c:v>0.78299133027462031</c:v>
                </c:pt>
                <c:pt idx="15">
                  <c:v>0.40993844553482967</c:v>
                </c:pt>
                <c:pt idx="16">
                  <c:v>0.71017578382977553</c:v>
                </c:pt>
                <c:pt idx="17">
                  <c:v>0.37105274924206511</c:v>
                </c:pt>
                <c:pt idx="18">
                  <c:v>1.4574439892383309</c:v>
                </c:pt>
                <c:pt idx="19">
                  <c:v>1.2314631296255434</c:v>
                </c:pt>
                <c:pt idx="20">
                  <c:v>1.2314631296255434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00.4243"/>
          <c:min val="18.913712399999998"/>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NEM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67.009778907882335</c:v>
                </c:pt>
                <c:pt idx="10">
                  <c:v>99.43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99.35</c:v>
                </c:pt>
                <c:pt idx="10">
                  <c:v>99.35</c:v>
                </c:pt>
              </c:numCache>
            </c:numRef>
          </c:xVal>
          <c:yVal>
            <c:numRef>
              <c:f>ChaRSI!$P$43:$Z$43</c:f>
              <c:numCache>
                <c:formatCode>General</c:formatCode>
                <c:ptCount val="11"/>
                <c:pt idx="0" formatCode="0">
                  <c:v>23.1</c:v>
                </c:pt>
                <c:pt idx="10" formatCode="0">
                  <c:v>20.790000000000003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78.88</c:v>
                </c:pt>
                <c:pt idx="10">
                  <c:v>78.88</c:v>
                </c:pt>
              </c:numCache>
            </c:numRef>
          </c:xVal>
          <c:yVal>
            <c:numRef>
              <c:f>ChaRSI!$P$42:$Z$42</c:f>
              <c:numCache>
                <c:formatCode>General</c:formatCode>
                <c:ptCount val="11"/>
                <c:pt idx="0" formatCode="0">
                  <c:v>25.2</c:v>
                </c:pt>
                <c:pt idx="10" formatCode="0">
                  <c:v>22.68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99.43</c:v>
                </c:pt>
                <c:pt idx="10">
                  <c:v>99.43</c:v>
                </c:pt>
              </c:numCache>
            </c:numRef>
          </c:xVal>
          <c:yVal>
            <c:numRef>
              <c:f>ChaRSI!$P$40:$Z$40</c:f>
              <c:numCache>
                <c:formatCode>General</c:formatCode>
                <c:ptCount val="11"/>
                <c:pt idx="0" formatCode="0">
                  <c:v>29.4</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67.009778907882335</c:v>
                </c:pt>
                <c:pt idx="10" formatCode="0.00">
                  <c:v>67.009778907882335</c:v>
                </c:pt>
              </c:numCache>
            </c:numRef>
          </c:xVal>
          <c:yVal>
            <c:numRef>
              <c:f>ChaRSI!$P$41:$Z$41</c:f>
              <c:numCache>
                <c:formatCode>General</c:formatCode>
                <c:ptCount val="11"/>
                <c:pt idx="0" formatCode="0">
                  <c:v>27.3</c:v>
                </c:pt>
                <c:pt idx="10" formatCode="0">
                  <c:v>24.57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90.73</c:v>
                </c:pt>
                <c:pt idx="1">
                  <c:v>92</c:v>
                </c:pt>
                <c:pt idx="2">
                  <c:v>90.454999999999998</c:v>
                </c:pt>
                <c:pt idx="3">
                  <c:v>91.18</c:v>
                </c:pt>
                <c:pt idx="4">
                  <c:v>89.67</c:v>
                </c:pt>
                <c:pt idx="5">
                  <c:v>90.555000000000007</c:v>
                </c:pt>
                <c:pt idx="6">
                  <c:v>89.76</c:v>
                </c:pt>
                <c:pt idx="7">
                  <c:v>92.64</c:v>
                </c:pt>
                <c:pt idx="8">
                  <c:v>94.415000000000006</c:v>
                </c:pt>
                <c:pt idx="9">
                  <c:v>99.43</c:v>
                </c:pt>
                <c:pt idx="10">
                  <c:v>99.43</c:v>
                </c:pt>
              </c:numCache>
            </c:numRef>
          </c:xVal>
          <c:yVal>
            <c:numRef>
              <c:f>ChaRSI!$P$35:$Z$35</c:f>
              <c:numCache>
                <c:formatCode>0</c:formatCode>
                <c:ptCount val="11"/>
                <c:pt idx="0">
                  <c:v>7</c:v>
                </c:pt>
                <c:pt idx="1">
                  <c:v>6</c:v>
                </c:pt>
                <c:pt idx="2">
                  <c:v>10</c:v>
                </c:pt>
                <c:pt idx="3">
                  <c:v>19</c:v>
                </c:pt>
                <c:pt idx="4">
                  <c:v>19</c:v>
                </c:pt>
                <c:pt idx="5">
                  <c:v>21</c:v>
                </c:pt>
                <c:pt idx="6">
                  <c:v>21</c:v>
                </c:pt>
                <c:pt idx="7">
                  <c:v>15</c:v>
                </c:pt>
                <c:pt idx="8">
                  <c:v>16</c:v>
                </c:pt>
                <c:pt idx="9">
                  <c:v>20</c:v>
                </c:pt>
                <c:pt idx="10">
                  <c:v>20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1E22BF9-3149-254D-B183-6B82534094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61971C95-0854-3842-AC10-0623FC6269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FB499B7D-4ED9-544C-80FF-AB469E8F41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18183C9-A254-2746-83F9-97072EBD67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3BABADBC-4720-F949-B2EB-E513F2ED3C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E0F60733-5BC2-3D43-A8B3-06A5B3D2EC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17ECCAFF-08B6-1244-8926-0327F84730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F4BF1610-B89D-5A41-82F1-4DEA013566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FCB5FAC5-A08E-6745-B6DD-A343A14687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67CBDD69-30E9-314C-BEEC-4353896E97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433E4228-D756-1542-9A40-F9EB461148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90.73</c:v>
                </c:pt>
                <c:pt idx="1">
                  <c:v>92</c:v>
                </c:pt>
                <c:pt idx="2">
                  <c:v>90.454999999999998</c:v>
                </c:pt>
                <c:pt idx="3">
                  <c:v>91.18</c:v>
                </c:pt>
                <c:pt idx="4">
                  <c:v>89.67</c:v>
                </c:pt>
                <c:pt idx="5">
                  <c:v>90.555000000000007</c:v>
                </c:pt>
                <c:pt idx="6">
                  <c:v>89.76</c:v>
                </c:pt>
                <c:pt idx="7">
                  <c:v>92.64</c:v>
                </c:pt>
                <c:pt idx="8">
                  <c:v>94.415000000000006</c:v>
                </c:pt>
                <c:pt idx="9">
                  <c:v>99.43</c:v>
                </c:pt>
                <c:pt idx="10">
                  <c:v>99.43</c:v>
                </c:pt>
              </c:numCache>
            </c:numRef>
          </c:xVal>
          <c:yVal>
            <c:numRef>
              <c:f>ChaRSI!$P$36:$Z$36</c:f>
              <c:numCache>
                <c:formatCode>0%</c:formatCode>
                <c:ptCount val="11"/>
                <c:pt idx="0">
                  <c:v>0.43724056602275047</c:v>
                </c:pt>
                <c:pt idx="1">
                  <c:v>0.37174167679023273</c:v>
                </c:pt>
                <c:pt idx="2">
                  <c:v>0.56105425904699657</c:v>
                </c:pt>
                <c:pt idx="3">
                  <c:v>1.0465396503253246</c:v>
                </c:pt>
                <c:pt idx="4">
                  <c:v>0.78299133027462031</c:v>
                </c:pt>
                <c:pt idx="5">
                  <c:v>0.40993844553482967</c:v>
                </c:pt>
                <c:pt idx="6">
                  <c:v>0.71017578382977553</c:v>
                </c:pt>
                <c:pt idx="7">
                  <c:v>0.37105274924206511</c:v>
                </c:pt>
                <c:pt idx="8">
                  <c:v>1.4574439892383309</c:v>
                </c:pt>
                <c:pt idx="9">
                  <c:v>1.2314631296255434</c:v>
                </c:pt>
                <c:pt idx="10">
                  <c:v>1.2314631296255434</c:v>
                </c:pt>
              </c:numCache>
            </c:numRef>
          </c:yVal>
          <c:smooth val="1"/>
          <c:extLst>
            <c:ext xmlns:c15="http://schemas.microsoft.com/office/drawing/2012/chart" uri="{02D57815-91ED-43cb-92C2-25804820EDAC}">
              <c15:datalabelsRange>
                <c15:f>ChaCha!$P$33:$Z$33</c15:f>
                <c15:dlblRangeCache>
                  <c:ptCount val="11"/>
                  <c:pt idx="0">
                    <c:v>27-Nov</c:v>
                  </c:pt>
                  <c:pt idx="10">
                    <c:v>11-Dec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00.4243"/>
          <c:min val="88.77330000000000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NEM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90.73</c:v>
                </c:pt>
                <c:pt idx="1">
                  <c:v>92</c:v>
                </c:pt>
                <c:pt idx="2">
                  <c:v>90.454999999999998</c:v>
                </c:pt>
                <c:pt idx="3">
                  <c:v>91.18</c:v>
                </c:pt>
                <c:pt idx="4">
                  <c:v>89.67</c:v>
                </c:pt>
                <c:pt idx="5">
                  <c:v>90.555000000000007</c:v>
                </c:pt>
                <c:pt idx="6">
                  <c:v>89.76</c:v>
                </c:pt>
                <c:pt idx="7">
                  <c:v>92.64</c:v>
                </c:pt>
                <c:pt idx="8">
                  <c:v>94.415000000000006</c:v>
                </c:pt>
                <c:pt idx="9">
                  <c:v>99.43</c:v>
                </c:pt>
                <c:pt idx="10">
                  <c:v>99.43</c:v>
                </c:pt>
              </c:numCache>
            </c:numRef>
          </c:xVal>
          <c:yVal>
            <c:numRef>
              <c:f>ChaCha!$P$35:$Z$35</c:f>
              <c:numCache>
                <c:formatCode>0</c:formatCode>
                <c:ptCount val="11"/>
                <c:pt idx="0">
                  <c:v>78.372494557465657</c:v>
                </c:pt>
                <c:pt idx="1">
                  <c:v>472.86990466181214</c:v>
                </c:pt>
                <c:pt idx="2">
                  <c:v>-505.80662112454019</c:v>
                </c:pt>
                <c:pt idx="3">
                  <c:v>261.36551309961715</c:v>
                </c:pt>
                <c:pt idx="4">
                  <c:v>-302.40972899932433</c:v>
                </c:pt>
                <c:pt idx="5">
                  <c:v>341.02169506793786</c:v>
                </c:pt>
                <c:pt idx="6">
                  <c:v>-357.47316267547478</c:v>
                </c:pt>
                <c:pt idx="7">
                  <c:v>1381.619247804219</c:v>
                </c:pt>
                <c:pt idx="8">
                  <c:v>116.68042939719238</c:v>
                </c:pt>
                <c:pt idx="9">
                  <c:v>1800</c:v>
                </c:pt>
                <c:pt idx="10">
                  <c:v>1800</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99.35</c:v>
                </c:pt>
                <c:pt idx="10">
                  <c:v>99.35</c:v>
                </c:pt>
              </c:numCache>
            </c:numRef>
          </c:xVal>
          <c:yVal>
            <c:numRef>
              <c:f>ChaCha!$P$41:$Z$41</c:f>
              <c:numCache>
                <c:formatCode>General</c:formatCode>
                <c:ptCount val="11"/>
                <c:pt idx="0" formatCode="0">
                  <c:v>7904.8119510547249</c:v>
                </c:pt>
                <c:pt idx="10" formatCode="0">
                  <c:v>-2328.5380226709703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78.88</c:v>
                </c:pt>
                <c:pt idx="10">
                  <c:v>78.88</c:v>
                </c:pt>
              </c:numCache>
            </c:numRef>
          </c:xVal>
          <c:yVal>
            <c:numRef>
              <c:f>ChaCha!$P$41:$Z$41</c:f>
              <c:numCache>
                <c:formatCode>General</c:formatCode>
                <c:ptCount val="11"/>
                <c:pt idx="0" formatCode="0">
                  <c:v>7904.8119510547249</c:v>
                </c:pt>
                <c:pt idx="10" formatCode="0">
                  <c:v>-2328.5380226709703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99.43</c:v>
                </c:pt>
                <c:pt idx="10">
                  <c:v>99.43</c:v>
                </c:pt>
              </c:numCache>
            </c:numRef>
          </c:xVal>
          <c:yVal>
            <c:numRef>
              <c:f>ChaCha!$P$43:$Z$43</c:f>
              <c:numCache>
                <c:formatCode>General</c:formatCode>
                <c:ptCount val="11"/>
                <c:pt idx="0" formatCode="0">
                  <c:v>6688.6870355078445</c:v>
                </c:pt>
                <c:pt idx="10" formatCode="0">
                  <c:v>-1970.3014037985135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67.009778907882335</c:v>
                </c:pt>
                <c:pt idx="10" formatCode="0.00">
                  <c:v>67.009778907882335</c:v>
                </c:pt>
              </c:numCache>
            </c:numRef>
          </c:xVal>
          <c:yVal>
            <c:numRef>
              <c:f>ChaCha!$P$41:$Z$41</c:f>
              <c:numCache>
                <c:formatCode>General</c:formatCode>
                <c:ptCount val="11"/>
                <c:pt idx="0" formatCode="0">
                  <c:v>7904.8119510547249</c:v>
                </c:pt>
                <c:pt idx="10" formatCode="0">
                  <c:v>-2328.5380226709703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808C3C2-52CB-A84C-AA78-6C5E591FB37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C34D4F81-0889-1940-BABC-47962648CEA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DA8A601-CBA4-9546-BA3E-C725DA95FD0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431701D5-D131-4943-8629-63D460BEA4C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545410C4-0FC4-BD49-BEC3-757EA1EFC5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CB16C1CD-1D39-494A-9DFE-4F3F505DB82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7C66EE5D-CAA0-1240-BBBF-24E63490FCC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EA81DF75-21F2-FB47-A2E7-FE3B4770E8D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A14BBFC-1583-744F-9DEF-212E1E95DF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2E510D28-B92D-3A4B-A6A0-B033D7C3234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E674407-B71C-1840-880C-C71F0CFDE7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90.73</c:v>
                </c:pt>
                <c:pt idx="1">
                  <c:v>92</c:v>
                </c:pt>
                <c:pt idx="2">
                  <c:v>90.454999999999998</c:v>
                </c:pt>
                <c:pt idx="3">
                  <c:v>91.18</c:v>
                </c:pt>
                <c:pt idx="4">
                  <c:v>89.67</c:v>
                </c:pt>
                <c:pt idx="5">
                  <c:v>90.555000000000007</c:v>
                </c:pt>
                <c:pt idx="6">
                  <c:v>89.76</c:v>
                </c:pt>
                <c:pt idx="7">
                  <c:v>92.64</c:v>
                </c:pt>
                <c:pt idx="8">
                  <c:v>94.415000000000006</c:v>
                </c:pt>
                <c:pt idx="9">
                  <c:v>99.43</c:v>
                </c:pt>
                <c:pt idx="10">
                  <c:v>99.43</c:v>
                </c:pt>
              </c:numCache>
            </c:numRef>
          </c:xVal>
          <c:yVal>
            <c:numRef>
              <c:f>ChaCha!$P$36:$Z$36</c:f>
              <c:numCache>
                <c:formatCode>0</c:formatCode>
                <c:ptCount val="11"/>
                <c:pt idx="0">
                  <c:v>147.70531845224659</c:v>
                </c:pt>
                <c:pt idx="1">
                  <c:v>125.57897646993823</c:v>
                </c:pt>
                <c:pt idx="2">
                  <c:v>189.53112872242957</c:v>
                </c:pt>
                <c:pt idx="3">
                  <c:v>353.534151074541</c:v>
                </c:pt>
                <c:pt idx="4">
                  <c:v>264.50424039004514</c:v>
                </c:pt>
                <c:pt idx="5">
                  <c:v>138.48232151540677</c:v>
                </c:pt>
                <c:pt idx="6">
                  <c:v>239.90624031484046</c:v>
                </c:pt>
                <c:pt idx="7">
                  <c:v>125.34624814873455</c:v>
                </c:pt>
                <c:pt idx="8">
                  <c:v>492.34276342410391</c:v>
                </c:pt>
                <c:pt idx="9">
                  <c:v>416.00360958748928</c:v>
                </c:pt>
                <c:pt idx="10">
                  <c:v>416.00360958748928</c:v>
                </c:pt>
              </c:numCache>
            </c:numRef>
          </c:yVal>
          <c:smooth val="1"/>
          <c:extLst>
            <c:ext xmlns:c15="http://schemas.microsoft.com/office/drawing/2012/chart" uri="{02D57815-91ED-43cb-92C2-25804820EDAC}">
              <c15:datalabelsRange>
                <c15:f>ChaCha!$P$33:$Z$33</c15:f>
                <c15:dlblRangeCache>
                  <c:ptCount val="11"/>
                  <c:pt idx="0">
                    <c:v>27-Nov</c:v>
                  </c:pt>
                  <c:pt idx="10">
                    <c:v>11-Dec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90.73</c:v>
                </c:pt>
                <c:pt idx="1">
                  <c:v>92</c:v>
                </c:pt>
                <c:pt idx="2">
                  <c:v>90.454999999999998</c:v>
                </c:pt>
                <c:pt idx="3">
                  <c:v>91.18</c:v>
                </c:pt>
                <c:pt idx="4">
                  <c:v>89.67</c:v>
                </c:pt>
                <c:pt idx="5">
                  <c:v>90.555000000000007</c:v>
                </c:pt>
                <c:pt idx="6">
                  <c:v>89.76</c:v>
                </c:pt>
                <c:pt idx="7">
                  <c:v>92.64</c:v>
                </c:pt>
                <c:pt idx="8">
                  <c:v>94.415000000000006</c:v>
                </c:pt>
                <c:pt idx="9">
                  <c:v>99.43</c:v>
                </c:pt>
                <c:pt idx="10">
                  <c:v>99.43</c:v>
                </c:pt>
              </c:numCache>
            </c:numRef>
          </c:xVal>
          <c:yVal>
            <c:numRef>
              <c:f>ChaCha!$P$60:$Z$60</c:f>
              <c:numCache>
                <c:formatCode>0%</c:formatCode>
                <c:ptCount val="11"/>
                <c:pt idx="0">
                  <c:v>337.81247654080022</c:v>
                </c:pt>
                <c:pt idx="1">
                  <c:v>337.81247654080022</c:v>
                </c:pt>
                <c:pt idx="2">
                  <c:v>337.81247654080022</c:v>
                </c:pt>
                <c:pt idx="3">
                  <c:v>337.81247654080022</c:v>
                </c:pt>
                <c:pt idx="4">
                  <c:v>337.81247654080022</c:v>
                </c:pt>
                <c:pt idx="5">
                  <c:v>337.81247654080022</c:v>
                </c:pt>
                <c:pt idx="6">
                  <c:v>337.81247654080022</c:v>
                </c:pt>
                <c:pt idx="7">
                  <c:v>337.81247654080022</c:v>
                </c:pt>
                <c:pt idx="8">
                  <c:v>337.81247654080022</c:v>
                </c:pt>
                <c:pt idx="9">
                  <c:v>337.81247654080022</c:v>
                </c:pt>
                <c:pt idx="10">
                  <c:v>337.81247654080022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00.4243"/>
          <c:min val="78.091200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NEM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81.62</c:v>
                </c:pt>
                <c:pt idx="1">
                  <c:v>82.614800000000002</c:v>
                </c:pt>
                <c:pt idx="2">
                  <c:v>83.35</c:v>
                </c:pt>
                <c:pt idx="3">
                  <c:v>87.8</c:v>
                </c:pt>
                <c:pt idx="4">
                  <c:v>86.61</c:v>
                </c:pt>
                <c:pt idx="5">
                  <c:v>87.594999999999999</c:v>
                </c:pt>
                <c:pt idx="6">
                  <c:v>82.87</c:v>
                </c:pt>
                <c:pt idx="7">
                  <c:v>83.62</c:v>
                </c:pt>
                <c:pt idx="8">
                  <c:v>90.45</c:v>
                </c:pt>
                <c:pt idx="9">
                  <c:v>90.52</c:v>
                </c:pt>
                <c:pt idx="10">
                  <c:v>90.73</c:v>
                </c:pt>
                <c:pt idx="11">
                  <c:v>92</c:v>
                </c:pt>
                <c:pt idx="12">
                  <c:v>90.454999999999998</c:v>
                </c:pt>
                <c:pt idx="13">
                  <c:v>91.18</c:v>
                </c:pt>
                <c:pt idx="14">
                  <c:v>89.67</c:v>
                </c:pt>
                <c:pt idx="15">
                  <c:v>90.555000000000007</c:v>
                </c:pt>
                <c:pt idx="16">
                  <c:v>89.76</c:v>
                </c:pt>
                <c:pt idx="17">
                  <c:v>92.64</c:v>
                </c:pt>
                <c:pt idx="18">
                  <c:v>94.415000000000006</c:v>
                </c:pt>
                <c:pt idx="19">
                  <c:v>99.43</c:v>
                </c:pt>
                <c:pt idx="20">
                  <c:v>99.43</c:v>
                </c:pt>
              </c:numCache>
            </c:numRef>
          </c:xVal>
          <c:yVal>
            <c:numRef>
              <c:f>ChaCha!$F$35:$Z$35</c:f>
              <c:numCache>
                <c:formatCode>0</c:formatCode>
                <c:ptCount val="21"/>
                <c:pt idx="0">
                  <c:v>1164.5747316267546</c:v>
                </c:pt>
                <c:pt idx="1">
                  <c:v>407.53697169882133</c:v>
                </c:pt>
                <c:pt idx="2">
                  <c:v>335.65047669093912</c:v>
                </c:pt>
                <c:pt idx="3">
                  <c:v>-722.91869979731246</c:v>
                </c:pt>
                <c:pt idx="4">
                  <c:v>-186.20223706928908</c:v>
                </c:pt>
                <c:pt idx="5">
                  <c:v>388.14653554537944</c:v>
                </c:pt>
                <c:pt idx="6">
                  <c:v>-1791.1830943622849</c:v>
                </c:pt>
                <c:pt idx="7">
                  <c:v>667.38232865400494</c:v>
                </c:pt>
                <c:pt idx="8">
                  <c:v>1739.7342541851212</c:v>
                </c:pt>
                <c:pt idx="9">
                  <c:v>1767.1984085278882</c:v>
                </c:pt>
                <c:pt idx="10">
                  <c:v>78.372494557465657</c:v>
                </c:pt>
                <c:pt idx="11">
                  <c:v>472.86990466181214</c:v>
                </c:pt>
                <c:pt idx="12">
                  <c:v>-505.80662112454019</c:v>
                </c:pt>
                <c:pt idx="13">
                  <c:v>261.36551309961715</c:v>
                </c:pt>
                <c:pt idx="14">
                  <c:v>-302.40972899932433</c:v>
                </c:pt>
                <c:pt idx="15">
                  <c:v>341.02169506793786</c:v>
                </c:pt>
                <c:pt idx="16">
                  <c:v>-357.47316267547478</c:v>
                </c:pt>
                <c:pt idx="17">
                  <c:v>1381.619247804219</c:v>
                </c:pt>
                <c:pt idx="18">
                  <c:v>116.68042939719238</c:v>
                </c:pt>
                <c:pt idx="19">
                  <c:v>1800</c:v>
                </c:pt>
                <c:pt idx="20">
                  <c:v>1800</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81.62</c:v>
                </c:pt>
                <c:pt idx="1">
                  <c:v>82.614800000000002</c:v>
                </c:pt>
                <c:pt idx="2">
                  <c:v>83.35</c:v>
                </c:pt>
                <c:pt idx="3">
                  <c:v>87.8</c:v>
                </c:pt>
                <c:pt idx="4">
                  <c:v>86.61</c:v>
                </c:pt>
                <c:pt idx="5">
                  <c:v>87.594999999999999</c:v>
                </c:pt>
                <c:pt idx="6">
                  <c:v>82.87</c:v>
                </c:pt>
                <c:pt idx="7">
                  <c:v>83.62</c:v>
                </c:pt>
                <c:pt idx="8">
                  <c:v>90.45</c:v>
                </c:pt>
                <c:pt idx="9">
                  <c:v>90.52</c:v>
                </c:pt>
                <c:pt idx="10">
                  <c:v>90.73</c:v>
                </c:pt>
                <c:pt idx="11">
                  <c:v>92</c:v>
                </c:pt>
                <c:pt idx="12">
                  <c:v>90.454999999999998</c:v>
                </c:pt>
                <c:pt idx="13">
                  <c:v>91.18</c:v>
                </c:pt>
                <c:pt idx="14">
                  <c:v>89.67</c:v>
                </c:pt>
                <c:pt idx="15">
                  <c:v>90.555000000000007</c:v>
                </c:pt>
                <c:pt idx="16">
                  <c:v>89.76</c:v>
                </c:pt>
                <c:pt idx="17">
                  <c:v>92.64</c:v>
                </c:pt>
                <c:pt idx="18">
                  <c:v>94.415000000000006</c:v>
                </c:pt>
                <c:pt idx="19">
                  <c:v>99.43</c:v>
                </c:pt>
                <c:pt idx="20">
                  <c:v>99.43</c:v>
                </c:pt>
              </c:numCache>
            </c:numRef>
          </c:xVal>
          <c:yVal>
            <c:numRef>
              <c:f>ChaCha!$F$36:$Z$36</c:f>
              <c:numCache>
                <c:formatCode>0</c:formatCode>
                <c:ptCount val="21"/>
                <c:pt idx="0">
                  <c:v>239.80855391037758</c:v>
                </c:pt>
                <c:pt idx="1">
                  <c:v>6080.6245777344038</c:v>
                </c:pt>
                <c:pt idx="2">
                  <c:v>135.9780955501756</c:v>
                </c:pt>
                <c:pt idx="3">
                  <c:v>268.24579153721641</c:v>
                </c:pt>
                <c:pt idx="4">
                  <c:v>0.1702911563066363</c:v>
                </c:pt>
                <c:pt idx="5">
                  <c:v>86.225941309250231</c:v>
                </c:pt>
                <c:pt idx="6">
                  <c:v>144.36314130503095</c:v>
                </c:pt>
                <c:pt idx="7">
                  <c:v>173.48950917473857</c:v>
                </c:pt>
                <c:pt idx="8">
                  <c:v>120.25802769147475</c:v>
                </c:pt>
                <c:pt idx="9">
                  <c:v>215.85528954953702</c:v>
                </c:pt>
                <c:pt idx="10">
                  <c:v>147.70531845224659</c:v>
                </c:pt>
                <c:pt idx="11">
                  <c:v>125.57897646993823</c:v>
                </c:pt>
                <c:pt idx="12">
                  <c:v>189.53112872242957</c:v>
                </c:pt>
                <c:pt idx="13">
                  <c:v>353.534151074541</c:v>
                </c:pt>
                <c:pt idx="14">
                  <c:v>264.50424039004514</c:v>
                </c:pt>
                <c:pt idx="15">
                  <c:v>138.48232151540677</c:v>
                </c:pt>
                <c:pt idx="16">
                  <c:v>239.90624031484046</c:v>
                </c:pt>
                <c:pt idx="17">
                  <c:v>125.34624814873455</c:v>
                </c:pt>
                <c:pt idx="18">
                  <c:v>492.34276342410391</c:v>
                </c:pt>
                <c:pt idx="19">
                  <c:v>416.00360958748928</c:v>
                </c:pt>
                <c:pt idx="20">
                  <c:v>416.00360958748928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99.35</c:v>
                </c:pt>
                <c:pt idx="10">
                  <c:v>99.35</c:v>
                </c:pt>
                <c:pt idx="20">
                  <c:v>99.35</c:v>
                </c:pt>
              </c:numCache>
            </c:numRef>
          </c:xVal>
          <c:yVal>
            <c:numRef>
              <c:f>ChaCha!$F$41:$Z$41</c:f>
              <c:numCache>
                <c:formatCode>General</c:formatCode>
                <c:ptCount val="21"/>
                <c:pt idx="0" formatCode="0">
                  <c:v>7904.8119510547249</c:v>
                </c:pt>
                <c:pt idx="10" formatCode="0">
                  <c:v>7904.8119510547249</c:v>
                </c:pt>
                <c:pt idx="20" formatCode="0">
                  <c:v>-2328.5380226709703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78.88</c:v>
                </c:pt>
                <c:pt idx="10">
                  <c:v>78.88</c:v>
                </c:pt>
                <c:pt idx="20">
                  <c:v>78.88</c:v>
                </c:pt>
              </c:numCache>
            </c:numRef>
          </c:xVal>
          <c:yVal>
            <c:numRef>
              <c:f>ChaCha!$F$41:$Z$41</c:f>
              <c:numCache>
                <c:formatCode>General</c:formatCode>
                <c:ptCount val="21"/>
                <c:pt idx="0" formatCode="0">
                  <c:v>7904.8119510547249</c:v>
                </c:pt>
                <c:pt idx="10" formatCode="0">
                  <c:v>7904.8119510547249</c:v>
                </c:pt>
                <c:pt idx="20" formatCode="0">
                  <c:v>-2328.5380226709703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38.51</c:v>
                </c:pt>
                <c:pt idx="10">
                  <c:v>38.51</c:v>
                </c:pt>
                <c:pt idx="20">
                  <c:v>38.51</c:v>
                </c:pt>
              </c:numCache>
            </c:numRef>
          </c:xVal>
          <c:yVal>
            <c:numRef>
              <c:f>ChaCha!$F$42:$Z$42</c:f>
              <c:numCache>
                <c:formatCode>General</c:formatCode>
                <c:ptCount val="21"/>
                <c:pt idx="0" formatCode="0">
                  <c:v>7296.7494932812842</c:v>
                </c:pt>
                <c:pt idx="10" formatCode="0">
                  <c:v>7296.7494932812842</c:v>
                </c:pt>
                <c:pt idx="20" formatCode="0">
                  <c:v>-2149.4197132347417</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86.41</c:v>
                </c:pt>
                <c:pt idx="10">
                  <c:v>86.41</c:v>
                </c:pt>
                <c:pt idx="20">
                  <c:v>86.41</c:v>
                </c:pt>
              </c:numCache>
            </c:numRef>
          </c:xVal>
          <c:yVal>
            <c:numRef>
              <c:f>ChaCha!$F$42:$Z$42</c:f>
              <c:numCache>
                <c:formatCode>General</c:formatCode>
                <c:ptCount val="21"/>
                <c:pt idx="0" formatCode="0">
                  <c:v>7296.7494932812842</c:v>
                </c:pt>
                <c:pt idx="10" formatCode="0">
                  <c:v>7296.7494932812842</c:v>
                </c:pt>
                <c:pt idx="20" formatCode="0">
                  <c:v>-2149.4197132347417</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99.35</c:v>
                </c:pt>
                <c:pt idx="10">
                  <c:v>99.35</c:v>
                </c:pt>
                <c:pt idx="20">
                  <c:v>99.35</c:v>
                </c:pt>
              </c:numCache>
            </c:numRef>
          </c:xVal>
          <c:yVal>
            <c:numRef>
              <c:f>ChaCha!$F$43:$Z$43</c:f>
              <c:numCache>
                <c:formatCode>General</c:formatCode>
                <c:ptCount val="21"/>
                <c:pt idx="0" formatCode="0">
                  <c:v>6688.6870355078445</c:v>
                </c:pt>
                <c:pt idx="10" formatCode="0">
                  <c:v>6688.6870355078445</c:v>
                </c:pt>
                <c:pt idx="20" formatCode="0">
                  <c:v>-1970.3014037985135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19.104759999999999</c:v>
                </c:pt>
                <c:pt idx="10">
                  <c:v>19.104759999999999</c:v>
                </c:pt>
                <c:pt idx="20">
                  <c:v>19.104759999999999</c:v>
                </c:pt>
              </c:numCache>
            </c:numRef>
          </c:xVal>
          <c:yVal>
            <c:numRef>
              <c:f>ChaCha!$F$43:$Z$43</c:f>
              <c:numCache>
                <c:formatCode>General</c:formatCode>
                <c:ptCount val="21"/>
                <c:pt idx="0" formatCode="0">
                  <c:v>6688.6870355078445</c:v>
                </c:pt>
                <c:pt idx="10" formatCode="0">
                  <c:v>6688.6870355078445</c:v>
                </c:pt>
                <c:pt idx="20" formatCode="0">
                  <c:v>-1970.3014037985135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99.43</c:v>
                </c:pt>
                <c:pt idx="10">
                  <c:v>99.43</c:v>
                </c:pt>
                <c:pt idx="20">
                  <c:v>99.43</c:v>
                </c:pt>
              </c:numCache>
            </c:numRef>
          </c:xVal>
          <c:yVal>
            <c:numRef>
              <c:f>ChaCha!$F$41:$Z$41</c:f>
              <c:numCache>
                <c:formatCode>General</c:formatCode>
                <c:ptCount val="21"/>
                <c:pt idx="0" formatCode="0">
                  <c:v>7904.8119510547249</c:v>
                </c:pt>
                <c:pt idx="10" formatCode="0">
                  <c:v>7904.8119510547249</c:v>
                </c:pt>
                <c:pt idx="20" formatCode="0">
                  <c:v>-2328.5380226709703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00.4243"/>
          <c:min val="18.9137123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81.62</c:v>
                </c:pt>
                <c:pt idx="1">
                  <c:v>82.614800000000002</c:v>
                </c:pt>
                <c:pt idx="2">
                  <c:v>83.35</c:v>
                </c:pt>
                <c:pt idx="3">
                  <c:v>87.8</c:v>
                </c:pt>
                <c:pt idx="4">
                  <c:v>86.61</c:v>
                </c:pt>
                <c:pt idx="5">
                  <c:v>87.594999999999999</c:v>
                </c:pt>
                <c:pt idx="6">
                  <c:v>82.87</c:v>
                </c:pt>
                <c:pt idx="7">
                  <c:v>83.62</c:v>
                </c:pt>
                <c:pt idx="8">
                  <c:v>90.45</c:v>
                </c:pt>
                <c:pt idx="9">
                  <c:v>90.52</c:v>
                </c:pt>
                <c:pt idx="10">
                  <c:v>90.73</c:v>
                </c:pt>
                <c:pt idx="11">
                  <c:v>92</c:v>
                </c:pt>
                <c:pt idx="12">
                  <c:v>90.454999999999998</c:v>
                </c:pt>
                <c:pt idx="13">
                  <c:v>91.18</c:v>
                </c:pt>
                <c:pt idx="14">
                  <c:v>89.67</c:v>
                </c:pt>
                <c:pt idx="15">
                  <c:v>90.555000000000007</c:v>
                </c:pt>
                <c:pt idx="16">
                  <c:v>89.76</c:v>
                </c:pt>
                <c:pt idx="17">
                  <c:v>92.64</c:v>
                </c:pt>
                <c:pt idx="18">
                  <c:v>94.415000000000006</c:v>
                </c:pt>
                <c:pt idx="19">
                  <c:v>99.43</c:v>
                </c:pt>
                <c:pt idx="20">
                  <c:v>99.43</c:v>
                </c:pt>
              </c:numCache>
            </c:numRef>
          </c:xVal>
          <c:yVal>
            <c:numRef>
              <c:f>ChaCha!$F$35:$Z$35</c:f>
              <c:numCache>
                <c:formatCode>0</c:formatCode>
                <c:ptCount val="21"/>
                <c:pt idx="0">
                  <c:v>1164.5747316267546</c:v>
                </c:pt>
                <c:pt idx="1">
                  <c:v>407.53697169882133</c:v>
                </c:pt>
                <c:pt idx="2">
                  <c:v>335.65047669093912</c:v>
                </c:pt>
                <c:pt idx="3">
                  <c:v>-722.91869979731246</c:v>
                </c:pt>
                <c:pt idx="4">
                  <c:v>-186.20223706928908</c:v>
                </c:pt>
                <c:pt idx="5">
                  <c:v>388.14653554537944</c:v>
                </c:pt>
                <c:pt idx="6">
                  <c:v>-1791.1830943622849</c:v>
                </c:pt>
                <c:pt idx="7">
                  <c:v>667.38232865400494</c:v>
                </c:pt>
                <c:pt idx="8">
                  <c:v>1739.7342541851212</c:v>
                </c:pt>
                <c:pt idx="9">
                  <c:v>1767.1984085278882</c:v>
                </c:pt>
                <c:pt idx="10">
                  <c:v>78.372494557465657</c:v>
                </c:pt>
                <c:pt idx="11">
                  <c:v>472.86990466181214</c:v>
                </c:pt>
                <c:pt idx="12">
                  <c:v>-505.80662112454019</c:v>
                </c:pt>
                <c:pt idx="13">
                  <c:v>261.36551309961715</c:v>
                </c:pt>
                <c:pt idx="14">
                  <c:v>-302.40972899932433</c:v>
                </c:pt>
                <c:pt idx="15">
                  <c:v>341.02169506793786</c:v>
                </c:pt>
                <c:pt idx="16">
                  <c:v>-357.47316267547478</c:v>
                </c:pt>
                <c:pt idx="17">
                  <c:v>1381.619247804219</c:v>
                </c:pt>
                <c:pt idx="18">
                  <c:v>116.68042939719238</c:v>
                </c:pt>
                <c:pt idx="19">
                  <c:v>1800</c:v>
                </c:pt>
                <c:pt idx="20">
                  <c:v>1800</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99.35</c:v>
                </c:pt>
                <c:pt idx="10">
                  <c:v>99.35</c:v>
                </c:pt>
                <c:pt idx="20">
                  <c:v>99.35</c:v>
                </c:pt>
              </c:numCache>
            </c:numRef>
          </c:xVal>
          <c:yVal>
            <c:numRef>
              <c:f>ChaCha!$F$41:$Z$41</c:f>
              <c:numCache>
                <c:formatCode>General</c:formatCode>
                <c:ptCount val="21"/>
                <c:pt idx="0" formatCode="0">
                  <c:v>7904.8119510547249</c:v>
                </c:pt>
                <c:pt idx="10" formatCode="0">
                  <c:v>7904.8119510547249</c:v>
                </c:pt>
                <c:pt idx="20" formatCode="0">
                  <c:v>-2328.5380226709703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78.88</c:v>
                </c:pt>
                <c:pt idx="10">
                  <c:v>78.88</c:v>
                </c:pt>
                <c:pt idx="20">
                  <c:v>78.88</c:v>
                </c:pt>
              </c:numCache>
            </c:numRef>
          </c:xVal>
          <c:yVal>
            <c:numRef>
              <c:f>ChaCha!$F$41:$Z$41</c:f>
              <c:numCache>
                <c:formatCode>General</c:formatCode>
                <c:ptCount val="21"/>
                <c:pt idx="0" formatCode="0">
                  <c:v>7904.8119510547249</c:v>
                </c:pt>
                <c:pt idx="10" formatCode="0">
                  <c:v>7904.8119510547249</c:v>
                </c:pt>
                <c:pt idx="20" formatCode="0">
                  <c:v>-2328.5380226709703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38.51</c:v>
                </c:pt>
                <c:pt idx="10">
                  <c:v>38.51</c:v>
                </c:pt>
                <c:pt idx="20">
                  <c:v>38.51</c:v>
                </c:pt>
              </c:numCache>
            </c:numRef>
          </c:xVal>
          <c:yVal>
            <c:numRef>
              <c:f>ChaCha!$F$42:$Z$42</c:f>
              <c:numCache>
                <c:formatCode>General</c:formatCode>
                <c:ptCount val="21"/>
                <c:pt idx="0" formatCode="0">
                  <c:v>7296.7494932812842</c:v>
                </c:pt>
                <c:pt idx="10" formatCode="0">
                  <c:v>7296.7494932812842</c:v>
                </c:pt>
                <c:pt idx="20" formatCode="0">
                  <c:v>-2149.4197132347417</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86.41</c:v>
                </c:pt>
                <c:pt idx="10">
                  <c:v>86.41</c:v>
                </c:pt>
                <c:pt idx="20">
                  <c:v>86.41</c:v>
                </c:pt>
              </c:numCache>
            </c:numRef>
          </c:xVal>
          <c:yVal>
            <c:numRef>
              <c:f>ChaCha!$F$42:$Z$42</c:f>
              <c:numCache>
                <c:formatCode>General</c:formatCode>
                <c:ptCount val="21"/>
                <c:pt idx="0" formatCode="0">
                  <c:v>7296.7494932812842</c:v>
                </c:pt>
                <c:pt idx="10" formatCode="0">
                  <c:v>7296.7494932812842</c:v>
                </c:pt>
                <c:pt idx="20" formatCode="0">
                  <c:v>-2149.4197132347417</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99.35</c:v>
                </c:pt>
                <c:pt idx="10">
                  <c:v>99.35</c:v>
                </c:pt>
                <c:pt idx="20">
                  <c:v>99.35</c:v>
                </c:pt>
              </c:numCache>
            </c:numRef>
          </c:xVal>
          <c:yVal>
            <c:numRef>
              <c:f>ChaCha!$F$43:$Z$43</c:f>
              <c:numCache>
                <c:formatCode>General</c:formatCode>
                <c:ptCount val="21"/>
                <c:pt idx="0" formatCode="0">
                  <c:v>6688.6870355078445</c:v>
                </c:pt>
                <c:pt idx="10" formatCode="0">
                  <c:v>6688.6870355078445</c:v>
                </c:pt>
                <c:pt idx="20" formatCode="0">
                  <c:v>-1970.3014037985135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99.43</c:v>
                </c:pt>
                <c:pt idx="10">
                  <c:v>99.43</c:v>
                </c:pt>
                <c:pt idx="20">
                  <c:v>99.43</c:v>
                </c:pt>
              </c:numCache>
            </c:numRef>
          </c:xVal>
          <c:yVal>
            <c:numRef>
              <c:f>ChaCha!$F$43:$Z$43</c:f>
              <c:numCache>
                <c:formatCode>General</c:formatCode>
                <c:ptCount val="21"/>
                <c:pt idx="0" formatCode="0">
                  <c:v>6688.6870355078445</c:v>
                </c:pt>
                <c:pt idx="10" formatCode="0">
                  <c:v>6688.6870355078445</c:v>
                </c:pt>
                <c:pt idx="20" formatCode="0">
                  <c:v>-1970.3014037985135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81.62</c:v>
                </c:pt>
                <c:pt idx="1">
                  <c:v>82.614800000000002</c:v>
                </c:pt>
                <c:pt idx="2">
                  <c:v>83.35</c:v>
                </c:pt>
                <c:pt idx="3">
                  <c:v>87.8</c:v>
                </c:pt>
                <c:pt idx="4">
                  <c:v>86.61</c:v>
                </c:pt>
                <c:pt idx="5">
                  <c:v>87.594999999999999</c:v>
                </c:pt>
                <c:pt idx="6">
                  <c:v>82.87</c:v>
                </c:pt>
                <c:pt idx="7">
                  <c:v>83.62</c:v>
                </c:pt>
                <c:pt idx="8">
                  <c:v>90.45</c:v>
                </c:pt>
                <c:pt idx="9">
                  <c:v>90.52</c:v>
                </c:pt>
                <c:pt idx="10">
                  <c:v>90.73</c:v>
                </c:pt>
                <c:pt idx="11">
                  <c:v>92</c:v>
                </c:pt>
                <c:pt idx="12">
                  <c:v>90.454999999999998</c:v>
                </c:pt>
                <c:pt idx="13">
                  <c:v>91.18</c:v>
                </c:pt>
                <c:pt idx="14">
                  <c:v>89.67</c:v>
                </c:pt>
                <c:pt idx="15">
                  <c:v>90.555000000000007</c:v>
                </c:pt>
                <c:pt idx="16">
                  <c:v>89.76</c:v>
                </c:pt>
                <c:pt idx="17">
                  <c:v>92.64</c:v>
                </c:pt>
                <c:pt idx="18">
                  <c:v>94.415000000000006</c:v>
                </c:pt>
                <c:pt idx="19">
                  <c:v>99.43</c:v>
                </c:pt>
                <c:pt idx="20">
                  <c:v>99.43</c:v>
                </c:pt>
              </c:numCache>
            </c:numRef>
          </c:xVal>
          <c:yVal>
            <c:numRef>
              <c:f>ChaCha!$F$36:$Z$36</c:f>
              <c:numCache>
                <c:formatCode>0</c:formatCode>
                <c:ptCount val="21"/>
                <c:pt idx="0">
                  <c:v>239.80855391037758</c:v>
                </c:pt>
                <c:pt idx="1">
                  <c:v>6080.6245777344038</c:v>
                </c:pt>
                <c:pt idx="2">
                  <c:v>135.9780955501756</c:v>
                </c:pt>
                <c:pt idx="3">
                  <c:v>268.24579153721641</c:v>
                </c:pt>
                <c:pt idx="4">
                  <c:v>0.1702911563066363</c:v>
                </c:pt>
                <c:pt idx="5">
                  <c:v>86.225941309250231</c:v>
                </c:pt>
                <c:pt idx="6">
                  <c:v>144.36314130503095</c:v>
                </c:pt>
                <c:pt idx="7">
                  <c:v>173.48950917473857</c:v>
                </c:pt>
                <c:pt idx="8">
                  <c:v>120.25802769147475</c:v>
                </c:pt>
                <c:pt idx="9">
                  <c:v>215.85528954953702</c:v>
                </c:pt>
                <c:pt idx="10">
                  <c:v>147.70531845224659</c:v>
                </c:pt>
                <c:pt idx="11">
                  <c:v>125.57897646993823</c:v>
                </c:pt>
                <c:pt idx="12">
                  <c:v>189.53112872242957</c:v>
                </c:pt>
                <c:pt idx="13">
                  <c:v>353.534151074541</c:v>
                </c:pt>
                <c:pt idx="14">
                  <c:v>264.50424039004514</c:v>
                </c:pt>
                <c:pt idx="15">
                  <c:v>138.48232151540677</c:v>
                </c:pt>
                <c:pt idx="16">
                  <c:v>239.90624031484046</c:v>
                </c:pt>
                <c:pt idx="17">
                  <c:v>125.34624814873455</c:v>
                </c:pt>
                <c:pt idx="18">
                  <c:v>492.34276342410391</c:v>
                </c:pt>
                <c:pt idx="19">
                  <c:v>416.00360958748928</c:v>
                </c:pt>
                <c:pt idx="20">
                  <c:v>416.00360958748928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67.009778907882335</c:v>
                </c:pt>
                <c:pt idx="10" formatCode="0.00">
                  <c:v>67.009778907882335</c:v>
                </c:pt>
                <c:pt idx="20" formatCode="0.00">
                  <c:v>67.009778907882335</c:v>
                </c:pt>
              </c:numCache>
            </c:numRef>
          </c:xVal>
          <c:yVal>
            <c:numRef>
              <c:f>ChaCha!$F$43:$Z$43</c:f>
              <c:numCache>
                <c:formatCode>General</c:formatCode>
                <c:ptCount val="21"/>
                <c:pt idx="0" formatCode="0">
                  <c:v>6688.6870355078445</c:v>
                </c:pt>
                <c:pt idx="10" formatCode="0">
                  <c:v>6688.6870355078445</c:v>
                </c:pt>
                <c:pt idx="20" formatCode="0">
                  <c:v>-1970.3014037985135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00.4243"/>
          <c:min val="38.124899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17000 x A=67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17000 x A=67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17000 x A=67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46002.876229235939</v>
          </cell>
        </row>
        <row r="3">
          <cell r="A3" t="str">
            <v>AAPL</v>
          </cell>
          <cell r="D3" t="str">
            <v>USD</v>
          </cell>
          <cell r="E3">
            <v>46002.876048506252</v>
          </cell>
          <cell r="F3">
            <v>278.77999999999997</v>
          </cell>
          <cell r="G3">
            <v>278.99</v>
          </cell>
          <cell r="H3">
            <v>278.02999999999997</v>
          </cell>
          <cell r="I3">
            <v>273.81</v>
          </cell>
          <cell r="J3">
            <v>279.58</v>
          </cell>
          <cell r="K3">
            <v>37.437100000000001</v>
          </cell>
          <cell r="L3">
            <v>-0.75</v>
          </cell>
          <cell r="M3">
            <v>-2.6900000000000001E-3</v>
          </cell>
          <cell r="N3">
            <v>169.21010000000001</v>
          </cell>
          <cell r="O3">
            <v>288.62</v>
          </cell>
          <cell r="P3">
            <v>31286071</v>
          </cell>
          <cell r="Q3">
            <v>44664122</v>
          </cell>
          <cell r="R3">
            <v>1.0908</v>
          </cell>
        </row>
        <row r="4">
          <cell r="A4" t="str">
            <v>ADEA</v>
          </cell>
          <cell r="D4" t="str">
            <v>USD</v>
          </cell>
          <cell r="E4">
            <v>46002.8761639</v>
          </cell>
          <cell r="F4">
            <v>13.52</v>
          </cell>
          <cell r="G4">
            <v>13.5</v>
          </cell>
          <cell r="H4">
            <v>13.56</v>
          </cell>
          <cell r="I4">
            <v>13.36</v>
          </cell>
          <cell r="J4">
            <v>13.619899999999999</v>
          </cell>
          <cell r="K4">
            <v>20.893699999999999</v>
          </cell>
          <cell r="L4">
            <v>0.04</v>
          </cell>
          <cell r="M4">
            <v>2.9589999999999998E-3</v>
          </cell>
          <cell r="N4">
            <v>10.59</v>
          </cell>
          <cell r="O4">
            <v>18.25</v>
          </cell>
          <cell r="P4">
            <v>665213</v>
          </cell>
          <cell r="Q4">
            <v>877160</v>
          </cell>
          <cell r="R4">
            <v>2.3845000000000001</v>
          </cell>
        </row>
        <row r="5">
          <cell r="A5" t="str">
            <v>AET</v>
          </cell>
          <cell r="D5" t="str">
            <v>GBp</v>
          </cell>
          <cell r="E5">
            <v>46002.714270625002</v>
          </cell>
          <cell r="F5">
            <v>40.1</v>
          </cell>
          <cell r="G5">
            <v>40</v>
          </cell>
          <cell r="H5">
            <v>39</v>
          </cell>
          <cell r="I5">
            <v>38.5</v>
          </cell>
          <cell r="J5">
            <v>40</v>
          </cell>
          <cell r="K5">
            <v>3.3854000000000002</v>
          </cell>
          <cell r="L5">
            <v>-1.1000000000000001</v>
          </cell>
          <cell r="M5">
            <v>-2.7431000000000001E-2</v>
          </cell>
          <cell r="N5">
            <v>33.064999999999998</v>
          </cell>
          <cell r="O5">
            <v>56.2</v>
          </cell>
          <cell r="P5">
            <v>670595</v>
          </cell>
          <cell r="Q5">
            <v>720220</v>
          </cell>
          <cell r="R5">
            <v>1.8467</v>
          </cell>
        </row>
        <row r="6">
          <cell r="A6" t="str">
            <v>AMZN</v>
          </cell>
          <cell r="D6" t="str">
            <v>USD</v>
          </cell>
          <cell r="E6">
            <v>46002.876189710158</v>
          </cell>
          <cell r="F6">
            <v>231.78</v>
          </cell>
          <cell r="G6">
            <v>230.95</v>
          </cell>
          <cell r="H6">
            <v>230.28</v>
          </cell>
          <cell r="I6">
            <v>228.6901</v>
          </cell>
          <cell r="J6">
            <v>232.11</v>
          </cell>
          <cell r="K6">
            <v>32.53</v>
          </cell>
          <cell r="L6">
            <v>-1.5</v>
          </cell>
          <cell r="M6">
            <v>-6.4720000000000003E-3</v>
          </cell>
          <cell r="N6">
            <v>161.38</v>
          </cell>
          <cell r="O6">
            <v>258.60000000000002</v>
          </cell>
          <cell r="P6">
            <v>26757613</v>
          </cell>
          <cell r="Q6">
            <v>42294615</v>
          </cell>
          <cell r="R6">
            <v>1.3754999999999999</v>
          </cell>
        </row>
        <row r="7">
          <cell r="A7" t="str">
            <v>ALDNE</v>
          </cell>
          <cell r="D7" t="str">
            <v>EUR</v>
          </cell>
          <cell r="E7">
            <v>46002.708333333336</v>
          </cell>
          <cell r="F7">
            <v>0.59799999999999998</v>
          </cell>
          <cell r="G7">
            <v>0.58599999999999997</v>
          </cell>
          <cell r="H7">
            <v>0.55000000000000004</v>
          </cell>
          <cell r="I7">
            <v>0.55000000000000004</v>
          </cell>
          <cell r="J7">
            <v>0.59</v>
          </cell>
          <cell r="K7">
            <v>0</v>
          </cell>
          <cell r="L7">
            <v>-4.8000000000000001E-2</v>
          </cell>
          <cell r="M7">
            <v>-8.0267999999999992E-2</v>
          </cell>
          <cell r="N7">
            <v>0.55000000000000004</v>
          </cell>
          <cell r="O7">
            <v>1.53</v>
          </cell>
          <cell r="P7">
            <v>8530</v>
          </cell>
          <cell r="Q7">
            <v>8930</v>
          </cell>
          <cell r="R7">
            <v>0.96899999999999997</v>
          </cell>
        </row>
        <row r="8">
          <cell r="A8" t="str">
            <v>ASML</v>
          </cell>
          <cell r="D8" t="str">
            <v>EUR</v>
          </cell>
          <cell r="E8">
            <v>46002.708333333336</v>
          </cell>
          <cell r="F8">
            <v>946</v>
          </cell>
          <cell r="G8">
            <v>945.1</v>
          </cell>
          <cell r="H8">
            <v>940.9</v>
          </cell>
          <cell r="I8">
            <v>931</v>
          </cell>
          <cell r="J8">
            <v>953.7</v>
          </cell>
          <cell r="K8">
            <v>36.127200000000002</v>
          </cell>
          <cell r="L8">
            <v>-5.0999999999999996</v>
          </cell>
          <cell r="M8">
            <v>-5.391E-3</v>
          </cell>
          <cell r="N8">
            <v>508.4</v>
          </cell>
          <cell r="O8">
            <v>977.1</v>
          </cell>
          <cell r="P8">
            <v>465132</v>
          </cell>
          <cell r="Q8">
            <v>479820</v>
          </cell>
          <cell r="R8">
            <v>2.0899000000000001</v>
          </cell>
        </row>
        <row r="9">
          <cell r="A9" t="str">
            <v>AVGO</v>
          </cell>
          <cell r="F9">
            <v>412.97</v>
          </cell>
          <cell r="G9">
            <v>404.71</v>
          </cell>
          <cell r="H9">
            <v>406.37</v>
          </cell>
          <cell r="I9">
            <v>394.19</v>
          </cell>
          <cell r="J9">
            <v>409.09969999999998</v>
          </cell>
          <cell r="K9">
            <v>104.1707</v>
          </cell>
          <cell r="L9">
            <v>-6.6</v>
          </cell>
          <cell r="M9">
            <v>-1.5982E-2</v>
          </cell>
          <cell r="O9">
            <v>414.61</v>
          </cell>
          <cell r="P9">
            <v>32044825</v>
          </cell>
          <cell r="Q9">
            <v>23172561</v>
          </cell>
          <cell r="R9">
            <v>1.2012</v>
          </cell>
        </row>
        <row r="10">
          <cell r="A10" t="str">
            <v>AZN</v>
          </cell>
          <cell r="F10">
            <v>91.51</v>
          </cell>
          <cell r="G10">
            <v>90.63</v>
          </cell>
          <cell r="H10">
            <v>90.29</v>
          </cell>
          <cell r="I10">
            <v>90.194999999999993</v>
          </cell>
          <cell r="J10">
            <v>91.52</v>
          </cell>
          <cell r="K10">
            <v>29.996700000000001</v>
          </cell>
          <cell r="L10">
            <v>-1.22</v>
          </cell>
          <cell r="M10">
            <v>-1.3332E-2</v>
          </cell>
          <cell r="N10">
            <v>61.24</v>
          </cell>
          <cell r="O10">
            <v>94.015000000000001</v>
          </cell>
          <cell r="P10">
            <v>6365965</v>
          </cell>
          <cell r="Q10">
            <v>5571931</v>
          </cell>
          <cell r="R10">
            <v>0.34470000000000001</v>
          </cell>
        </row>
        <row r="11">
          <cell r="A11" t="str">
            <v>BLDP</v>
          </cell>
          <cell r="D11" t="str">
            <v>USD</v>
          </cell>
          <cell r="E11">
            <v>46002.876037001559</v>
          </cell>
          <cell r="F11">
            <v>2.78</v>
          </cell>
          <cell r="G11">
            <v>2.74</v>
          </cell>
          <cell r="H11">
            <v>2.89</v>
          </cell>
          <cell r="I11">
            <v>2.6612</v>
          </cell>
          <cell r="J11">
            <v>2.91</v>
          </cell>
          <cell r="K11">
            <v>0</v>
          </cell>
          <cell r="L11">
            <v>0.11</v>
          </cell>
          <cell r="M11">
            <v>3.9567999999999999E-2</v>
          </cell>
          <cell r="N11">
            <v>1</v>
          </cell>
          <cell r="O11">
            <v>4.0999999999999996</v>
          </cell>
          <cell r="P11">
            <v>3820271</v>
          </cell>
          <cell r="Q11">
            <v>6051686</v>
          </cell>
          <cell r="R11">
            <v>1.6123000000000001</v>
          </cell>
        </row>
        <row r="12">
          <cell r="A12" t="str">
            <v>BMRA</v>
          </cell>
          <cell r="D12" t="str">
            <v>USD</v>
          </cell>
          <cell r="E12">
            <v>46002.875009733594</v>
          </cell>
          <cell r="F12">
            <v>2.5</v>
          </cell>
          <cell r="G12">
            <v>2.58</v>
          </cell>
          <cell r="H12">
            <v>2.59</v>
          </cell>
          <cell r="I12">
            <v>2.5101</v>
          </cell>
          <cell r="J12">
            <v>2.6665000000000001</v>
          </cell>
          <cell r="K12">
            <v>0</v>
          </cell>
          <cell r="L12">
            <v>0.09</v>
          </cell>
          <cell r="M12">
            <v>3.6000000000000004E-2</v>
          </cell>
          <cell r="N12">
            <v>2.08</v>
          </cell>
          <cell r="O12">
            <v>10.16</v>
          </cell>
          <cell r="P12">
            <v>53970</v>
          </cell>
          <cell r="Q12">
            <v>19039</v>
          </cell>
          <cell r="R12">
            <v>0.11260000000000001</v>
          </cell>
        </row>
        <row r="13">
          <cell r="A13" t="str">
            <v>C</v>
          </cell>
          <cell r="D13" t="str">
            <v>USD</v>
          </cell>
          <cell r="E13">
            <v>46002.876125751565</v>
          </cell>
          <cell r="F13">
            <v>111.09</v>
          </cell>
          <cell r="G13">
            <v>111.265</v>
          </cell>
          <cell r="H13">
            <v>111.75</v>
          </cell>
          <cell r="I13">
            <v>111.1101</v>
          </cell>
          <cell r="J13">
            <v>112.34</v>
          </cell>
          <cell r="K13">
            <v>15.709300000000001</v>
          </cell>
          <cell r="L13">
            <v>0.66</v>
          </cell>
          <cell r="M13">
            <v>5.9409999999999992E-3</v>
          </cell>
          <cell r="N13">
            <v>55.51</v>
          </cell>
          <cell r="O13">
            <v>112.34</v>
          </cell>
          <cell r="P13">
            <v>10073512</v>
          </cell>
          <cell r="Q13">
            <v>11912658</v>
          </cell>
          <cell r="R13">
            <v>1.175</v>
          </cell>
        </row>
        <row r="14">
          <cell r="A14" t="str">
            <v>CSCO</v>
          </cell>
          <cell r="D14" t="str">
            <v>USD</v>
          </cell>
          <cell r="E14">
            <v>46002.876185786721</v>
          </cell>
          <cell r="F14">
            <v>80.25</v>
          </cell>
          <cell r="G14">
            <v>80.33</v>
          </cell>
          <cell r="H14">
            <v>79.27</v>
          </cell>
          <cell r="I14">
            <v>78.825000000000003</v>
          </cell>
          <cell r="J14">
            <v>80.37</v>
          </cell>
          <cell r="K14">
            <v>30.658300000000001</v>
          </cell>
          <cell r="L14">
            <v>-0.98</v>
          </cell>
          <cell r="M14">
            <v>-1.2212000000000001E-2</v>
          </cell>
          <cell r="N14">
            <v>52.11</v>
          </cell>
          <cell r="O14">
            <v>80.814999999999998</v>
          </cell>
          <cell r="P14">
            <v>18354203</v>
          </cell>
          <cell r="Q14">
            <v>22926579</v>
          </cell>
          <cell r="R14">
            <v>0.86050000000000004</v>
          </cell>
        </row>
        <row r="15">
          <cell r="A15" t="str">
            <v>CVS</v>
          </cell>
          <cell r="D15" t="str">
            <v>USD</v>
          </cell>
          <cell r="E15">
            <v>46002.876155022655</v>
          </cell>
          <cell r="F15">
            <v>78.97</v>
          </cell>
          <cell r="G15">
            <v>79.040000000000006</v>
          </cell>
          <cell r="H15">
            <v>80.83</v>
          </cell>
          <cell r="I15">
            <v>78.27</v>
          </cell>
          <cell r="J15">
            <v>80.89</v>
          </cell>
          <cell r="K15">
            <v>211.76320000000001</v>
          </cell>
          <cell r="L15">
            <v>1.86</v>
          </cell>
          <cell r="M15">
            <v>2.3553000000000001E-2</v>
          </cell>
          <cell r="N15">
            <v>43.56</v>
          </cell>
          <cell r="O15">
            <v>85.15</v>
          </cell>
          <cell r="P15">
            <v>10705888</v>
          </cell>
          <cell r="Q15">
            <v>7398482</v>
          </cell>
          <cell r="R15">
            <v>0.48359999999999997</v>
          </cell>
        </row>
        <row r="16">
          <cell r="A16" t="str">
            <v>DDD</v>
          </cell>
          <cell r="D16" t="str">
            <v>USD</v>
          </cell>
          <cell r="E16">
            <v>46002.876046238278</v>
          </cell>
          <cell r="F16">
            <v>1.77</v>
          </cell>
          <cell r="G16">
            <v>1.79</v>
          </cell>
          <cell r="H16">
            <v>1.9650000000000001</v>
          </cell>
          <cell r="I16">
            <v>1.76</v>
          </cell>
          <cell r="J16">
            <v>2</v>
          </cell>
          <cell r="K16">
            <v>0</v>
          </cell>
          <cell r="L16">
            <v>0.19500000000000001</v>
          </cell>
          <cell r="M16">
            <v>0.110169</v>
          </cell>
          <cell r="N16">
            <v>1.32</v>
          </cell>
          <cell r="O16">
            <v>4.9991000000000003</v>
          </cell>
          <cell r="P16">
            <v>4567106</v>
          </cell>
          <cell r="Q16">
            <v>2976675</v>
          </cell>
          <cell r="R16">
            <v>1.8795999999999999</v>
          </cell>
        </row>
        <row r="17">
          <cell r="A17" t="str">
            <v>DIS</v>
          </cell>
          <cell r="D17" t="str">
            <v>USD</v>
          </cell>
          <cell r="E17">
            <v>46002.876101110938</v>
          </cell>
          <cell r="F17">
            <v>108.83</v>
          </cell>
          <cell r="G17">
            <v>109.12</v>
          </cell>
          <cell r="H17">
            <v>111.48</v>
          </cell>
          <cell r="I17">
            <v>109.12</v>
          </cell>
          <cell r="J17">
            <v>111.56</v>
          </cell>
          <cell r="K17">
            <v>16.270399999999999</v>
          </cell>
          <cell r="L17">
            <v>2.65</v>
          </cell>
          <cell r="M17">
            <v>2.435E-2</v>
          </cell>
          <cell r="N17">
            <v>80.099999999999994</v>
          </cell>
          <cell r="O17">
            <v>124.69</v>
          </cell>
          <cell r="P17">
            <v>11811435</v>
          </cell>
          <cell r="Q17">
            <v>12369271</v>
          </cell>
          <cell r="R17">
            <v>1.4497</v>
          </cell>
        </row>
        <row r="18">
          <cell r="A18" t="str">
            <v>DSY</v>
          </cell>
          <cell r="D18" t="str">
            <v>EUR</v>
          </cell>
          <cell r="E18">
            <v>46002.708333333336</v>
          </cell>
          <cell r="F18">
            <v>23.02</v>
          </cell>
          <cell r="G18">
            <v>22.9</v>
          </cell>
          <cell r="H18">
            <v>23.13</v>
          </cell>
          <cell r="I18">
            <v>22.79</v>
          </cell>
          <cell r="J18">
            <v>23.36</v>
          </cell>
          <cell r="K18">
            <v>25.720700000000001</v>
          </cell>
          <cell r="L18">
            <v>0.11</v>
          </cell>
          <cell r="M18">
            <v>4.7780000000000001E-3</v>
          </cell>
          <cell r="N18">
            <v>22.79</v>
          </cell>
          <cell r="O18">
            <v>41.17</v>
          </cell>
          <cell r="P18">
            <v>2277813</v>
          </cell>
          <cell r="Q18">
            <v>2028040</v>
          </cell>
          <cell r="R18">
            <v>0.79459999999999997</v>
          </cell>
        </row>
        <row r="19">
          <cell r="A19" t="str">
            <v>DVA</v>
          </cell>
          <cell r="D19" t="str">
            <v>USD</v>
          </cell>
          <cell r="E19">
            <v>46002.876074316409</v>
          </cell>
          <cell r="F19">
            <v>118.68</v>
          </cell>
          <cell r="G19">
            <v>119.51</v>
          </cell>
          <cell r="H19">
            <v>120.345</v>
          </cell>
          <cell r="I19">
            <v>117.62</v>
          </cell>
          <cell r="J19">
            <v>122.61</v>
          </cell>
          <cell r="K19">
            <v>12.390599999999999</v>
          </cell>
          <cell r="L19">
            <v>1.665</v>
          </cell>
          <cell r="M19">
            <v>1.4029E-2</v>
          </cell>
          <cell r="N19">
            <v>113.97</v>
          </cell>
          <cell r="O19">
            <v>179.6</v>
          </cell>
          <cell r="P19">
            <v>1043661</v>
          </cell>
          <cell r="Q19">
            <v>966537</v>
          </cell>
          <cell r="R19">
            <v>0.98509999999999998</v>
          </cell>
        </row>
        <row r="20">
          <cell r="A20" t="str">
            <v>DXC</v>
          </cell>
          <cell r="D20" t="str">
            <v>USD</v>
          </cell>
          <cell r="E20">
            <v>46002.876041642972</v>
          </cell>
          <cell r="F20">
            <v>15.12</v>
          </cell>
          <cell r="G20">
            <v>15.15</v>
          </cell>
          <cell r="H20">
            <v>15.24</v>
          </cell>
          <cell r="I20">
            <v>15.06</v>
          </cell>
          <cell r="J20">
            <v>15.315</v>
          </cell>
          <cell r="K20">
            <v>7.4413999999999998</v>
          </cell>
          <cell r="L20">
            <v>0.12</v>
          </cell>
          <cell r="M20">
            <v>7.9369999999999996E-3</v>
          </cell>
          <cell r="N20">
            <v>11.82</v>
          </cell>
          <cell r="O20">
            <v>23.75</v>
          </cell>
          <cell r="P20">
            <v>2459055</v>
          </cell>
          <cell r="Q20">
            <v>2148050</v>
          </cell>
          <cell r="R20">
            <v>1.0491999999999999</v>
          </cell>
        </row>
        <row r="21">
          <cell r="A21" t="str">
            <v>EOAN</v>
          </cell>
          <cell r="D21" t="str">
            <v>EUR</v>
          </cell>
          <cell r="E21">
            <v>46002.863194444442</v>
          </cell>
          <cell r="F21">
            <v>15.55</v>
          </cell>
          <cell r="G21">
            <v>15.46</v>
          </cell>
          <cell r="H21">
            <v>15.035</v>
          </cell>
          <cell r="I21">
            <v>15</v>
          </cell>
          <cell r="J21">
            <v>15.5</v>
          </cell>
          <cell r="K21">
            <v>13.0739</v>
          </cell>
          <cell r="L21">
            <v>-0.51500000000000001</v>
          </cell>
          <cell r="M21">
            <v>-3.3119000000000003E-2</v>
          </cell>
          <cell r="N21">
            <v>7.3</v>
          </cell>
          <cell r="O21">
            <v>16.515000000000001</v>
          </cell>
          <cell r="P21">
            <v>29923</v>
          </cell>
          <cell r="Q21">
            <v>3704520</v>
          </cell>
          <cell r="R21">
            <v>0.86650000000000005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46002.876132175785</v>
          </cell>
          <cell r="F23">
            <v>80.8</v>
          </cell>
          <cell r="G23">
            <v>80.44</v>
          </cell>
          <cell r="H23">
            <v>80.844999999999999</v>
          </cell>
          <cell r="I23">
            <v>80.3</v>
          </cell>
          <cell r="J23">
            <v>81.22</v>
          </cell>
          <cell r="K23">
            <v>15.5495</v>
          </cell>
          <cell r="L23">
            <v>4.4999999999999998E-2</v>
          </cell>
          <cell r="M23">
            <v>5.5690000000000004E-4</v>
          </cell>
          <cell r="N23">
            <v>41.6</v>
          </cell>
          <cell r="O23">
            <v>81.22</v>
          </cell>
          <cell r="P23">
            <v>9647869</v>
          </cell>
          <cell r="Q23">
            <v>9025892</v>
          </cell>
          <cell r="R23">
            <v>1.3228</v>
          </cell>
        </row>
        <row r="24">
          <cell r="A24" t="str">
            <v>HPE</v>
          </cell>
          <cell r="D24" t="str">
            <v>USD</v>
          </cell>
          <cell r="E24">
            <v>46002.876164363282</v>
          </cell>
          <cell r="F24">
            <v>25.26</v>
          </cell>
          <cell r="G24">
            <v>24.7</v>
          </cell>
          <cell r="H24">
            <v>24.54</v>
          </cell>
          <cell r="I24">
            <v>24.045000000000002</v>
          </cell>
          <cell r="J24">
            <v>24.899899999999999</v>
          </cell>
          <cell r="K24">
            <v>0</v>
          </cell>
          <cell r="L24">
            <v>-0.72</v>
          </cell>
          <cell r="M24">
            <v>-2.8504000000000002E-2</v>
          </cell>
          <cell r="N24">
            <v>11.965</v>
          </cell>
          <cell r="O24">
            <v>26.44</v>
          </cell>
          <cell r="P24">
            <v>26193736</v>
          </cell>
          <cell r="Q24">
            <v>29465794</v>
          </cell>
          <cell r="R24">
            <v>1.3351999999999999</v>
          </cell>
        </row>
        <row r="25">
          <cell r="A25" t="str">
            <v>HPQ</v>
          </cell>
          <cell r="D25" t="str">
            <v>USD</v>
          </cell>
          <cell r="E25">
            <v>46002.876040937503</v>
          </cell>
          <cell r="F25">
            <v>25.19</v>
          </cell>
          <cell r="G25">
            <v>25.11</v>
          </cell>
          <cell r="H25">
            <v>25.405000000000001</v>
          </cell>
          <cell r="I25">
            <v>25.105</v>
          </cell>
          <cell r="J25">
            <v>25.49</v>
          </cell>
          <cell r="K25">
            <v>9.5740999999999996</v>
          </cell>
          <cell r="L25">
            <v>0.215</v>
          </cell>
          <cell r="M25">
            <v>8.5350000000000009E-3</v>
          </cell>
          <cell r="N25">
            <v>21.21</v>
          </cell>
          <cell r="O25">
            <v>35.274999999999999</v>
          </cell>
          <cell r="P25">
            <v>10347653</v>
          </cell>
          <cell r="Q25">
            <v>13650387</v>
          </cell>
          <cell r="R25">
            <v>1.2088000000000001</v>
          </cell>
        </row>
        <row r="26">
          <cell r="A26" t="str">
            <v>IAG</v>
          </cell>
          <cell r="D26" t="str">
            <v>GBp</v>
          </cell>
          <cell r="E26">
            <v>46002.686080821091</v>
          </cell>
          <cell r="F26">
            <v>385.6</v>
          </cell>
          <cell r="G26">
            <v>388.9</v>
          </cell>
          <cell r="H26">
            <v>397.6</v>
          </cell>
          <cell r="I26">
            <v>385.8</v>
          </cell>
          <cell r="J26">
            <v>397.7</v>
          </cell>
          <cell r="K26">
            <v>7.1555</v>
          </cell>
          <cell r="L26">
            <v>12</v>
          </cell>
          <cell r="M26">
            <v>3.1120000000000002E-2</v>
          </cell>
          <cell r="N26">
            <v>210</v>
          </cell>
          <cell r="O26">
            <v>429.3</v>
          </cell>
          <cell r="P26">
            <v>15161710</v>
          </cell>
          <cell r="Q26">
            <v>18071670</v>
          </cell>
          <cell r="R26">
            <v>2.3477000000000001</v>
          </cell>
        </row>
        <row r="27">
          <cell r="A27" t="str">
            <v>KR</v>
          </cell>
          <cell r="D27" t="str">
            <v>USD</v>
          </cell>
          <cell r="E27">
            <v>46002.875920705468</v>
          </cell>
          <cell r="F27">
            <v>61.24</v>
          </cell>
          <cell r="G27">
            <v>61.61</v>
          </cell>
          <cell r="H27">
            <v>62.215000000000003</v>
          </cell>
          <cell r="I27">
            <v>61.5931</v>
          </cell>
          <cell r="J27">
            <v>62.5871</v>
          </cell>
          <cell r="K27">
            <v>57.151400000000002</v>
          </cell>
          <cell r="L27">
            <v>0.97499999999999998</v>
          </cell>
          <cell r="M27">
            <v>1.5921000000000001E-2</v>
          </cell>
          <cell r="N27">
            <v>58.12</v>
          </cell>
          <cell r="O27">
            <v>74.900000000000006</v>
          </cell>
          <cell r="P27">
            <v>7327448</v>
          </cell>
          <cell r="Q27">
            <v>6958005</v>
          </cell>
          <cell r="R27">
            <v>0.59730000000000005</v>
          </cell>
        </row>
        <row r="28">
          <cell r="A28" t="str">
            <v>LNSR</v>
          </cell>
          <cell r="D28" t="str">
            <v>USD</v>
          </cell>
          <cell r="E28">
            <v>46002.875197499998</v>
          </cell>
          <cell r="F28">
            <v>11.55</v>
          </cell>
          <cell r="G28">
            <v>11.49</v>
          </cell>
          <cell r="H28">
            <v>11.5</v>
          </cell>
          <cell r="I28">
            <v>11.39</v>
          </cell>
          <cell r="J28">
            <v>11.55</v>
          </cell>
          <cell r="K28">
            <v>0</v>
          </cell>
          <cell r="L28">
            <v>-0.05</v>
          </cell>
          <cell r="M28">
            <v>-4.3290000000000004E-3</v>
          </cell>
          <cell r="N28">
            <v>7.13</v>
          </cell>
          <cell r="O28">
            <v>17.309999999999999</v>
          </cell>
          <cell r="P28">
            <v>45968</v>
          </cell>
          <cell r="Q28">
            <v>72612</v>
          </cell>
          <cell r="R28">
            <v>0.69420000000000004</v>
          </cell>
        </row>
        <row r="29">
          <cell r="A29" t="str">
            <v>LUMN</v>
          </cell>
          <cell r="D29" t="str">
            <v>USD</v>
          </cell>
          <cell r="E29">
            <v>46002.876173750003</v>
          </cell>
          <cell r="F29">
            <v>8.69</v>
          </cell>
          <cell r="G29">
            <v>8.61</v>
          </cell>
          <cell r="H29">
            <v>8.65</v>
          </cell>
          <cell r="I29">
            <v>8.3699999999999992</v>
          </cell>
          <cell r="J29">
            <v>8.8149999999999995</v>
          </cell>
          <cell r="K29">
            <v>0</v>
          </cell>
          <cell r="L29">
            <v>-0.04</v>
          </cell>
          <cell r="M29">
            <v>-4.6029999999999995E-3</v>
          </cell>
          <cell r="N29">
            <v>3.01</v>
          </cell>
          <cell r="O29">
            <v>11.95</v>
          </cell>
          <cell r="P29">
            <v>9451100</v>
          </cell>
          <cell r="Q29">
            <v>15966749</v>
          </cell>
          <cell r="R29">
            <v>1.464</v>
          </cell>
        </row>
        <row r="30">
          <cell r="A30" t="str">
            <v>MRNA</v>
          </cell>
          <cell r="D30" t="str">
            <v>USD</v>
          </cell>
          <cell r="E30">
            <v>46002.875958541408</v>
          </cell>
          <cell r="F30">
            <v>29.03</v>
          </cell>
          <cell r="G30">
            <v>29</v>
          </cell>
          <cell r="H30">
            <v>29.63</v>
          </cell>
          <cell r="I30">
            <v>28.89</v>
          </cell>
          <cell r="J30">
            <v>29.68</v>
          </cell>
          <cell r="K30">
            <v>0</v>
          </cell>
          <cell r="L30">
            <v>0.6</v>
          </cell>
          <cell r="M30">
            <v>2.0668000000000002E-2</v>
          </cell>
          <cell r="N30">
            <v>22.28</v>
          </cell>
          <cell r="O30">
            <v>48.92</v>
          </cell>
          <cell r="P30">
            <v>8110170</v>
          </cell>
          <cell r="Q30">
            <v>10285607</v>
          </cell>
          <cell r="R30">
            <v>1.1830000000000001</v>
          </cell>
        </row>
        <row r="31">
          <cell r="A31" t="str">
            <v>MSFT</v>
          </cell>
          <cell r="D31" t="str">
            <v>USD</v>
          </cell>
          <cell r="E31">
            <v>46002.876085983597</v>
          </cell>
          <cell r="F31">
            <v>478.56</v>
          </cell>
          <cell r="G31">
            <v>476.4</v>
          </cell>
          <cell r="H31">
            <v>483.47</v>
          </cell>
          <cell r="I31">
            <v>475.86</v>
          </cell>
          <cell r="J31">
            <v>486.03</v>
          </cell>
          <cell r="K31">
            <v>34.397500000000001</v>
          </cell>
          <cell r="L31">
            <v>4.91</v>
          </cell>
          <cell r="M31">
            <v>1.026E-2</v>
          </cell>
          <cell r="N31">
            <v>344.79</v>
          </cell>
          <cell r="O31">
            <v>555.45000000000005</v>
          </cell>
          <cell r="P31">
            <v>21881028</v>
          </cell>
          <cell r="Q31">
            <v>25265373</v>
          </cell>
          <cell r="R31">
            <v>1.073</v>
          </cell>
        </row>
        <row r="32">
          <cell r="A32" t="str">
            <v>NEE</v>
          </cell>
          <cell r="D32" t="str">
            <v>USD</v>
          </cell>
          <cell r="E32">
            <v>46002.875988286716</v>
          </cell>
          <cell r="F32">
            <v>81.27</v>
          </cell>
          <cell r="G32">
            <v>81.28</v>
          </cell>
          <cell r="H32">
            <v>81.22</v>
          </cell>
          <cell r="I32">
            <v>81.064999999999998</v>
          </cell>
          <cell r="J32">
            <v>82.41</v>
          </cell>
          <cell r="K32">
            <v>25.7956</v>
          </cell>
          <cell r="L32">
            <v>-0.05</v>
          </cell>
          <cell r="M32">
            <v>-6.1519999999999999E-4</v>
          </cell>
          <cell r="N32">
            <v>61.72</v>
          </cell>
          <cell r="O32">
            <v>87.53</v>
          </cell>
          <cell r="P32">
            <v>9211732</v>
          </cell>
          <cell r="Q32">
            <v>10204867</v>
          </cell>
          <cell r="R32">
            <v>0.72940000000000005</v>
          </cell>
        </row>
        <row r="33">
          <cell r="A33" t="str">
            <v>NEM</v>
          </cell>
          <cell r="D33" t="str">
            <v>USD</v>
          </cell>
          <cell r="E33">
            <v>46002.876140497654</v>
          </cell>
          <cell r="F33">
            <v>94.4</v>
          </cell>
          <cell r="G33">
            <v>95</v>
          </cell>
          <cell r="H33">
            <v>99.43</v>
          </cell>
          <cell r="I33">
            <v>94.894999999999996</v>
          </cell>
          <cell r="J33">
            <v>100.4</v>
          </cell>
          <cell r="K33">
            <v>15.4514</v>
          </cell>
          <cell r="L33">
            <v>5.03</v>
          </cell>
          <cell r="M33">
            <v>5.3284000000000005E-2</v>
          </cell>
          <cell r="N33">
            <v>36.86</v>
          </cell>
          <cell r="O33">
            <v>100.4</v>
          </cell>
          <cell r="P33">
            <v>11250923</v>
          </cell>
          <cell r="Q33">
            <v>9136224</v>
          </cell>
          <cell r="R33">
            <v>0.43020000000000003</v>
          </cell>
        </row>
        <row r="34">
          <cell r="A34" t="str">
            <v>NFLX</v>
          </cell>
          <cell r="D34" t="str">
            <v>USD</v>
          </cell>
          <cell r="E34">
            <v>46002.876229235939</v>
          </cell>
          <cell r="F34">
            <v>92.71</v>
          </cell>
          <cell r="G34">
            <v>93.79</v>
          </cell>
          <cell r="H34">
            <v>94.09</v>
          </cell>
          <cell r="I34">
            <v>92.76</v>
          </cell>
          <cell r="J34">
            <v>94.82</v>
          </cell>
          <cell r="K34">
            <v>39.305700000000002</v>
          </cell>
          <cell r="L34">
            <v>1.38</v>
          </cell>
          <cell r="M34">
            <v>1.4884999999999999E-2</v>
          </cell>
          <cell r="N34">
            <v>82.11</v>
          </cell>
          <cell r="O34">
            <v>134.11500000000001</v>
          </cell>
          <cell r="P34">
            <v>43020135</v>
          </cell>
          <cell r="Q34">
            <v>45790886</v>
          </cell>
          <cell r="R34">
            <v>1.7051000000000001</v>
          </cell>
        </row>
        <row r="35">
          <cell r="A35" t="str">
            <v>NOTE</v>
          </cell>
          <cell r="D35" t="str">
            <v>USD</v>
          </cell>
          <cell r="E35">
            <v>46002.875000995315</v>
          </cell>
          <cell r="F35">
            <v>1.85</v>
          </cell>
          <cell r="G35">
            <v>1.86</v>
          </cell>
          <cell r="H35">
            <v>1.85</v>
          </cell>
          <cell r="I35">
            <v>1.8</v>
          </cell>
          <cell r="J35">
            <v>1.91</v>
          </cell>
          <cell r="K35">
            <v>0</v>
          </cell>
          <cell r="L35">
            <v>0</v>
          </cell>
          <cell r="M35">
            <v>0</v>
          </cell>
          <cell r="N35">
            <v>1.8</v>
          </cell>
          <cell r="O35">
            <v>24.36</v>
          </cell>
          <cell r="P35">
            <v>165800</v>
          </cell>
          <cell r="Q35">
            <v>259253</v>
          </cell>
          <cell r="R35">
            <v>0.58530000000000004</v>
          </cell>
        </row>
        <row r="36">
          <cell r="A36" t="str">
            <v>PAAS</v>
          </cell>
          <cell r="D36" t="str">
            <v>USD</v>
          </cell>
          <cell r="E36">
            <v>46002.875738460156</v>
          </cell>
          <cell r="F36">
            <v>48.66</v>
          </cell>
          <cell r="G36">
            <v>49.38</v>
          </cell>
          <cell r="H36">
            <v>50.34</v>
          </cell>
          <cell r="I36">
            <v>49</v>
          </cell>
          <cell r="J36">
            <v>51.89</v>
          </cell>
          <cell r="K36">
            <v>29.113399999999999</v>
          </cell>
          <cell r="L36">
            <v>1.68</v>
          </cell>
          <cell r="M36">
            <v>3.4525E-2</v>
          </cell>
          <cell r="N36">
            <v>19.8017</v>
          </cell>
          <cell r="O36">
            <v>51.89</v>
          </cell>
          <cell r="P36">
            <v>7955244</v>
          </cell>
          <cell r="Q36">
            <v>6189808</v>
          </cell>
          <cell r="R36">
            <v>1.2242</v>
          </cell>
        </row>
        <row r="37">
          <cell r="A37" t="str">
            <v>PROF</v>
          </cell>
          <cell r="D37" t="str">
            <v>USD</v>
          </cell>
          <cell r="E37">
            <v>46002.875007418748</v>
          </cell>
          <cell r="F37">
            <v>7.24</v>
          </cell>
          <cell r="G37">
            <v>7.28</v>
          </cell>
          <cell r="H37">
            <v>7.43</v>
          </cell>
          <cell r="I37">
            <v>7.2396000000000003</v>
          </cell>
          <cell r="J37">
            <v>7.5</v>
          </cell>
          <cell r="K37">
            <v>0</v>
          </cell>
          <cell r="L37">
            <v>0.19</v>
          </cell>
          <cell r="M37">
            <v>2.6242999999999999E-2</v>
          </cell>
          <cell r="N37">
            <v>3.76</v>
          </cell>
          <cell r="O37">
            <v>7.99</v>
          </cell>
          <cell r="P37">
            <v>67402</v>
          </cell>
          <cell r="Q37">
            <v>95521</v>
          </cell>
          <cell r="R37">
            <v>0.20330000000000001</v>
          </cell>
        </row>
        <row r="38">
          <cell r="A38" t="str">
            <v>POET</v>
          </cell>
          <cell r="D38" t="str">
            <v>USD</v>
          </cell>
          <cell r="E38">
            <v>46002.875023078122</v>
          </cell>
          <cell r="F38">
            <v>7.15</v>
          </cell>
          <cell r="G38">
            <v>7.09</v>
          </cell>
          <cell r="H38">
            <v>7.22</v>
          </cell>
          <cell r="I38">
            <v>6.89</v>
          </cell>
          <cell r="J38">
            <v>7.48</v>
          </cell>
          <cell r="K38">
            <v>0</v>
          </cell>
          <cell r="L38">
            <v>7.0000000000000007E-2</v>
          </cell>
          <cell r="M38">
            <v>9.7900000000000001E-3</v>
          </cell>
          <cell r="N38">
            <v>3.09</v>
          </cell>
          <cell r="O38">
            <v>9.41</v>
          </cell>
          <cell r="P38">
            <v>8674853</v>
          </cell>
          <cell r="Q38">
            <v>8702132</v>
          </cell>
          <cell r="R38">
            <v>0.33100000000000002</v>
          </cell>
        </row>
        <row r="39">
          <cell r="A39" t="str">
            <v>PW</v>
          </cell>
          <cell r="D39" t="str">
            <v>USD</v>
          </cell>
          <cell r="E39">
            <v>46002.875003356246</v>
          </cell>
          <cell r="F39">
            <v>1.02</v>
          </cell>
          <cell r="G39">
            <v>0.9778</v>
          </cell>
          <cell r="H39">
            <v>0.98360000000000003</v>
          </cell>
          <cell r="I39">
            <v>0.96130000000000004</v>
          </cell>
          <cell r="J39">
            <v>0.99470000000000003</v>
          </cell>
          <cell r="K39">
            <v>0</v>
          </cell>
          <cell r="L39">
            <v>-3.6400000000000002E-2</v>
          </cell>
          <cell r="M39">
            <v>-3.5686000000000002E-2</v>
          </cell>
          <cell r="N39">
            <v>0.59409999999999996</v>
          </cell>
          <cell r="O39">
            <v>1.96</v>
          </cell>
          <cell r="P39">
            <v>51696</v>
          </cell>
          <cell r="Q39">
            <v>1572942</v>
          </cell>
          <cell r="R39">
            <v>1.5168999999999999</v>
          </cell>
        </row>
        <row r="40">
          <cell r="A40" t="str">
            <v>RIGL</v>
          </cell>
          <cell r="D40" t="str">
            <v>USD</v>
          </cell>
          <cell r="E40">
            <v>46002.876124513285</v>
          </cell>
          <cell r="F40">
            <v>41.22</v>
          </cell>
          <cell r="G40">
            <v>40.950000000000003</v>
          </cell>
          <cell r="H40">
            <v>42.05</v>
          </cell>
          <cell r="I40">
            <v>40.6</v>
          </cell>
          <cell r="J40">
            <v>43.575000000000003</v>
          </cell>
          <cell r="K40">
            <v>6.8178999999999998</v>
          </cell>
          <cell r="L40">
            <v>0.83</v>
          </cell>
          <cell r="M40">
            <v>2.0135999999999998E-2</v>
          </cell>
          <cell r="N40">
            <v>14.63</v>
          </cell>
          <cell r="O40">
            <v>52.24</v>
          </cell>
          <cell r="P40">
            <v>398713</v>
          </cell>
          <cell r="Q40">
            <v>722028</v>
          </cell>
          <cell r="R40">
            <v>1.099</v>
          </cell>
        </row>
        <row r="41">
          <cell r="A41" t="str">
            <v>RWE</v>
          </cell>
          <cell r="D41" t="str">
            <v>EUR</v>
          </cell>
          <cell r="E41">
            <v>46002.863888888889</v>
          </cell>
          <cell r="F41">
            <v>43.49</v>
          </cell>
          <cell r="G41">
            <v>43.39</v>
          </cell>
          <cell r="H41">
            <v>43.29</v>
          </cell>
          <cell r="I41">
            <v>42.96</v>
          </cell>
          <cell r="J41">
            <v>43.53</v>
          </cell>
          <cell r="K41">
            <v>13.964499999999999</v>
          </cell>
          <cell r="L41">
            <v>-0.2</v>
          </cell>
          <cell r="M41">
            <v>-4.5989999999999998E-3</v>
          </cell>
          <cell r="N41">
            <v>14.231</v>
          </cell>
          <cell r="O41">
            <v>46.82</v>
          </cell>
          <cell r="P41">
            <v>4584</v>
          </cell>
          <cell r="Q41">
            <v>1461610</v>
          </cell>
          <cell r="R41">
            <v>0.48039999999999999</v>
          </cell>
        </row>
        <row r="42">
          <cell r="A42" t="str">
            <v>SAP</v>
          </cell>
          <cell r="D42" t="str">
            <v>EUR</v>
          </cell>
          <cell r="E42">
            <v>46002.865115740744</v>
          </cell>
          <cell r="F42">
            <v>210.95</v>
          </cell>
          <cell r="G42">
            <v>204</v>
          </cell>
          <cell r="H42">
            <v>209.3</v>
          </cell>
          <cell r="I42">
            <v>201.85</v>
          </cell>
          <cell r="J42">
            <v>211.1</v>
          </cell>
          <cell r="K42">
            <v>34.476500000000001</v>
          </cell>
          <cell r="L42">
            <v>-1.65</v>
          </cell>
          <cell r="M42">
            <v>-7.8220000000000008E-3</v>
          </cell>
          <cell r="N42">
            <v>201.85</v>
          </cell>
          <cell r="O42">
            <v>283.5</v>
          </cell>
          <cell r="P42">
            <v>1724153</v>
          </cell>
          <cell r="Q42">
            <v>1031000</v>
          </cell>
          <cell r="R42">
            <v>1.0538000000000001</v>
          </cell>
        </row>
        <row r="43">
          <cell r="A43" t="str">
            <v>SHECY</v>
          </cell>
          <cell r="D43" t="str">
            <v>USD</v>
          </cell>
          <cell r="E43">
            <v>46002.865621654688</v>
          </cell>
          <cell r="F43">
            <v>15.46</v>
          </cell>
          <cell r="G43">
            <v>14.4</v>
          </cell>
          <cell r="H43">
            <v>14.91</v>
          </cell>
          <cell r="I43">
            <v>14.22</v>
          </cell>
          <cell r="J43">
            <v>15.149900000000001</v>
          </cell>
          <cell r="K43">
            <v>0</v>
          </cell>
          <cell r="L43">
            <v>-0.55000000000000004</v>
          </cell>
          <cell r="M43">
            <v>-3.5575999999999997E-2</v>
          </cell>
          <cell r="N43">
            <v>11.88</v>
          </cell>
          <cell r="O43">
            <v>18.600000000000001</v>
          </cell>
          <cell r="P43">
            <v>526769</v>
          </cell>
          <cell r="Q43">
            <v>5261740</v>
          </cell>
          <cell r="R43">
            <v>1.28</v>
          </cell>
        </row>
        <row r="44">
          <cell r="A44" t="str">
            <v>SSYS</v>
          </cell>
          <cell r="D44" t="str">
            <v>USD</v>
          </cell>
          <cell r="E44">
            <v>46002.875178807815</v>
          </cell>
          <cell r="F44">
            <v>9.2899999999999991</v>
          </cell>
          <cell r="G44">
            <v>9.2899999999999991</v>
          </cell>
          <cell r="H44">
            <v>9.44</v>
          </cell>
          <cell r="I44">
            <v>9.2449999999999992</v>
          </cell>
          <cell r="J44">
            <v>9.52</v>
          </cell>
          <cell r="K44">
            <v>0</v>
          </cell>
          <cell r="L44">
            <v>0.15</v>
          </cell>
          <cell r="M44">
            <v>1.6146000000000001E-2</v>
          </cell>
          <cell r="N44">
            <v>8.1199999999999992</v>
          </cell>
          <cell r="O44">
            <v>12.88</v>
          </cell>
          <cell r="P44">
            <v>1005429</v>
          </cell>
          <cell r="Q44">
            <v>654219</v>
          </cell>
          <cell r="R44">
            <v>1.4353</v>
          </cell>
        </row>
        <row r="45">
          <cell r="A45" t="str">
            <v>TSLA</v>
          </cell>
          <cell r="D45" t="str">
            <v>USD</v>
          </cell>
          <cell r="E45">
            <v>46002.876127846874</v>
          </cell>
          <cell r="F45">
            <v>451.45</v>
          </cell>
          <cell r="G45">
            <v>448.8</v>
          </cell>
          <cell r="H45">
            <v>446.86590000000001</v>
          </cell>
          <cell r="I45">
            <v>440.33</v>
          </cell>
          <cell r="J45">
            <v>449.26990000000001</v>
          </cell>
          <cell r="K45">
            <v>309.82870000000003</v>
          </cell>
          <cell r="L45">
            <v>-4.5841000000000003</v>
          </cell>
          <cell r="M45">
            <v>-1.0154000000000002E-2</v>
          </cell>
          <cell r="N45">
            <v>214.25</v>
          </cell>
          <cell r="O45">
            <v>488.53989999999999</v>
          </cell>
          <cell r="P45">
            <v>54638160</v>
          </cell>
          <cell r="Q45">
            <v>79739621</v>
          </cell>
          <cell r="R45">
            <v>1.837</v>
          </cell>
        </row>
        <row r="46">
          <cell r="A46" t="str">
            <v>TSM</v>
          </cell>
          <cell r="D46" t="str">
            <v>USD</v>
          </cell>
          <cell r="E46">
            <v>46002.876161075779</v>
          </cell>
          <cell r="F46">
            <v>309.34280000000001</v>
          </cell>
          <cell r="G46">
            <v>305.32</v>
          </cell>
          <cell r="H46">
            <v>304.92</v>
          </cell>
          <cell r="I46">
            <v>299.66000000000003</v>
          </cell>
          <cell r="J46">
            <v>305.83999999999997</v>
          </cell>
          <cell r="K46">
            <v>30.3415</v>
          </cell>
          <cell r="L46">
            <v>-4.4227999999999996</v>
          </cell>
          <cell r="M46">
            <v>-1.4296999999999999E-2</v>
          </cell>
          <cell r="N46">
            <v>134.25</v>
          </cell>
          <cell r="O46">
            <v>313.98</v>
          </cell>
          <cell r="P46">
            <v>14837329</v>
          </cell>
          <cell r="Q46">
            <v>11748747</v>
          </cell>
          <cell r="R46">
            <v>1.2935000000000001</v>
          </cell>
        </row>
        <row r="47">
          <cell r="A47" t="str">
            <v>UN0</v>
          </cell>
          <cell r="D47" t="str">
            <v>EUR</v>
          </cell>
          <cell r="E47">
            <v>46002.863888888889</v>
          </cell>
          <cell r="F47">
            <v>38.049999999999997</v>
          </cell>
          <cell r="G47">
            <v>38.75</v>
          </cell>
          <cell r="H47">
            <v>37.75</v>
          </cell>
          <cell r="I47">
            <v>37.75</v>
          </cell>
          <cell r="J47">
            <v>38.75</v>
          </cell>
          <cell r="L47">
            <v>-0.3</v>
          </cell>
          <cell r="M47">
            <v>-7.8840000000000004E-3</v>
          </cell>
          <cell r="N47">
            <v>2.1</v>
          </cell>
          <cell r="O47">
            <v>73.5</v>
          </cell>
          <cell r="P47">
            <v>49</v>
          </cell>
          <cell r="Q47">
            <v>5300</v>
          </cell>
          <cell r="R47">
            <v>1.0679000000000001</v>
          </cell>
        </row>
        <row r="48">
          <cell r="A48" t="str">
            <v>UNIT</v>
          </cell>
          <cell r="D48" t="str">
            <v>USD</v>
          </cell>
          <cell r="E48">
            <v>46002.876015057809</v>
          </cell>
          <cell r="F48">
            <v>6.75</v>
          </cell>
          <cell r="G48">
            <v>6.78</v>
          </cell>
          <cell r="H48">
            <v>7.24</v>
          </cell>
          <cell r="I48">
            <v>6.78</v>
          </cell>
          <cell r="J48">
            <v>7.29</v>
          </cell>
          <cell r="K48">
            <v>1.4258999999999999</v>
          </cell>
          <cell r="L48">
            <v>0.49</v>
          </cell>
          <cell r="M48">
            <v>7.2592999999999991E-2</v>
          </cell>
          <cell r="N48">
            <v>5.3</v>
          </cell>
          <cell r="O48">
            <v>10.466100000000001</v>
          </cell>
          <cell r="P48">
            <v>4517091</v>
          </cell>
          <cell r="Q48">
            <v>2414218</v>
          </cell>
          <cell r="R48">
            <v>1.4696</v>
          </cell>
        </row>
        <row r="49">
          <cell r="A49" t="str">
            <v>VLVLY</v>
          </cell>
          <cell r="D49" t="str">
            <v>USD</v>
          </cell>
          <cell r="E49">
            <v>46002.864679490624</v>
          </cell>
          <cell r="F49">
            <v>31.36</v>
          </cell>
          <cell r="G49">
            <v>31.94</v>
          </cell>
          <cell r="H49">
            <v>32.045000000000002</v>
          </cell>
          <cell r="I49">
            <v>31.94</v>
          </cell>
          <cell r="J49">
            <v>32.229999999999997</v>
          </cell>
          <cell r="K49">
            <v>0</v>
          </cell>
          <cell r="L49">
            <v>0.68500000000000005</v>
          </cell>
          <cell r="M49">
            <v>2.1842999999999998E-2</v>
          </cell>
          <cell r="N49">
            <v>22.55</v>
          </cell>
          <cell r="O49">
            <v>33.33</v>
          </cell>
          <cell r="P49">
            <v>39855</v>
          </cell>
          <cell r="Q49">
            <v>2790120</v>
          </cell>
          <cell r="R49">
            <v>0.89319999999999999</v>
          </cell>
        </row>
        <row r="50">
          <cell r="A50" t="str">
            <v>VONN</v>
          </cell>
          <cell r="D50" t="str">
            <v>CHF</v>
          </cell>
          <cell r="E50">
            <v>46002.792962962965</v>
          </cell>
          <cell r="F50">
            <v>60.8</v>
          </cell>
          <cell r="G50">
            <v>60.9</v>
          </cell>
          <cell r="H50">
            <v>61.1</v>
          </cell>
          <cell r="I50">
            <v>60.6</v>
          </cell>
          <cell r="J50">
            <v>61.6</v>
          </cell>
          <cell r="K50">
            <v>13.792299999999999</v>
          </cell>
          <cell r="L50">
            <v>0.3</v>
          </cell>
          <cell r="M50">
            <v>4.934E-3</v>
          </cell>
          <cell r="N50">
            <v>51.1</v>
          </cell>
          <cell r="O50">
            <v>69.5</v>
          </cell>
          <cell r="P50">
            <v>56044</v>
          </cell>
          <cell r="Q50">
            <v>35730</v>
          </cell>
          <cell r="R50">
            <v>0.81759999999999999</v>
          </cell>
        </row>
        <row r="51">
          <cell r="A51" t="str">
            <v>VTRS</v>
          </cell>
          <cell r="D51" t="str">
            <v>USD</v>
          </cell>
          <cell r="E51">
            <v>46002.876094640626</v>
          </cell>
          <cell r="F51">
            <v>11.6</v>
          </cell>
          <cell r="G51">
            <v>11.6</v>
          </cell>
          <cell r="H51">
            <v>11.59</v>
          </cell>
          <cell r="I51">
            <v>11.31</v>
          </cell>
          <cell r="J51">
            <v>11.615500000000001</v>
          </cell>
          <cell r="K51">
            <v>0</v>
          </cell>
          <cell r="L51">
            <v>-0.01</v>
          </cell>
          <cell r="M51">
            <v>-8.6209999999999998E-4</v>
          </cell>
          <cell r="N51">
            <v>6.85</v>
          </cell>
          <cell r="O51">
            <v>13.13</v>
          </cell>
          <cell r="P51">
            <v>6325372</v>
          </cell>
          <cell r="Q51">
            <v>9000912</v>
          </cell>
          <cell r="R51">
            <v>0.80549999999999999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46002.876033992972</v>
          </cell>
          <cell r="F53">
            <v>119.54</v>
          </cell>
          <cell r="G53">
            <v>119.25</v>
          </cell>
          <cell r="H53">
            <v>119.55</v>
          </cell>
          <cell r="I53">
            <v>119.065</v>
          </cell>
          <cell r="J53">
            <v>120.36</v>
          </cell>
          <cell r="K53">
            <v>17.378</v>
          </cell>
          <cell r="L53">
            <v>0.01</v>
          </cell>
          <cell r="M53">
            <v>8.3649999999999987E-5</v>
          </cell>
          <cell r="N53">
            <v>97.8</v>
          </cell>
          <cell r="O53">
            <v>120.8099</v>
          </cell>
          <cell r="P53">
            <v>13613822</v>
          </cell>
          <cell r="Q53">
            <v>15163792</v>
          </cell>
          <cell r="R53">
            <v>0.36699999999999999</v>
          </cell>
        </row>
        <row r="54">
          <cell r="A54" t="str">
            <v>XPER</v>
          </cell>
          <cell r="D54" t="str">
            <v>USD</v>
          </cell>
          <cell r="E54">
            <v>46002.875324560155</v>
          </cell>
          <cell r="F54">
            <v>6.25</v>
          </cell>
          <cell r="G54">
            <v>6.2549999999999999</v>
          </cell>
          <cell r="H54">
            <v>6.16</v>
          </cell>
          <cell r="I54">
            <v>6.1</v>
          </cell>
          <cell r="J54">
            <v>6.26</v>
          </cell>
          <cell r="K54">
            <v>36.320799999999998</v>
          </cell>
          <cell r="L54">
            <v>-0.09</v>
          </cell>
          <cell r="M54">
            <v>-1.44E-2</v>
          </cell>
          <cell r="N54">
            <v>5.4</v>
          </cell>
          <cell r="O54">
            <v>11.074999999999999</v>
          </cell>
          <cell r="P54">
            <v>331454</v>
          </cell>
          <cell r="Q54">
            <v>503984</v>
          </cell>
          <cell r="R54">
            <v>1.202</v>
          </cell>
        </row>
        <row r="55">
          <cell r="A55" t="str">
            <v>MVEALDNE</v>
          </cell>
          <cell r="D55" t="str">
            <v>EUR</v>
          </cell>
          <cell r="E55">
            <v>46002.708333333336</v>
          </cell>
          <cell r="F55">
            <v>0.59799999999999998</v>
          </cell>
          <cell r="G55">
            <v>0.58599999999999997</v>
          </cell>
          <cell r="H55">
            <v>0.55000000000000004</v>
          </cell>
          <cell r="I55">
            <v>0.55000000000000004</v>
          </cell>
          <cell r="J55">
            <v>0.59</v>
          </cell>
          <cell r="K55">
            <v>0</v>
          </cell>
          <cell r="L55">
            <v>-4.8000000000000001E-2</v>
          </cell>
          <cell r="M55">
            <v>-8.0267999999999992E-2</v>
          </cell>
          <cell r="N55">
            <v>0.55000000000000004</v>
          </cell>
          <cell r="O55">
            <v>1.53</v>
          </cell>
          <cell r="P55">
            <v>8530</v>
          </cell>
          <cell r="Q55">
            <v>8930</v>
          </cell>
          <cell r="R55">
            <v>0.96899999999999997</v>
          </cell>
        </row>
        <row r="56">
          <cell r="A56" t="str">
            <v>MVEDDD</v>
          </cell>
          <cell r="D56" t="str">
            <v>USD</v>
          </cell>
          <cell r="E56">
            <v>46002.876046238278</v>
          </cell>
          <cell r="F56">
            <v>1.77</v>
          </cell>
          <cell r="G56">
            <v>1.79</v>
          </cell>
          <cell r="H56">
            <v>1.9650000000000001</v>
          </cell>
          <cell r="I56">
            <v>1.76</v>
          </cell>
          <cell r="J56">
            <v>2</v>
          </cell>
          <cell r="K56">
            <v>0</v>
          </cell>
          <cell r="L56">
            <v>0.19500000000000001</v>
          </cell>
          <cell r="M56">
            <v>0.110169</v>
          </cell>
          <cell r="N56">
            <v>1.32</v>
          </cell>
          <cell r="O56">
            <v>4.9991000000000003</v>
          </cell>
          <cell r="P56">
            <v>4567106</v>
          </cell>
          <cell r="Q56">
            <v>2976675</v>
          </cell>
          <cell r="R56">
            <v>1.8795999999999999</v>
          </cell>
        </row>
        <row r="57">
          <cell r="A57" t="str">
            <v>MVEDSY</v>
          </cell>
          <cell r="D57" t="str">
            <v>EUR</v>
          </cell>
          <cell r="E57">
            <v>46002.708333333336</v>
          </cell>
          <cell r="F57">
            <v>23.02</v>
          </cell>
          <cell r="G57">
            <v>22.9</v>
          </cell>
          <cell r="H57">
            <v>23.13</v>
          </cell>
          <cell r="I57">
            <v>22.79</v>
          </cell>
          <cell r="J57">
            <v>23.36</v>
          </cell>
          <cell r="K57">
            <v>25.720700000000001</v>
          </cell>
          <cell r="L57">
            <v>0.11</v>
          </cell>
          <cell r="M57">
            <v>4.7780000000000001E-3</v>
          </cell>
          <cell r="N57">
            <v>22.79</v>
          </cell>
          <cell r="O57">
            <v>41.17</v>
          </cell>
          <cell r="P57">
            <v>2277813</v>
          </cell>
          <cell r="Q57">
            <v>2028040</v>
          </cell>
          <cell r="R57">
            <v>0.79459999999999997</v>
          </cell>
        </row>
        <row r="58">
          <cell r="A58" t="str">
            <v>MVEEOAN</v>
          </cell>
          <cell r="D58" t="str">
            <v>EUR</v>
          </cell>
          <cell r="E58">
            <v>46002.863194444442</v>
          </cell>
          <cell r="F58">
            <v>15.55</v>
          </cell>
          <cell r="G58">
            <v>15.46</v>
          </cell>
          <cell r="H58">
            <v>15.035</v>
          </cell>
          <cell r="I58">
            <v>15</v>
          </cell>
          <cell r="J58">
            <v>15.5</v>
          </cell>
          <cell r="K58">
            <v>13.0739</v>
          </cell>
          <cell r="L58">
            <v>-0.51500000000000001</v>
          </cell>
          <cell r="M58">
            <v>-3.3119000000000003E-2</v>
          </cell>
          <cell r="N58">
            <v>7.3</v>
          </cell>
          <cell r="O58">
            <v>16.515000000000001</v>
          </cell>
          <cell r="P58">
            <v>29923</v>
          </cell>
          <cell r="Q58">
            <v>3704520</v>
          </cell>
          <cell r="R58">
            <v>0.86650000000000005</v>
          </cell>
        </row>
        <row r="59">
          <cell r="A59" t="str">
            <v>MVEENI</v>
          </cell>
          <cell r="D59" t="str">
            <v>EUR</v>
          </cell>
          <cell r="E59">
            <v>46002.708333333336</v>
          </cell>
          <cell r="F59">
            <v>16.013999999999999</v>
          </cell>
          <cell r="G59">
            <v>16</v>
          </cell>
          <cell r="H59">
            <v>15.904</v>
          </cell>
          <cell r="I59">
            <v>15.896000000000001</v>
          </cell>
          <cell r="J59">
            <v>16.05</v>
          </cell>
          <cell r="K59">
            <v>17.563800000000001</v>
          </cell>
          <cell r="L59">
            <v>-0.11</v>
          </cell>
          <cell r="M59">
            <v>-6.8689999999999992E-3</v>
          </cell>
          <cell r="N59">
            <v>11.01</v>
          </cell>
          <cell r="O59">
            <v>16.61</v>
          </cell>
          <cell r="P59">
            <v>8646456</v>
          </cell>
          <cell r="Q59">
            <v>7709170</v>
          </cell>
          <cell r="R59">
            <v>0.83089999999999997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46002.708333333336</v>
          </cell>
          <cell r="F61">
            <v>63.48</v>
          </cell>
          <cell r="G61">
            <v>63.3</v>
          </cell>
          <cell r="H61">
            <v>64.36</v>
          </cell>
          <cell r="I61">
            <v>63.12</v>
          </cell>
          <cell r="J61">
            <v>64.459999999999994</v>
          </cell>
          <cell r="K61">
            <v>10.3063</v>
          </cell>
          <cell r="L61">
            <v>0.88</v>
          </cell>
          <cell r="M61">
            <v>1.3863E-2</v>
          </cell>
          <cell r="N61">
            <v>26.15</v>
          </cell>
          <cell r="O61">
            <v>64.459999999999994</v>
          </cell>
          <cell r="P61">
            <v>1857536</v>
          </cell>
          <cell r="Q61">
            <v>1745130</v>
          </cell>
          <cell r="R61">
            <v>1.3729</v>
          </cell>
        </row>
        <row r="62">
          <cell r="A62" t="str">
            <v>MVEORA</v>
          </cell>
          <cell r="D62" t="str">
            <v>EUR</v>
          </cell>
          <cell r="E62">
            <v>46002.708333333336</v>
          </cell>
          <cell r="F62">
            <v>13.664999999999999</v>
          </cell>
          <cell r="G62">
            <v>13.645</v>
          </cell>
          <cell r="H62">
            <v>13.734999999999999</v>
          </cell>
          <cell r="I62">
            <v>13.615</v>
          </cell>
          <cell r="J62">
            <v>13.75</v>
          </cell>
          <cell r="K62">
            <v>43.382800000000003</v>
          </cell>
          <cell r="L62">
            <v>7.0000000000000007E-2</v>
          </cell>
          <cell r="M62">
            <v>5.1229999999999999E-3</v>
          </cell>
          <cell r="N62">
            <v>9.3699999999999992</v>
          </cell>
          <cell r="O62">
            <v>14.56</v>
          </cell>
          <cell r="P62">
            <v>2323755</v>
          </cell>
          <cell r="Q62">
            <v>3430250</v>
          </cell>
          <cell r="R62">
            <v>0.2427</v>
          </cell>
        </row>
        <row r="63">
          <cell r="A63" t="str">
            <v>MVERWE</v>
          </cell>
          <cell r="D63" t="str">
            <v>EUR</v>
          </cell>
          <cell r="E63">
            <v>46002.863888888889</v>
          </cell>
          <cell r="F63">
            <v>43.49</v>
          </cell>
          <cell r="G63">
            <v>43.39</v>
          </cell>
          <cell r="H63">
            <v>43.29</v>
          </cell>
          <cell r="I63">
            <v>42.96</v>
          </cell>
          <cell r="J63">
            <v>43.53</v>
          </cell>
          <cell r="K63">
            <v>13.964499999999999</v>
          </cell>
          <cell r="L63">
            <v>-0.2</v>
          </cell>
          <cell r="M63">
            <v>-4.5989999999999998E-3</v>
          </cell>
          <cell r="N63">
            <v>14.231</v>
          </cell>
          <cell r="O63">
            <v>46.82</v>
          </cell>
          <cell r="P63">
            <v>4584</v>
          </cell>
          <cell r="Q63">
            <v>1461610</v>
          </cell>
          <cell r="R63">
            <v>0.48039999999999999</v>
          </cell>
        </row>
        <row r="64">
          <cell r="A64" t="str">
            <v>MVESAP</v>
          </cell>
          <cell r="D64" t="str">
            <v>EUR</v>
          </cell>
          <cell r="E64">
            <v>46002.865115740744</v>
          </cell>
          <cell r="F64">
            <v>210.95</v>
          </cell>
          <cell r="G64">
            <v>204</v>
          </cell>
          <cell r="H64">
            <v>209.3</v>
          </cell>
          <cell r="I64">
            <v>201.85</v>
          </cell>
          <cell r="J64">
            <v>211.1</v>
          </cell>
          <cell r="K64">
            <v>34.476500000000001</v>
          </cell>
          <cell r="L64">
            <v>-1.65</v>
          </cell>
          <cell r="M64">
            <v>-7.8220000000000008E-3</v>
          </cell>
          <cell r="N64">
            <v>201.85</v>
          </cell>
          <cell r="O64">
            <v>283.5</v>
          </cell>
          <cell r="P64">
            <v>1724153</v>
          </cell>
          <cell r="Q64">
            <v>1031000</v>
          </cell>
          <cell r="R64">
            <v>1.0538000000000001</v>
          </cell>
        </row>
        <row r="65">
          <cell r="A65" t="str">
            <v>MVEUN0</v>
          </cell>
          <cell r="D65" t="str">
            <v>EUR</v>
          </cell>
          <cell r="E65">
            <v>46002.863888888889</v>
          </cell>
          <cell r="F65">
            <v>38.049999999999997</v>
          </cell>
          <cell r="G65">
            <v>38.75</v>
          </cell>
          <cell r="H65">
            <v>37.75</v>
          </cell>
          <cell r="I65">
            <v>37.75</v>
          </cell>
          <cell r="J65">
            <v>38.75</v>
          </cell>
          <cell r="K65">
            <v>99</v>
          </cell>
          <cell r="L65">
            <v>-0.3</v>
          </cell>
          <cell r="M65">
            <v>-7.8840000000000004E-3</v>
          </cell>
          <cell r="N65">
            <v>2.1</v>
          </cell>
          <cell r="O65">
            <v>73.5</v>
          </cell>
          <cell r="P65">
            <v>49</v>
          </cell>
          <cell r="Q65">
            <v>5300</v>
          </cell>
          <cell r="R65">
            <v>1.0679000000000001</v>
          </cell>
        </row>
        <row r="66">
          <cell r="A66" t="str">
            <v>SAFAAPL</v>
          </cell>
          <cell r="D66" t="str">
            <v>USD</v>
          </cell>
          <cell r="E66">
            <v>46002.876048506252</v>
          </cell>
          <cell r="F66">
            <v>278.77999999999997</v>
          </cell>
          <cell r="G66">
            <v>278.99</v>
          </cell>
          <cell r="H66">
            <v>278.02999999999997</v>
          </cell>
          <cell r="I66">
            <v>273.81</v>
          </cell>
          <cell r="J66">
            <v>279.58</v>
          </cell>
          <cell r="K66">
            <v>37.437100000000001</v>
          </cell>
          <cell r="L66">
            <v>-0.75</v>
          </cell>
          <cell r="M66">
            <v>-2.6900000000000001E-3</v>
          </cell>
          <cell r="N66">
            <v>169.21010000000001</v>
          </cell>
          <cell r="O66">
            <v>288.62</v>
          </cell>
          <cell r="P66">
            <v>31286071</v>
          </cell>
          <cell r="Q66">
            <v>44664122</v>
          </cell>
          <cell r="R66">
            <v>1.0908</v>
          </cell>
        </row>
        <row r="67">
          <cell r="A67" t="str">
            <v>SAFAMZN</v>
          </cell>
          <cell r="D67" t="str">
            <v>USD</v>
          </cell>
          <cell r="E67">
            <v>46002.876189710158</v>
          </cell>
          <cell r="F67">
            <v>231.78</v>
          </cell>
          <cell r="G67">
            <v>230.95</v>
          </cell>
          <cell r="H67">
            <v>230.28</v>
          </cell>
          <cell r="I67">
            <v>228.6901</v>
          </cell>
          <cell r="J67">
            <v>232.11</v>
          </cell>
          <cell r="K67">
            <v>32.53</v>
          </cell>
          <cell r="L67">
            <v>-1.5</v>
          </cell>
          <cell r="M67">
            <v>-6.4720000000000003E-3</v>
          </cell>
          <cell r="N67">
            <v>161.38</v>
          </cell>
          <cell r="O67">
            <v>258.60000000000002</v>
          </cell>
          <cell r="P67">
            <v>26757613</v>
          </cell>
          <cell r="Q67">
            <v>42294615</v>
          </cell>
          <cell r="R67">
            <v>1.3754999999999999</v>
          </cell>
        </row>
        <row r="68">
          <cell r="A68" t="str">
            <v>SAFASML</v>
          </cell>
          <cell r="D68" t="str">
            <v>EUR</v>
          </cell>
          <cell r="E68">
            <v>46002.708333333336</v>
          </cell>
          <cell r="F68">
            <v>946</v>
          </cell>
          <cell r="G68">
            <v>945.1</v>
          </cell>
          <cell r="H68">
            <v>940.9</v>
          </cell>
          <cell r="I68">
            <v>931</v>
          </cell>
          <cell r="J68">
            <v>953.7</v>
          </cell>
          <cell r="K68">
            <v>36.127200000000002</v>
          </cell>
          <cell r="L68">
            <v>-5.0999999999999996</v>
          </cell>
          <cell r="M68">
            <v>-5.391E-3</v>
          </cell>
          <cell r="N68">
            <v>508.4</v>
          </cell>
          <cell r="O68">
            <v>977.1</v>
          </cell>
          <cell r="P68">
            <v>465132</v>
          </cell>
          <cell r="Q68">
            <v>479820</v>
          </cell>
          <cell r="R68">
            <v>2.0899000000000001</v>
          </cell>
        </row>
        <row r="69">
          <cell r="A69" t="str">
            <v>SAFDDD</v>
          </cell>
          <cell r="D69" t="str">
            <v>USD</v>
          </cell>
          <cell r="E69">
            <v>46002.876046238278</v>
          </cell>
          <cell r="F69">
            <v>1.77</v>
          </cell>
          <cell r="G69">
            <v>1.79</v>
          </cell>
          <cell r="H69">
            <v>1.9650000000000001</v>
          </cell>
          <cell r="I69">
            <v>1.76</v>
          </cell>
          <cell r="J69">
            <v>2</v>
          </cell>
          <cell r="K69">
            <v>0</v>
          </cell>
          <cell r="L69">
            <v>0.19500000000000001</v>
          </cell>
          <cell r="M69">
            <v>0.110169</v>
          </cell>
          <cell r="N69">
            <v>1.32</v>
          </cell>
          <cell r="O69">
            <v>4.9991000000000003</v>
          </cell>
          <cell r="P69">
            <v>4567106</v>
          </cell>
          <cell r="Q69">
            <v>2976675</v>
          </cell>
          <cell r="R69">
            <v>1.8795999999999999</v>
          </cell>
        </row>
        <row r="70">
          <cell r="A70" t="str">
            <v>SAFDIS</v>
          </cell>
          <cell r="D70" t="str">
            <v>USD</v>
          </cell>
          <cell r="E70">
            <v>46002.876101110938</v>
          </cell>
          <cell r="F70">
            <v>108.83</v>
          </cell>
          <cell r="G70">
            <v>109.12</v>
          </cell>
          <cell r="H70">
            <v>111.48</v>
          </cell>
          <cell r="I70">
            <v>109.12</v>
          </cell>
          <cell r="J70">
            <v>111.56</v>
          </cell>
          <cell r="K70">
            <v>16.270399999999999</v>
          </cell>
          <cell r="L70">
            <v>2.65</v>
          </cell>
          <cell r="M70">
            <v>2.435E-2</v>
          </cell>
          <cell r="N70">
            <v>80.099999999999994</v>
          </cell>
          <cell r="O70">
            <v>124.69</v>
          </cell>
          <cell r="P70">
            <v>11811435</v>
          </cell>
          <cell r="Q70">
            <v>12369271</v>
          </cell>
          <cell r="R70">
            <v>1.4497</v>
          </cell>
        </row>
        <row r="71">
          <cell r="A71" t="str">
            <v>SAFGM</v>
          </cell>
          <cell r="D71" t="str">
            <v>USD</v>
          </cell>
          <cell r="E71">
            <v>46002.876132175785</v>
          </cell>
          <cell r="F71">
            <v>80.8</v>
          </cell>
          <cell r="G71">
            <v>80.44</v>
          </cell>
          <cell r="H71">
            <v>80.844999999999999</v>
          </cell>
          <cell r="I71">
            <v>80.3</v>
          </cell>
          <cell r="J71">
            <v>81.22</v>
          </cell>
          <cell r="K71">
            <v>15.5495</v>
          </cell>
          <cell r="L71">
            <v>4.4999999999999998E-2</v>
          </cell>
          <cell r="M71">
            <v>5.5690000000000004E-4</v>
          </cell>
          <cell r="N71">
            <v>41.6</v>
          </cell>
          <cell r="O71">
            <v>81.22</v>
          </cell>
          <cell r="P71">
            <v>9647869</v>
          </cell>
          <cell r="Q71">
            <v>9025892</v>
          </cell>
          <cell r="R71">
            <v>1.3228</v>
          </cell>
        </row>
        <row r="72">
          <cell r="A72" t="str">
            <v>SAFIAG</v>
          </cell>
          <cell r="D72" t="str">
            <v>GBp</v>
          </cell>
          <cell r="E72">
            <v>46002.686080821091</v>
          </cell>
          <cell r="F72">
            <v>385.6</v>
          </cell>
          <cell r="G72">
            <v>388.9</v>
          </cell>
          <cell r="H72">
            <v>397.6</v>
          </cell>
          <cell r="I72">
            <v>385.8</v>
          </cell>
          <cell r="J72">
            <v>397.7</v>
          </cell>
          <cell r="K72">
            <v>7.1555</v>
          </cell>
          <cell r="L72">
            <v>12</v>
          </cell>
          <cell r="M72">
            <v>3.1120000000000002E-2</v>
          </cell>
          <cell r="N72">
            <v>210</v>
          </cell>
          <cell r="O72">
            <v>429.3</v>
          </cell>
          <cell r="P72">
            <v>15161710</v>
          </cell>
          <cell r="Q72">
            <v>18071670</v>
          </cell>
          <cell r="R72">
            <v>2.3477000000000001</v>
          </cell>
        </row>
        <row r="73">
          <cell r="A73" t="str">
            <v>SAFMRNA</v>
          </cell>
          <cell r="D73" t="str">
            <v>USD</v>
          </cell>
          <cell r="E73">
            <v>46002.875958541408</v>
          </cell>
          <cell r="F73">
            <v>29.03</v>
          </cell>
          <cell r="G73">
            <v>29</v>
          </cell>
          <cell r="H73">
            <v>29.63</v>
          </cell>
          <cell r="I73">
            <v>28.89</v>
          </cell>
          <cell r="J73">
            <v>29.68</v>
          </cell>
          <cell r="K73">
            <v>0</v>
          </cell>
          <cell r="L73">
            <v>0.6</v>
          </cell>
          <cell r="M73">
            <v>2.0668000000000002E-2</v>
          </cell>
          <cell r="N73">
            <v>22.28</v>
          </cell>
          <cell r="O73">
            <v>48.92</v>
          </cell>
          <cell r="P73">
            <v>8110170</v>
          </cell>
          <cell r="Q73">
            <v>10285607</v>
          </cell>
          <cell r="R73">
            <v>1.1830000000000001</v>
          </cell>
        </row>
        <row r="74">
          <cell r="A74" t="str">
            <v>BLNK</v>
          </cell>
          <cell r="D74" t="str">
            <v>USD</v>
          </cell>
          <cell r="E74">
            <v>46002.875947060158</v>
          </cell>
          <cell r="F74">
            <v>0.94379999999999997</v>
          </cell>
          <cell r="G74">
            <v>0.89549999999999996</v>
          </cell>
          <cell r="H74">
            <v>0.88580000000000003</v>
          </cell>
          <cell r="I74">
            <v>0.85499999999999998</v>
          </cell>
          <cell r="J74">
            <v>0.94850000000000001</v>
          </cell>
          <cell r="K74">
            <v>0</v>
          </cell>
          <cell r="L74">
            <v>-5.8000000000000003E-2</v>
          </cell>
          <cell r="M74">
            <v>-6.1454000000000002E-2</v>
          </cell>
          <cell r="N74">
            <v>0.63009999999999999</v>
          </cell>
          <cell r="O74">
            <v>2.6499000000000001</v>
          </cell>
          <cell r="P74">
            <v>18434541</v>
          </cell>
          <cell r="Q74">
            <v>3744389</v>
          </cell>
          <cell r="R74">
            <v>1.7473000000000001</v>
          </cell>
        </row>
        <row r="75">
          <cell r="A75" t="str">
            <v>ENI</v>
          </cell>
          <cell r="D75" t="str">
            <v>EUR</v>
          </cell>
          <cell r="E75">
            <v>46002.708333333336</v>
          </cell>
          <cell r="F75">
            <v>16.013999999999999</v>
          </cell>
          <cell r="G75">
            <v>16</v>
          </cell>
          <cell r="H75">
            <v>15.904</v>
          </cell>
          <cell r="I75">
            <v>15.896000000000001</v>
          </cell>
          <cell r="J75">
            <v>16.05</v>
          </cell>
          <cell r="K75">
            <v>17.563800000000001</v>
          </cell>
          <cell r="L75">
            <v>-0.11</v>
          </cell>
          <cell r="M75">
            <v>-6.8689999999999992E-3</v>
          </cell>
          <cell r="N75">
            <v>11.01</v>
          </cell>
          <cell r="O75">
            <v>16.61</v>
          </cell>
          <cell r="P75">
            <v>8646456</v>
          </cell>
          <cell r="Q75">
            <v>7709170</v>
          </cell>
          <cell r="R75">
            <v>0.83089999999999997</v>
          </cell>
        </row>
        <row r="76">
          <cell r="A76" t="str">
            <v>EZJ</v>
          </cell>
          <cell r="D76" t="str">
            <v>GBp</v>
          </cell>
          <cell r="E76">
            <v>46002.681354941407</v>
          </cell>
          <cell r="F76">
            <v>476.4</v>
          </cell>
          <cell r="G76">
            <v>476.3</v>
          </cell>
          <cell r="H76">
            <v>485.1</v>
          </cell>
          <cell r="I76">
            <v>475.6</v>
          </cell>
          <cell r="J76">
            <v>486.6</v>
          </cell>
          <cell r="K76">
            <v>7.3674999999999997</v>
          </cell>
          <cell r="L76">
            <v>8.6999999999999993</v>
          </cell>
          <cell r="M76">
            <v>1.8262E-2</v>
          </cell>
          <cell r="N76">
            <v>401.05</v>
          </cell>
          <cell r="O76">
            <v>594</v>
          </cell>
          <cell r="P76">
            <v>2083140</v>
          </cell>
          <cell r="Q76">
            <v>3578260</v>
          </cell>
          <cell r="R76">
            <v>2.2629999999999999</v>
          </cell>
        </row>
        <row r="77">
          <cell r="A77" t="str">
            <v>F</v>
          </cell>
          <cell r="D77" t="str">
            <v>USD</v>
          </cell>
          <cell r="E77">
            <v>46002.875952372655</v>
          </cell>
          <cell r="F77">
            <v>13.41</v>
          </cell>
          <cell r="G77">
            <v>13.39</v>
          </cell>
          <cell r="H77">
            <v>13.625</v>
          </cell>
          <cell r="I77">
            <v>13.3</v>
          </cell>
          <cell r="J77">
            <v>13.68</v>
          </cell>
          <cell r="K77">
            <v>11.7003</v>
          </cell>
          <cell r="L77">
            <v>0.215</v>
          </cell>
          <cell r="M77">
            <v>1.6032999999999999E-2</v>
          </cell>
          <cell r="N77">
            <v>8.4405999999999999</v>
          </cell>
          <cell r="O77">
            <v>13.97</v>
          </cell>
          <cell r="P77">
            <v>58435838</v>
          </cell>
          <cell r="Q77">
            <v>61413204</v>
          </cell>
          <cell r="R77">
            <v>1.6207</v>
          </cell>
        </row>
        <row r="78">
          <cell r="A78" t="str">
            <v>GLE</v>
          </cell>
          <cell r="D78" t="str">
            <v>EUR</v>
          </cell>
          <cell r="E78">
            <v>46002.708333333336</v>
          </cell>
          <cell r="F78">
            <v>63.48</v>
          </cell>
          <cell r="G78">
            <v>63.3</v>
          </cell>
          <cell r="H78">
            <v>64.36</v>
          </cell>
          <cell r="I78">
            <v>63.12</v>
          </cell>
          <cell r="J78">
            <v>64.459999999999994</v>
          </cell>
          <cell r="K78">
            <v>10.3063</v>
          </cell>
          <cell r="L78">
            <v>0.88</v>
          </cell>
          <cell r="M78">
            <v>1.3863E-2</v>
          </cell>
          <cell r="N78">
            <v>26.15</v>
          </cell>
          <cell r="O78">
            <v>64.459999999999994</v>
          </cell>
          <cell r="P78">
            <v>1857536</v>
          </cell>
          <cell r="Q78">
            <v>1745130</v>
          </cell>
          <cell r="R78">
            <v>1.3729</v>
          </cell>
        </row>
        <row r="79">
          <cell r="A79" t="str">
            <v>GNRC</v>
          </cell>
          <cell r="D79" t="str">
            <v>USD</v>
          </cell>
          <cell r="E79">
            <v>46002.876049178129</v>
          </cell>
          <cell r="F79">
            <v>166.57</v>
          </cell>
          <cell r="G79">
            <v>166.55</v>
          </cell>
          <cell r="H79">
            <v>167.73</v>
          </cell>
          <cell r="I79">
            <v>164.53639999999999</v>
          </cell>
          <cell r="J79">
            <v>168.12</v>
          </cell>
          <cell r="K79">
            <v>31.915700000000001</v>
          </cell>
          <cell r="L79">
            <v>1.1599999999999999</v>
          </cell>
          <cell r="M79">
            <v>6.9640000000000006E-3</v>
          </cell>
          <cell r="N79">
            <v>99.5</v>
          </cell>
          <cell r="O79">
            <v>203.2499</v>
          </cell>
          <cell r="P79">
            <v>470528</v>
          </cell>
          <cell r="Q79">
            <v>1030532</v>
          </cell>
          <cell r="R79">
            <v>1.8128</v>
          </cell>
        </row>
        <row r="80">
          <cell r="A80" t="str">
            <v>GS</v>
          </cell>
          <cell r="D80" t="str">
            <v>USD</v>
          </cell>
          <cell r="E80">
            <v>46002.875974594528</v>
          </cell>
          <cell r="F80">
            <v>889.24</v>
          </cell>
          <cell r="G80">
            <v>889.16</v>
          </cell>
          <cell r="H80">
            <v>910.94</v>
          </cell>
          <cell r="I80">
            <v>888.05</v>
          </cell>
          <cell r="J80">
            <v>919.09799999999996</v>
          </cell>
          <cell r="K80">
            <v>18.504799999999999</v>
          </cell>
          <cell r="L80">
            <v>21.7</v>
          </cell>
          <cell r="M80">
            <v>2.4403000000000001E-2</v>
          </cell>
          <cell r="N80">
            <v>439.38</v>
          </cell>
          <cell r="O80">
            <v>919.09799999999996</v>
          </cell>
          <cell r="P80">
            <v>2660838</v>
          </cell>
          <cell r="Q80">
            <v>2064458</v>
          </cell>
          <cell r="R80">
            <v>1.3242</v>
          </cell>
        </row>
        <row r="81">
          <cell r="A81" t="str">
            <v>LAZR</v>
          </cell>
          <cell r="D81" t="str">
            <v>USD</v>
          </cell>
          <cell r="E81">
            <v>46002.875009640622</v>
          </cell>
          <cell r="F81">
            <v>0.87350000000000005</v>
          </cell>
          <cell r="G81">
            <v>0.87</v>
          </cell>
          <cell r="H81">
            <v>0.96619999999999995</v>
          </cell>
          <cell r="I81">
            <v>0.84499999999999997</v>
          </cell>
          <cell r="J81">
            <v>1.04</v>
          </cell>
          <cell r="K81">
            <v>0</v>
          </cell>
          <cell r="L81">
            <v>9.2700000000000005E-2</v>
          </cell>
          <cell r="M81">
            <v>0.10612500000000001</v>
          </cell>
          <cell r="N81">
            <v>0.77769999999999995</v>
          </cell>
          <cell r="O81">
            <v>10.4</v>
          </cell>
          <cell r="P81">
            <v>8820713</v>
          </cell>
          <cell r="Q81">
            <v>5568192</v>
          </cell>
          <cell r="R81">
            <v>1.2682</v>
          </cell>
        </row>
        <row r="82">
          <cell r="A82" t="str">
            <v>LUV</v>
          </cell>
          <cell r="D82" t="str">
            <v>USD</v>
          </cell>
          <cell r="E82">
            <v>46002.876090265629</v>
          </cell>
          <cell r="F82">
            <v>39.83</v>
          </cell>
          <cell r="G82">
            <v>39.83</v>
          </cell>
          <cell r="H82">
            <v>40.74</v>
          </cell>
          <cell r="I82">
            <v>39.770000000000003</v>
          </cell>
          <cell r="J82">
            <v>41.134999999999998</v>
          </cell>
          <cell r="K82">
            <v>60.887799999999999</v>
          </cell>
          <cell r="L82">
            <v>0.91</v>
          </cell>
          <cell r="M82">
            <v>2.2846999999999999E-2</v>
          </cell>
          <cell r="N82">
            <v>23.815000000000001</v>
          </cell>
          <cell r="O82">
            <v>41.134999999999998</v>
          </cell>
          <cell r="P82">
            <v>22693270</v>
          </cell>
          <cell r="Q82">
            <v>8177437</v>
          </cell>
          <cell r="R82">
            <v>1.1648000000000001</v>
          </cell>
        </row>
        <row r="83">
          <cell r="A83" t="str">
            <v>MA</v>
          </cell>
          <cell r="D83" t="str">
            <v>USD</v>
          </cell>
          <cell r="E83">
            <v>46002.876149120311</v>
          </cell>
          <cell r="F83">
            <v>538.86</v>
          </cell>
          <cell r="G83">
            <v>543.78</v>
          </cell>
          <cell r="H83">
            <v>563.57000000000005</v>
          </cell>
          <cell r="I83">
            <v>542.65</v>
          </cell>
          <cell r="J83">
            <v>565.13</v>
          </cell>
          <cell r="K83">
            <v>36.034100000000002</v>
          </cell>
          <cell r="L83">
            <v>24.71</v>
          </cell>
          <cell r="M83">
            <v>4.5856000000000001E-2</v>
          </cell>
          <cell r="N83">
            <v>465.59</v>
          </cell>
          <cell r="O83">
            <v>601.77</v>
          </cell>
          <cell r="P83">
            <v>3279418</v>
          </cell>
          <cell r="Q83">
            <v>2654129</v>
          </cell>
          <cell r="R83">
            <v>0.86240000000000006</v>
          </cell>
        </row>
        <row r="84">
          <cell r="A84" t="str">
            <v>NVAX</v>
          </cell>
          <cell r="D84" t="str">
            <v>USD</v>
          </cell>
          <cell r="E84">
            <v>46002.876026075784</v>
          </cell>
          <cell r="F84">
            <v>6.74</v>
          </cell>
          <cell r="G84">
            <v>6.72</v>
          </cell>
          <cell r="H84">
            <v>6.69</v>
          </cell>
          <cell r="I84">
            <v>6.6449999999999996</v>
          </cell>
          <cell r="J84">
            <v>6.84</v>
          </cell>
          <cell r="K84">
            <v>3.7195999999999998</v>
          </cell>
          <cell r="L84">
            <v>-0.05</v>
          </cell>
          <cell r="M84">
            <v>-7.4180000000000001E-3</v>
          </cell>
          <cell r="N84">
            <v>5.01</v>
          </cell>
          <cell r="O84">
            <v>11.55</v>
          </cell>
          <cell r="P84">
            <v>2623077</v>
          </cell>
          <cell r="Q84">
            <v>4019956</v>
          </cell>
          <cell r="R84">
            <v>2.3696999999999999</v>
          </cell>
        </row>
        <row r="85">
          <cell r="A85" t="str">
            <v>NVS</v>
          </cell>
          <cell r="D85" t="str">
            <v>USD</v>
          </cell>
          <cell r="E85">
            <v>46002.875450150001</v>
          </cell>
          <cell r="F85">
            <v>131.19</v>
          </cell>
          <cell r="G85">
            <v>132.44999999999999</v>
          </cell>
          <cell r="H85">
            <v>132.36000000000001</v>
          </cell>
          <cell r="I85">
            <v>132.19999999999999</v>
          </cell>
          <cell r="J85">
            <v>133.84</v>
          </cell>
          <cell r="K85">
            <v>18.101800000000001</v>
          </cell>
          <cell r="L85">
            <v>1.17</v>
          </cell>
          <cell r="M85">
            <v>8.9180000000000006E-3</v>
          </cell>
          <cell r="N85">
            <v>96.061999999999998</v>
          </cell>
          <cell r="O85">
            <v>134.24</v>
          </cell>
          <cell r="P85">
            <v>2062182</v>
          </cell>
          <cell r="Q85">
            <v>1699311</v>
          </cell>
          <cell r="R85">
            <v>0.50839999999999996</v>
          </cell>
        </row>
        <row r="86">
          <cell r="A86" t="str">
            <v>ORA</v>
          </cell>
          <cell r="D86" t="str">
            <v>EUR</v>
          </cell>
          <cell r="E86">
            <v>46002.708333333336</v>
          </cell>
          <cell r="F86">
            <v>13.664999999999999</v>
          </cell>
          <cell r="G86">
            <v>13.645</v>
          </cell>
          <cell r="H86">
            <v>13.734999999999999</v>
          </cell>
          <cell r="I86">
            <v>13.615</v>
          </cell>
          <cell r="J86">
            <v>13.75</v>
          </cell>
          <cell r="K86">
            <v>43.382800000000003</v>
          </cell>
          <cell r="L86">
            <v>7.0000000000000007E-2</v>
          </cell>
          <cell r="M86">
            <v>5.1229999999999999E-3</v>
          </cell>
          <cell r="N86">
            <v>9.3699999999999992</v>
          </cell>
          <cell r="O86">
            <v>14.56</v>
          </cell>
          <cell r="P86">
            <v>2323755</v>
          </cell>
          <cell r="Q86">
            <v>3430250</v>
          </cell>
          <cell r="R86">
            <v>0.2427</v>
          </cell>
        </row>
        <row r="87">
          <cell r="A87" t="str">
            <v>OXY</v>
          </cell>
          <cell r="D87" t="str">
            <v>USD</v>
          </cell>
          <cell r="E87">
            <v>46002.876105474221</v>
          </cell>
          <cell r="F87">
            <v>41.75</v>
          </cell>
          <cell r="G87">
            <v>41.08</v>
          </cell>
          <cell r="H87">
            <v>41.2</v>
          </cell>
          <cell r="I87">
            <v>40.9</v>
          </cell>
          <cell r="J87">
            <v>41.64</v>
          </cell>
          <cell r="K87">
            <v>30.077400000000001</v>
          </cell>
          <cell r="L87">
            <v>-0.55000000000000004</v>
          </cell>
          <cell r="M87">
            <v>-1.3173999999999998E-2</v>
          </cell>
          <cell r="N87">
            <v>34.784999999999997</v>
          </cell>
          <cell r="O87">
            <v>53.2</v>
          </cell>
          <cell r="P87">
            <v>7855392</v>
          </cell>
          <cell r="Q87">
            <v>8941985</v>
          </cell>
          <cell r="R87">
            <v>0.37790000000000001</v>
          </cell>
        </row>
        <row r="88">
          <cell r="A88" t="str">
            <v>PFE</v>
          </cell>
          <cell r="D88" t="str">
            <v>USD</v>
          </cell>
          <cell r="E88">
            <v>46002.876166376562</v>
          </cell>
          <cell r="F88">
            <v>25.78</v>
          </cell>
          <cell r="G88">
            <v>25.88</v>
          </cell>
          <cell r="H88">
            <v>25.81</v>
          </cell>
          <cell r="I88">
            <v>25.61</v>
          </cell>
          <cell r="J88">
            <v>26.04</v>
          </cell>
          <cell r="K88">
            <v>15.0443</v>
          </cell>
          <cell r="L88">
            <v>0.03</v>
          </cell>
          <cell r="M88">
            <v>1.1640000000000001E-3</v>
          </cell>
          <cell r="N88">
            <v>20.914999999999999</v>
          </cell>
          <cell r="O88">
            <v>27.69</v>
          </cell>
          <cell r="P88">
            <v>34533129</v>
          </cell>
          <cell r="Q88">
            <v>72867495</v>
          </cell>
          <cell r="R88">
            <v>0.4299</v>
          </cell>
        </row>
        <row r="89">
          <cell r="A89" t="str">
            <v>RIG</v>
          </cell>
          <cell r="D89" t="str">
            <v>USD</v>
          </cell>
          <cell r="E89">
            <v>46002.876083286719</v>
          </cell>
          <cell r="F89">
            <v>4.3</v>
          </cell>
          <cell r="G89">
            <v>4.2649999999999997</v>
          </cell>
          <cell r="H89">
            <v>4.2850000000000001</v>
          </cell>
          <cell r="I89">
            <v>4.22</v>
          </cell>
          <cell r="J89">
            <v>4.38</v>
          </cell>
          <cell r="K89">
            <v>99</v>
          </cell>
          <cell r="L89">
            <v>-1.4999999999999999E-2</v>
          </cell>
          <cell r="M89">
            <v>-3.4879999999999998E-3</v>
          </cell>
          <cell r="N89">
            <v>1.97</v>
          </cell>
          <cell r="O89">
            <v>4.5599999999999996</v>
          </cell>
          <cell r="P89">
            <v>31076109</v>
          </cell>
          <cell r="Q89">
            <v>35881396</v>
          </cell>
          <cell r="R89">
            <v>1.3574999999999999</v>
          </cell>
        </row>
        <row r="90">
          <cell r="A90" t="str">
            <v>RRC</v>
          </cell>
          <cell r="D90" t="str">
            <v>USD</v>
          </cell>
          <cell r="E90">
            <v>46002.875984664061</v>
          </cell>
          <cell r="F90">
            <v>37.29</v>
          </cell>
          <cell r="G90">
            <v>36.76</v>
          </cell>
          <cell r="H90">
            <v>36.299999999999997</v>
          </cell>
          <cell r="I90">
            <v>35.92</v>
          </cell>
          <cell r="J90">
            <v>36.884999999999998</v>
          </cell>
          <cell r="K90">
            <v>15.2438</v>
          </cell>
          <cell r="L90">
            <v>-0.99</v>
          </cell>
          <cell r="M90">
            <v>-2.6549E-2</v>
          </cell>
          <cell r="N90">
            <v>30.32</v>
          </cell>
          <cell r="O90">
            <v>43.5</v>
          </cell>
          <cell r="P90">
            <v>4054894</v>
          </cell>
          <cell r="Q90">
            <v>2941882</v>
          </cell>
          <cell r="R90">
            <v>0.50519999999999998</v>
          </cell>
        </row>
        <row r="91">
          <cell r="A91" t="str">
            <v>XYZ</v>
          </cell>
          <cell r="D91" t="str">
            <v>USD</v>
          </cell>
          <cell r="E91">
            <v>46002.876078645313</v>
          </cell>
          <cell r="F91">
            <v>63.29</v>
          </cell>
          <cell r="G91">
            <v>63.16</v>
          </cell>
          <cell r="H91">
            <v>63.6</v>
          </cell>
          <cell r="I91">
            <v>62.67</v>
          </cell>
          <cell r="J91">
            <v>64.11</v>
          </cell>
          <cell r="K91">
            <v>31.979099999999999</v>
          </cell>
          <cell r="L91">
            <v>0.31</v>
          </cell>
          <cell r="M91">
            <v>4.8980000000000004E-3</v>
          </cell>
          <cell r="N91">
            <v>44.27</v>
          </cell>
          <cell r="O91">
            <v>98.99</v>
          </cell>
          <cell r="P91">
            <v>5883152</v>
          </cell>
          <cell r="Q91">
            <v>9465959</v>
          </cell>
          <cell r="R91">
            <v>2.6663000000000001</v>
          </cell>
        </row>
        <row r="92">
          <cell r="A92" t="str">
            <v>THC</v>
          </cell>
          <cell r="D92" t="str">
            <v>USD</v>
          </cell>
          <cell r="E92">
            <v>46002.875630740622</v>
          </cell>
          <cell r="F92">
            <v>197.47</v>
          </cell>
          <cell r="G92">
            <v>197.67</v>
          </cell>
          <cell r="H92">
            <v>197.595</v>
          </cell>
          <cell r="I92">
            <v>196.63</v>
          </cell>
          <cell r="J92">
            <v>200.11500000000001</v>
          </cell>
          <cell r="K92">
            <v>13.132999999999999</v>
          </cell>
          <cell r="L92">
            <v>0.125</v>
          </cell>
          <cell r="M92">
            <v>6.3299999999999999E-4</v>
          </cell>
          <cell r="N92">
            <v>109.82389999999999</v>
          </cell>
          <cell r="O92">
            <v>222.815</v>
          </cell>
          <cell r="P92">
            <v>793642</v>
          </cell>
          <cell r="Q92">
            <v>1002224</v>
          </cell>
          <cell r="R92">
            <v>1.4053</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46002.729178240741</v>
          </cell>
          <cell r="F94">
            <v>10.236000000000001</v>
          </cell>
          <cell r="G94">
            <v>10.238</v>
          </cell>
          <cell r="H94">
            <v>10.327999999999999</v>
          </cell>
          <cell r="I94">
            <v>10.238</v>
          </cell>
          <cell r="J94">
            <v>10.327999999999999</v>
          </cell>
          <cell r="K94">
            <v>99</v>
          </cell>
          <cell r="L94">
            <v>9.1999999999999998E-2</v>
          </cell>
          <cell r="M94">
            <v>8.9880000000000012E-3</v>
          </cell>
          <cell r="N94">
            <v>7.4260000000000002</v>
          </cell>
          <cell r="O94">
            <v>10.672000000000001</v>
          </cell>
          <cell r="P94">
            <v>4454</v>
          </cell>
          <cell r="Q94" t="e">
            <v>#VALUE!</v>
          </cell>
          <cell r="R94">
            <v>0.621</v>
          </cell>
        </row>
        <row r="95">
          <cell r="A95" t="str">
            <v>JBASML</v>
          </cell>
          <cell r="E95">
            <v>46002.708333333336</v>
          </cell>
          <cell r="F95">
            <v>946</v>
          </cell>
          <cell r="G95">
            <v>945.1</v>
          </cell>
          <cell r="H95">
            <v>940.9</v>
          </cell>
          <cell r="I95">
            <v>931</v>
          </cell>
          <cell r="J95">
            <v>953.7</v>
          </cell>
          <cell r="K95">
            <v>36.127200000000002</v>
          </cell>
          <cell r="L95">
            <v>-5.0999999999999996</v>
          </cell>
          <cell r="M95">
            <v>-5.391E-3</v>
          </cell>
          <cell r="N95">
            <v>508.4</v>
          </cell>
          <cell r="O95">
            <v>977.1</v>
          </cell>
          <cell r="P95">
            <v>465132</v>
          </cell>
          <cell r="Q95">
            <v>479820</v>
          </cell>
          <cell r="R95">
            <v>2.0899000000000001</v>
          </cell>
        </row>
        <row r="96">
          <cell r="A96" t="str">
            <v>JBEOAN</v>
          </cell>
          <cell r="E96">
            <v>46002.863194444442</v>
          </cell>
          <cell r="F96">
            <v>15.55</v>
          </cell>
          <cell r="G96">
            <v>15.46</v>
          </cell>
          <cell r="H96">
            <v>15.035</v>
          </cell>
          <cell r="I96">
            <v>15</v>
          </cell>
          <cell r="J96">
            <v>15.5</v>
          </cell>
          <cell r="K96">
            <v>13.0739</v>
          </cell>
          <cell r="L96">
            <v>-0.51500000000000001</v>
          </cell>
          <cell r="M96">
            <v>-3.3119000000000003E-2</v>
          </cell>
          <cell r="N96">
            <v>7.3</v>
          </cell>
          <cell r="O96">
            <v>16.515000000000001</v>
          </cell>
          <cell r="P96">
            <v>29923</v>
          </cell>
          <cell r="Q96">
            <v>3704520</v>
          </cell>
          <cell r="R96">
            <v>0.86650000000000005</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6">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a>
  <a r="1" c="236">
    <v>38.369999999999997</v>
    <v>38.11</v>
    <v>37.79</v>
    <v>38.159999999999997</v>
    <v>39.130000000000003</v>
    <v>39.1</v>
    <v>39.17</v>
    <v>40.159999999999997</v>
    <v>41.37</v>
    <v>41.65</v>
    <v>41.67</v>
    <v>42.35</v>
    <v>41.68</v>
    <v>41.95</v>
    <v>42.04</v>
    <v>41.57</v>
    <v>41.35</v>
    <v>41.59</v>
    <v>43.09</v>
    <v>42.72</v>
    <v>43.12</v>
    <v>43.35</v>
    <v>44.96</v>
    <v>44.88</v>
    <v>44.84</v>
    <v>46.46</v>
    <v>45.49</v>
    <v>46.81</v>
    <v>47.75</v>
    <v>46.54</v>
    <v>47.51</v>
    <v>47.41</v>
    <v>48.09</v>
    <v>45.33</v>
    <v>44.04</v>
    <v>42.93</v>
    <v>43.58</v>
    <v>42.12</v>
    <v>42.84</v>
    <v>42.36</v>
    <v>42.51</v>
    <v>43.85</v>
    <v>43.92</v>
    <v>43.87</v>
    <v>42.37</v>
    <v>43.42</v>
    <v>43.63</v>
    <v>45.65</v>
    <v>46.24</v>
    <v>47.52</v>
    <v>47.81</v>
    <v>47.99</v>
    <v>47.76</v>
    <v>47.36</v>
    <v>46.82</v>
    <v>47.55</v>
    <v>47.39</v>
    <v>48.39</v>
    <v>48.08</v>
    <v>48.28</v>
    <v>48.29</v>
    <v>48.73</v>
    <v>48.33</v>
    <v>44.18</v>
    <v>44.86</v>
    <v>44.96</v>
    <v>48.75</v>
    <v>50.94</v>
    <v>54.97</v>
    <v>54.79</v>
    <v>54.58</v>
    <v>55.95</v>
    <v>55.08</v>
    <v>55.21</v>
    <v>54.54</v>
    <v>53.15</v>
    <v>55.7</v>
    <v>53.94</v>
    <v>54.07</v>
    <v>52.96</v>
    <v>52.68</v>
    <v>51.49</v>
    <v>51.53</v>
    <v>53.04</v>
    <v>54.61</v>
    <v>53.99</v>
    <v>52.83</v>
    <v>53.98</v>
    <v>50.78</v>
    <v>50.07</v>
    <v>48.66</v>
    <v>49.84</v>
    <v>50.1</v>
    <v>50.93</v>
    <v>52.3</v>
    <v>52.64</v>
    <v>52.65</v>
    <v>53.65</v>
    <v>52.71</v>
    <v>52.85</v>
    <v>52.52</v>
    <v>52.72</v>
    <v>55.58</v>
    <v>55.34</v>
    <v>55.28</v>
    <v>54.51</v>
    <v>52.36</v>
    <v>53.28</v>
    <v>52.56</v>
    <v>53.31</v>
    <v>55.92</v>
    <v>57.9</v>
    <v>58.12</v>
    <v>58.52</v>
    <v>58.26</v>
    <v>58.23</v>
    <v>59.46</v>
    <v>58.09</v>
    <v>58.06</v>
    <v>59.19</v>
    <v>56.76</v>
    <v>58.26</v>
    <v>58.83</v>
    <v>60.06</v>
    <v>59.9</v>
    <v>60.16</v>
    <v>57.61</v>
    <v>58.75</v>
    <v>59.78</v>
    <v>60.13</v>
    <v>60.82</v>
    <v>57.35</v>
    <v>58.45</v>
    <v>57.99</v>
    <v>58.19</v>
    <v>59.86</v>
    <v>61.7</v>
    <v>61.42</v>
    <v>61.51</v>
    <v>65.75</v>
    <v>63.66</v>
    <v>63.99</v>
    <v>62.31</v>
    <v>62.1</v>
    <v>62.59</v>
    <v>65.42</v>
    <v>67.239999999999995</v>
    <v>67.92</v>
    <v>69.069999999999993</v>
    <v>68.98</v>
    <v>68.87</v>
    <v>68.930000000000007</v>
    <v>68.56</v>
    <v>68.48</v>
    <v>69.33</v>
    <v>69</v>
    <v>67.38</v>
    <v>69</v>
    <v>70.09</v>
    <v>70.77</v>
    <v>71.099999999999994</v>
    <v>72.430000000000007</v>
    <v>72.39</v>
    <v>72.97</v>
    <v>74.400000000000006</v>
    <v>75.86</v>
    <v>75.42</v>
    <v>74.88</v>
    <v>76.17</v>
    <v>75.75</v>
    <v>75.92</v>
    <v>78.430000000000007</v>
    <v>79.650000000000006</v>
    <v>79.25</v>
    <v>79.36</v>
    <v>79.02</v>
    <v>78.69</v>
    <v>78.319999999999993</v>
    <v>81.72</v>
    <v>83.72</v>
    <v>84.67</v>
    <v>83.47</v>
    <v>83.67</v>
    <v>85.25</v>
    <v>84.54</v>
    <v>84.31</v>
    <v>85.95</v>
    <v>86.43</v>
    <v>86.86</v>
    <v>88.51</v>
    <v>86.95</v>
    <v>88.4</v>
    <v>85.21</v>
    <v>85.14</v>
    <v>89.4</v>
    <v>90.54</v>
    <v>93.58</v>
    <v>98.27</v>
    <v>90.77</v>
    <v>94.89</v>
    <v>86.32</v>
    <v>87.01</v>
    <v>88.91</v>
    <v>83.37</v>
    <v>78.63</v>
    <v>79.34</v>
    <v>79.67</v>
    <v>82.31</v>
    <v>80.97</v>
    <v>81.62</v>
    <v>78.900000000000006</v>
    <v>81.63</v>
    <v>82.53</v>
    <v>83.39</v>
    <v>88.26</v>
    <v>89.95</v>
    <v>93.07</v>
    <v>89.72</v>
    <v>87.8</v>
    <v>87.09</v>
    <v>86.6</v>
    <v>87.51</v>
    <v>82</v>
    <v>83.49</v>
    <v>86.53</v>
    <v>86.27</v>
    <v>90.52</v>
    <v>90.73</v>
    <v>91.83</v>
    <v>90.48</v>
    <v>89.65</v>
    <v>90.72</v>
    <v>89.76</v>
    <v>89</v>
    <v>94.09</v>
    <v>94.4</v>
  </a>
</arrayData>
</file>

<file path=xl/richData/rdrichvalue.xml><?xml version="1.0" encoding="utf-8"?>
<rvData xmlns="http://schemas.microsoft.com/office/spreadsheetml/2017/richdata" count="472">
  <rv s="0">
    <fb>46001</fb>
    <v>0</v>
  </rv>
  <rv s="0">
    <fb>94.4</fb>
    <v>1</v>
  </rv>
  <rv s="0">
    <fb>45659</fb>
    <v>0</v>
  </rv>
  <rv s="0">
    <fb>38.369999999999997</fb>
    <v>1</v>
  </rv>
  <rv s="0">
    <fb>46000</fb>
    <v>0</v>
  </rv>
  <rv s="0">
    <fb>94.09</fb>
    <v>1</v>
  </rv>
  <rv s="0">
    <fb>45660</fb>
    <v>0</v>
  </rv>
  <rv s="0">
    <fb>38.11</fb>
    <v>1</v>
  </rv>
  <rv s="0">
    <fb>45999</fb>
    <v>0</v>
  </rv>
  <rv s="0">
    <fb>89</fb>
    <v>1</v>
  </rv>
  <rv s="0">
    <fb>45663</fb>
    <v>0</v>
  </rv>
  <rv s="0">
    <fb>37.79</fb>
    <v>1</v>
  </rv>
  <rv s="0">
    <fb>45996</fb>
    <v>0</v>
  </rv>
  <rv s="0">
    <fb>89.76</fb>
    <v>1</v>
  </rv>
  <rv s="0">
    <fb>45664</fb>
    <v>0</v>
  </rv>
  <rv s="0">
    <fb>38.159999999999997</fb>
    <v>1</v>
  </rv>
  <rv s="0">
    <fb>45995</fb>
    <v>0</v>
  </rv>
  <rv s="0">
    <fb>90.72</fb>
    <v>1</v>
  </rv>
  <rv s="0">
    <fb>45665</fb>
    <v>0</v>
  </rv>
  <rv s="0">
    <fb>39.130000000000003</fb>
    <v>1</v>
  </rv>
  <rv s="0">
    <fb>45994</fb>
    <v>0</v>
  </rv>
  <rv s="0">
    <fb>89.65</fb>
    <v>1</v>
  </rv>
  <rv s="0">
    <fb>45667</fb>
    <v>0</v>
  </rv>
  <rv s="0">
    <fb>39.1</fb>
    <v>1</v>
  </rv>
  <rv s="0">
    <fb>45993</fb>
    <v>0</v>
  </rv>
  <rv s="0">
    <fb>90.48</fb>
    <v>1</v>
  </rv>
  <rv s="0">
    <fb>45670</fb>
    <v>0</v>
  </rv>
  <rv s="0">
    <fb>39.17</fb>
    <v>1</v>
  </rv>
  <rv s="0">
    <fb>45992</fb>
    <v>0</v>
  </rv>
  <rv s="0">
    <fb>91.83</fb>
    <v>1</v>
  </rv>
  <rv s="0">
    <fb>45671</fb>
    <v>0</v>
  </rv>
  <rv s="0">
    <fb>40.159999999999997</fb>
    <v>1</v>
  </rv>
  <rv s="0">
    <fb>45989</fb>
    <v>0</v>
  </rv>
  <rv s="0">
    <fb>90.73</fb>
    <v>1</v>
  </rv>
  <rv s="0">
    <fb>45672</fb>
    <v>0</v>
  </rv>
  <rv s="0">
    <fb>41.37</fb>
    <v>1</v>
  </rv>
  <rv s="0">
    <fb>45987</fb>
    <v>0</v>
  </rv>
  <rv s="0">
    <fb>90.52</fb>
    <v>1</v>
  </rv>
  <rv s="0">
    <fb>45673</fb>
    <v>0</v>
  </rv>
  <rv s="0">
    <fb>41.65</fb>
    <v>1</v>
  </rv>
  <rv s="0">
    <fb>45986</fb>
    <v>0</v>
  </rv>
  <rv s="0">
    <fb>86.27</fb>
    <v>1</v>
  </rv>
  <rv s="0">
    <fb>45674</fb>
    <v>0</v>
  </rv>
  <rv s="0">
    <fb>41.67</fb>
    <v>1</v>
  </rv>
  <rv s="0">
    <fb>45985</fb>
    <v>0</v>
  </rv>
  <rv s="0">
    <fb>86.53</fb>
    <v>1</v>
  </rv>
  <rv s="0">
    <fb>45678</fb>
    <v>0</v>
  </rv>
  <rv s="0">
    <fb>42.35</fb>
    <v>1</v>
  </rv>
  <rv s="0">
    <fb>45982</fb>
    <v>0</v>
  </rv>
  <rv s="0">
    <fb>83.49</fb>
    <v>1</v>
  </rv>
  <rv s="0">
    <fb>45679</fb>
    <v>0</v>
  </rv>
  <rv s="0">
    <fb>41.68</fb>
    <v>1</v>
  </rv>
  <rv s="0">
    <fb>45981</fb>
    <v>0</v>
  </rv>
  <rv s="0">
    <fb>82</fb>
    <v>1</v>
  </rv>
  <rv s="0">
    <fb>45680</fb>
    <v>0</v>
  </rv>
  <rv s="0">
    <fb>41.95</fb>
    <v>1</v>
  </rv>
  <rv s="0">
    <fb>45980</fb>
    <v>0</v>
  </rv>
  <rv s="0">
    <fb>87.51</fb>
    <v>1</v>
  </rv>
  <rv s="0">
    <fb>45681</fb>
    <v>0</v>
  </rv>
  <rv s="0">
    <fb>42.04</fb>
    <v>1</v>
  </rv>
  <rv s="0">
    <fb>45979</fb>
    <v>0</v>
  </rv>
  <rv s="0">
    <fb>86.6</fb>
    <v>1</v>
  </rv>
  <rv s="0">
    <fb>45684</fb>
    <v>0</v>
  </rv>
  <rv s="0">
    <fb>41.57</fb>
    <v>1</v>
  </rv>
  <rv s="0">
    <fb>45978</fb>
    <v>0</v>
  </rv>
  <rv s="0">
    <fb>87.09</fb>
    <v>1</v>
  </rv>
  <rv s="0">
    <fb>45685</fb>
    <v>0</v>
  </rv>
  <rv s="0">
    <fb>41.35</fb>
    <v>1</v>
  </rv>
  <rv s="0">
    <fb>45975</fb>
    <v>0</v>
  </rv>
  <rv s="0">
    <fb>87.8</fb>
    <v>1</v>
  </rv>
  <rv s="0">
    <fb>45686</fb>
    <v>0</v>
  </rv>
  <rv s="0">
    <fb>41.59</fb>
    <v>1</v>
  </rv>
  <rv s="0">
    <fb>45974</fb>
    <v>0</v>
  </rv>
  <rv s="0">
    <fb>89.72</fb>
    <v>1</v>
  </rv>
  <rv s="0">
    <fb>45687</fb>
    <v>0</v>
  </rv>
  <rv s="0">
    <fb>43.09</fb>
    <v>1</v>
  </rv>
  <rv s="0">
    <fb>45973</fb>
    <v>0</v>
  </rv>
  <rv s="0">
    <fb>93.07</fb>
    <v>1</v>
  </rv>
  <rv s="0">
    <fb>45688</fb>
    <v>0</v>
  </rv>
  <rv s="0">
    <fb>42.72</fb>
    <v>1</v>
  </rv>
  <rv s="0">
    <fb>45972</fb>
    <v>0</v>
  </rv>
  <rv s="0">
    <fb>89.95</fb>
    <v>1</v>
  </rv>
  <rv s="0">
    <fb>45691</fb>
    <v>0</v>
  </rv>
  <rv s="0">
    <fb>43.12</fb>
    <v>1</v>
  </rv>
  <rv s="0">
    <fb>45971</fb>
    <v>0</v>
  </rv>
  <rv s="0">
    <fb>88.26</fb>
    <v>1</v>
  </rv>
  <rv s="0">
    <fb>45692</fb>
    <v>0</v>
  </rv>
  <rv s="0">
    <fb>43.35</fb>
    <v>1</v>
  </rv>
  <rv s="0">
    <fb>45968</fb>
    <v>0</v>
  </rv>
  <rv s="0">
    <fb>83.39</fb>
    <v>1</v>
  </rv>
  <rv s="0">
    <fb>45693</fb>
    <v>0</v>
  </rv>
  <rv s="0">
    <fb>44.96</fb>
    <v>1</v>
  </rv>
  <rv s="0">
    <fb>45967</fb>
    <v>0</v>
  </rv>
  <rv s="0">
    <fb>82.53</fb>
    <v>1</v>
  </rv>
  <rv s="0">
    <fb>45694</fb>
    <v>0</v>
  </rv>
  <rv s="0">
    <fb>44.88</fb>
    <v>1</v>
  </rv>
  <rv s="0">
    <fb>45966</fb>
    <v>0</v>
  </rv>
  <rv s="0">
    <fb>81.63</fb>
    <v>1</v>
  </rv>
  <rv s="0">
    <fb>45695</fb>
    <v>0</v>
  </rv>
  <rv s="0">
    <fb>44.84</fb>
    <v>1</v>
  </rv>
  <rv s="0">
    <fb>45965</fb>
    <v>0</v>
  </rv>
  <rv s="0">
    <fb>78.900000000000006</fb>
    <v>1</v>
  </rv>
  <rv s="0">
    <fb>45698</fb>
    <v>0</v>
  </rv>
  <rv s="0">
    <fb>46.46</fb>
    <v>1</v>
  </rv>
  <rv s="0">
    <fb>45964</fb>
    <v>0</v>
  </rv>
  <rv s="0">
    <fb>81.62</fb>
    <v>1</v>
  </rv>
  <rv s="0">
    <fb>45699</fb>
    <v>0</v>
  </rv>
  <rv s="0">
    <fb>45.49</fb>
    <v>1</v>
  </rv>
  <rv s="0">
    <fb>45961</fb>
    <v>0</v>
  </rv>
  <rv s="0">
    <fb>80.97</fb>
    <v>1</v>
  </rv>
  <rv s="0">
    <fb>45700</fb>
    <v>0</v>
  </rv>
  <rv s="0">
    <fb>46.81</fb>
    <v>1</v>
  </rv>
  <rv s="0">
    <fb>45960</fb>
    <v>0</v>
  </rv>
  <rv s="0">
    <fb>82.31</fb>
    <v>1</v>
  </rv>
  <rv s="0">
    <fb>45701</fb>
    <v>0</v>
  </rv>
  <rv s="0">
    <fb>47.75</fb>
    <v>1</v>
  </rv>
  <rv s="0">
    <fb>45959</fb>
    <v>0</v>
  </rv>
  <rv s="0">
    <fb>79.67</fb>
    <v>1</v>
  </rv>
  <rv s="0">
    <fb>45702</fb>
    <v>0</v>
  </rv>
  <rv s="0">
    <fb>46.54</fb>
    <v>1</v>
  </rv>
  <rv s="0">
    <fb>45958</fb>
    <v>0</v>
  </rv>
  <rv s="0">
    <fb>79.34</fb>
    <v>1</v>
  </rv>
  <rv s="0">
    <fb>45706</fb>
    <v>0</v>
  </rv>
  <rv s="0">
    <fb>47.51</fb>
    <v>1</v>
  </rv>
  <rv s="0">
    <fb>45957</fb>
    <v>0</v>
  </rv>
  <rv s="0">
    <fb>78.63</fb>
    <v>1</v>
  </rv>
  <rv s="0">
    <fb>45707</fb>
    <v>0</v>
  </rv>
  <rv s="0">
    <fb>47.41</fb>
    <v>1</v>
  </rv>
  <rv s="0">
    <fb>45954</fb>
    <v>0</v>
  </rv>
  <rv s="0">
    <fb>83.37</fb>
    <v>1</v>
  </rv>
  <rv s="0">
    <fb>45708</fb>
    <v>0</v>
  </rv>
  <rv s="0">
    <fb>48.09</fb>
    <v>1</v>
  </rv>
  <rv s="0">
    <fb>45953</fb>
    <v>0</v>
  </rv>
  <rv s="0">
    <fb>88.91</fb>
    <v>1</v>
  </rv>
  <rv s="0">
    <fb>45709</fb>
    <v>0</v>
  </rv>
  <rv s="0">
    <fb>45.33</fb>
    <v>1</v>
  </rv>
  <rv s="0">
    <fb>45952</fb>
    <v>0</v>
  </rv>
  <rv s="0">
    <fb>87.01</fb>
    <v>1</v>
  </rv>
  <rv s="0">
    <fb>45712</fb>
    <v>0</v>
  </rv>
  <rv s="0">
    <fb>44.04</fb>
    <v>1</v>
  </rv>
  <rv s="0">
    <fb>45951</fb>
    <v>0</v>
  </rv>
  <rv s="0">
    <fb>86.32</fb>
    <v>1</v>
  </rv>
  <rv s="0">
    <fb>45713</fb>
    <v>0</v>
  </rv>
  <rv s="0">
    <fb>42.93</fb>
    <v>1</v>
  </rv>
  <rv s="0">
    <fb>45950</fb>
    <v>0</v>
  </rv>
  <rv s="0">
    <fb>94.89</fb>
    <v>1</v>
  </rv>
  <rv s="0">
    <fb>45714</fb>
    <v>0</v>
  </rv>
  <rv s="0">
    <fb>43.58</fb>
    <v>1</v>
  </rv>
  <rv s="0">
    <fb>45947</fb>
    <v>0</v>
  </rv>
  <rv s="0">
    <fb>90.77</fb>
    <v>1</v>
  </rv>
  <rv s="0">
    <fb>45715</fb>
    <v>0</v>
  </rv>
  <rv s="0">
    <fb>42.12</fb>
    <v>1</v>
  </rv>
  <rv s="0">
    <fb>45946</fb>
    <v>0</v>
  </rv>
  <rv s="0">
    <fb>98.27</fb>
    <v>1</v>
  </rv>
  <rv s="0">
    <fb>45716</fb>
    <v>0</v>
  </rv>
  <rv s="0">
    <fb>42.84</fb>
    <v>1</v>
  </rv>
  <rv s="0">
    <fb>45945</fb>
    <v>0</v>
  </rv>
  <rv s="0">
    <fb>93.58</fb>
    <v>1</v>
  </rv>
  <rv s="0">
    <fb>45719</fb>
    <v>0</v>
  </rv>
  <rv s="0">
    <fb>42.36</fb>
    <v>1</v>
  </rv>
  <rv s="0">
    <fb>45944</fb>
    <v>0</v>
  </rv>
  <rv s="0">
    <fb>90.54</fb>
    <v>1</v>
  </rv>
  <rv s="0">
    <fb>45720</fb>
    <v>0</v>
  </rv>
  <rv s="0">
    <fb>42.51</fb>
    <v>1</v>
  </rv>
  <rv s="0">
    <fb>45943</fb>
    <v>0</v>
  </rv>
  <rv s="0">
    <fb>89.4</fb>
    <v>1</v>
  </rv>
  <rv s="0">
    <fb>45721</fb>
    <v>0</v>
  </rv>
  <rv s="0">
    <fb>43.85</fb>
    <v>1</v>
  </rv>
  <rv s="0">
    <fb>45940</fb>
    <v>0</v>
  </rv>
  <rv s="0">
    <fb>85.14</fb>
    <v>1</v>
  </rv>
  <rv s="0">
    <fb>45722</fb>
    <v>0</v>
  </rv>
  <rv s="0">
    <fb>43.92</fb>
    <v>1</v>
  </rv>
  <rv s="0">
    <fb>45939</fb>
    <v>0</v>
  </rv>
  <rv s="0">
    <fb>85.21</fb>
    <v>1</v>
  </rv>
  <rv s="0">
    <fb>45723</fb>
    <v>0</v>
  </rv>
  <rv s="0">
    <fb>43.87</fb>
    <v>1</v>
  </rv>
  <rv s="0">
    <fb>45938</fb>
    <v>0</v>
  </rv>
  <rv s="0">
    <fb>88.4</fb>
    <v>1</v>
  </rv>
  <rv s="0">
    <fb>45726</fb>
    <v>0</v>
  </rv>
  <rv s="0">
    <fb>42.37</fb>
    <v>1</v>
  </rv>
  <rv s="0">
    <fb>45937</fb>
    <v>0</v>
  </rv>
  <rv s="0">
    <fb>86.95</fb>
    <v>1</v>
  </rv>
  <rv s="0">
    <fb>45727</fb>
    <v>0</v>
  </rv>
  <rv s="0">
    <fb>43.42</fb>
    <v>1</v>
  </rv>
  <rv s="0">
    <fb>45936</fb>
    <v>0</v>
  </rv>
  <rv s="0">
    <fb>88.51</fb>
    <v>1</v>
  </rv>
  <rv s="0">
    <fb>45728</fb>
    <v>0</v>
  </rv>
  <rv s="0">
    <fb>43.63</fb>
    <v>1</v>
  </rv>
  <rv s="0">
    <fb>45933</fb>
    <v>0</v>
  </rv>
  <rv s="0">
    <fb>86.86</fb>
    <v>1</v>
  </rv>
  <rv s="0">
    <fb>45729</fb>
    <v>0</v>
  </rv>
  <rv s="0">
    <fb>45.65</fb>
    <v>1</v>
  </rv>
  <rv s="0">
    <fb>45932</fb>
    <v>0</v>
  </rv>
  <rv s="0">
    <fb>86.43</fb>
    <v>1</v>
  </rv>
  <rv s="0">
    <fb>45730</fb>
    <v>0</v>
  </rv>
  <rv s="0">
    <fb>46.24</fb>
    <v>1</v>
  </rv>
  <rv s="0">
    <fb>45931</fb>
    <v>0</v>
  </rv>
  <rv s="0">
    <fb>85.95</fb>
    <v>1</v>
  </rv>
  <rv s="0">
    <fb>45733</fb>
    <v>0</v>
  </rv>
  <rv s="0">
    <fb>47.52</fb>
    <v>1</v>
  </rv>
  <rv s="0">
    <fb>45930</fb>
    <v>0</v>
  </rv>
  <rv s="0">
    <fb>84.31</fb>
    <v>1</v>
  </rv>
  <rv s="0">
    <fb>45734</fb>
    <v>0</v>
  </rv>
  <rv s="0">
    <fb>47.81</fb>
    <v>1</v>
  </rv>
  <rv s="0">
    <fb>45929</fb>
    <v>0</v>
  </rv>
  <rv s="0">
    <fb>84.54</fb>
    <v>1</v>
  </rv>
  <rv s="0">
    <fb>45735</fb>
    <v>0</v>
  </rv>
  <rv s="0">
    <fb>47.99</fb>
    <v>1</v>
  </rv>
  <rv s="0">
    <fb>45926</fb>
    <v>0</v>
  </rv>
  <rv s="0">
    <fb>85.25</fb>
    <v>1</v>
  </rv>
  <rv s="0">
    <fb>45736</fb>
    <v>0</v>
  </rv>
  <rv s="0">
    <fb>47.76</fb>
    <v>1</v>
  </rv>
  <rv s="0">
    <fb>45925</fb>
    <v>0</v>
  </rv>
  <rv s="0">
    <fb>83.67</fb>
    <v>1</v>
  </rv>
  <rv s="0">
    <fb>45737</fb>
    <v>0</v>
  </rv>
  <rv s="0">
    <fb>47.36</fb>
    <v>1</v>
  </rv>
  <rv s="0">
    <fb>45924</fb>
    <v>0</v>
  </rv>
  <rv s="0">
    <fb>83.47</fb>
    <v>1</v>
  </rv>
  <rv s="0">
    <fb>45740</fb>
    <v>0</v>
  </rv>
  <rv s="0">
    <fb>46.82</fb>
    <v>1</v>
  </rv>
  <rv s="0">
    <fb>45923</fb>
    <v>0</v>
  </rv>
  <rv s="0">
    <fb>84.67</fb>
    <v>1</v>
  </rv>
  <rv s="0">
    <fb>45741</fb>
    <v>0</v>
  </rv>
  <rv s="0">
    <fb>47.55</fb>
    <v>1</v>
  </rv>
  <rv s="0">
    <fb>45922</fb>
    <v>0</v>
  </rv>
  <rv s="0">
    <fb>83.72</fb>
    <v>1</v>
  </rv>
  <rv s="0">
    <fb>45742</fb>
    <v>0</v>
  </rv>
  <rv s="0">
    <fb>47.39</fb>
    <v>1</v>
  </rv>
  <rv s="0">
    <fb>45919</fb>
    <v>0</v>
  </rv>
  <rv s="0">
    <fb>81.72</fb>
    <v>1</v>
  </rv>
  <rv s="0">
    <fb>45743</fb>
    <v>0</v>
  </rv>
  <rv s="0">
    <fb>48.39</fb>
    <v>1</v>
  </rv>
  <rv s="0">
    <fb>45918</fb>
    <v>0</v>
  </rv>
  <rv s="0">
    <fb>78.319999999999993</fb>
    <v>1</v>
  </rv>
  <rv s="0">
    <fb>45744</fb>
    <v>0</v>
  </rv>
  <rv s="0">
    <fb>48.08</fb>
    <v>1</v>
  </rv>
  <rv s="0">
    <fb>45917</fb>
    <v>0</v>
  </rv>
  <rv s="0">
    <fb>78.69</fb>
    <v>1</v>
  </rv>
  <rv s="0">
    <fb>45747</fb>
    <v>0</v>
  </rv>
  <rv s="0">
    <fb>48.28</fb>
    <v>1</v>
  </rv>
  <rv s="0">
    <fb>45916</fb>
    <v>0</v>
  </rv>
  <rv s="0">
    <fb>79.02</fb>
    <v>1</v>
  </rv>
  <rv s="0">
    <fb>45748</fb>
    <v>0</v>
  </rv>
  <rv s="0">
    <fb>48.29</fb>
    <v>1</v>
  </rv>
  <rv s="0">
    <fb>45915</fb>
    <v>0</v>
  </rv>
  <rv s="0">
    <fb>79.36</fb>
    <v>1</v>
  </rv>
  <rv s="0">
    <fb>45749</fb>
    <v>0</v>
  </rv>
  <rv s="0">
    <fb>48.73</fb>
    <v>1</v>
  </rv>
  <rv s="0">
    <fb>45912</fb>
    <v>0</v>
  </rv>
  <rv s="0">
    <fb>79.25</fb>
    <v>1</v>
  </rv>
  <rv s="0">
    <fb>45750</fb>
    <v>0</v>
  </rv>
  <rv s="0">
    <fb>48.33</fb>
    <v>1</v>
  </rv>
  <rv s="0">
    <fb>45911</fb>
    <v>0</v>
  </rv>
  <rv s="0">
    <fb>79.650000000000006</fb>
    <v>1</v>
  </rv>
  <rv s="0">
    <fb>45751</fb>
    <v>0</v>
  </rv>
  <rv s="0">
    <fb>44.18</fb>
    <v>1</v>
  </rv>
  <rv s="0">
    <fb>45910</fb>
    <v>0</v>
  </rv>
  <rv s="0">
    <fb>78.430000000000007</fb>
    <v>1</v>
  </rv>
  <rv s="0">
    <fb>45754</fb>
    <v>0</v>
  </rv>
  <rv s="0">
    <fb>44.86</fb>
    <v>1</v>
  </rv>
  <rv s="0">
    <fb>45909</fb>
    <v>0</v>
  </rv>
  <rv s="0">
    <fb>75.92</fb>
    <v>1</v>
  </rv>
  <rv s="0">
    <fb>45755</fb>
    <v>0</v>
  </rv>
  <rv s="0">
    <fb>45908</fb>
    <v>0</v>
  </rv>
  <rv s="0">
    <fb>75.75</fb>
    <v>1</v>
  </rv>
  <rv s="0">
    <fb>45756</fb>
    <v>0</v>
  </rv>
  <rv s="0">
    <fb>48.75</fb>
    <v>1</v>
  </rv>
  <rv s="0">
    <fb>45905</fb>
    <v>0</v>
  </rv>
  <rv s="0">
    <fb>76.17</fb>
    <v>1</v>
  </rv>
  <rv s="0">
    <fb>45757</fb>
    <v>0</v>
  </rv>
  <rv s="0">
    <fb>50.94</fb>
    <v>1</v>
  </rv>
  <rv s="0">
    <fb>45904</fb>
    <v>0</v>
  </rv>
  <rv s="0">
    <fb>74.88</fb>
    <v>1</v>
  </rv>
  <rv s="0">
    <fb>45758</fb>
    <v>0</v>
  </rv>
  <rv s="0">
    <fb>54.97</fb>
    <v>1</v>
  </rv>
  <rv s="0">
    <fb>45903</fb>
    <v>0</v>
  </rv>
  <rv s="0">
    <fb>75.42</fb>
    <v>1</v>
  </rv>
  <rv s="0">
    <fb>45761</fb>
    <v>0</v>
  </rv>
  <rv s="0">
    <fb>54.79</fb>
    <v>1</v>
  </rv>
  <rv s="0">
    <fb>45902</fb>
    <v>0</v>
  </rv>
  <rv s="0">
    <fb>75.86</fb>
    <v>1</v>
  </rv>
  <rv s="0">
    <fb>45762</fb>
    <v>0</v>
  </rv>
  <rv s="0">
    <fb>54.58</fb>
    <v>1</v>
  </rv>
  <rv s="0">
    <fb>45898</fb>
    <v>0</v>
  </rv>
  <rv s="0">
    <fb>74.400000000000006</fb>
    <v>1</v>
  </rv>
  <rv s="0">
    <fb>45763</fb>
    <v>0</v>
  </rv>
  <rv s="0">
    <fb>55.95</fb>
    <v>1</v>
  </rv>
  <rv s="0">
    <fb>45897</fb>
    <v>0</v>
  </rv>
  <rv s="0">
    <fb>72.97</fb>
    <v>1</v>
  </rv>
  <rv s="0">
    <fb>45764</fb>
    <v>0</v>
  </rv>
  <rv s="0">
    <fb>55.08</fb>
    <v>1</v>
  </rv>
  <rv s="0">
    <fb>45896</fb>
    <v>0</v>
  </rv>
  <rv s="0">
    <fb>72.39</fb>
    <v>1</v>
  </rv>
  <rv s="0">
    <fb>45768</fb>
    <v>0</v>
  </rv>
  <rv s="0">
    <fb>55.21</fb>
    <v>1</v>
  </rv>
  <rv s="0">
    <fb>45895</fb>
    <v>0</v>
  </rv>
  <rv s="0">
    <fb>72.430000000000007</fb>
    <v>1</v>
  </rv>
  <rv s="0">
    <fb>45769</fb>
    <v>0</v>
  </rv>
  <rv s="0">
    <fb>54.54</fb>
    <v>1</v>
  </rv>
  <rv s="0">
    <fb>45894</fb>
    <v>0</v>
  </rv>
  <rv s="0">
    <fb>71.099999999999994</fb>
    <v>1</v>
  </rv>
  <rv s="0">
    <fb>45770</fb>
    <v>0</v>
  </rv>
  <rv s="0">
    <fb>53.15</fb>
    <v>1</v>
  </rv>
  <rv s="0">
    <fb>45891</fb>
    <v>0</v>
  </rv>
  <rv s="0">
    <fb>70.77</fb>
    <v>1</v>
  </rv>
  <rv s="0">
    <fb>45771</fb>
    <v>0</v>
  </rv>
  <rv s="0">
    <fb>55.7</fb>
    <v>1</v>
  </rv>
  <rv s="0">
    <fb>45890</fb>
    <v>0</v>
  </rv>
  <rv s="0">
    <fb>70.09</fb>
    <v>1</v>
  </rv>
  <rv s="0">
    <fb>45772</fb>
    <v>0</v>
  </rv>
  <rv s="0">
    <fb>53.94</fb>
    <v>1</v>
  </rv>
  <rv s="0">
    <fb>45889</fb>
    <v>0</v>
  </rv>
  <rv s="0">
    <fb>69</fb>
    <v>1</v>
  </rv>
  <rv s="0">
    <fb>45775</fb>
    <v>0</v>
  </rv>
  <rv s="0">
    <fb>54.07</fb>
    <v>1</v>
  </rv>
  <rv s="0">
    <fb>45888</fb>
    <v>0</v>
  </rv>
  <rv s="0">
    <fb>67.38</fb>
    <v>1</v>
  </rv>
  <rv s="0">
    <fb>45776</fb>
    <v>0</v>
  </rv>
  <rv s="0">
    <fb>52.96</fb>
    <v>1</v>
  </rv>
  <rv s="0">
    <fb>45887</fb>
    <v>0</v>
  </rv>
  <rv s="0">
    <fb>45777</fb>
    <v>0</v>
  </rv>
  <rv s="0">
    <fb>52.68</fb>
    <v>1</v>
  </rv>
  <rv s="0">
    <fb>45884</fb>
    <v>0</v>
  </rv>
  <rv s="0">
    <fb>69.33</fb>
    <v>1</v>
  </rv>
  <rv s="0">
    <fb>45778</fb>
    <v>0</v>
  </rv>
  <rv s="0">
    <fb>51.49</fb>
    <v>1</v>
  </rv>
  <rv s="0">
    <fb>45883</fb>
    <v>0</v>
  </rv>
  <rv s="0">
    <fb>68.48</fb>
    <v>1</v>
  </rv>
  <rv s="0">
    <fb>45779</fb>
    <v>0</v>
  </rv>
  <rv s="0">
    <fb>51.53</fb>
    <v>1</v>
  </rv>
  <rv s="0">
    <fb>45882</fb>
    <v>0</v>
  </rv>
  <rv s="0">
    <fb>68.56</fb>
    <v>1</v>
  </rv>
  <rv s="0">
    <fb>45782</fb>
    <v>0</v>
  </rv>
  <rv s="0">
    <fb>53.04</fb>
    <v>1</v>
  </rv>
  <rv s="0">
    <fb>45881</fb>
    <v>0</v>
  </rv>
  <rv s="0">
    <fb>68.930000000000007</fb>
    <v>1</v>
  </rv>
  <rv s="0">
    <fb>45783</fb>
    <v>0</v>
  </rv>
  <rv s="0">
    <fb>54.61</fb>
    <v>1</v>
  </rv>
  <rv s="0">
    <fb>45880</fb>
    <v>0</v>
  </rv>
  <rv s="0">
    <fb>68.87</fb>
    <v>1</v>
  </rv>
  <rv s="0">
    <fb>45784</fb>
    <v>0</v>
  </rv>
  <rv s="0">
    <fb>53.99</fb>
    <v>1</v>
  </rv>
  <rv s="0">
    <fb>45877</fb>
    <v>0</v>
  </rv>
  <rv s="0">
    <fb>68.98</fb>
    <v>1</v>
  </rv>
  <rv s="0">
    <fb>45785</fb>
    <v>0</v>
  </rv>
  <rv s="0">
    <fb>52.83</fb>
    <v>1</v>
  </rv>
  <rv s="0">
    <fb>45876</fb>
    <v>0</v>
  </rv>
  <rv s="0">
    <fb>69.069999999999993</fb>
    <v>1</v>
  </rv>
  <rv s="0">
    <fb>45786</fb>
    <v>0</v>
  </rv>
  <rv s="0">
    <fb>53.98</fb>
    <v>1</v>
  </rv>
  <rv s="0">
    <fb>45875</fb>
    <v>0</v>
  </rv>
  <rv s="0">
    <fb>67.92</fb>
    <v>1</v>
  </rv>
  <rv s="0">
    <fb>45789</fb>
    <v>0</v>
  </rv>
  <rv s="0">
    <fb>50.78</fb>
    <v>1</v>
  </rv>
  <rv s="0">
    <fb>45874</fb>
    <v>0</v>
  </rv>
  <rv s="0">
    <fb>67.239999999999995</fb>
    <v>1</v>
  </rv>
  <rv s="0">
    <fb>45790</fb>
    <v>0</v>
  </rv>
  <rv s="0">
    <fb>50.07</fb>
    <v>1</v>
  </rv>
  <rv s="0">
    <fb>45873</fb>
    <v>0</v>
  </rv>
  <rv s="0">
    <fb>65.42</fb>
    <v>1</v>
  </rv>
  <rv s="0">
    <fb>45791</fb>
    <v>0</v>
  </rv>
  <rv s="0">
    <fb>48.66</fb>
    <v>1</v>
  </rv>
  <rv s="0">
    <fb>45870</fb>
    <v>0</v>
  </rv>
  <rv s="0">
    <fb>62.59</fb>
    <v>1</v>
  </rv>
  <rv s="0">
    <fb>45792</fb>
    <v>0</v>
  </rv>
  <rv s="0">
    <fb>49.84</fb>
    <v>1</v>
  </rv>
  <rv s="0">
    <fb>45869</fb>
    <v>0</v>
  </rv>
  <rv s="0">
    <fb>62.1</fb>
    <v>1</v>
  </rv>
  <rv s="0">
    <fb>45793</fb>
    <v>0</v>
  </rv>
  <rv s="0">
    <fb>50.1</fb>
    <v>1</v>
  </rv>
  <rv s="0">
    <fb>45868</fb>
    <v>0</v>
  </rv>
  <rv s="0">
    <fb>62.31</fb>
    <v>1</v>
  </rv>
  <rv s="0">
    <fb>45796</fb>
    <v>0</v>
  </rv>
  <rv s="0">
    <fb>50.93</fb>
    <v>1</v>
  </rv>
  <rv s="0">
    <fb>45867</fb>
    <v>0</v>
  </rv>
  <rv s="0">
    <fb>63.99</fb>
    <v>1</v>
  </rv>
  <rv s="0">
    <fb>45797</fb>
    <v>0</v>
  </rv>
  <rv s="0">
    <fb>52.3</fb>
    <v>1</v>
  </rv>
  <rv s="0">
    <fb>45866</fb>
    <v>0</v>
  </rv>
  <rv s="0">
    <fb>63.66</fb>
    <v>1</v>
  </rv>
  <rv s="0">
    <fb>45798</fb>
    <v>0</v>
  </rv>
  <rv s="0">
    <fb>52.64</fb>
    <v>1</v>
  </rv>
  <rv s="0">
    <fb>45863</fb>
    <v>0</v>
  </rv>
  <rv s="0">
    <fb>65.75</fb>
    <v>1</v>
  </rv>
  <rv s="0">
    <fb>45799</fb>
    <v>0</v>
  </rv>
  <rv s="0">
    <fb>52.65</fb>
    <v>1</v>
  </rv>
  <rv s="0">
    <fb>45862</fb>
    <v>0</v>
  </rv>
  <rv s="0">
    <fb>61.51</fb>
    <v>1</v>
  </rv>
  <rv s="0">
    <fb>45800</fb>
    <v>0</v>
  </rv>
  <rv s="0">
    <fb>53.65</fb>
    <v>1</v>
  </rv>
  <rv s="0">
    <fb>45861</fb>
    <v>0</v>
  </rv>
  <rv s="0">
    <fb>61.42</fb>
    <v>1</v>
  </rv>
  <rv s="0">
    <fb>45804</fb>
    <v>0</v>
  </rv>
  <rv s="0">
    <fb>52.71</fb>
    <v>1</v>
  </rv>
  <rv s="0">
    <fb>45860</fb>
    <v>0</v>
  </rv>
  <rv s="0">
    <fb>61.7</fb>
    <v>1</v>
  </rv>
  <rv s="0">
    <fb>45805</fb>
    <v>0</v>
  </rv>
  <rv s="0">
    <fb>52.85</fb>
    <v>1</v>
  </rv>
  <rv s="0">
    <fb>45859</fb>
    <v>0</v>
  </rv>
  <rv s="0">
    <fb>59.86</fb>
    <v>1</v>
  </rv>
  <rv s="0">
    <fb>45806</fb>
    <v>0</v>
  </rv>
  <rv s="0">
    <fb>52.52</fb>
    <v>1</v>
  </rv>
  <rv s="0">
    <fb>45856</fb>
    <v>0</v>
  </rv>
  <rv s="0">
    <fb>58.19</fb>
    <v>1</v>
  </rv>
  <rv s="0">
    <fb>45807</fb>
    <v>0</v>
  </rv>
  <rv s="0">
    <fb>52.72</fb>
    <v>1</v>
  </rv>
  <rv s="0">
    <fb>45855</fb>
    <v>0</v>
  </rv>
  <rv s="0">
    <fb>57.99</fb>
    <v>1</v>
  </rv>
  <rv s="0">
    <fb>45810</fb>
    <v>0</v>
  </rv>
  <rv s="0">
    <fb>55.58</fb>
    <v>1</v>
  </rv>
  <rv s="0">
    <fb>45854</fb>
    <v>0</v>
  </rv>
  <rv s="0">
    <fb>58.45</fb>
    <v>1</v>
  </rv>
  <rv s="0">
    <fb>45811</fb>
    <v>0</v>
  </rv>
  <rv s="0">
    <fb>55.34</fb>
    <v>1</v>
  </rv>
  <rv s="0">
    <fb>45853</fb>
    <v>0</v>
  </rv>
  <rv s="0">
    <fb>57.35</fb>
    <v>1</v>
  </rv>
  <rv s="0">
    <fb>45812</fb>
    <v>0</v>
  </rv>
  <rv s="0">
    <fb>55.28</fb>
    <v>1</v>
  </rv>
  <rv s="0">
    <fb>45852</fb>
    <v>0</v>
  </rv>
  <rv s="0">
    <fb>60.82</fb>
    <v>1</v>
  </rv>
  <rv s="0">
    <fb>45813</fb>
    <v>0</v>
  </rv>
  <rv s="0">
    <fb>54.51</fb>
    <v>1</v>
  </rv>
  <rv s="0">
    <fb>45849</fb>
    <v>0</v>
  </rv>
  <rv s="0">
    <fb>60.13</fb>
    <v>1</v>
  </rv>
  <rv s="0">
    <fb>45814</fb>
    <v>0</v>
  </rv>
  <rv s="0">
    <fb>52.36</fb>
    <v>1</v>
  </rv>
  <rv s="0">
    <fb>45848</fb>
    <v>0</v>
  </rv>
  <rv s="0">
    <fb>59.78</fb>
    <v>1</v>
  </rv>
  <rv s="0">
    <fb>45817</fb>
    <v>0</v>
  </rv>
  <rv s="0">
    <fb>53.28</fb>
    <v>1</v>
  </rv>
  <rv s="0">
    <fb>45847</fb>
    <v>0</v>
  </rv>
  <rv s="0">
    <fb>58.75</fb>
    <v>1</v>
  </rv>
  <rv s="0">
    <fb>45818</fb>
    <v>0</v>
  </rv>
  <rv s="0">
    <fb>52.56</fb>
    <v>1</v>
  </rv>
  <rv s="0">
    <fb>45846</fb>
    <v>0</v>
  </rv>
  <rv s="0">
    <fb>57.61</fb>
    <v>1</v>
  </rv>
  <rv s="0">
    <fb>45819</fb>
    <v>0</v>
  </rv>
  <rv s="0">
    <fb>53.31</fb>
    <v>1</v>
  </rv>
  <rv s="0">
    <fb>45845</fb>
    <v>0</v>
  </rv>
  <rv s="0">
    <fb>60.16</fb>
    <v>1</v>
  </rv>
  <rv s="0">
    <fb>45820</fb>
    <v>0</v>
  </rv>
  <rv s="0">
    <fb>55.92</fb>
    <v>1</v>
  </rv>
  <rv s="0">
    <fb>45841</fb>
    <v>0</v>
  </rv>
  <rv s="0">
    <fb>59.9</fb>
    <v>1</v>
  </rv>
  <rv s="0">
    <fb>45821</fb>
    <v>0</v>
  </rv>
  <rv s="0">
    <fb>57.9</fb>
    <v>1</v>
  </rv>
  <rv s="0">
    <fb>45840</fb>
    <v>0</v>
  </rv>
  <rv s="0">
    <fb>60.06</fb>
    <v>1</v>
  </rv>
  <rv s="0">
    <fb>45824</fb>
    <v>0</v>
  </rv>
  <rv s="0">
    <fb>58.12</fb>
    <v>1</v>
  </rv>
  <rv s="0">
    <fb>45839</fb>
    <v>0</v>
  </rv>
  <rv s="0">
    <fb>58.83</fb>
    <v>1</v>
  </rv>
  <rv s="0">
    <fb>45825</fb>
    <v>0</v>
  </rv>
  <rv s="0">
    <fb>58.52</fb>
    <v>1</v>
  </rv>
  <rv s="0">
    <fb>45838</fb>
    <v>0</v>
  </rv>
  <rv s="0">
    <fb>58.26</fb>
    <v>1</v>
  </rv>
  <rv s="0">
    <fb>45826</fb>
    <v>0</v>
  </rv>
  <rv s="0">
    <fb>45835</fb>
    <v>0</v>
  </rv>
  <rv s="0">
    <fb>56.76</fb>
    <v>1</v>
  </rv>
  <rv s="0">
    <fb>45828</fb>
    <v>0</v>
  </rv>
  <rv s="0">
    <fb>58.23</fb>
    <v>1</v>
  </rv>
  <rv s="0">
    <fb>45834</fb>
    <v>0</v>
  </rv>
  <rv s="0">
    <fb>59.19</fb>
    <v>1</v>
  </rv>
  <rv s="0">
    <fb>45831</fb>
    <v>0</v>
  </rv>
  <rv s="0">
    <fb>59.46</fb>
    <v>1</v>
  </rv>
  <rv s="0">
    <fb>45833</fb>
    <v>0</v>
  </rv>
  <rv s="0">
    <fb>58.06</fb>
    <v>1</v>
  </rv>
  <rv s="0">
    <fb>45832</fb>
    <v>0</v>
  </rv>
  <rv s="0">
    <fb>58.09</fb>
    <v>1</v>
  </rv>
  <rv s="1">
    <v>12</v>
    <v>0</v>
  </rv>
  <rv s="2">
    <v>12</v>
    <v>1</v>
  </rv>
  <rv s="3">
    <v>2</v>
    <v>NEM</v>
    <v>Daily</v>
    <v>45658</v>
    <v>46002</v>
    <v>0</v>
    <v>1</v>
    <v>639009216000000000,639010840001541087,0</v>
    <v>0</v>
    <v>a1yeec</v>
    <v>XNYS:NEM</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84">
  <autoFilter ref="D5:V11" xr:uid="{C24FC06A-D240-FA40-895B-93FDAC41EABC}"/>
  <tableColumns count="19">
    <tableColumn id="1" xr3:uid="{DBF59C94-E574-144C-9253-6744AB5FFB29}" name="N Stock" dataDxfId="2983"/>
    <tableColumn id="2" xr3:uid="{C509194D-3462-2C43-9FF0-CFB07104C891}" name="A" dataDxfId="2982">
      <calculatedColumnFormula>IF(FIND("A",Table38[[#This Row],[S=M]],1)&lt;FIND("S",Table38[[#This Row],[S=M]],1),DeltaPercent*Table38[[#This Row],[S]],DMinusPercent*Table38[[#This Row],[S]])</calculatedColumnFormula>
    </tableColumn>
    <tableColumn id="3" xr3:uid="{34CA17A9-0A32-0640-9172-03703FD3815B}" name="B" dataDxfId="2981">
      <calculatedColumnFormula>IF(FIND("B",Table38[[#This Row],[S=M]],1)&lt;FIND("S",Table38[[#This Row],[S=M]],1),BdeltaPlus*Table38[[#This Row],[S]],BdeltaMinus*Table38[[#This Row],[S]])</calculatedColumnFormula>
    </tableColumn>
    <tableColumn id="4" xr3:uid="{27FC4983-1F63-0A4F-BE55-9FD69930E239}" name="S" dataDxfId="2980">
      <calculatedColumnFormula array="1">$G$1*IFERROR(_xlfn.IFS(LEFT(Table38[[#This Row],[S=M]],1)="S",G$4,RIGHT(Table38[[#This Row],[S=M]],1)="S",G$3),G$2)</calculatedColumnFormula>
    </tableColumn>
    <tableColumn id="6" xr3:uid="{F52CA5A5-F794-FC4F-91DB-A94C1D307D65}" name="S=M" dataDxfId="2979"/>
    <tableColumn id="7" xr3:uid="{9E5A4797-757A-3848-8AB4-DDF9CDAD983C}" name="If_SALE_Reverse" dataDxfId="2978"/>
    <tableColumn id="8" xr3:uid="{520675E8-BAE7-FC44-997F-BF87E05EFEED}" name="vsA" dataDxfId="2977" dataCellStyle="Percent">
      <calculatedColumnFormula>((Table38[[#This Row],[N Stock]])*Table38[[#This Row],[A]]-Table38[[#This Row],[S]])/((Table38[[#This Row],[N Stock]]-1)*Table38[[#This Row],[A]])</calculatedColumnFormula>
    </tableColumn>
    <tableColumn id="9" xr3:uid="{5A9F2181-C1D0-6C44-95B1-D93BB1C2E24C}" name="vsReverseCash" dataDxfId="2976" dataCellStyle="Percent">
      <calculatedColumnFormula>(Table38[[#This Row],[S]]-Table38[[#This Row],[B]])/Table38[[#This Row],[S]]</calculatedColumnFormula>
    </tableColumn>
    <tableColumn id="31" xr3:uid="{02E50B27-19BB-134D-860A-47966099B80A}" name="vsA2" dataDxfId="2975" dataCellStyle="Percent">
      <calculatedColumnFormula>(Table38[[#This Row],[S]]-Table38[[#This Row],[B]])/Table38[[#This Row],[A]]</calculatedColumnFormula>
    </tableColumn>
    <tableColumn id="32" xr3:uid="{9BA6E48B-A89C-204C-8F57-C22C80357979}" name="vsA3" dataDxfId="2974" dataCellStyle="Comma">
      <calculatedColumnFormula>(IF(Table38[[#This Row],[S]]&gt;N$4,Table38[[#This Row],[S]],N$4))</calculatedColumnFormula>
    </tableColumn>
    <tableColumn id="18" xr3:uid="{117B15A1-A542-FF4D-B25A-2E57F149E3FA}" name="BS_Max" dataDxfId="2973" dataCellStyle="Percent">
      <calculatedColumnFormula>Table38[[#This Row],[vsA3]]/N$4-1</calculatedColumnFormula>
    </tableColumn>
    <tableColumn id="33" xr3:uid="{B4B3DC01-746B-C849-B2D8-AE7797ED9BD2}" name="Column1" dataDxfId="2972">
      <calculatedColumnFormula>(IF(Table38[[#This Row],[S]]&gt;P$4,Table38[[#This Row],[S]],P$4))</calculatedColumnFormula>
    </tableColumn>
    <tableColumn id="19" xr3:uid="{ABA2E3C0-0AA2-5F49-83E3-D6BB656803D9}" name="BS__medH" dataDxfId="2971" dataCellStyle="Percent">
      <calculatedColumnFormula>Table38[[#This Row],[Column1]]/P$4-1</calculatedColumnFormula>
    </tableColumn>
    <tableColumn id="20" xr3:uid="{6DA2DD76-DE2E-4746-A5AF-A62517B50E81}" name="BS_MedL" dataDxfId="2970">
      <calculatedColumnFormula>(IF(Table38[[#This Row],[S]]&gt;R$4,Table38[[#This Row],[S]],R$4))</calculatedColumnFormula>
    </tableColumn>
    <tableColumn id="21" xr3:uid="{C15602C5-7102-674B-BE42-A2CAFC2E9D2D}" name="BS_Min" dataDxfId="2969">
      <calculatedColumnFormula>Table38[[#This Row],[BS_MedL]]/R$4-1</calculatedColumnFormula>
    </tableColumn>
    <tableColumn id="10" xr3:uid="{014DCAAF-B001-E440-9D4A-60AADD8661A7}" name="WS_Max" dataDxfId="2968">
      <calculatedColumnFormula>(IF(Table38[[#This Row],[S]]&gt;T$4,Table38[[#This Row],[S]],T$4))</calculatedColumnFormula>
    </tableColumn>
    <tableColumn id="11" xr3:uid="{522B67F5-A15E-D247-B800-4110CB228283}" name="WS_medH" dataDxfId="2967">
      <calculatedColumnFormula>Table38[[#This Row],[WS_Max]]/T$4-1</calculatedColumnFormula>
    </tableColumn>
    <tableColumn id="13" xr3:uid="{AF9519DF-3AF8-A440-B068-2104677DB4B8}" name="WS_MedL" dataDxfId="2966">
      <calculatedColumnFormula>(IF(Table38[[#This Row],[S]]&lt;R$4,Table38[[#This Row],[S]]-R$4,0))/W$4</calculatedColumnFormula>
    </tableColumn>
    <tableColumn id="17" xr3:uid="{444943D3-4074-8940-AC58-77F8D7C37EF6}" name="WS_Min" dataDxfId="296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64"/>
    <tableColumn id="2" xr3:uid="{14B0424C-9DBC-B449-B1C8-D632B45CA174}" name="A" dataDxfId="2963">
      <calculatedColumnFormula array="1">IFERROR(_xlfn.IFS(LEFT(J15,1)="A",15,RIGHT(J15,1)="A",5),10)</calculatedColumnFormula>
    </tableColumn>
    <tableColumn id="3" xr3:uid="{03CB87CD-0036-2945-A6EC-547AC06E2951}" name="B" dataDxfId="2962">
      <calculatedColumnFormula array="1">IFERROR(_xlfn.IFS(LEFT(J15,1)="P",15,RIGHT(J15,1)="P",5),10)</calculatedColumnFormula>
    </tableColumn>
    <tableColumn id="4" xr3:uid="{49C001A8-9686-9444-AE1C-75454EAB98C6}" name="S" dataDxfId="296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59">
      <calculatedColumnFormula>_xlfn.RANK.EQ(DataShift!Y704,DataShift!F704:Y704)</calculatedColumnFormula>
    </tableColumn>
    <tableColumn id="4" xr3:uid="{CB17A5EB-79C7-5E4A-B8C6-D98950D9C69A}" name="Gravity" dataDxfId="2958">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57">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56" tableBorderDxfId="2955">
  <autoFilter ref="A4:P98" xr:uid="{3FA72950-B436-874F-90A6-1F168FA03D0D}"/>
  <tableColumns count="16">
    <tableColumn id="1" xr3:uid="{00A74B1D-C899-4945-A507-0BCF72A5F759}" name="MSGSTicker" dataDxfId="2954">
      <calculatedColumnFormula>Calc!H3</calculatedColumnFormula>
    </tableColumn>
    <tableColumn id="2" xr3:uid="{DE0BFAC3-6FA2-A242-BD4B-021CBD50922D}" name="Static" dataDxfId="2953" dataCellStyle="Comma"/>
    <tableColumn id="3" xr3:uid="{5812041D-28E2-BF48-BF21-896DE4A72DF3}" name="Last" dataDxfId="2952"/>
    <tableColumn id="4" xr3:uid="{E41265F7-4DF2-8C47-BCF8-6F2D41EFF01A}" name="Change" dataDxfId="2951" dataCellStyle="Percent"/>
    <tableColumn id="5" xr3:uid="{3C9C85A1-6C9F-4D4F-92F6-C7F502600F4D}" name="Agio" dataDxfId="2950" dataCellStyle="Percent"/>
    <tableColumn id="6" xr3:uid="{1ED5B8CA-5C88-7D46-9D0E-EC9D2BFE7F03}" name="RevenueM&gt;A" dataDxfId="2949"/>
    <tableColumn id="7" xr3:uid="{8B5393F0-5AB0-FF4B-B0BA-CEBB98AD571A}" name="MarkUP" dataDxfId="2948" dataCellStyle="Percent"/>
    <tableColumn id="8" xr3:uid="{88439DB8-E290-FD4B-9CDD-990539A67FBE}" name="M_LIVE" dataDxfId="2947">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46"/>
    <tableColumn id="11" xr3:uid="{E05C561B-DD1D-3D4E-A5CF-339BDFD6CC40}" name="Date" dataDxfId="2945"/>
    <tableColumn id="12" xr3:uid="{F6E702D3-6821-594E-8C30-62FDAB302C81}" name="Status" dataDxfId="2944"/>
    <tableColumn id="13" xr3:uid="{17281B7F-3FF1-8F43-A1AF-B5D6134D2833}" name="Column3" dataDxfId="2943">
      <calculatedColumnFormula>_xlfn.XLOOKUP(G5,TabCalc[Ticker],TabCalc[Up20])</calculatedColumnFormula>
    </tableColumn>
    <tableColumn id="14" xr3:uid="{D5B940A8-88BC-BA47-B464-9CF9BF5697A0}" name="Column4" dataDxfId="2942">
      <calculatedColumnFormula>_xlfn.XLOOKUP(G5,TabCalc[Ticker],TabCalc[M])</calculatedColumnFormula>
    </tableColumn>
    <tableColumn id="15" xr3:uid="{C6CEC55D-F312-9945-9FF5-933C2D6E928F}" name="Column5" dataDxfId="2941">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62" totalsRowCount="1" headerRowDxfId="2940">
  <autoFilter ref="C20:I61" xr:uid="{715A51DA-B514-1F4B-804D-2485E44509F0}"/>
  <tableColumns count="7">
    <tableColumn id="1" xr3:uid="{0D21877A-CADF-2B42-8E32-423F99C45C4C}" name="Number" totalsRowFunction="sum" dataDxfId="2939" totalsRowDxfId="414" dataCellStyle="Comma"/>
    <tableColumn id="2" xr3:uid="{C42DA1E3-B635-234F-A4E3-577435ABF9B8}" name="Price" dataDxfId="2938" totalsRowDxfId="413" dataCellStyle="Comma"/>
    <tableColumn id="3" xr3:uid="{DB787670-1ECA-E445-A685-C3B2B2251296}" name="Remaining" totalsRowFunction="sum" dataDxfId="2937" totalsRowDxfId="412" dataCellStyle="Comma"/>
    <tableColumn id="4" xr3:uid="{1DCD6947-F05F-4C4B-8C2D-DB6F309A0EEF}" name="Profit/Loss" totalsRowFunction="sum" dataDxfId="2936" totalsRowDxfId="411" dataCellStyle="Comma"/>
    <tableColumn id="5" xr3:uid="{508DC28D-EBE5-3345-AC2B-21EC83602B2F}" name="Income" totalsRowFunction="sum" dataDxfId="2935" totalsRowDxfId="410" dataCellStyle="Comma">
      <calculatedColumnFormula>IF(TabFIFO[[#This Row],[Price]]&gt;0,TabFIFO[[#This Row],[Number]]*TabFIFO[[#This Row],[Price]],0)*(1-Commission)*GBpScale</calculatedColumnFormula>
    </tableColumn>
    <tableColumn id="6" xr3:uid="{3628D5DD-DC22-E641-9462-F33F525D50BF}" name="Cost" totalsRowFunction="sum" dataDxfId="2934" totalsRowDxfId="409" dataCellStyle="Comma">
      <calculatedColumnFormula>IF(TabFIFO[[#This Row],[Price]]&lt;0,TabFIFO[[#This Row],[Number]]*TabFIFO[[#This Row],[Price]],0)*(1+Commission)*GBpScale</calculatedColumnFormula>
    </tableColumn>
    <tableColumn id="7" xr3:uid="{7A2F0625-FF49-3B40-8E28-CFA71391A462}" name="M-VALUE Now" totalsRowFunction="sum" dataDxfId="2933" totalsRowDxfId="408"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32" dataDxfId="2931" tableBorderDxfId="2930" headerRowCellStyle="Comma" dataCellStyle="Percent">
  <autoFilter ref="A2:CH96" xr:uid="{CE90AB1D-768C-9140-8D08-BAE5F4529360}">
    <filterColumn colId="30">
      <filters>
        <filter val="USD"/>
      </filters>
    </filterColumn>
    <filterColumn colId="31">
      <filters>
        <filter val="Sell More"/>
      </filters>
    </filterColumn>
  </autoFilter>
  <tableColumns count="86">
    <tableColumn id="1" xr3:uid="{D8866E9E-3C56-A24C-86BA-CA1382BD275B}" name="Scale" dataDxfId="2929">
      <calculatedColumnFormula>IF(_xlfn.XLOOKUP(NewTrader!$V3,TabCalc[Ticker],TabCalc[Cur])="GBp",0.01,1)</calculatedColumnFormula>
    </tableColumn>
    <tableColumn id="2" xr3:uid="{B093DA18-2219-9344-B76E-CFC6B50D2664}" name="LastBuy_RevRem_n" dataDxfId="2928">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27">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26">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25">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24">
      <calculatedColumnFormula>TRUNC(TabCalc[[#This Row],[L_B1p]],2)&amp;"x"&amp;TabCalc[[#This Row],[L_B1n]]&amp;"=   "&amp;TEXT(TabCalc[[#This Row],[ReverseS1]],"#,#0")&amp;"$"</calculatedColumnFormula>
    </tableColumn>
    <tableColumn id="7" xr3:uid="{4C4D36DA-F5D1-A64D-9B14-76595CAAC90C}" name="LastSale_RevBuy$" dataDxfId="2923">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22"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21">
      <calculatedColumnFormula>IFERROR(TRUNC(TabCalc[[#This Row],[L_S1p]],2)&amp;"x"&amp;TabCalc[[#This Row],[L_S1n]]&amp;"=   "&amp;TEXT(TabCalc[[#This Row],[ReverseB1]],"#,#0"),"")</calculatedColumnFormula>
    </tableColumn>
    <tableColumn id="10" xr3:uid="{5563DD5C-22C2-1F43-810C-9303B6336F1D}" name="Gravity" dataDxfId="2920" dataCellStyle="Comma">
      <calculatedColumnFormula>_xlfn.XLOOKUP(NewTrader!$V3,TabCalc[Ticker],ListGravity)</calculatedColumnFormula>
    </tableColumn>
    <tableColumn id="11" xr3:uid="{6240F61F-EAF0-1244-9098-4D7912F53090}" name="Extran" dataDxfId="2919" dataCellStyle="Comma">
      <calculatedColumnFormula array="1">IF(_xlfn.XLOOKUP(NewTrader!$V3,NewTrader!$V$3:$V$96,ListExtra_n)&gt;0,_xlfn.XLOOKUP(NewTrader!$V3,NewTrader!$V$3:$V$96,ListExtra_n),"")</calculatedColumnFormula>
    </tableColumn>
    <tableColumn id="12" xr3:uid="{0F1544F5-488B-A04D-BF7B-1E076636C1DA}" name="ExtraV" dataDxfId="2918"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17" dataCellStyle="Percent">
      <calculatedColumnFormula>_xlfn.XLOOKUP(NewTrader!$V3,TabCalc[Ticker],TabCalc[Agiotage])</calculatedColumnFormula>
    </tableColumn>
    <tableColumn id="14" xr3:uid="{04EAF367-04E4-5140-B492-534236B97CCE}" name="RSI" dataDxfId="2916" dataCellStyle="Comma">
      <calculatedColumnFormula array="1">_xlfn.XLOOKUP(NewTrader!$V3,ListTickers,Tab2RSIConventional[RSIConv20])</calculatedColumnFormula>
    </tableColumn>
    <tableColumn id="15" xr3:uid="{F866B018-E315-4F4F-A09C-53055FC18F15}" name="Begin/Status" dataDxfId="2915">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14" dataCellStyle="Percent">
      <calculatedColumnFormula>(NewTrader!$Y3+NewTrader!$Q3)/ABS(NewTrader!$Q3)</calculatedColumnFormula>
    </tableColumn>
    <tableColumn id="19" xr3:uid="{80E8D707-B70A-3A45-850C-258104675FB1}" name="Sale_Back_$" dataDxfId="2913" dataCellStyle="Comma">
      <calculatedColumnFormula>INT(_xlfn.XLOOKUP(NewTrader!$V3,TabCalc[Ticker],TabCalc[Rev(MinStock)])*Comm_Net)</calculatedColumnFormula>
    </tableColumn>
    <tableColumn id="20" xr3:uid="{6E184CAC-8623-E145-81C3-398D517BECFD}" name="Agiotage" dataDxfId="2912" dataCellStyle="Percent">
      <calculatedColumnFormula>_xlfn.XLOOKUP(NewTrader!$V3,TabCalc[Ticker],TabCalc[Agiotage])</calculatedColumnFormula>
    </tableColumn>
    <tableColumn id="21" xr3:uid="{41144A7A-3A9D-F74B-9A8D-394F0D7826F7}" name="SncOpenYest%" dataDxfId="2911">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10">
      <calculatedColumnFormula>SORTING!B3</calculatedColumnFormula>
    </tableColumn>
    <tableColumn id="23" xr3:uid="{88B59102-12C1-114F-9218-9744CA5B8394}" name="Y" dataDxfId="2909">
      <calculatedColumnFormula>_xlfn.XLOOKUP(NewTrader!$V3,TabCalc[Ticker],TabCalc[Y])</calculatedColumnFormula>
    </tableColumn>
    <tableColumn id="24" xr3:uid="{01563F69-D6BB-CB49-9D50-82BDD6918E61}" name="A" dataDxfId="2908" dataCellStyle="Comma">
      <calculatedColumnFormula>-_xlfn.XLOOKUP(NewTrader!$V3&amp;2,Consolid!B$3:JZ$3,Consolid!B$4:JZ$4)</calculatedColumnFormula>
    </tableColumn>
    <tableColumn id="25" xr3:uid="{93CC5304-7064-674C-BD8C-870E47206168}" name="M" dataDxfId="2907" dataCellStyle="Comma">
      <calculatedColumnFormula>_xlfn.XLOOKUP(NewTrader!$V3,TabCalc[Ticker],TabCalc[M])</calculatedColumnFormula>
    </tableColumn>
    <tableColumn id="26" xr3:uid="{FDE14FAB-BF5A-FD42-BDA7-DB40AD8B377F}" name="Y_Change" dataDxfId="2906" dataCellStyle="Comma">
      <calculatedColumnFormula>_xlfn.XLOOKUP(NewTrader!$V3,[1]!RTData[Ticker_Symbol],[1]!RTData[YTChange])</calculatedColumnFormula>
    </tableColumn>
    <tableColumn id="27" xr3:uid="{938A9F9C-1EEE-5844-938E-3021C2211DC3}" name="Ch%_Yest" dataDxfId="2905" dataCellStyle="Comma">
      <calculatedColumnFormula array="1">_xlfn.XLOOKUP(NewTrader!$V3,ListTickers,Tab1ChangePercent[Change%19])</calculatedColumnFormula>
    </tableColumn>
    <tableColumn id="28" xr3:uid="{6D98B504-4950-1746-A90A-B67701EDCC9F}" name="N" dataDxfId="2904">
      <calculatedColumnFormula>_xlfn.XLOOKUP(NewTrader!$V3,TabCalc[Ticker],TabCalc[NAfter])</calculatedColumnFormula>
    </tableColumn>
    <tableColumn id="29" xr3:uid="{EB0359EE-331F-4746-B602-D080A919AA00}" name="Nbeg" dataDxfId="2903">
      <calculatedColumnFormula>_xlfn.XLOOKUP(NewTrader!$V3,TabCalc[Ticker],TabCalc[Nbegin])</calculatedColumnFormula>
    </tableColumn>
    <tableColumn id="30" xr3:uid="{A1786691-D016-DB4B-891F-5CECC6FBF76C}" name="GL/M_V_[K]" dataDxfId="2902">
      <calculatedColumnFormula>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2901">
      <calculatedColumnFormula>_xlfn.XLOOKUP(NewTrader!$V3,[1]!RTData[Ticker_Symbol],[1]!RTData[Currency])</calculatedColumnFormula>
    </tableColumn>
    <tableColumn id="32" xr3:uid="{99E3639E-A159-9746-A2E3-F1301766973E}" name="State" dataDxfId="2900"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A" dataDxfId="2899"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34" xr3:uid="{0B294BA1-09E8-454F-9846-E85690D8A44C}" name="Re_Sale_GL_An_AMY" dataDxfId="2898"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897">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896">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895">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894">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893"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892" dataCellStyle="Comma">
      <calculatedColumnFormula>NewTrader!$V3</calculatedColumnFormula>
    </tableColumn>
    <tableColumn id="41" xr3:uid="{6129D49F-F796-394F-A191-E98FF070F73B}" name="Buy_Case" dataDxfId="2891">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890"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889"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AMY" dataDxfId="2888"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887">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886">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2885">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884" dataCellStyle="Comma">
      <calculatedColumnFormula array="1">-_xlfn.XLOOKUP(
    Tab_NewTRADER[[#This Row],[Show]] &amp; 2,
    TabConsolid[#Headers],
    INDEX(TabConsolid[], 1, 0)
)</calculatedColumnFormula>
    </tableColumn>
    <tableColumn id="49" xr3:uid="{D45BB207-1441-9744-A6AF-20D49691F92E}" name="M_VALUE" dataDxfId="2883" dataCellStyle="Comma">
      <calculatedColumnFormula>Tab_NewTRADER[[#This Row],[M]]*Tab_NewTRADER[[#This Row],[N]]*(1-Commission)*Tab_NewTRADER[[#This Row],[Scale]]</calculatedColumnFormula>
    </tableColumn>
    <tableColumn id="50" xr3:uid="{1DDD5561-837E-BC4E-B667-A846E62EEA07}" name="Rev%" dataDxfId="2882"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881"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880"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879" dataCellStyle="Percent">
      <calculatedColumnFormula>_xlfn.XLOOKUP(NewTrader!$V3,TabCalc[Ticker],TabCalc[Ann%RevLB])</calculatedColumnFormula>
    </tableColumn>
    <tableColumn id="54" xr3:uid="{53229E0B-8AAB-684A-B8E6-4425962DB5CC}" name="MUP2" dataDxfId="2878"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877" dataCellStyle="Percent">
      <calculatedColumnFormula array="1">_xlfn.IFS(         NewTrader!$AF3=MDown,NewTrader!$P3*NewTrader!$Y3*(-(NewTrader!$Q3+NewTrader!$Y3)/NewTrader!$Y3)*(1-Commission)*NewTrader!$A3,                               TRUE,"")</calculatedColumnFormula>
    </tableColumn>
    <tableColumn id="57" xr3:uid="{D6323DC3-28E4-E64E-9D5E-2A984799CD2C}" name="vs.A%" dataDxfId="2876" dataCellStyle="Percent">
      <calculatedColumnFormula array="1">_xlfn.IFS(   NewTrader!$AF3=MUp,NewTrader!$BP3-Commission,        NewTrader!$AF3=MDown,(NewTrader!$X3-NewTrader!$Y3)/NewTrader!$Y3-Commission,                              TRUE,"")</calculatedColumnFormula>
    </tableColumn>
    <tableColumn id="58" xr3:uid="{5DF4A43D-0A57-5548-AD1F-189C6F35FF5B}" name="vs.A_GL" dataDxfId="2875"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2874" dataCellStyle="Comma">
      <calculatedColumnFormula array="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calculatedColumnFormula>
    </tableColumn>
    <tableColumn id="60" xr3:uid="{DCFB524C-EB3A-AC49-B479-7C49DBE2C2F6}" name="nxGL/s(M-A)" dataDxfId="2873"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A)" dataDxfId="2872" dataCellStyle="Percent">
      <calculatedColumnFormula array="1">_xlfn.IFS(NewTrader!$AF3=Sale_Back,"",         NewTrader!$AF3=MDown, (NewTrader!$Y3-NewTrader!$X3)/NewTrader!$X3*ComFactor,             TRUE, IFERROR((NewTrader!$Y3-NewTrader!$X3)/NewTrader!$X3*ComFactor,""))</calculatedColumnFormula>
    </tableColumn>
    <tableColumn id="62" xr3:uid="{F61C00FA-6CA1-634B-857B-2A73D35B451F}" name="BuyMore" dataDxfId="2871"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870" dataCellStyle="Comma">
      <calculatedColumnFormula>_xlfn.XLOOKUP(NewTrader!$V3,TabCalc[Ticker],TabCalc[L_Sn])</calculatedColumnFormula>
    </tableColumn>
    <tableColumn id="64" xr3:uid="{DF68B2EB-95FF-0D41-AC91-10D1B58AEFC2}" name="L_Sp" dataDxfId="2869" dataCellStyle="Comma">
      <calculatedColumnFormula>_xlfn.XLOOKUP(NewTrader!$V3,TabCalc[Ticker],TabCalc[L_Sp])</calculatedColumnFormula>
    </tableColumn>
    <tableColumn id="65" xr3:uid="{667CAC4C-9F65-754B-9601-FF5FD0D882F6}" name="Rev_Buy" dataDxfId="2868" dataCellStyle="Percent">
      <calculatedColumnFormula>-IFERROR((Tab_NewTRADER[[#This Row],[M]]-Tab_NewTRADER[[#This Row],[L_Sp]])/Tab_NewTRADER[[#This Row],[L_Sp]],0)</calculatedColumnFormula>
    </tableColumn>
    <tableColumn id="66" xr3:uid="{D7FA4F67-03AB-284D-93C3-28B16134B3A5}" name="Buy_Back" dataDxfId="2867"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866"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865" dataCellStyle="Percent">
      <calculatedColumnFormula>IFERROR((Tab_NewTRADER[[#This Row],[M]]-Tab_NewTRADER[[#This Row],[A]])/Tab_NewTRADER[[#This Row],[A]],0)</calculatedColumnFormula>
    </tableColumn>
    <tableColumn id="69" xr3:uid="{FAB5B8EB-2277-B043-B41F-506D88E0126C}" name="Alln*M-A:GL$" dataDxfId="2864"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863" dataCellStyle="Comma">
      <calculatedColumnFormula>_xlfn.XLOOKUP(NewTrader!$V3,TabCalc[[#This Row],[Ticker]],TabCalc[[#This Row],[GL]])*(1-Commission)</calculatedColumnFormula>
    </tableColumn>
    <tableColumn id="71" xr3:uid="{1BC76C54-099C-9349-A7B9-1CE5A80A7A05}" name="Free" dataDxfId="2862" dataCellStyle="Comma"/>
    <tableColumn id="72" xr3:uid="{9AF2EFE6-84A7-0745-BBEC-E646231F0ABC}" name="Tick_M_A" dataDxfId="2861" dataCellStyle="Percent">
      <calculatedColumnFormula>Tab_NewTRADER[[#This Row],[Show]]&amp;": "&amp;_xlfn.XLOOKUP(Tab_NewTRADER[[#This Row],[Show]],TabCalc[Ticker],TabCalc[Pile?])</calculatedColumnFormula>
    </tableColumn>
    <tableColumn id="73" xr3:uid="{A97B3931-3B4D-A344-A25D-7698CAEF7D7C}" name="Status" dataDxfId="2860"/>
    <tableColumn id="74" xr3:uid="{391D1AB9-338C-DC4E-9530-708CF9D3D81B}" name="Code" dataDxfId="2859">
      <calculatedColumnFormula array="1">_xlfn.TEXTJOIN("",,INDEX({"M","A","Y"}, _xlfn.SORTBY({1,2,3}, -CHOOSE({1,2,3}, Tab_NewTRADER[[#This Row],[M]], Tab_NewTRADER[[#This Row],[A]], Tab_NewTRADER[[#This Row],[Y]]))))</calculatedColumnFormula>
    </tableColumn>
    <tableColumn id="75" xr3:uid="{3DD78382-61F0-EB46-B106-93B344F31FFE}" name="TonM" dataDxfId="2858"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857" dataCellStyle="Percent">
      <calculatedColumnFormula>Tab_NewTRADER[[#This Row],[L_Sn]]*Tab_NewTRADER[[#This Row],[L_Sp]]+Tab_NewTRADER[[#This Row],[SellMore]]*Tab_NewTRADER[[#This Row],[M]]</calculatedColumnFormula>
    </tableColumn>
    <tableColumn id="77" xr3:uid="{84228A8F-FEB6-5D4C-9F42-2D41FA37397B}" name="SellMore" dataDxfId="2856"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855"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854" dataCellStyle="Comma">
      <calculatedColumnFormula>Tab_NewTRADER[[#This Row],[ReBuy]]/(Tab_NewTRADER[[#This Row],[L_Sn]]+Tab_NewTRADER[[#This Row],[SellMore]])</calculatedColumnFormula>
    </tableColumn>
    <tableColumn id="80" xr3:uid="{7316BA2A-59F0-C245-8018-D26DF428A6CC}" name="Column7" dataDxfId="2853"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852" dataCellStyle="Comma">
      <calculatedColumnFormula>INDEX(Tab1Price[Price19], MATCH(Tab_NewTRADER[[#This Row],[Show]], Tab_NewTRADER[Show], 0))</calculatedColumnFormula>
    </tableColumn>
    <tableColumn id="82" xr3:uid="{62E4FB32-92AD-4344-AFD0-715424AED4AF}" name="index" dataDxfId="2851" dataCellStyle="Percent">
      <calculatedColumnFormula>_xlfn.XMATCH(Tab_NewTRADER[[#This Row],[Show]]&amp;1, TabConsolid[#Headers])</calculatedColumnFormula>
    </tableColumn>
    <tableColumn id="83" xr3:uid="{473C423C-EC2E-8045-865E-6CB7B6FADF54}" name="Column1" dataDxfId="2850"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849"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848"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847"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46">
  <autoFilter ref="A2:DH96" xr:uid="{C94A2884-1EAF-2440-ABF7-1645FA906D96}"/>
  <tableColumns count="112">
    <tableColumn id="12" xr3:uid="{0F5B2D42-2A6A-3E47-981E-DFEFA4FB933B}" name="Cur" dataDxfId="2845" totalsRowDxfId="122">
      <calculatedColumnFormula>_xlfn.XLOOKUP(TabCalc[[#This Row],[Ticker]],[1]!RTData[Ticker_Symbol],[1]!RTData[Currency])</calculatedColumnFormula>
    </tableColumn>
    <tableColumn id="11" xr3:uid="{1AECACE1-E3D9-6449-814E-049162DE6BD7}" name="Scale" dataDxfId="2844" totalsRowDxfId="121">
      <calculatedColumnFormula>IF(TabCalc[[#This Row],[Cur]]="GBP",0.01,1)</calculatedColumnFormula>
    </tableColumn>
    <tableColumn id="2" xr3:uid="{79940D82-514D-B946-ABF3-4043A316AFB0}" name="Nbegin" dataDxfId="2843">
      <calculatedColumnFormula>_xlfn.XLOOKUP(TabCalc[[#This Row],[Ticker]],DS$3:DS$96,DT$3:DT$96)</calculatedColumnFormula>
    </tableColumn>
    <tableColumn id="3" xr3:uid="{5B2C5F05-73FF-2042-B2C7-D6F523FC5E81}" name="PriceBeg" dataDxfId="2842" totalsRowDxfId="120">
      <calculatedColumnFormula>_xlfn.XLOOKUP(TabCalc[[#This Row],[Ticker]],DS$3:DS$96,DU$3:DU$96)</calculatedColumnFormula>
    </tableColumn>
    <tableColumn id="4" xr3:uid="{24DC3B7F-9B31-024E-B53D-219E6C7D5AE7}" name="ValueBegin" totalsRowFunction="sum" dataDxfId="2841" totalsRowDxfId="119">
      <calculatedColumnFormula>SUMPRODUCT(C3,D3,B3)</calculatedColumnFormula>
    </tableColumn>
    <tableColumn id="5" xr3:uid="{90E3CC6B-3435-2A4D-B969-2D690A7A4D90}" name="M_V" totalsRowFunction="sum" dataDxfId="2840" totalsRowDxfId="118">
      <calculatedColumnFormula>TabCalc[[#This Row],[NAfter]]*TabCalc[[#This Row],[M]]*Comm_Net*TabCalc[[#This Row],[Scale]]</calculatedColumnFormula>
    </tableColumn>
    <tableColumn id="9" xr3:uid="{17196C10-F846-944B-8D6F-A909FA9CA6C3}" name="NAfter" dataDxfId="2839">
      <calculatedColumnFormula>IFERROR(TabCalc[[#This Row],[SB]]-TabCalc[[#This Row],[SST]],TabCalc[[#This Row],[SB]])</calculatedColumnFormula>
    </tableColumn>
    <tableColumn id="1" xr3:uid="{2F69AA85-E0C5-5649-9823-CAE9A5A0CBB5}" name="Ticker" totalsRowLabel="Total" dataDxfId="2838">
      <calculatedColumnFormula>[1]!RTData[[#This Row],[Ticker_Symbol]]</calculatedColumnFormula>
    </tableColumn>
    <tableColumn id="6" xr3:uid="{4AB40075-F4E8-2743-9BA0-E64582E2C63F}" name="M" dataDxfId="2837" totalsRowDxfId="117">
      <calculatedColumnFormula>_xlfn.XLOOKUP(TabCalc[[#This Row],[Ticker]],[1]!RTData[Ticker_Symbol],[1]!RTData[M-Price])</calculatedColumnFormula>
    </tableColumn>
    <tableColumn id="89" xr3:uid="{593FD77D-7493-0348-8517-405F87BFD0F2}" name="A" dataDxfId="2836" totalsRowDxfId="116" dataCellStyle="Comma">
      <calculatedColumnFormula>_xlfn.XLOOKUP(TabCalc[[#This Row],[Ticker]]&amp;2,#REF!,#REF!)</calculatedColumnFormula>
    </tableColumn>
    <tableColumn id="76" xr3:uid="{6DD12444-E9F0-8D49-B8AB-20E86CF499C6}" name="Y" dataDxfId="2835" totalsRowDxfId="115">
      <calculatedColumnFormula>_xlfn.XLOOKUP(TabCalc[[#This Row],[Ticker]],[1]!RTData[Ticker_Symbol],[1]!RTData[1YT])</calculatedColumnFormula>
    </tableColumn>
    <tableColumn id="31" xr3:uid="{2AFC8A0F-DB21-7940-9164-133266F4D5CA}" name="E" dataDxfId="2834" totalsRowDxfId="114" dataCellStyle="Comma">
      <calculatedColumnFormula>IF(OR(TabCalc[[#This Row],[NAfter]]=0,TabCalc[[#This Row],[EfCost]]&gt;0),0,TabCalc[[#This Row],[EfCost]]/TabCalc[[#This Row],[NAfter]]/TabCalc[[#This Row],[Scale]])</calculatedColumnFormula>
    </tableColumn>
    <tableColumn id="88" xr3:uid="{69D77B69-0989-0D41-89D3-E175D978C58F}" name="Ch_Today" dataDxfId="2833" totalsRowDxfId="113" dataCellStyle="Percent">
      <calculatedColumnFormula>_xlfn.XLOOKUP(TabCalc[[#This Row],[Ticker]],[1]!RTData[Ticker_Symbol],[1]!RTData[Change%])</calculatedColumnFormula>
    </tableColumn>
    <tableColumn id="94" xr3:uid="{026ACAF4-BBD8-BE46-A3D3-9212D85F81A2}" name="Up20" dataDxfId="2832" totalsRowDxfId="112" dataCellStyle="Percent"/>
    <tableColumn id="98" xr3:uid="{CBD64ADC-34AE-BE41-923A-A11C1C477BF0}" name="Imp20" dataDxfId="2831" totalsRowDxfId="111" dataCellStyle="Percent">
      <calculatedColumnFormula>TabCalc[[#This Row],[Up20]]-1+TabCalc[[#This Row],[Up20]]</calculatedColumnFormula>
    </tableColumn>
    <tableColumn id="95" xr3:uid="{C3B02805-2FCB-254F-992B-F61A900C6715}" name="DifUps" dataDxfId="2830" totalsRowDxfId="110" dataCellStyle="Percent">
      <calculatedColumnFormula>TabCalc[[#This Row],[Up20]]-TabCalc[[#This Row],[Up150]]</calculatedColumnFormula>
    </tableColumn>
    <tableColumn id="93" xr3:uid="{20FA27BE-2257-A94D-84D7-413544098B2E}" name="Up150" dataDxfId="2829" totalsRowDxfId="109" dataCellStyle="Percent"/>
    <tableColumn id="97" xr3:uid="{17A0CA6F-6756-D741-BA84-AA541111FDAD}" name="Imp150" dataDxfId="2828" totalsRowDxfId="108" dataCellStyle="Percent">
      <calculatedColumnFormula>TabCalc[[#This Row],[Up150]]-1+TabCalc[[#This Row],[Up150]]</calculatedColumnFormula>
    </tableColumn>
    <tableColumn id="99" xr3:uid="{867135F0-2D21-6C40-A1ED-DD7A80D7DF28}" name="DPWC150" totalsRowFunction="average" dataDxfId="2827" totalsRowDxfId="107"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26" totalsRowDxfId="106"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25" totalsRowDxfId="105" dataCellStyle="Percent"/>
    <tableColumn id="105" xr3:uid="{E585BCF0-24A6-CE48-AAD9-AA41784D95F1}" name="BMZ" dataDxfId="2824" totalsRowDxfId="104" dataCellStyle="Percent"/>
    <tableColumn id="104" xr3:uid="{11AD2B90-C720-F24E-A0C2-E6CFDE92521B}" name="NMZ" totalsRowFunction="count" dataDxfId="2823" totalsRowDxfId="103" dataCellStyle="Percent"/>
    <tableColumn id="100" xr3:uid="{8C13792E-F7C4-7147-AAFE-3C5B0E4FF22C}" name="Type" totalsRowFunction="custom" dataDxfId="2822" totalsRowDxfId="102"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21" totalsRowDxfId="10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20" totalsRowDxfId="100" dataCellStyle="Comma">
      <calculatedColumnFormula>INT(MIN(TabCalc[[#This Row],[L_Bn]],TabCalc[[#This Row],[NAfter]])*(TabCalc[[#This Row],[M]]+TabCalc[[#This Row],[L_Bp]])*Comm_Net*TabCalc[[#This Row],[Scale]])</calculatedColumnFormula>
    </tableColumn>
    <tableColumn id="57" xr3:uid="{61CB5DD9-990C-444A-8A9A-B5A3F63AC5BA}" name="L_Bdate" dataDxfId="2819" totalsRowDxfId="99" dataCellStyle="Comma">
      <calculatedColumnFormula array="1">_xlfn.XLOOKUP(TabCalc[[#This Row],[L_Bp]],INDIRECT("TabReg["&amp;TabCalc[[#This Row],[Ticker]]&amp;"2]"),INDIRECT("TabReg["&amp;TabCalc[[#This Row],[Ticker]]&amp;"]"))</calculatedColumnFormula>
    </tableColumn>
    <tableColumn id="58" xr3:uid="{B97BBC50-62D2-D74E-B0AC-9A79AFFB8818}" name="L_Bn" dataDxfId="2818" totalsRowDxfId="98" dataCellStyle="Comma">
      <calculatedColumnFormula array="1">_xlfn.XLOOKUP(TabCalc[[#This Row],[L_Bp]],INDIRECT("TabReg["&amp;TabCalc[[#This Row],[Ticker]]&amp;"2]"),INDIRECT("TabReg["&amp;TabCalc[[#This Row],[Ticker]]&amp;"1]"))</calculatedColumnFormula>
    </tableColumn>
    <tableColumn id="55" xr3:uid="{A1199879-DD12-CB4E-AAD8-E0534D24B690}" name="L_Bp" dataDxfId="2817" totalsRowDxfId="97"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16" totalsRowDxfId="96" dataCellStyle="Percent">
      <calculatedColumnFormula>(TabCalc[[#This Row],[M]]+TabCalc[[#This Row],[L_Bp]])/TabCalc[[#This Row],[M]]</calculatedColumnFormula>
    </tableColumn>
    <tableColumn id="70" xr3:uid="{371888A5-49AB-744E-BA1B-04DDD0D4EA13}" name="ReverseS1" totalsRowFunction="sum" dataDxfId="2815" totalsRowDxfId="95" dataCellStyle="Comma">
      <calculatedColumnFormula>IFERROR(MIN(TabCalc[[#This Row],[L_B1n]],TabCalc[[#This Row],[NAfter]])*(TabCalc[[#This Row],[M]]+TabCalc[[#This Row],[L_B1p]])*TabCalc[[#This Row],[Scale]],"")</calculatedColumnFormula>
    </tableColumn>
    <tableColumn id="66" xr3:uid="{82A32C1F-EE4F-AB4B-BF62-F8332273D8CE}" name="L_B1D" dataDxfId="2814" totalsRowDxfId="94"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13" totalsRowDxfId="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12" totalsRowDxfId="92"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11" totalsRowDxfId="91" dataCellStyle="Calculation">
      <calculatedColumnFormula>IFERROR(TabCalc[[#This Row],[L_Sn]]*(TabCalc[[#This Row],[L_Sp]]-TabCalc[[#This Row],[M]])*TabCalc[[#This Row],[Scale]],"")</calculatedColumnFormula>
    </tableColumn>
    <tableColumn id="51" xr3:uid="{6CAE4E9A-EAC5-3147-B472-CEE8C1395CBA}" name="L_SDate" dataDxfId="2810" totalsRowDxfId="90"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09" totalsRowDxfId="89"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08" totalsRowDxfId="88"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07" totalsRowDxfId="87" dataCellStyle="Calculation">
      <calculatedColumnFormula>IFERROR(TabCalc[[#This Row],[L_S1n]]*(TabCalc[[#This Row],[L_S1p]]-TabCalc[[#This Row],[M]])*TabCalc[[#This Row],[Scale]],0)</calculatedColumnFormula>
    </tableColumn>
    <tableColumn id="63" xr3:uid="{63AB1132-34CF-3A46-9EF3-A6CDF1D161BA}" name="L_S1D" dataDxfId="2806" totalsRowDxfId="86"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05" totalsRowDxfId="85"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04" totalsRowDxfId="84"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03" totalsRowDxfId="8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02" totalsRowDxfId="82"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01" totalsRowDxfId="81"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00" totalsRowDxfId="80" dataCellStyle="Comma">
      <calculatedColumnFormula>TabCalc[[#This Row],[Y]]/TabCalc[[#This Row],[M]]</calculatedColumnFormula>
    </tableColumn>
    <tableColumn id="62" xr3:uid="{A6A715A1-5EAC-7D4E-A0A1-D497A62E967F}" name="Refill1" dataDxfId="2799" totalsRowDxfId="79"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98" totalsRowDxfId="78"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97">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96">
      <calculatedColumnFormula>TabCalc[[#This Row],[NAfter]]-TabCalc[[#This Row],[Nbegin]]</calculatedColumnFormula>
    </tableColumn>
    <tableColumn id="8" xr3:uid="{3ED81788-89C0-E043-B2C8-940FCCF3F968}" name="Repulse" totalsRowFunction="min" dataDxfId="2795" totalsRowDxfId="77">
      <calculatedColumnFormula>IFERROR((TabCalc[[#This Row],[M]]-TabCalc[[#This Row],[Y]])*(TabCalc[[#This Row],[M]]-TabCalc[[#This Row],[Y]])*(TabCalc[[#This Row],[M]]-TabCalc[[#This Row],[Y]])/(TabCalc[[#This Row],[Y]]*TabCalc[[#This Row],[M]]),"")</calculatedColumnFormula>
    </tableColumn>
    <tableColumn id="10" xr3:uid="{742FEA6C-1386-9649-A227-FE3B3FEB4C46}" name="Ori_Sold" dataDxfId="2794">
      <calculatedColumnFormula>IF(G3&lt;C3,C3-G3,0)</calculatedColumnFormula>
    </tableColumn>
    <tableColumn id="13" xr3:uid="{9306F3B6-FAED-BF41-9784-D24E68FA8E08}" name="V/VA" dataDxfId="2793" dataCellStyle="Percent">
      <calculatedColumnFormula>_xlfn.XLOOKUP(TabCalc[[#This Row],[Ticker]],[1]!RTData[Ticker_Symbol],[1]!RTData[V/VA])</calculatedColumnFormula>
    </tableColumn>
    <tableColumn id="14" xr3:uid="{64584A98-1609-EA47-928A-85F6E57963D8}" name="TimeEX" dataDxfId="2792"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91" dataCellStyle="Percent">
      <calculatedColumnFormula>IF(ISNUMBER(TabCalc[[#This Row],[TimeEX]]),TabCalc[[#This Row],[V/VA]]/TabCalc[[#This Row],[TimeEX]],TabCalc[[#This Row],[V/VA]])</calculatedColumnFormula>
    </tableColumn>
    <tableColumn id="16" xr3:uid="{E95746C7-89D0-DA4D-8303-4531E4BF4FC1}" name="NoT_C" totalsRowFunction="sum" dataDxfId="2790" totalsRowDxfId="76" dataCellStyle="Comma">
      <calculatedColumnFormula array="1">INDEX(TabReg[], 1, _xlfn.XMATCH(TabCalc[[#This Row],[Ticker]]&amp;1, TabReg[#Headers], 0))</calculatedColumnFormula>
    </tableColumn>
    <tableColumn id="17" xr3:uid="{661CE259-E64B-DB47-A6BC-A5148B2937DB}" name="NoT_GL" totalsRowFunction="sum" dataDxfId="2789" totalsRowDxfId="75" dataCellStyle="Comma">
      <calculatedColumnFormula>TabCalc[[#This Row],[Nbegin]]*TabCalc[[#This Row],[M]]*TabCalc[[#This Row],[Scale]]+TabCalc[[#This Row],[ValueBegin]]</calculatedColumnFormula>
    </tableColumn>
    <tableColumn id="18" xr3:uid="{AE2EBD48-00F0-E646-B666-E964C45EF224}" name="GLStatus" totalsRowFunction="sum" dataDxfId="2788" totalsRowDxfId="74" dataCellStyle="Comma">
      <calculatedColumnFormula array="1">_xlfn.IFS(TabCalc[[#This Row],[Cost+Gain]]&gt;0,"Free",             TabCalc[[#This Row],[GL]]&gt;0,"Gainer",                TRUE,"Looser")</calculatedColumnFormula>
    </tableColumn>
    <tableColumn id="28" xr3:uid="{DB09D693-CEE2-6841-BEF2-459A1A933876}" name="AddBuys" totalsRowFunction="sum" dataDxfId="2787" totalsRowDxfId="73" dataCellStyle="Comma">
      <calculatedColumnFormula>TabCalc[[#This Row],[Tot_Paid]]-TabCalc[[#This Row],[ValueBegin]]</calculatedColumnFormula>
    </tableColumn>
    <tableColumn id="81" xr3:uid="{7891CD83-058E-0247-BEB0-98866D1BADC5}" name="AddCash" totalsRowFunction="sum" dataDxfId="2786" totalsRowDxfId="72"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85" totalsRowDxfId="71" dataCellStyle="Comma">
      <calculatedColumnFormula>TabCalc[[#This Row],[M_V]]+TabCalc[[#This Row],[ValueBegin]]</calculatedColumnFormula>
    </tableColumn>
    <tableColumn id="20" xr3:uid="{F30A4AB2-55E0-994C-B1F8-F1BF294BAA34}" name="Tot_Paid" totalsRowFunction="sum" dataDxfId="2784" totalsRowDxfId="70"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83" totalsRowDxfId="69"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782" totalsRowDxfId="68"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781" totalsRowDxfId="67" dataCellStyle="Comma">
      <calculatedColumnFormula>TabCalc[[#This Row],[M_V]]*(1-Commission)+TabCalc[[#This Row],[EfCost]]</calculatedColumnFormula>
    </tableColumn>
    <tableColumn id="29" xr3:uid="{ECEB5A93-8BB2-A14E-B72F-CF2C9E93A299}" name="Cost+Gain" totalsRowFunction="sum" dataDxfId="2780" totalsRowDxfId="66" dataCellStyle="Comma">
      <calculatedColumnFormula>IF(        OR( TabCalc[[#This Row],[GL]]&gt;ABS(TabCalc[[#This Row],[EfCost]]),TabCalc[[#This Row],[NAfter]]=0),             TabCalc[[#This Row],[GL]],     0)</calculatedColumnFormula>
    </tableColumn>
    <tableColumn id="24" xr3:uid="{3819A9BC-F941-604F-B0CE-1F4B1F951905}" name="SB" totalsRowFunction="sum" dataDxfId="2779" totalsRowDxfId="65"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78" totalsRowDxfId="64" dataCellStyle="Comma">
      <calculatedColumnFormula>TabCalc[[#This Row],[SB]]-TabCalc[[#This Row],[Nbegin]]</calculatedColumnFormula>
    </tableColumn>
    <tableColumn id="23" xr3:uid="{4E9DD018-B419-3E40-8C39-3EA46D617A64}" name="SST" totalsRowFunction="sum" dataDxfId="2777" totalsRowDxfId="6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76" totalsRowDxfId="62"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775" totalsRowDxfId="61" dataCellStyle="Comma">
      <calculatedColumnFormula>IF(TabCalc[[#This Row],[EfCost]]+TabCalc[[#This Row],[M_V]]&lt;TabCalc[[#This Row],[NoT_GL]],"Pile","")</calculatedColumnFormula>
    </tableColumn>
    <tableColumn id="34" xr3:uid="{4565A2A1-5EDC-FF47-84D2-E24B40FBD98E}" name="L-ExT" dataDxfId="2774" totalsRowDxfId="60" dataCellStyle="Comma">
      <calculatedColumnFormula>_xlfn.XLOOKUP(TabCalc[[#This Row],[Ticker]],[1]!RTData[Ticker_Symbol],[1]!RTData[Last trade time])</calculatedColumnFormula>
    </tableColumn>
    <tableColumn id="32" xr3:uid="{B1DB4F36-B904-474A-B050-47338283DA35}" name="CostReduct" totalsRowFunction="sum" dataDxfId="2773" totalsRowDxfId="59" dataCellStyle="Comma">
      <calculatedColumnFormula>(TabCalc[[#This Row],[ValueBegin]]+(TabCalc[[#This Row],[M]]-TabCalc[[#This Row],[A]])*TabCalc[[#This Row],[NAfter]])*TabCalc[[#This Row],[Scale]]</calculatedColumnFormula>
    </tableColumn>
    <tableColumn id="36" xr3:uid="{170CFEF4-900E-C344-B73F-EC5E388E31F1}" name="L_I1" dataDxfId="2772" totalsRowDxfId="58" dataCellStyle="Comma">
      <calculatedColumnFormula array="1">_xlfn.XLOOKUP(TabCalc[[#This Row],[Ticker]],TabReg[[#Headers],[AAPL]:[UnknownX28]],Reg!B$72:KF$72)+3</calculatedColumnFormula>
    </tableColumn>
    <tableColumn id="37" xr3:uid="{B9D91A31-483A-7140-A42E-1CB6C1D429F2}" name="L_I2" dataDxfId="2771" totalsRowDxfId="57" dataCellStyle="Comma">
      <calculatedColumnFormula array="1">_xlfn.XLOOKUP(TabCalc[[#This Row],[Ticker]],TabReg[[#Headers],[AAPL]:[UnknownX28]],Reg!B$73:KF$73)+2</calculatedColumnFormula>
    </tableColumn>
    <tableColumn id="22" xr3:uid="{8E34A39B-834E-354F-ADB3-DB7A321ABE6F}" name="L_TD" dataDxfId="2770" totalsRowDxfId="56" dataCellStyle="Comma">
      <calculatedColumnFormula>IFERROR(MAX(TabCalc[[#This Row],[Max_SD]],TabCalc[[#This Row],[Max_PD]]),0)</calculatedColumnFormula>
    </tableColumn>
    <tableColumn id="90" xr3:uid="{487FCB73-3571-8F44-9430-C425B5EAA38E}" name="TradeType" dataDxfId="2769" totalsRowDxfId="55" dataCellStyle="Comma">
      <calculatedColumnFormula array="1">_xlfn.LET(_xlpm.lastTy,TabCalc[[#This Row],[L_TP]],_xlfn.IFS(_xlpm.lastTy&lt;0,"Purchase",_xlpm.lastTy&gt;0,"Sale"))</calculatedColumnFormula>
    </tableColumn>
    <tableColumn id="38" xr3:uid="{0832896C-9759-BE41-A69C-9C619066560B}" name="L_T#" dataDxfId="2768" totalsRowDxfId="54" dataCellStyle="Comma">
      <calculatedColumnFormula array="1">INDEX(Reg!$A$1:$KF$73,TabCalc[[#This Row],[L_I1]],TabCalc[[#This Row],[L_I2]])</calculatedColumnFormula>
    </tableColumn>
    <tableColumn id="39" xr3:uid="{491797D8-2284-B54E-8576-4AE558FEB74E}" name="L_TP" dataDxfId="2767" totalsRowDxfId="53" dataCellStyle="Comma">
      <calculatedColumnFormula array="1">INDEX(Reg!$A$1:$KF$73,TabCalc[[#This Row],[L_I1]],TabCalc[[#This Row],[L_I2]]+1)</calculatedColumnFormula>
    </tableColumn>
    <tableColumn id="35" xr3:uid="{F649126A-1339-A142-93CA-70CCDF7B20D3}" name="Resale(ME)" totalsRowFunction="sum" dataDxfId="2766" totalsRowDxfId="52" dataCellStyle="Comma">
      <calculatedColumnFormula>TabCalc[[#This Row],[NAfter]]*(TabCalc[[#This Row],[M]]-IF(TabCalc[[#This Row],[E]]&gt;0,0,TabCalc[[#This Row],[A]]))</calculatedColumnFormula>
    </tableColumn>
    <tableColumn id="42" xr3:uid="{80830DD6-ED9B-6D4C-AD1D-2BB8039767D9}" name="Min_SD" dataDxfId="2765" totalsRowDxfId="51" dataCellStyle="Comma">
      <calculatedColumnFormula array="1">IFERROR(MIN(_xlfn._xlws.FILTER(INDIRECT("TabReg["&amp;TabCalc[[#This Row],[Ticker]]&amp;"]"), INDIRECT("TabReg["&amp;TabCalc[[#This Row],[Ticker]]&amp;"2]")&gt;0)),0)</calculatedColumnFormula>
    </tableColumn>
    <tableColumn id="43" xr3:uid="{F89BBC3C-4F74-EF46-A27D-4C943ADB2B3E}" name="Min_Sn" dataDxfId="2764" totalsRowDxfId="50" dataCellStyle="Comma">
      <calculatedColumnFormula array="1">IFERROR(MIN(_xlfn._xlws.FILTER(INDIRECT("TabReg["&amp;TabCalc[[#This Row],[Ticker]]&amp;"1]"), INDIRECT("TabReg["&amp;TabCalc[[#This Row],[Ticker]]&amp;"2]")&gt;0)),0)</calculatedColumnFormula>
    </tableColumn>
    <tableColumn id="44" xr3:uid="{BDAB22CD-D535-184A-8CF5-ADC254BE3DEB}" name="Min_Sp" dataDxfId="2763" totalsRowDxfId="49" dataCellStyle="Comma">
      <calculatedColumnFormula array="1">IFERROR(MIN(_xlfn._xlws.FILTER(INDIRECT("TabReg["&amp;TabCalc[[#This Row],[Ticker]]&amp;"2]"), INDIRECT("TabReg["&amp;TabCalc[[#This Row],[Ticker]]&amp;"2]")&gt;0)),0)</calculatedColumnFormula>
    </tableColumn>
    <tableColumn id="45" xr3:uid="{E335D0E5-CFC2-A947-B7BD-120EA369286A}" name="Max_SD" dataDxfId="2762" totalsRowDxfId="48" dataCellStyle="Comma">
      <calculatedColumnFormula array="1">IFERROR(MAX(_xlfn._xlws.FILTER(INDIRECT("TabReg["&amp;TabCalc[[#This Row],[Ticker]]&amp;"]"), INDIRECT("TabReg["&amp;TabCalc[[#This Row],[Ticker]]&amp;"2]")&gt;0)),0)</calculatedColumnFormula>
    </tableColumn>
    <tableColumn id="46" xr3:uid="{6D449514-A79E-104D-9623-52BA62C7519E}" name="Max_Sn" dataDxfId="2761" totalsRowDxfId="47" dataCellStyle="Comma">
      <calculatedColumnFormula array="1">IFERROR(MAX(_xlfn._xlws.FILTER(INDIRECT("TabReg["&amp;TabCalc[[#This Row],[Ticker]]&amp;"1]"), INDIRECT("TabReg["&amp;TabCalc[[#This Row],[Ticker]]&amp;"2]")&gt;0)),0)</calculatedColumnFormula>
    </tableColumn>
    <tableColumn id="47" xr3:uid="{F38BA202-850B-AF4E-AA4F-8ACDF7D3D33E}" name="Max_SP" dataDxfId="2760" totalsRowDxfId="46"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59" totalsRowDxfId="45"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58" totalsRowDxfId="44" dataCellStyle="Comma">
      <calculatedColumnFormula>-IFERROR(MIN(INDIRECT("TabConsolid["&amp;TabCalc[[#This Row],[Ticker]]&amp;"2]")),0)</calculatedColumnFormula>
    </tableColumn>
    <tableColumn id="48" xr3:uid="{A50A08BF-FE5B-B04F-AFB9-97B2140F2515}" name="Min_PD" dataDxfId="2757" totalsRowDxfId="43" dataCellStyle="Comma">
      <calculatedColumnFormula array="1">MIN(_xlfn._xlws.FILTER(INDIRECT("TabReg["&amp;TabCalc[[#This Row],[Ticker]]&amp;"]"), INDIRECT("TabReg["&amp;TabCalc[[#This Row],[Ticker]]&amp;"2]")&lt;0))</calculatedColumnFormula>
    </tableColumn>
    <tableColumn id="49" xr3:uid="{BA83C83A-66D7-0D4C-B6DF-1D013A8ACE61}" name="Min_Pn" dataDxfId="2756" totalsRowDxfId="42" dataCellStyle="Comma">
      <calculatedColumnFormula array="1">MIN(_xlfn._xlws.FILTER(INDIRECT("TabReg["&amp;TabCalc[[#This Row],[Ticker]]&amp;"1]"), INDIRECT("TabReg["&amp;TabCalc[[#This Row],[Ticker]]&amp;"2]")&lt;0))</calculatedColumnFormula>
    </tableColumn>
    <tableColumn id="50" xr3:uid="{1E7E364A-0CC5-EE4B-A2C1-996D3BA6D9E9}" name="Min_PP" dataDxfId="2755" totalsRowDxfId="41" dataCellStyle="Comma">
      <calculatedColumnFormula array="1">MIN(_xlfn._xlws.FILTER(INDIRECT("TabReg["&amp;TabCalc[[#This Row],[Ticker]]&amp;"2]"), INDIRECT("TabReg["&amp;TabCalc[[#This Row],[Ticker]]&amp;"2]")&lt;0))</calculatedColumnFormula>
    </tableColumn>
    <tableColumn id="33" xr3:uid="{2C16329E-7C79-4445-818B-B5709D8C58C8}" name="Max_PD" dataDxfId="2754" totalsRowDxfId="40" dataCellStyle="Comma">
      <calculatedColumnFormula array="1">MAX(_xlfn._xlws.FILTER(INDIRECT("TabReg["&amp;TabCalc[[#This Row],[Ticker]]&amp;"]"), INDIRECT("TabReg["&amp;TabCalc[[#This Row],[Ticker]]&amp;"2]")&lt;0))</calculatedColumnFormula>
    </tableColumn>
    <tableColumn id="40" xr3:uid="{80C2BE61-B147-1A4F-8D13-0CEAE95FDADF}" name="Max_Pn" dataDxfId="2753" totalsRowDxfId="39" dataCellStyle="Comma">
      <calculatedColumnFormula array="1">MAX(_xlfn._xlws.FILTER(INDIRECT("TabReg["&amp;TabCalc[[#This Row],[Ticker]]&amp;"1]"), INDIRECT("TabReg["&amp;TabCalc[[#This Row],[Ticker]]&amp;"2]")&lt;0))</calculatedColumnFormula>
    </tableColumn>
    <tableColumn id="41" xr3:uid="{949F09B7-7BB7-534D-97FE-DD550AC34044}" name="Max_PP" dataDxfId="2752" totalsRowDxfId="38" dataCellStyle="Comma">
      <calculatedColumnFormula array="1">MAX(_xlfn._xlws.FILTER(INDIRECT("TabReg["&amp;TabCalc[[#This Row],[Ticker]]&amp;"2]"), INDIRECT("TabReg["&amp;TabCalc[[#This Row],[Ticker]]&amp;"2]")&lt;0))</calculatedColumnFormula>
    </tableColumn>
    <tableColumn id="73" xr3:uid="{E0DE761B-6728-BB4E-86A8-F627585BF3C6}" name="BS2D" dataDxfId="2751" totalsRowDxfId="3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50" totalsRowDxfId="3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49" totalsRowDxfId="35"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48" totalsRowDxfId="3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47" totalsRowDxfId="33"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46" totalsRowDxfId="3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45" totalsRowDxfId="31" dataCellStyle="Comma">
      <calculatedColumnFormula>IF(TabCalc[[#This Row],[M]]&lt;TabCalc[[#This Row],[L_Sp]],DesiredBuyGain/(TabCalc[[#This Row],[L_Sp]]-TabCalc[[#This Row],[M]]),0)</calculatedColumnFormula>
    </tableColumn>
    <tableColumn id="84" xr3:uid="{9B279245-86C6-874E-97F9-DBB65C180DA3}" name="BuyCost" totalsRowFunction="sum" dataDxfId="2744" totalsRowDxfId="30" dataCellStyle="Comma">
      <calculatedColumnFormula>IF(TabCalc[[#This Row],[ntoBuy]]*TabCalc[[#This Row],[M]]&lt;=0,0,TabCalc[[#This Row],[ntoBuy]]*TabCalc[[#This Row],[M]])</calculatedColumnFormula>
    </tableColumn>
    <tableColumn id="79" xr3:uid="{EBF3C3E2-6DB1-E544-B094-91307A9FD36D}" name="ntoSell" dataDxfId="2743" totalsRowDxfId="2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42" totalsRowDxfId="28" dataCellStyle="Comma">
      <calculatedColumnFormula>TabCalc[[#This Row],[ntoSell]]*TabCalc[[#This Row],[M]]</calculatedColumnFormula>
    </tableColumn>
    <tableColumn id="78" xr3:uid="{C55523C0-D45F-8642-B597-19E7E57CF51A}" name="NMA" dataDxfId="2741" totalsRowDxfId="2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40" totalsRowDxfId="26" dataCellStyle="Comma">
      <calculatedColumnFormula>IFERROR(TabCalc[[#This Row],[NMA]]*TabCalc[[#This Row],[M]],"")</calculatedColumnFormula>
    </tableColumn>
    <tableColumn id="91" xr3:uid="{4773B977-3DE4-0E42-B9FE-48F08243F277}" name="GLMore@A" dataDxfId="2739" totalsRowDxfId="25"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38" totalsRowDxfId="24" dataCellStyle="Percent">
      <calculatedColumnFormula>IFERROR((TabCalc[[#This Row],[M]]+TabCalc[[#This Row],[L_Bp]])/ABS(TabCalc[[#This Row],[L_Bp]])/(TODAY()-TabCalc[[#This Row],[L_Bdate]])*360,"")</calculatedColumnFormula>
    </tableColumn>
    <tableColumn id="103" xr3:uid="{E450379B-1A0B-524C-B698-62CF13D40A42}" name="Median" dataDxfId="2737" totalsRowDxfId="23" dataCellStyle="Percent">
      <calculatedColumnFormula>MEDIAN(DataShift!F704:Z704)</calculatedColumnFormula>
    </tableColumn>
    <tableColumn id="107" xr3:uid="{E193DC56-5187-FA45-B1A4-DA39C98DEBAF}" name="Ag:Ch" dataDxfId="2736" totalsRowDxfId="22"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35" totalsRowDxfId="21" dataCellStyle="Comma">
      <calculatedColumnFormula>TabCalc[[#This Row],[Nbegin]]*TabCalc[[#This Row],[Scale]]*TabCalc[[#This Row],[M]]</calculatedColumnFormula>
    </tableColumn>
    <tableColumn id="110" xr3:uid="{E5C0DC06-28AA-F041-8609-A15AD282662D}" name="Column2" dataDxfId="2734"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33">
  <autoFilter ref="DS2:DU96" xr:uid="{A89BE8A1-EE62-2A4F-B94D-8CCFEB7A2182}"/>
  <tableColumns count="3">
    <tableColumn id="1" xr3:uid="{83C2141C-EB57-9649-821A-E765DD32C16E}" name="OldTicker" dataDxfId="2732"/>
    <tableColumn id="2" xr3:uid="{F9F7757D-7FFC-2A47-A064-09E4F7795175}" name="OriStock" dataDxfId="2731"/>
    <tableColumn id="3" xr3:uid="{B7BC1A5E-7EFA-9440-97AF-1C13CBDF3B16}" name="OriPrice" dataDxfId="273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29" tableBorderDxfId="2728">
  <autoFilter ref="F4:Z98" xr:uid="{12BDC163-61DF-264F-92B2-E45DC613B4C4}"/>
  <tableColumns count="21">
    <tableColumn id="1" xr3:uid="{EEADBAE1-5103-2A42-AC82-712785472BF0}" name="Close0" dataDxfId="2727"/>
    <tableColumn id="2" xr3:uid="{AE7EFBB8-D06A-C040-9713-4E49B46FECE7}" name="Close1" dataDxfId="2726"/>
    <tableColumn id="3" xr3:uid="{8841397E-CEB0-F942-82C3-85FBA5B005A1}" name="Close2" dataDxfId="2725"/>
    <tableColumn id="4" xr3:uid="{4AFD7B8B-092B-F546-8C5F-44A7CACE4DF6}" name="Close3" dataDxfId="2724"/>
    <tableColumn id="5" xr3:uid="{65D3394C-DDBB-8F4A-9B2B-7C2AE4CFEBBF}" name="Close4" dataDxfId="2723"/>
    <tableColumn id="6" xr3:uid="{283C7AA4-4055-3548-8D00-36EB7B6CEE5D}" name="Close5" dataDxfId="2722"/>
    <tableColumn id="7" xr3:uid="{78CAA80F-F236-E648-9556-69668646706D}" name="Close6" dataDxfId="2721" dataCellStyle="Percent"/>
    <tableColumn id="8" xr3:uid="{744FAAA4-A199-9B4E-87F9-38DF61826509}" name="Close7" dataDxfId="2720"/>
    <tableColumn id="9" xr3:uid="{BC32CFF7-F793-3040-BCF8-1567BA8BEE70}" name="Close8" dataDxfId="2719"/>
    <tableColumn id="10" xr3:uid="{3A714541-23EB-5B4A-A7EA-1A51C49368D2}" name="Close9" dataDxfId="2718"/>
    <tableColumn id="11" xr3:uid="{F62761C7-0A15-9448-8CF3-C007A34184F4}" name="Close10" dataDxfId="2717"/>
    <tableColumn id="12" xr3:uid="{8998ECDF-4D42-274E-822A-FBFDE0359088}" name="Close11" dataDxfId="2716"/>
    <tableColumn id="13" xr3:uid="{CDE8531B-700E-3E45-874F-42552F16C3B0}" name="Close12" dataDxfId="2715" dataCellStyle="Comma"/>
    <tableColumn id="14" xr3:uid="{4F7F7C8C-725F-D745-B627-B5851174E054}" name="Close13" dataDxfId="2714"/>
    <tableColumn id="15" xr3:uid="{B764A379-6E77-524D-84CE-F3D153DC33B6}" name="Close14" dataDxfId="2713"/>
    <tableColumn id="16" xr3:uid="{4331A404-8007-CA4F-9AE0-B2C01B0833A7}" name="Close15" dataDxfId="2712"/>
    <tableColumn id="17" xr3:uid="{0E7625FB-2D36-0248-B8EB-47E2820C4276}" name="Close16" dataDxfId="2711" dataCellStyle="Comma"/>
    <tableColumn id="18" xr3:uid="{D5281074-BB4E-6F4E-AD11-1983B5F6F52A}" name="Close17" dataDxfId="2710" dataCellStyle="Comma"/>
    <tableColumn id="19" xr3:uid="{D2D3DB13-7D54-904A-B3FA-E6ECA88164A0}" name="Close18" dataDxfId="2709" dataCellStyle="Comma"/>
    <tableColumn id="20" xr3:uid="{A6BDE463-026D-A14D-A56E-1A389384E71F}" name="Close19" dataDxfId="2708"/>
    <tableColumn id="21" xr3:uid="{8739BE66-982C-0B4D-A9FA-B2E2DE7CCF03}" name="Close20" dataDxfId="2707">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06" dataDxfId="2705" tableBorderDxfId="2704">
  <autoFilter ref="F104:Z198" xr:uid="{7798B848-3F46-BA40-8424-750FBB9BF60F}"/>
  <tableColumns count="21">
    <tableColumn id="1" xr3:uid="{6FEF1508-A20B-AA45-A9AC-4C624E068446}" name="Open0" dataDxfId="2703"/>
    <tableColumn id="2" xr3:uid="{A968BA88-43F9-8744-8D9C-EE0A5FE428C5}" name="Open1" dataDxfId="2702"/>
    <tableColumn id="3" xr3:uid="{084E3773-67E5-6546-877A-017B9C02A673}" name="Open2" dataDxfId="2701"/>
    <tableColumn id="4" xr3:uid="{D159A5E9-303F-2B4C-A90F-C1854A80FA6B}" name="Open3" dataDxfId="2700"/>
    <tableColumn id="5" xr3:uid="{CE8D320D-FD87-4F41-9A24-52676668D9C7}" name="Open4" dataDxfId="2699"/>
    <tableColumn id="6" xr3:uid="{1D8AD5A2-1882-E045-9FDE-A8B14CC49F19}" name="Open5" dataDxfId="2698"/>
    <tableColumn id="7" xr3:uid="{06E18F72-7E37-A84D-A205-389EC66FF62B}" name="Open6" dataDxfId="2697"/>
    <tableColumn id="8" xr3:uid="{78284C14-C4CF-F04E-8F5D-41B356BE8667}" name="Open7" dataDxfId="2696"/>
    <tableColumn id="9" xr3:uid="{9A312717-8B10-A641-9532-CFF04B325F56}" name="Open8" dataDxfId="2695"/>
    <tableColumn id="10" xr3:uid="{913B10DB-C756-D444-9334-829A62032C37}" name="Open9" dataDxfId="2694"/>
    <tableColumn id="11" xr3:uid="{D4686E54-DA00-094B-A567-7A6FCE459B04}" name="Open10" dataDxfId="2693"/>
    <tableColumn id="12" xr3:uid="{8C32C6DF-BCB0-0F4F-8B25-02BDFE0C90E8}" name="Open11" dataDxfId="2692"/>
    <tableColumn id="13" xr3:uid="{5A561081-F5CD-6B4D-B465-1869DCBCB727}" name="Open12" dataDxfId="2691"/>
    <tableColumn id="14" xr3:uid="{B8D9766C-03C2-9B40-B56F-15C155EC7762}" name="Open13" dataDxfId="2690"/>
    <tableColumn id="15" xr3:uid="{69794E79-649D-B04A-9E6D-A1FB7FD06CC4}" name="Open14" dataDxfId="2689"/>
    <tableColumn id="16" xr3:uid="{2C43AD13-A168-9A4D-869C-1EA09EDDFD22}" name="Open15" dataDxfId="2688"/>
    <tableColumn id="17" xr3:uid="{17AFBD30-9F2E-1A4C-8AA5-71AFA3BF092C}" name="Open16" dataDxfId="2687"/>
    <tableColumn id="18" xr3:uid="{1F620BC4-C578-3545-B148-8C7E16D7F5FE}" name="Open17" dataDxfId="2686"/>
    <tableColumn id="19" xr3:uid="{B560E636-BDB1-AA40-86EC-4E1A75517D70}" name="Open18" dataDxfId="2685"/>
    <tableColumn id="20" xr3:uid="{714C2841-15F8-C249-873E-4343067B0240}" name="Open19" dataDxfId="2684"/>
    <tableColumn id="21" xr3:uid="{D347935C-0F22-024F-8C36-90AFCCDAE1AF}" name="Open20" dataDxfId="2683">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82" dataDxfId="2681" tableBorderDxfId="2680">
  <autoFilter ref="F204:Z298" xr:uid="{EB4BB861-7DAC-314C-88E1-E031AC845B22}"/>
  <tableColumns count="21">
    <tableColumn id="1" xr3:uid="{A4E5A9D6-B024-1848-9F1D-71E156809148}" name="Price0" dataDxfId="2679"/>
    <tableColumn id="2" xr3:uid="{52A5C813-441A-0F44-A905-B78DFD4A3E7C}" name="Price1" dataDxfId="2678"/>
    <tableColumn id="3" xr3:uid="{ED453191-6F79-4140-B4A3-749667D3669A}" name="Price2" dataDxfId="2677"/>
    <tableColumn id="4" xr3:uid="{2B0E655A-259C-864B-AEA5-8BFBC75DFA5F}" name="Price3" dataDxfId="2676"/>
    <tableColumn id="5" xr3:uid="{31D31267-41BA-A84C-9512-B812956F8287}" name="Price4" dataDxfId="2675"/>
    <tableColumn id="6" xr3:uid="{6E482D3D-F09A-AD46-BFEC-448C11C27A1B}" name="Price5" dataDxfId="2674"/>
    <tableColumn id="7" xr3:uid="{8DCBD691-FA2F-5C4F-8741-758F221535B8}" name="Price6" dataDxfId="2673"/>
    <tableColumn id="8" xr3:uid="{F81A28A3-D8E8-C548-BBF7-52E767E3560F}" name="Price7" dataDxfId="2672"/>
    <tableColumn id="9" xr3:uid="{F36950E3-5E7A-C44B-BDEC-5FF51E1821C0}" name="Price8" dataDxfId="2671"/>
    <tableColumn id="10" xr3:uid="{94001300-D30A-164C-9AF4-A6C18C1D8233}" name="Price9" dataDxfId="2670"/>
    <tableColumn id="11" xr3:uid="{1762A2DB-B308-ED43-944F-330F2C82AF06}" name="Price10" dataDxfId="2669"/>
    <tableColumn id="12" xr3:uid="{664B20E9-BD46-EB4E-8614-25B89B67B0C5}" name="Price11" dataDxfId="2668"/>
    <tableColumn id="13" xr3:uid="{85F76311-414E-8345-9FCC-75CCEC1CF031}" name="Price12" dataDxfId="2667"/>
    <tableColumn id="14" xr3:uid="{39B5CAB1-7AF2-ED40-844D-4C3150F8440D}" name="Price13" dataDxfId="2666"/>
    <tableColumn id="15" xr3:uid="{EAFED719-DCFC-8346-BF51-C8F86D4EF22A}" name="Price14" dataDxfId="2665"/>
    <tableColumn id="16" xr3:uid="{F0C7D109-ABBE-184B-9657-0BD76C0A19B9}" name="Price15" dataDxfId="2664"/>
    <tableColumn id="17" xr3:uid="{255011AA-1459-4E42-A3A6-ACA53BC0738C}" name="Price16" dataDxfId="2663"/>
    <tableColumn id="18" xr3:uid="{F9009A2B-6610-1349-8B9E-07FE9A1901DB}" name="Price17" dataDxfId="2662"/>
    <tableColumn id="19" xr3:uid="{F72FCCC2-2EE5-3B40-B6E1-BC512B2A567B}" name="Price18" dataDxfId="2661"/>
    <tableColumn id="20" xr3:uid="{FFF62431-CB3E-DD4C-B035-809B1E6C4777}" name="Price19" dataDxfId="2660"/>
    <tableColumn id="21" xr3:uid="{6CA9E17B-C9CB-5D40-9BDE-F4B681DB70A8}" name="Price20" dataDxfId="2659">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58" dataDxfId="2657" tableBorderDxfId="2656" dataCellStyle="Comma">
  <autoFilter ref="AB4:AV98" xr:uid="{6AB25A1F-426D-5D41-AF5C-E0BACF53B0F0}"/>
  <tableColumns count="21">
    <tableColumn id="1" xr3:uid="{C7F03BE7-11FE-E841-9EF9-83F5C6F6FF3F}" name="Stock0" dataDxfId="2655" dataCellStyle="Comma"/>
    <tableColumn id="2" xr3:uid="{18A6D9C1-5DF4-2B40-9126-0E253FF416D7}" name="Stock1" dataDxfId="2654" dataCellStyle="Comma"/>
    <tableColumn id="3" xr3:uid="{4C2FC7F7-8430-F04E-8872-D98FF3A3D75B}" name="Stock2" dataDxfId="2653" dataCellStyle="Comma"/>
    <tableColumn id="4" xr3:uid="{838478B3-3270-1143-9694-B70966ED2654}" name="Stock3" dataDxfId="2652" dataCellStyle="Comma"/>
    <tableColumn id="5" xr3:uid="{F32213CF-064E-9342-B3E7-EA3E20AC95ED}" name="Stock4" dataDxfId="2651" dataCellStyle="Comma"/>
    <tableColumn id="6" xr3:uid="{C02BEF2E-2769-C04B-B440-6091CCD42B79}" name="Stock5" dataDxfId="2650" dataCellStyle="Comma"/>
    <tableColumn id="7" xr3:uid="{0F048FA9-BD2E-1F4C-AC9C-84F2091208AD}" name="Stock6" dataDxfId="2649" dataCellStyle="Comma"/>
    <tableColumn id="8" xr3:uid="{146ACADB-FB47-A542-9FA4-6EDCECB46FC4}" name="Stock7" dataDxfId="2648" dataCellStyle="Comma"/>
    <tableColumn id="9" xr3:uid="{96904AC0-9C5F-D043-BEDD-6B33D0EC239E}" name="Stock8" dataDxfId="2647" dataCellStyle="Comma"/>
    <tableColumn id="10" xr3:uid="{61E1D695-049F-5440-81AB-7D97F9E0F5CB}" name="Stock9" dataDxfId="2646" dataCellStyle="Comma"/>
    <tableColumn id="11" xr3:uid="{66B73799-E0BE-0049-82BC-096FB61FE577}" name="Stock10" dataDxfId="2645" dataCellStyle="Comma"/>
    <tableColumn id="12" xr3:uid="{F7F319CC-4A25-7345-A1A3-E1E93F1B82F6}" name="Stock11" dataDxfId="2644" dataCellStyle="Comma"/>
    <tableColumn id="13" xr3:uid="{D935BDD0-C5FF-414D-B97A-D213626F8B26}" name="Stock12" dataDxfId="2643" dataCellStyle="Comma"/>
    <tableColumn id="14" xr3:uid="{516F2104-B757-F94E-AB0F-428E98774253}" name="Stock13" dataDxfId="2642" dataCellStyle="Comma"/>
    <tableColumn id="15" xr3:uid="{2D08D160-51A8-914D-BB06-71F9E133FF42}" name="Stock14" dataDxfId="2641" dataCellStyle="Comma"/>
    <tableColumn id="16" xr3:uid="{A6311255-1F3F-E94F-A911-9E0083E20212}" name="Stock15" dataDxfId="2640" dataCellStyle="Comma"/>
    <tableColumn id="17" xr3:uid="{63865F5A-7539-144A-A7BF-3F28BA206DC5}" name="Stock16" dataDxfId="2639" dataCellStyle="Comma"/>
    <tableColumn id="18" xr3:uid="{53365510-D756-014D-B723-CBF92DEF74E4}" name="Stock17" dataDxfId="2638" dataCellStyle="Comma"/>
    <tableColumn id="19" xr3:uid="{4526F642-C055-8A46-B59D-A903CB7704F2}" name="Stock18" dataDxfId="2637" dataCellStyle="Comma"/>
    <tableColumn id="20" xr3:uid="{4D633FC2-817A-0D44-977B-DC0ADA7FA9EA}" name="Stock19" dataDxfId="2636" dataCellStyle="Comma"/>
    <tableColumn id="21" xr3:uid="{17C3BFF9-DE7F-F049-8716-2E4A3E209A88}" name="Stock20" dataDxfId="2635"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34" dataDxfId="2633" tableBorderDxfId="2632" dataCellStyle="Percent">
  <autoFilter ref="AB104:AV198" xr:uid="{5E09C67E-B492-C14D-BA21-53D0DFBBCF19}"/>
  <tableColumns count="21">
    <tableColumn id="1" xr3:uid="{4844BFD7-46E9-AD4D-A30F-27D7E320248D}" name="XAgio0" dataDxfId="2631" dataCellStyle="Percent"/>
    <tableColumn id="2" xr3:uid="{7A1C1DBC-E8A9-9C43-8D4C-79908C623B18}" name="XAgio1" dataDxfId="2630" dataCellStyle="Percent"/>
    <tableColumn id="3" xr3:uid="{F5F51D62-A156-3A4B-B1D3-94FCD61FC950}" name="XAgio2" dataDxfId="2629" dataCellStyle="Percent"/>
    <tableColumn id="4" xr3:uid="{E7F601FB-9DA1-9646-901B-25613F200B8E}" name="XAgio3" dataDxfId="2628" dataCellStyle="Percent"/>
    <tableColumn id="5" xr3:uid="{75D6ABA4-DA21-5B45-A87C-3A40C095EEDD}" name="XAgio4" dataDxfId="2627" dataCellStyle="Percent"/>
    <tableColumn id="6" xr3:uid="{456553CB-4622-3A40-868B-E76C74ECEC20}" name="XAgio5" dataDxfId="2626" dataCellStyle="Percent"/>
    <tableColumn id="7" xr3:uid="{A3974414-65F7-E44F-9012-7BB38B2A109D}" name="XAgio6" dataDxfId="2625" dataCellStyle="Percent"/>
    <tableColumn id="8" xr3:uid="{9AF89B43-794D-0044-8721-675D2C6D4F3E}" name="XAgio7" dataDxfId="2624" dataCellStyle="Percent"/>
    <tableColumn id="9" xr3:uid="{F5B7FA23-D7FE-BC47-9591-E9DA8FF929C2}" name="XAgio8" dataDxfId="2623" dataCellStyle="Percent"/>
    <tableColumn id="10" xr3:uid="{65D900EF-8A52-3C44-9629-8C6C9CD41130}" name="XAgio9" dataDxfId="2622" dataCellStyle="Percent"/>
    <tableColumn id="11" xr3:uid="{5E70DF05-8BA0-2D41-982A-D2D655974B5A}" name="XAgio10" dataDxfId="2621" dataCellStyle="Percent"/>
    <tableColumn id="12" xr3:uid="{B092C649-E1A7-3344-B40E-2BF9506A0880}" name="XAgio11" dataDxfId="2620" dataCellStyle="Percent"/>
    <tableColumn id="13" xr3:uid="{840DE593-5252-9C4A-BE7A-3D48632B63B7}" name="XAgio12" dataDxfId="2619" dataCellStyle="Percent"/>
    <tableColumn id="14" xr3:uid="{2E89F770-65D9-BB4A-B172-0E7996075FB4}" name="XAgio13" dataDxfId="2618" dataCellStyle="Percent"/>
    <tableColumn id="15" xr3:uid="{F177428E-AD8D-DF4B-A7AA-B15CB23DB9E4}" name="XAgio14" dataDxfId="2617" dataCellStyle="Percent"/>
    <tableColumn id="16" xr3:uid="{BCD73CCF-78D3-EC44-880D-FD6173967D68}" name="XAgio15" dataDxfId="2616" dataCellStyle="Percent"/>
    <tableColumn id="17" xr3:uid="{972D2180-01FF-264F-BA6C-033AD490130B}" name="XAgio16" dataDxfId="2615" dataCellStyle="Percent"/>
    <tableColumn id="18" xr3:uid="{BA2DE4B4-20B3-5943-8FBF-B47FBCAB9092}" name="XAgio17" dataDxfId="2614" dataCellStyle="Percent"/>
    <tableColumn id="19" xr3:uid="{34B59026-2C3D-8B4A-A730-B5D8AC1FD6FA}" name="XAgio18" dataDxfId="2613" dataCellStyle="Percent"/>
    <tableColumn id="20" xr3:uid="{9D4953E9-4D29-F647-B767-013FD23C3406}" name="XAgio19" dataDxfId="2612" dataCellStyle="Percent"/>
    <tableColumn id="21" xr3:uid="{C64D4FA9-A244-B04F-ABB2-1CF53E36712C}" name="XAgio20" dataDxfId="2611"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10" dataDxfId="2609" tableBorderDxfId="2608" dataCellStyle="Comma">
  <autoFilter ref="AB204:AV298" xr:uid="{A0EA3112-2FB6-FF42-841C-1FCA71A552B8}"/>
  <tableColumns count="21">
    <tableColumn id="1" xr3:uid="{AFEB9715-0820-D341-B6DD-56D90ACA4EB8}" name="AVGChan0" totalsRowLabel="Total" dataDxfId="2607" dataCellStyle="Comma"/>
    <tableColumn id="2" xr3:uid="{C5555382-638A-5E4F-9F9E-F76D19F860CD}" name="AVGChan1" dataDxfId="2606" dataCellStyle="Comma"/>
    <tableColumn id="3" xr3:uid="{CC180859-B3A9-A74D-854E-75282058C806}" name="AVGChan2" dataDxfId="2605" dataCellStyle="Comma"/>
    <tableColumn id="4" xr3:uid="{0B2BD7AB-D580-E44F-9EE2-E63D10A83637}" name="AVGChan3" dataDxfId="2604" dataCellStyle="Comma"/>
    <tableColumn id="5" xr3:uid="{A007109A-0054-AC49-B4CC-AC0ABA7FCC51}" name="AVGChan4" dataDxfId="2603" dataCellStyle="Comma"/>
    <tableColumn id="6" xr3:uid="{ADA20693-A5A5-AE4B-B88C-B65CB781B96B}" name="AVGChan5" dataDxfId="2602" dataCellStyle="Comma"/>
    <tableColumn id="7" xr3:uid="{7D26F7E4-E81D-D340-9014-5ACD0B49DD1E}" name="AVGChan6" dataDxfId="2601" dataCellStyle="Comma"/>
    <tableColumn id="8" xr3:uid="{4FEFA07A-6190-8C40-852E-B947C25694E4}" name="AVGChan7" dataDxfId="2600" dataCellStyle="Comma"/>
    <tableColumn id="9" xr3:uid="{200C4B95-289F-6742-B20B-64883DC43885}" name="AVGChan8" dataDxfId="2599" dataCellStyle="Comma"/>
    <tableColumn id="10" xr3:uid="{4C9BF29D-D210-D542-ACA3-179CDDE9DAF7}" name="AVGChan9" dataDxfId="2598" dataCellStyle="Comma"/>
    <tableColumn id="11" xr3:uid="{B85A0FFF-0B92-E545-AA74-114F3489EF28}" name="AVGChan10" dataDxfId="2597" dataCellStyle="Comma"/>
    <tableColumn id="12" xr3:uid="{36FAB0C0-8931-7C4A-A4D4-F1D9B93019C4}" name="AVGChan11" dataDxfId="2596" dataCellStyle="Comma"/>
    <tableColumn id="13" xr3:uid="{3F14D851-FC58-CF45-A44B-BEB6ECE74CF5}" name="AVGChan12" dataDxfId="2595" dataCellStyle="Comma"/>
    <tableColumn id="14" xr3:uid="{76BFA56E-7A6D-D648-8E97-C919C4B1D64E}" name="AVGChan13" dataDxfId="2594" dataCellStyle="Comma"/>
    <tableColumn id="15" xr3:uid="{42ECD6EE-13DD-CA41-8888-DBF465AE6675}" name="AVGChan14" dataDxfId="2593" dataCellStyle="Comma"/>
    <tableColumn id="16" xr3:uid="{4A0F3AFD-AFF8-4845-BF6E-71EEAC694084}" name="AVGChan15" dataDxfId="2592" dataCellStyle="Comma"/>
    <tableColumn id="17" xr3:uid="{BB41E69B-766F-CA4C-8F73-8229D71B0FBD}" name="AVGChan16" dataDxfId="2591" dataCellStyle="Comma"/>
    <tableColumn id="18" xr3:uid="{4E0F70D5-E77D-5544-BB80-5273D6D6DAD6}" name="AVGChan17" dataDxfId="2590" dataCellStyle="Comma"/>
    <tableColumn id="19" xr3:uid="{C0969DD6-BF9F-4F43-AE89-B3456AD8AEBA}" name="AVGChan18" dataDxfId="2589" dataCellStyle="Comma"/>
    <tableColumn id="20" xr3:uid="{3B8AD847-1069-8C45-ABC0-C614EB40C498}" name="AVGChan19" dataDxfId="2588" dataCellStyle="Comma"/>
    <tableColumn id="21" xr3:uid="{6E962B66-DD99-C04D-82E7-4A68E8C053FD}" name="AVGChan20" totalsRowFunction="max" dataDxfId="2587" totalsRowDxfId="2586"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85" dataDxfId="2584" tableBorderDxfId="2583">
  <autoFilter ref="F304:Z398" xr:uid="{8341DCDD-9E59-2740-A24A-0BAB86A4C294}"/>
  <tableColumns count="21">
    <tableColumn id="1" xr3:uid="{05BF7933-5282-7743-AAEF-BA70016123D1}" name="Low0" dataDxfId="2582"/>
    <tableColumn id="2" xr3:uid="{AEBAE2DC-B6D6-0D45-8ED5-23D6DE0D188E}" name="Low1" dataDxfId="2581"/>
    <tableColumn id="3" xr3:uid="{7397E65D-0B52-944C-B00D-ACBE6FC8970C}" name="Low2" dataDxfId="2580"/>
    <tableColumn id="4" xr3:uid="{65199958-FB50-644B-A6CD-D9B4A6A31C81}" name="Low3" dataDxfId="2579"/>
    <tableColumn id="5" xr3:uid="{D4E76AA6-38FC-044A-8136-1857F432C2D3}" name="Low4" dataDxfId="2578"/>
    <tableColumn id="6" xr3:uid="{ED22DB04-9A39-FA4C-A400-F3A5E3819087}" name="Low5" dataDxfId="2577"/>
    <tableColumn id="7" xr3:uid="{0691BBF2-D7EE-5E42-95D5-979DA294E3E7}" name="Low6" dataDxfId="2576"/>
    <tableColumn id="8" xr3:uid="{74FD8EEA-5F19-9447-855C-6D265EC39B98}" name="Low7" dataDxfId="2575"/>
    <tableColumn id="9" xr3:uid="{E09EB8DA-7DAF-AB45-BDDC-046B45CF7281}" name="Low8" dataDxfId="2574"/>
    <tableColumn id="10" xr3:uid="{3878FE9A-1C85-B84F-AC92-CB845274D16C}" name="Low9" dataDxfId="2573"/>
    <tableColumn id="11" xr3:uid="{B8430559-485B-B541-8B61-B3AA3978406D}" name="Low10" dataDxfId="2572"/>
    <tableColumn id="12" xr3:uid="{37EF61DB-B6C4-5742-A9A0-AAEAD0B7FCE6}" name="Low11" dataDxfId="2571"/>
    <tableColumn id="13" xr3:uid="{B119276C-5FBF-1A44-8632-7C3C430B2A4D}" name="Low12" dataDxfId="2570"/>
    <tableColumn id="14" xr3:uid="{49F0F70A-AA8D-204B-9C66-28455E39E699}" name="Low13" dataDxfId="2569"/>
    <tableColumn id="15" xr3:uid="{1A9F3FC6-0480-244A-91A4-82DAB8F1B54C}" name="Low14" dataDxfId="2568"/>
    <tableColumn id="16" xr3:uid="{547FE690-F1C5-B04D-B2DF-6360BB404F5A}" name="Low15" dataDxfId="2567"/>
    <tableColumn id="17" xr3:uid="{D819DC47-43F2-AC44-883E-2374E2163BF7}" name="Low16" dataDxfId="2566"/>
    <tableColumn id="18" xr3:uid="{88351988-EF51-384B-AC10-2BC7C2582A51}" name="Low17" dataDxfId="2565"/>
    <tableColumn id="19" xr3:uid="{01380C41-88F2-4D41-8C9D-E40D9F6441F5}" name="Low18" dataDxfId="2564"/>
    <tableColumn id="20" xr3:uid="{84321462-E49A-E747-ABFD-DD17E624EC5A}" name="Low19" dataDxfId="2563"/>
    <tableColumn id="21" xr3:uid="{684AE721-DDC5-814C-9DAE-F132DA57CEBA}" name="Low20" dataDxfId="2562">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61" dataDxfId="2560" tableBorderDxfId="2559" dataCellStyle="Comma">
  <autoFilter ref="AB304:AV398" xr:uid="{505C5E5D-245B-A747-9456-0A0E743C05A8}"/>
  <tableColumns count="21">
    <tableColumn id="1" xr3:uid="{F7696D4B-4AED-544C-B7C4-D7CE117BA3E4}" name="Sald0" dataDxfId="2558" dataCellStyle="Comma"/>
    <tableColumn id="2" xr3:uid="{715ED5A9-49EF-A648-85DA-96BA79BF9465}" name="Sald1" dataDxfId="2557" dataCellStyle="Comma"/>
    <tableColumn id="3" xr3:uid="{C7F806CC-F109-4247-B40E-74E3AE1489B3}" name="Sald2" dataDxfId="2556" dataCellStyle="Comma"/>
    <tableColumn id="4" xr3:uid="{18B41461-0D38-0849-89C0-982034BE0F82}" name="Sald3" dataDxfId="2555" dataCellStyle="Comma"/>
    <tableColumn id="5" xr3:uid="{8298E28E-80F4-1048-8A5F-010EBB7B8A3E}" name="Sald4" dataDxfId="2554" dataCellStyle="Comma"/>
    <tableColumn id="6" xr3:uid="{32D5C376-8552-A04D-9ED9-02FE6C79D9A2}" name="Sald5" dataDxfId="2553" dataCellStyle="Comma"/>
    <tableColumn id="7" xr3:uid="{0ABF3F59-1C72-A14A-9072-D4A990EA8CE3}" name="Sald6" dataDxfId="2552" dataCellStyle="Comma"/>
    <tableColumn id="8" xr3:uid="{0FD2AAEC-31D8-8C4D-A76B-31EAAFF62550}" name="Sald7" dataDxfId="2551" dataCellStyle="Comma"/>
    <tableColumn id="9" xr3:uid="{F861BBF0-6B76-7944-AEF1-EE42D7F8BE67}" name="Sald8" dataDxfId="2550" dataCellStyle="Comma"/>
    <tableColumn id="10" xr3:uid="{C7145DD9-60A5-6649-B81D-9A811F1A04C8}" name="Sald9" dataDxfId="2549" dataCellStyle="Comma"/>
    <tableColumn id="11" xr3:uid="{44B06E69-05E2-7E4A-AC70-25BCA74106DD}" name="Sald10" dataDxfId="2548" dataCellStyle="Comma"/>
    <tableColumn id="12" xr3:uid="{A3625923-E054-3845-B42D-2D38393132BF}" name="Sald11" dataDxfId="2547" dataCellStyle="Comma"/>
    <tableColumn id="13" xr3:uid="{CF2D3173-D401-C247-BA64-D3BECA1113C9}" name="Sald12" dataDxfId="2546" dataCellStyle="Comma"/>
    <tableColumn id="14" xr3:uid="{7CA064B5-3FF3-5347-A4DA-C9135895E78E}" name="Sald13" dataDxfId="2545" dataCellStyle="Comma"/>
    <tableColumn id="15" xr3:uid="{F88906F4-6EF3-8D44-AFB3-7F6171120460}" name="Sald14" dataDxfId="2544" dataCellStyle="Comma"/>
    <tableColumn id="16" xr3:uid="{08BE88DE-285E-DD4E-9B94-ABF49BDF2583}" name="Sald15" dataDxfId="2543" dataCellStyle="Comma"/>
    <tableColumn id="17" xr3:uid="{FF350C71-FB06-814C-AB62-C38F3BD8773D}" name="Sald16" dataDxfId="2542" dataCellStyle="Comma"/>
    <tableColumn id="18" xr3:uid="{871A4128-CC31-834F-9E52-C6732E47E371}" name="Sald17" dataDxfId="2541" dataCellStyle="Comma"/>
    <tableColumn id="19" xr3:uid="{CEC6770B-F0F3-E944-84DF-0EB3CF5BF1C5}" name="Sald18" dataDxfId="2540" dataCellStyle="Comma"/>
    <tableColumn id="20" xr3:uid="{4ED80F33-FFBC-754A-BC03-7BBA30F2CF36}" name="Sald19" dataDxfId="2539" dataCellStyle="Comma"/>
    <tableColumn id="21" xr3:uid="{EE7FE24F-4084-A047-A96A-BFD7777A0526}" name="Sald20" dataDxfId="2538"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37" dataDxfId="2536" tableBorderDxfId="2535">
  <autoFilter ref="F404:Z498" xr:uid="{72791BE6-AE3B-984E-9283-1FCA25508BF8}"/>
  <tableColumns count="21">
    <tableColumn id="1" xr3:uid="{5F2442DC-292F-7E44-9E79-EC5946746F80}" name="High0" dataDxfId="2534"/>
    <tableColumn id="2" xr3:uid="{0549D8C8-5CD6-D547-AA4E-06EF2CCBBC47}" name="High1" dataDxfId="2533"/>
    <tableColumn id="3" xr3:uid="{9808B4C7-981B-8E41-932E-5EEDB044D191}" name="High2" dataDxfId="2532"/>
    <tableColumn id="4" xr3:uid="{B0305D9C-4013-9546-B636-C1949178510D}" name="High3" dataDxfId="2531"/>
    <tableColumn id="5" xr3:uid="{F9E69E5D-F110-9B48-9329-9C8765C01A16}" name="High4" dataDxfId="2530"/>
    <tableColumn id="6" xr3:uid="{48A1E920-9742-9B42-B5B4-CE8842722C58}" name="High5" dataDxfId="2529"/>
    <tableColumn id="7" xr3:uid="{0FAA0644-82A0-C647-85BA-148C691889ED}" name="High6" dataDxfId="2528"/>
    <tableColumn id="8" xr3:uid="{E26B2014-11CB-6C43-9007-791975CDE457}" name="High7" dataDxfId="2527"/>
    <tableColumn id="9" xr3:uid="{BB5A97F1-1D0F-3B40-9D75-3BC9680046D9}" name="High8" dataDxfId="2526"/>
    <tableColumn id="10" xr3:uid="{9937F62A-F0DE-504F-9DDF-9B58BBCDF30D}" name="High9" dataDxfId="2525"/>
    <tableColumn id="11" xr3:uid="{29A4776E-C258-E74A-ADF9-5D021108CAC4}" name="High10" dataDxfId="2524"/>
    <tableColumn id="12" xr3:uid="{8849CFF6-7CC5-C142-AF6B-ADEA6C57F16A}" name="High11" dataDxfId="2523"/>
    <tableColumn id="13" xr3:uid="{633224FB-FB56-3346-B3D4-7815BD0EE8D2}" name="High12" dataDxfId="2522"/>
    <tableColumn id="14" xr3:uid="{AE8EB41C-C141-E34D-998C-B0CD93824B2C}" name="High13" dataDxfId="2521"/>
    <tableColumn id="15" xr3:uid="{D5C19F64-CCDC-C14F-9A29-B00650B50A72}" name="High14" dataDxfId="2520"/>
    <tableColumn id="16" xr3:uid="{30340F11-A4CE-D545-A219-2AE57981DD72}" name="High15" dataDxfId="2519"/>
    <tableColumn id="17" xr3:uid="{DC13C9CF-21E4-0341-AC85-77254CBA4C10}" name="High16" dataDxfId="2518"/>
    <tableColumn id="18" xr3:uid="{8B477E38-014E-7349-BDEF-006CC12B5F71}" name="High17" dataDxfId="2517"/>
    <tableColumn id="19" xr3:uid="{244FB7EE-D034-2C4B-855E-A5622CFD9DCC}" name="High18" dataDxfId="2516"/>
    <tableColumn id="20" xr3:uid="{BE6D664C-133B-0D49-9894-15834393E697}" name="High19" dataDxfId="2515"/>
    <tableColumn id="21" xr3:uid="{0D39CB33-A7F6-3446-97CA-74E68796A5EF}" name="High20" dataDxfId="2514">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13" dataDxfId="2512" tableBorderDxfId="2511" dataCellStyle="Comma">
  <autoFilter ref="AB504:AV598" xr:uid="{2059310D-912B-5146-8786-585E1C6FFCF2}"/>
  <tableColumns count="21">
    <tableColumn id="1" xr3:uid="{C4347E4A-86BC-5043-97CE-45A14B956E41}" name="M_Val0" dataDxfId="2510" dataCellStyle="Comma"/>
    <tableColumn id="2" xr3:uid="{B1FF6CEC-79A5-F849-8927-C7B81EC7DECC}" name="M_Val1" dataDxfId="2509" dataCellStyle="Comma"/>
    <tableColumn id="3" xr3:uid="{A3EF44CD-266F-BE4D-AA64-EC5EB34BABDE}" name="M_Val2" dataDxfId="2508" dataCellStyle="Comma"/>
    <tableColumn id="4" xr3:uid="{33FCDB11-ACFC-144C-96FF-80A724DEA2D2}" name="M_Val3" dataDxfId="2507" dataCellStyle="Comma"/>
    <tableColumn id="5" xr3:uid="{ECF85600-2A51-6B4A-A8AA-85CC4E8C8A69}" name="M_Val4" dataDxfId="2506" dataCellStyle="Comma"/>
    <tableColumn id="6" xr3:uid="{DA6F66BD-BF68-A745-930D-40C93490CE38}" name="M_Val5" dataDxfId="2505" dataCellStyle="Comma"/>
    <tableColumn id="7" xr3:uid="{3825427F-1753-8E4B-9F49-DC786B094ADF}" name="M_Val6" dataDxfId="2504" dataCellStyle="Comma"/>
    <tableColumn id="8" xr3:uid="{DE50C296-7BE6-2344-ADBB-42DDE8201D63}" name="M_Val7" dataDxfId="2503" dataCellStyle="Comma"/>
    <tableColumn id="9" xr3:uid="{6E7F2388-373F-3347-A802-C9769737C04E}" name="M_Val8" dataDxfId="2502" dataCellStyle="Comma"/>
    <tableColumn id="10" xr3:uid="{A785C2B5-06C3-8744-8BCE-7DF4FD77BC91}" name="M_Val9" dataDxfId="2501" dataCellStyle="Comma"/>
    <tableColumn id="11" xr3:uid="{8C7CA10E-47BD-E84A-BD5C-1A0BE803DEC1}" name="M_Val10" dataDxfId="2500" dataCellStyle="Comma"/>
    <tableColumn id="12" xr3:uid="{1E4D3DAF-E7FF-874F-9172-DEC7EE7EAB78}" name="M_Val11" dataDxfId="2499" dataCellStyle="Comma"/>
    <tableColumn id="13" xr3:uid="{92B8A6BB-8666-2348-B666-A1B1F7225487}" name="M_Val12" dataDxfId="2498" dataCellStyle="Comma"/>
    <tableColumn id="14" xr3:uid="{2BB9A822-DD2E-954F-B6F7-E6E26EE77E8B}" name="M_Val13" dataDxfId="2497" dataCellStyle="Comma"/>
    <tableColumn id="15" xr3:uid="{155B15D5-436D-664E-8647-3917F45F9F75}" name="M_Val14" dataDxfId="2496" dataCellStyle="Comma"/>
    <tableColumn id="16" xr3:uid="{2317AB74-4C6E-FC4A-8D59-B4EA62202F18}" name="M_Val15" dataDxfId="2495" dataCellStyle="Comma"/>
    <tableColumn id="17" xr3:uid="{FA0A4F43-775A-E940-A9B0-C394FF2B3489}" name="M_Val16" dataDxfId="2494" dataCellStyle="Comma"/>
    <tableColumn id="18" xr3:uid="{914B7672-9B72-E249-BB28-1D744A2474DA}" name="M_Val17" dataDxfId="2493" dataCellStyle="Comma"/>
    <tableColumn id="19" xr3:uid="{FEAB0C78-F15D-434B-A119-CE6A5430E083}" name="M_Val18" dataDxfId="2492" dataCellStyle="Comma"/>
    <tableColumn id="20" xr3:uid="{7060E8A2-F8A5-8741-9D69-3F1A5F8B6BF0}" name="M_Val19" dataDxfId="2491" dataCellStyle="Comma"/>
    <tableColumn id="21" xr3:uid="{FA8ABABE-3921-3E45-831B-C8F137C9C488}" name="M_Val20" dataDxfId="2490"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89" dataDxfId="2488" tableBorderDxfId="2487">
  <autoFilter ref="F504:Z598" xr:uid="{36432D48-615D-1C48-A920-5E65086EABA8}"/>
  <tableColumns count="21">
    <tableColumn id="1" xr3:uid="{6AB3A1F6-3AFC-8A45-971A-236D7AC7AB72}" name="PE0" dataDxfId="2486"/>
    <tableColumn id="2" xr3:uid="{C1F36B94-A69D-D048-9AB8-5EA83B7C9B99}" name="PE1" dataDxfId="2485"/>
    <tableColumn id="3" xr3:uid="{63661DA8-D795-6C49-A71B-41F019D21DDC}" name="PE2" dataDxfId="2484"/>
    <tableColumn id="4" xr3:uid="{D5A54A31-FEF4-BA4E-9B48-3EEF87AD1F14}" name="PE3" dataDxfId="2483"/>
    <tableColumn id="5" xr3:uid="{B65A08F3-5A74-754D-A3C6-8CDB9EF676C2}" name="PE4" dataDxfId="2482"/>
    <tableColumn id="6" xr3:uid="{7D4695C5-0843-EF45-A864-194AC78A2520}" name="PE5" dataDxfId="2481"/>
    <tableColumn id="7" xr3:uid="{35BB55FC-B3A0-964C-AEA0-9AA1136AF415}" name="PE6" dataDxfId="2480"/>
    <tableColumn id="8" xr3:uid="{1D2CBFF1-8B15-A84D-81C4-481E8A48D1DC}" name="PE7" dataDxfId="2479"/>
    <tableColumn id="9" xr3:uid="{A828A73C-F96B-5249-93ED-64ED903CA99D}" name="PE8" dataDxfId="2478"/>
    <tableColumn id="10" xr3:uid="{8870CD52-48DF-8841-998E-4E415A2751E6}" name="PE9" dataDxfId="2477"/>
    <tableColumn id="11" xr3:uid="{93CEE660-F7F2-1242-8DB3-9770EDC47297}" name="PE10" dataDxfId="2476"/>
    <tableColumn id="12" xr3:uid="{7271FB2D-1E6B-FE46-89C9-E6D759BE0E9C}" name="PE11" dataDxfId="2475"/>
    <tableColumn id="13" xr3:uid="{F5323927-9C3C-1445-8A2F-D173633B0D4C}" name="PE12" dataDxfId="2474"/>
    <tableColumn id="14" xr3:uid="{F94286AA-0AD1-F44B-A550-F7D2B757B377}" name="PE13" dataDxfId="2473"/>
    <tableColumn id="15" xr3:uid="{3E87B3EC-0708-2840-B184-905CF0494D38}" name="PE14" dataDxfId="2472"/>
    <tableColumn id="16" xr3:uid="{937EBC93-3781-5349-A2AC-956E22021E08}" name="PE15" dataDxfId="2471"/>
    <tableColumn id="17" xr3:uid="{638B58F0-3B34-CD4E-B605-167004C8346E}" name="PE16" dataDxfId="2470"/>
    <tableColumn id="18" xr3:uid="{E1AD3DD0-1478-964D-8994-FF3EA6BE4C0F}" name="PE17" dataDxfId="2469"/>
    <tableColumn id="19" xr3:uid="{9E8E221E-BFCA-BA44-9CF6-97E06234E423}" name="PE18" dataDxfId="2468"/>
    <tableColumn id="20" xr3:uid="{C4FBB163-9E7D-C545-98D8-5012D5EBEE1F}" name="PE19" dataDxfId="2467"/>
    <tableColumn id="21" xr3:uid="{EB5F2E20-930D-4648-8D82-E36CBF64AD58}" name="PE20" dataDxfId="2466">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65" dataDxfId="2464" tableBorderDxfId="2463" dataCellStyle="Comma">
  <autoFilter ref="AB604:AV698" xr:uid="{3609B58A-1615-B540-A3F4-6B519A654E28}"/>
  <tableColumns count="21">
    <tableColumn id="1" xr3:uid="{A0B04F0D-EC99-2549-B887-D57FA0D5E86F}" name="Gravity0" dataDxfId="2462" dataCellStyle="Percent"/>
    <tableColumn id="2" xr3:uid="{8D4C8AFE-708C-3547-976C-9A96BCBB8AFE}" name="Gravity1" dataDxfId="2461" dataCellStyle="Percent"/>
    <tableColumn id="3" xr3:uid="{7DFEBD87-178F-F64B-84A1-99F2119E39BA}" name="Gravity2" dataDxfId="2460" dataCellStyle="Percent"/>
    <tableColumn id="4" xr3:uid="{1D750563-D4F9-1A4D-A506-0AFE6C2D1D11}" name="Gravity3" dataDxfId="2459" dataCellStyle="Percent"/>
    <tableColumn id="5" xr3:uid="{0C9EE0C1-A0F5-A74E-8AB9-1AFD9B1C16DB}" name="Gravity4" dataDxfId="2458" dataCellStyle="Percent"/>
    <tableColumn id="6" xr3:uid="{9B19E6A0-AB29-C740-A355-E5A5CAD21CAB}" name="Gravity5" dataDxfId="2457" dataCellStyle="Percent"/>
    <tableColumn id="7" xr3:uid="{C28A85C1-D8C2-CA41-8F08-02E8F8024840}" name="Gravity6" dataDxfId="2456" dataCellStyle="Percent"/>
    <tableColumn id="8" xr3:uid="{357255E7-2CA0-0A43-9C09-B4D68962DF89}" name="Gravity7" dataDxfId="2455" dataCellStyle="Percent"/>
    <tableColumn id="9" xr3:uid="{C55B8262-AD8C-5141-BB34-1E2036804933}" name="Gravity8" dataDxfId="2454" dataCellStyle="Percent"/>
    <tableColumn id="10" xr3:uid="{298C0C4D-7682-4740-A283-7CAC9012D782}" name="Gravity9" dataDxfId="2453" dataCellStyle="Percent"/>
    <tableColumn id="11" xr3:uid="{B2D984E2-F2D7-B140-A5DB-627777F1DCD8}" name="Gravity10" dataDxfId="2452" dataCellStyle="Percent"/>
    <tableColumn id="12" xr3:uid="{9BB8DE4A-EB39-9548-A681-07940F2F801B}" name="Gravity11" dataDxfId="2451" dataCellStyle="Percent"/>
    <tableColumn id="13" xr3:uid="{76A3DECB-D825-C34E-8854-40CC9AFC168B}" name="Gravity12" dataDxfId="2450" dataCellStyle="Percent"/>
    <tableColumn id="14" xr3:uid="{AB485574-61F2-474C-89CB-FD8087756B5F}" name="Gravity13" dataDxfId="2449" dataCellStyle="Percent"/>
    <tableColumn id="15" xr3:uid="{438E0A68-B270-F947-817C-A58D392C7C30}" name="Gravity14" dataDxfId="2448" dataCellStyle="Percent"/>
    <tableColumn id="16" xr3:uid="{2B03B8A5-CB2F-C04E-B9AF-40D10250B197}" name="Gravity15" dataDxfId="2447" dataCellStyle="Percent"/>
    <tableColumn id="17" xr3:uid="{8387BA87-3B28-BE46-AD30-96A306038D1F}" name="Gravity16" dataDxfId="2446" dataCellStyle="Percent"/>
    <tableColumn id="18" xr3:uid="{F7904E93-BC46-0140-B3D6-49F92A3C3B5D}" name="Gravity17" dataDxfId="2445" dataCellStyle="Percent"/>
    <tableColumn id="19" xr3:uid="{672772F2-D35C-FE45-9C9E-A94C236B7B44}" name="Gravity18" dataDxfId="2444" dataCellStyle="Percent"/>
    <tableColumn id="20" xr3:uid="{208290DE-04CD-8449-90BB-B19A0603A99B}" name="Gravity19" dataDxfId="2443" dataCellStyle="Percent"/>
    <tableColumn id="21" xr3:uid="{D3DBFB11-389F-5340-8DDD-4E481D36F033}" name="Gravity20" dataDxfId="2442"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41" dataDxfId="2440" tableBorderDxfId="2439">
  <autoFilter ref="F604:Z698" xr:uid="{4DCF9413-627E-A447-A977-39461A12B0A3}"/>
  <tableColumns count="21">
    <tableColumn id="1" xr3:uid="{6C815857-AD36-514F-8897-BFA64C5DF519}" name="Change0" dataDxfId="2438"/>
    <tableColumn id="2" xr3:uid="{D38C3A03-2443-AD4B-AABC-4865D01815F2}" name="Change1" dataDxfId="2437"/>
    <tableColumn id="3" xr3:uid="{F6A50E01-2E70-8A44-A203-8594C9A07E19}" name="Change2" dataDxfId="2436"/>
    <tableColumn id="4" xr3:uid="{706AC2D7-888F-424A-A18C-849A98565C59}" name="Change3" dataDxfId="2435"/>
    <tableColumn id="5" xr3:uid="{560434CF-FA00-224C-B78C-55A65C6677B2}" name="Change4" dataDxfId="2434"/>
    <tableColumn id="6" xr3:uid="{9BB8986A-CB07-764B-974F-0200B964D48F}" name="Change5" dataDxfId="2433"/>
    <tableColumn id="7" xr3:uid="{A2BACA41-D491-AB49-BEA6-9772D4BD92BB}" name="Change6" dataDxfId="2432"/>
    <tableColumn id="8" xr3:uid="{B018DF0E-1556-A640-A7CD-653956B49AF4}" name="Change7" dataDxfId="2431"/>
    <tableColumn id="9" xr3:uid="{0589AC3B-0F4E-9B4F-BB47-CE809EB1DBF8}" name="Change8" dataDxfId="2430"/>
    <tableColumn id="10" xr3:uid="{43E47C43-9E48-B94B-A809-58536D8414BF}" name="Change9" dataDxfId="2429"/>
    <tableColumn id="11" xr3:uid="{A0D7F08A-CDD4-414F-9F26-553F599CBBF1}" name="Change10" dataDxfId="2428"/>
    <tableColumn id="12" xr3:uid="{488D9FD5-AC07-7A41-BD58-03C91357C94E}" name="Change11" dataDxfId="2427"/>
    <tableColumn id="13" xr3:uid="{EE9196AD-D051-6B4A-A202-A7144C6DFD66}" name="Change12" dataDxfId="2426"/>
    <tableColumn id="14" xr3:uid="{98450C78-3B61-1240-A662-7D5D61F30136}" name="Change13" dataDxfId="2425"/>
    <tableColumn id="15" xr3:uid="{EFA82915-6798-D846-878D-4446ABAE0933}" name="Change14" dataDxfId="2424"/>
    <tableColumn id="16" xr3:uid="{1CB917FE-8C88-4342-92DA-8B016542CFD2}" name="Change15" dataDxfId="2423"/>
    <tableColumn id="17" xr3:uid="{42105FB5-22CD-9342-866F-5BA47B717B37}" name="Change16" dataDxfId="2422"/>
    <tableColumn id="18" xr3:uid="{9FDA4AD2-5AA7-AC4E-BDB4-8AA2B4A4A42A}" name="Change17" dataDxfId="2421"/>
    <tableColumn id="19" xr3:uid="{6F1473B0-92BE-D749-A143-3A92C357032F}" name="Change18" dataDxfId="2420"/>
    <tableColumn id="20" xr3:uid="{25B55CEC-14E6-7E42-9FB8-CC16C431ABE7}" name="Change19" dataDxfId="2419"/>
    <tableColumn id="21" xr3:uid="{C59011F9-9453-234D-A348-16CE831E6078}" name="Change20" dataDxfId="2418">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17" dataDxfId="2416" tableBorderDxfId="2415" dataCellStyle="Comma">
  <autoFilter ref="AB703:AV797" xr:uid="{A5611BBA-DEBB-A742-816E-7FD6E0ADDC18}"/>
  <tableColumns count="21">
    <tableColumn id="1" xr3:uid="{9E345079-25ED-314A-BD31-D6BE104235D5}" name="Price_R_0" dataDxfId="2414" dataCellStyle="Comma"/>
    <tableColumn id="2" xr3:uid="{814A6345-1ED8-FE41-9109-8CD80D16593D}" name="Price_R_1" dataDxfId="2413" dataCellStyle="Comma"/>
    <tableColumn id="3" xr3:uid="{63A5BA5B-6637-7146-BCAB-AF0A6BD84542}" name="Price_R_2" dataDxfId="2412" dataCellStyle="Comma"/>
    <tableColumn id="4" xr3:uid="{C60CA0E4-422E-874F-B78B-A323C8C52AD9}" name="Price_R_3" dataDxfId="2411" dataCellStyle="Comma"/>
    <tableColumn id="5" xr3:uid="{7482E8DF-E6B5-9E41-8E12-A7E87DCC4331}" name="Price_R_4" dataDxfId="2410" dataCellStyle="Comma"/>
    <tableColumn id="6" xr3:uid="{D2D2A512-B5A8-7944-8FDD-4BCD959F2381}" name="Price_R_5" dataDxfId="2409" dataCellStyle="Comma"/>
    <tableColumn id="7" xr3:uid="{4F82805C-CC22-E74C-B851-5D6D0D84B7DC}" name="Price_R_6" dataDxfId="2408" dataCellStyle="Comma"/>
    <tableColumn id="8" xr3:uid="{BE4CDE83-DB86-9A48-85B9-E2A9B9E30C11}" name="Price_R_7" dataDxfId="2407" dataCellStyle="Comma"/>
    <tableColumn id="9" xr3:uid="{6C1BF96F-8EDB-6946-A2F3-C983E0C0C055}" name="Price_R_8" dataDxfId="2406" dataCellStyle="Comma"/>
    <tableColumn id="10" xr3:uid="{DA1EB53F-7FEE-8641-A52B-536EA3AB1DAC}" name="Price_R_9" dataDxfId="2405" dataCellStyle="Comma"/>
    <tableColumn id="11" xr3:uid="{A78F983A-0F51-D747-8420-29D3EA740487}" name="Price_R_10" dataDxfId="2404" dataCellStyle="Comma"/>
    <tableColumn id="12" xr3:uid="{6EE0B1E4-6446-F242-8E37-5BC854705E77}" name="Price_R_11" dataDxfId="2403" dataCellStyle="Comma"/>
    <tableColumn id="13" xr3:uid="{B85618C8-1B52-2A43-94AF-62D2CF27CAA3}" name="Price_R_12" dataDxfId="2402" dataCellStyle="Comma"/>
    <tableColumn id="14" xr3:uid="{6F404DC1-D1DD-7741-9D45-4928A4B19C45}" name="Price_R_13" dataDxfId="2401" dataCellStyle="Comma"/>
    <tableColumn id="15" xr3:uid="{B9BCB79E-3DF6-A845-AA0F-D76186F6F272}" name="Price_R_14" dataDxfId="2400" dataCellStyle="Comma"/>
    <tableColumn id="16" xr3:uid="{A3C7848D-67D3-FF45-8B42-6D9A6E4C865F}" name="Price_R_15" dataDxfId="2399" dataCellStyle="Comma"/>
    <tableColumn id="17" xr3:uid="{6385658D-D996-6E49-96D3-AC27BD18C68D}" name="Price_R_16" dataDxfId="2398" dataCellStyle="Comma"/>
    <tableColumn id="18" xr3:uid="{6755F4F7-AB0E-1140-BD86-0CEB49445E3C}" name="Price_R_17" dataDxfId="2397" dataCellStyle="Comma"/>
    <tableColumn id="19" xr3:uid="{5F2B6E7B-CF5C-004B-BBB8-34AC8C1B33C1}" name="Price_R_18" dataDxfId="2396" dataCellStyle="Comma"/>
    <tableColumn id="20" xr3:uid="{5BBB4D31-9AF3-3C40-A301-74F15E49AF4B}" name="Price_R_19" dataDxfId="2395" dataCellStyle="Comma"/>
    <tableColumn id="21" xr3:uid="{F53B7264-073C-B04C-AB0C-D9A23BDED3A3}" name="Price_R_20" dataDxfId="2394"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93" dataDxfId="2392" tableBorderDxfId="2391" dataCellStyle="Percent">
  <autoFilter ref="F703:Z797" xr:uid="{217639E3-C9A3-E441-ACF7-1F3F452949DB}"/>
  <tableColumns count="21">
    <tableColumn id="1" xr3:uid="{07F85B24-C0AB-654A-99EE-FF2231A0E5E9}" name="Change%0" dataDxfId="2390" totalsRowDxfId="2389" dataCellStyle="Percent"/>
    <tableColumn id="2" xr3:uid="{6277BEEF-ED87-8F44-856D-A182DAC7D192}" name="Change%1" dataDxfId="2388" totalsRowDxfId="2387" dataCellStyle="Percent"/>
    <tableColumn id="3" xr3:uid="{81173F8B-762A-6F48-A5CE-466659ED4610}" name="Change%2" dataDxfId="2386" totalsRowDxfId="2385" dataCellStyle="Percent"/>
    <tableColumn id="4" xr3:uid="{5FAB3EA3-5005-BF42-8BD0-60FA27AB26A0}" name="Change%3" dataDxfId="2384" totalsRowDxfId="2383" dataCellStyle="Percent"/>
    <tableColumn id="5" xr3:uid="{263B0787-0B05-754C-BD4B-2E271E2ECCC7}" name="Change%4" dataDxfId="2382" totalsRowDxfId="2381" dataCellStyle="Percent"/>
    <tableColumn id="6" xr3:uid="{30CF5F57-193D-0442-A594-4E8DE2F03ADB}" name="Change%5" dataDxfId="2380" totalsRowDxfId="2379" dataCellStyle="Percent"/>
    <tableColumn id="7" xr3:uid="{4B8BFE6B-2BED-4D42-AEC9-87DFA508274E}" name="Change%6" dataDxfId="2378" totalsRowDxfId="2377" dataCellStyle="Percent"/>
    <tableColumn id="8" xr3:uid="{07CEB146-02E3-E541-9100-0CB50F4E0739}" name="Change%7" dataDxfId="2376" totalsRowDxfId="2375" dataCellStyle="Percent"/>
    <tableColumn id="9" xr3:uid="{4CDDB7A4-680A-2340-B992-0DC78E17A997}" name="Change%8" dataDxfId="2374" totalsRowDxfId="2373" dataCellStyle="Percent"/>
    <tableColumn id="10" xr3:uid="{9AA5B541-EC12-DE45-B4D3-4EE2138C5D3C}" name="Change%9" dataDxfId="2372" totalsRowDxfId="2371" dataCellStyle="Percent"/>
    <tableColumn id="11" xr3:uid="{DA0F2F38-7866-354A-AF05-3F766DEF3C41}" name="Change%10" dataDxfId="2370" totalsRowDxfId="2369" dataCellStyle="Percent"/>
    <tableColumn id="12" xr3:uid="{ACEEC37C-251A-744A-A91C-58964EEB2458}" name="Change%11" dataDxfId="2368" totalsRowDxfId="2367" dataCellStyle="Percent"/>
    <tableColumn id="13" xr3:uid="{64EA9527-9991-AA4B-B95F-7836E1D6B699}" name="Change%12" dataDxfId="2366" totalsRowDxfId="2365" dataCellStyle="Percent"/>
    <tableColumn id="14" xr3:uid="{BF77A13F-B55D-E945-85FD-1B2DEE78796D}" name="Change%13" dataDxfId="2364" totalsRowDxfId="2363" dataCellStyle="Percent"/>
    <tableColumn id="15" xr3:uid="{37253EE7-EBB5-FB4C-AAD0-28CC218B6D0F}" name="Change%14" dataDxfId="2362" totalsRowDxfId="2361" dataCellStyle="Percent"/>
    <tableColumn id="16" xr3:uid="{67C0BADF-9353-854D-BCD6-DB9E43EE9E3E}" name="Change%15" dataDxfId="2360" totalsRowDxfId="2359" dataCellStyle="Percent"/>
    <tableColumn id="17" xr3:uid="{8C76684D-54C9-0441-8A71-E4B91154A635}" name="Change%16" dataDxfId="2358" totalsRowDxfId="2357" dataCellStyle="Percent"/>
    <tableColumn id="18" xr3:uid="{09F452FF-F0DF-F44D-8DCF-4990F34FA347}" name="Change%17" dataDxfId="2356" totalsRowDxfId="2355" dataCellStyle="Percent"/>
    <tableColumn id="19" xr3:uid="{0F279240-DB4F-A344-BDFA-918E88A0673B}" name="Change%18" dataDxfId="2354" totalsRowDxfId="2353" dataCellStyle="Percent"/>
    <tableColumn id="20" xr3:uid="{1D897499-2474-6042-AF31-D19B07F64D1C}" name="Change%19" dataDxfId="2352" totalsRowDxfId="2351" dataCellStyle="Percent"/>
    <tableColumn id="21" xr3:uid="{2E614D1E-AA18-8C46-95FC-92384A1FC5E5}" name="Change%20" dataDxfId="2350" totalsRowDxfId="2349"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48" dataDxfId="2347" tableBorderDxfId="2346" dataCellStyle="Comma">
  <autoFilter ref="AB803:AV897" xr:uid="{1DC97B12-567A-5F43-B215-F635C4FFAF56}"/>
  <tableColumns count="21">
    <tableColumn id="1" xr3:uid="{727EC8D5-2244-CA4D-B85E-1371B26803A7}" name="CH-R-0" dataDxfId="2345" dataCellStyle="Comma"/>
    <tableColumn id="2" xr3:uid="{1D4D9313-D8EA-EE45-834B-B8110298E57E}" name="CH-R-1" dataDxfId="2344" dataCellStyle="Comma"/>
    <tableColumn id="3" xr3:uid="{BFBBF7D3-3ACF-E04D-8ACF-5FC756167FF7}" name="CH-R-2" dataDxfId="2343" dataCellStyle="Comma"/>
    <tableColumn id="4" xr3:uid="{8AB840F2-736F-CA41-A42D-74A8241D8796}" name="CH-R-3" dataDxfId="2342" dataCellStyle="Comma"/>
    <tableColumn id="5" xr3:uid="{5D1E54CB-AE29-0144-B1FC-B3B15533987B}" name="CH-R-4" dataDxfId="2341" dataCellStyle="Comma"/>
    <tableColumn id="6" xr3:uid="{BA1BC152-62C6-244E-85BC-7E4C47ECE56F}" name="CH-R-5" dataDxfId="2340" dataCellStyle="Comma"/>
    <tableColumn id="7" xr3:uid="{0FB3DBC1-359D-0D4A-A6BD-6D34EB9BE4B5}" name="CH-R-6" dataDxfId="2339" dataCellStyle="Comma"/>
    <tableColumn id="8" xr3:uid="{C5DF6FC7-DD4A-6B48-936C-A6C0052CA0E2}" name="CH-R-7" dataDxfId="2338" dataCellStyle="Comma"/>
    <tableColumn id="9" xr3:uid="{294D38E4-945E-E243-AF30-979EE13B6E0E}" name="CH-R-8" dataDxfId="2337" dataCellStyle="Comma"/>
    <tableColumn id="10" xr3:uid="{1003CB93-FC9A-3047-A4AD-4014B5E1BDB1}" name="CH-R-9" dataDxfId="2336" dataCellStyle="Comma"/>
    <tableColumn id="11" xr3:uid="{59E8ED13-A37B-A548-9E5F-0C631205C7A6}" name="CH-R-10" dataDxfId="2335" dataCellStyle="Comma"/>
    <tableColumn id="12" xr3:uid="{F8B58B23-BC44-2C4F-94DD-52848147470C}" name="CH-R-11" dataDxfId="2334" dataCellStyle="Comma"/>
    <tableColumn id="13" xr3:uid="{6587F87F-94FF-3948-A1ED-50697B285DD9}" name="CH-R-12" dataDxfId="2333" dataCellStyle="Comma"/>
    <tableColumn id="14" xr3:uid="{5F72F02E-D1EB-0A48-AC14-631092D2AB8F}" name="CH-R-13" dataDxfId="2332" dataCellStyle="Comma"/>
    <tableColumn id="15" xr3:uid="{40CDB037-F34C-2C46-A44D-4EEB99A4F48A}" name="CH-R-14" dataDxfId="2331" dataCellStyle="Comma"/>
    <tableColumn id="16" xr3:uid="{36A7D946-56B9-424A-AC3F-16C20613B32D}" name="CH-R-15" dataDxfId="2330" dataCellStyle="Comma"/>
    <tableColumn id="17" xr3:uid="{98778DB8-B67D-2440-B38A-5470013D7E4A}" name="CH-R-16" dataDxfId="2329" dataCellStyle="Comma"/>
    <tableColumn id="18" xr3:uid="{4B26C77F-CDA1-384A-A838-99098596B1CA}" name="CH-R-17" dataDxfId="2328" dataCellStyle="Comma"/>
    <tableColumn id="19" xr3:uid="{D80360C1-FD36-B649-BA53-444CF7B6B399}" name="CH-R-18" dataDxfId="2327" dataCellStyle="Comma"/>
    <tableColumn id="20" xr3:uid="{70AEF62D-042F-584F-A3F6-7A20A448F2FA}" name="CH-R-19" dataDxfId="2326" dataCellStyle="Comma"/>
    <tableColumn id="21" xr3:uid="{0399200B-8517-864B-BB3B-55D173BBA511}" name="CH-R-20" dataDxfId="2325"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24" dataDxfId="2323" tableBorderDxfId="2322">
  <autoFilter ref="F803:Z896" xr:uid="{DE443FDB-A09F-D546-9DCC-6F79C8591A3A}"/>
  <tableColumns count="21">
    <tableColumn id="1" xr3:uid="{66DF501E-0E04-284D-AE56-250C1181933A}" name="LOW520" dataDxfId="2321"/>
    <tableColumn id="2" xr3:uid="{51019CAA-7B7B-8843-BBCF-5E5CF4955750}" name="LOW521" dataDxfId="2320"/>
    <tableColumn id="3" xr3:uid="{2F991A5F-695C-964A-B29C-4DD5E41602D3}" name="LOW522" dataDxfId="2319"/>
    <tableColumn id="4" xr3:uid="{AB3D5084-566B-2B4F-9C79-27669957BB9F}" name="LOW523" dataDxfId="2318"/>
    <tableColumn id="5" xr3:uid="{6C53359E-20BC-C146-9D57-DC52E93E1D0E}" name="LOW524" dataDxfId="2317"/>
    <tableColumn id="6" xr3:uid="{70979044-9A70-5441-A295-C2836D7D4EED}" name="LOW525" dataDxfId="2316"/>
    <tableColumn id="7" xr3:uid="{80D3193C-0073-D342-AB91-282BC9934C5D}" name="LOW526" dataDxfId="2315"/>
    <tableColumn id="8" xr3:uid="{1F04BB25-949C-A647-B2F5-3D7AAD3EE4C5}" name="LOW527" dataDxfId="2314"/>
    <tableColumn id="9" xr3:uid="{9BA5549A-8A81-D144-8C7C-F545ADD31E5A}" name="LOW528" dataDxfId="2313"/>
    <tableColumn id="10" xr3:uid="{8500AE99-78F5-2544-959C-444C1B16D49C}" name="LOW529" dataDxfId="2312"/>
    <tableColumn id="11" xr3:uid="{3DB600FC-DD7E-DA49-BBB5-1B3A8D390CA1}" name="LOW530" dataDxfId="2311"/>
    <tableColumn id="12" xr3:uid="{B776E02F-5049-7C41-9287-FC66BD83FD7C}" name="LOW531" dataDxfId="2310"/>
    <tableColumn id="13" xr3:uid="{2A31C167-B981-AA42-AD62-98EB96BEFE66}" name="LOW532" dataDxfId="2309"/>
    <tableColumn id="14" xr3:uid="{D9B09FFF-8924-C041-A13C-2CF52F057E93}" name="LOW533" dataDxfId="2308"/>
    <tableColumn id="15" xr3:uid="{C89D40B5-88F9-7F40-9C11-C00C2540EF0B}" name="LOW534" dataDxfId="2307"/>
    <tableColumn id="16" xr3:uid="{5B579388-FC67-8E4A-91A7-9373EE02FD6D}" name="LOW535" dataDxfId="2306"/>
    <tableColumn id="17" xr3:uid="{BA4BE745-0FD6-B44F-B87F-E6D03EF83F74}" name="LOW536" dataDxfId="2305"/>
    <tableColumn id="18" xr3:uid="{4F99BD31-6BBB-4C4E-AF0E-C5201824FB40}" name="LOW537" dataDxfId="2304"/>
    <tableColumn id="19" xr3:uid="{027111A8-F0C3-2E49-B4C8-66CA04669A75}" name="LOW538" dataDxfId="2303"/>
    <tableColumn id="20" xr3:uid="{898C76AA-1E86-5248-9312-D2A982DF2BC1}" name="LOW539" dataDxfId="2302"/>
    <tableColumn id="21" xr3:uid="{4ED07DB6-2955-E747-8AD4-966FA8287E02}" name="LOW540" dataDxfId="2301">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00" dataDxfId="2299" tableBorderDxfId="2298">
  <autoFilter ref="F902:Z996" xr:uid="{A1989BE9-E4C8-204A-8EC4-E515463D6985}"/>
  <tableColumns count="21">
    <tableColumn id="1" xr3:uid="{CCDAF27B-3366-AB41-9C05-67D8AB44D4C7}" name="HIGH520" dataDxfId="2297" dataCellStyle="Comma"/>
    <tableColumn id="2" xr3:uid="{66800E83-F458-F641-A4A6-8E929A7BC7C5}" name="HIGH521" dataDxfId="2296"/>
    <tableColumn id="3" xr3:uid="{50281050-1392-2349-A75F-437D63C0923A}" name="HIGH522" dataDxfId="2295"/>
    <tableColumn id="4" xr3:uid="{02987E0E-C4C8-F64F-A903-54444C25D7A5}" name="HIGH523" dataDxfId="2294"/>
    <tableColumn id="5" xr3:uid="{1C8321CF-3789-B942-8086-84D8FC5EF89B}" name="HIGH524" dataDxfId="2293"/>
    <tableColumn id="6" xr3:uid="{8EF5F9E0-0987-2244-862B-B4A06B974900}" name="HIGH525" dataDxfId="2292"/>
    <tableColumn id="7" xr3:uid="{74B46C00-40B4-3A45-8BC9-0EC98E687645}" name="HIGH526" dataDxfId="2291"/>
    <tableColumn id="8" xr3:uid="{13302214-C76A-9E43-852A-951084F77FEA}" name="HIGH527" dataDxfId="2290"/>
    <tableColumn id="9" xr3:uid="{36EAB480-A1A3-084D-BFBC-05E7EE00265E}" name="HIGH528" dataDxfId="2289"/>
    <tableColumn id="10" xr3:uid="{F3503877-08D5-6948-B0C1-AC821D9C45C5}" name="HIGH529" dataDxfId="2288"/>
    <tableColumn id="11" xr3:uid="{32C868C5-378D-FF40-812E-1D62D5C262B5}" name="HIGH530" dataDxfId="2287"/>
    <tableColumn id="12" xr3:uid="{974976C8-811B-B542-9ACC-A07556104D5D}" name="HIGH531" dataDxfId="2286"/>
    <tableColumn id="13" xr3:uid="{8EFA0DD6-DC2A-FB4D-BFF3-7DD01DC6CD24}" name="HIGH532" dataDxfId="2285"/>
    <tableColumn id="14" xr3:uid="{A6F85B1E-9147-4F47-A979-FBAEA4A15F17}" name="HIGH533" dataDxfId="2284"/>
    <tableColumn id="15" xr3:uid="{F3D09233-8B42-B448-BF0C-B6AB160E9B03}" name="HIGH534" dataDxfId="2283"/>
    <tableColumn id="16" xr3:uid="{FEB17489-56E2-BF43-A14A-29AF2FB81F6F}" name="HIGH535" dataDxfId="2282"/>
    <tableColumn id="17" xr3:uid="{B41E1FB1-F71C-2348-8B12-860AF115417C}" name="HIGH536" dataDxfId="2281"/>
    <tableColumn id="18" xr3:uid="{C1BB1E6B-5675-A346-A11C-A87C031AD1A5}" name="HIGH537" dataDxfId="2280"/>
    <tableColumn id="19" xr3:uid="{86E6ADFF-340C-9146-9B5E-4E9C76C88F59}" name="HIGH538" dataDxfId="2279"/>
    <tableColumn id="20" xr3:uid="{EFB55E1D-EB5D-FD4F-ABE5-FB8031ED630E}" name="HIGH539" dataDxfId="2278"/>
    <tableColumn id="21" xr3:uid="{5617BEFC-D126-7146-A1A8-E3206935A4F5}" name="HIGH540" dataDxfId="2277">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76" dataDxfId="2275" tableBorderDxfId="2274">
  <autoFilter ref="F1001:Z1095" xr:uid="{8DAF20EC-FF35-DE4F-9098-7E9343F0641B}"/>
  <tableColumns count="21">
    <tableColumn id="1" xr3:uid="{B3E72227-C152-6545-AAB1-0674C78DD4CA}" name="Volume0" dataDxfId="2273"/>
    <tableColumn id="2" xr3:uid="{44BDEDA8-E930-DC4B-82C0-675E1102E708}" name="Volume1" dataDxfId="2272"/>
    <tableColumn id="3" xr3:uid="{2B2A1DCE-B9EC-3F43-BD26-58D797066ACD}" name="Volume2" dataDxfId="2271"/>
    <tableColumn id="4" xr3:uid="{DFE41D08-A256-C94D-B744-ECF9E816875C}" name="Volume3" dataDxfId="2270"/>
    <tableColumn id="5" xr3:uid="{C0DF0F2F-58F0-714A-9FF4-A8682A1F3C0B}" name="Volume4" dataDxfId="2269"/>
    <tableColumn id="6" xr3:uid="{6173CC3E-D986-EC43-984F-D946E06D5B94}" name="Volume5" dataDxfId="2268"/>
    <tableColumn id="7" xr3:uid="{114AAB9D-4B2B-A647-9313-BCBA903A3513}" name="Volume6" dataDxfId="2267"/>
    <tableColumn id="8" xr3:uid="{53EFA4DE-9A07-FE47-A251-BB8D255E4EB8}" name="Volume7" dataDxfId="2266"/>
    <tableColumn id="9" xr3:uid="{18C94A55-2F25-084A-9640-943067E91284}" name="Volume8" dataDxfId="2265"/>
    <tableColumn id="10" xr3:uid="{836BAD23-7619-4645-8764-EB77B1427659}" name="Volume9" dataDxfId="2264"/>
    <tableColumn id="11" xr3:uid="{E4A6B4E0-74F0-8D4B-96CF-D56C7DD8F08A}" name="Volume10" dataDxfId="2263"/>
    <tableColumn id="12" xr3:uid="{C1A9A2E3-93CC-3041-9EC2-31623DCABB6C}" name="Volume11" dataDxfId="2262"/>
    <tableColumn id="13" xr3:uid="{E0142E08-C564-E443-9FC7-0607E2316E25}" name="Volume12" dataDxfId="2261"/>
    <tableColumn id="14" xr3:uid="{8D53300E-D5DB-7B42-8845-1B0A2E494262}" name="Volume13" dataDxfId="2260"/>
    <tableColumn id="15" xr3:uid="{9DFECEBD-3B06-3E43-AF7E-8644958914AE}" name="Volume14" dataDxfId="2259"/>
    <tableColumn id="16" xr3:uid="{DC69221A-F447-8A42-A5D4-462EE430A9BC}" name="Volume15" dataDxfId="2258"/>
    <tableColumn id="17" xr3:uid="{86A2E9AF-0E5A-0F4A-B409-7F6E53DA4CCF}" name="Volume16" dataDxfId="2257"/>
    <tableColumn id="18" xr3:uid="{746B717B-21BA-4346-96B2-7048F7EA0275}" name="Volume17" dataDxfId="2256"/>
    <tableColumn id="19" xr3:uid="{F6963C48-F97C-6D47-BE9D-5BB0B53684CD}" name="Volume18" dataDxfId="2255"/>
    <tableColumn id="20" xr3:uid="{B44B7DF5-2539-D747-8014-370786A69140}" name="Volume19" dataDxfId="2254"/>
    <tableColumn id="21" xr3:uid="{CD202E5D-BEC6-DC45-83A1-369B18AD153F}" name="Volume20" dataDxfId="2253">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52" dataDxfId="2251" tableBorderDxfId="2250" dataCellStyle="Comma">
  <autoFilter ref="F1100:Z1194" xr:uid="{3EE0B227-8581-DE42-9CB7-10D8CA661FF2}"/>
  <tableColumns count="21">
    <tableColumn id="1" xr3:uid="{C85E8DCA-5245-5048-8F18-181D1CC88078}" name="VolumeAV0" dataDxfId="2249" dataCellStyle="Comma"/>
    <tableColumn id="2" xr3:uid="{552BBB2F-D8F3-9E4F-8187-798F57E91491}" name="VolumeAV1" dataDxfId="2248" dataCellStyle="Comma"/>
    <tableColumn id="3" xr3:uid="{E206F8A1-0B59-7A4C-84A7-52F3D3E42580}" name="VolumeAV2" dataDxfId="2247" dataCellStyle="Comma"/>
    <tableColumn id="4" xr3:uid="{7A6E365D-A83C-BF4C-B6FB-F9815FE99ED7}" name="VolumeAV3" dataDxfId="2246" dataCellStyle="Comma"/>
    <tableColumn id="5" xr3:uid="{AA8BBD46-ADC4-DF45-B244-3F7AAE4826E9}" name="VolumeAV4" dataDxfId="2245" dataCellStyle="Comma"/>
    <tableColumn id="6" xr3:uid="{F877F64B-6397-4642-B5BD-0B3AD6FF5DB0}" name="VolumeAV5" dataDxfId="2244" dataCellStyle="Comma"/>
    <tableColumn id="7" xr3:uid="{55A6F6E2-CA7E-3044-8359-1172E697A40B}" name="VolumeAV6" dataDxfId="2243" dataCellStyle="Comma"/>
    <tableColumn id="8" xr3:uid="{CDA1A456-FD81-0E41-9FC9-B01A1A75506A}" name="VolumeAV7" dataDxfId="2242" dataCellStyle="Comma"/>
    <tableColumn id="9" xr3:uid="{F9EA7004-940F-4E42-9E05-45ACC60D31E3}" name="VolumeAV8" dataDxfId="2241" dataCellStyle="Comma"/>
    <tableColumn id="10" xr3:uid="{32FCDE73-4126-D643-A9EA-46C7A1AB5C2C}" name="VolumeAV9" dataDxfId="2240" dataCellStyle="Comma"/>
    <tableColumn id="11" xr3:uid="{7439CF2B-B03F-B349-A5AD-03A86DA63C60}" name="VolumeAV10" dataDxfId="2239" dataCellStyle="Comma"/>
    <tableColumn id="12" xr3:uid="{C0B9B680-5103-AE4E-ABA5-DC0D3B8256CD}" name="VolumeAV11" dataDxfId="2238" dataCellStyle="Comma"/>
    <tableColumn id="13" xr3:uid="{23A5D386-C520-0B4B-BF4E-FAAA66D794D4}" name="VolumeAV12" dataDxfId="2237" dataCellStyle="Comma"/>
    <tableColumn id="14" xr3:uid="{98A613A1-A0C8-CE4A-BD85-8FE3FB18160D}" name="VolumeAV13" dataDxfId="2236" dataCellStyle="Comma"/>
    <tableColumn id="15" xr3:uid="{A7A58C4F-A83C-2D4A-B754-9B307634A5A4}" name="VolumeAV14" dataDxfId="2235" dataCellStyle="Comma"/>
    <tableColumn id="16" xr3:uid="{F8BBBBA1-2662-2841-82D7-65FA8FA94BC2}" name="VolumeAV15" dataDxfId="2234" dataCellStyle="Comma"/>
    <tableColumn id="17" xr3:uid="{1E3A524D-09C1-1547-98DB-667D506C3291}" name="VolumeAV16" dataDxfId="2233" dataCellStyle="Comma"/>
    <tableColumn id="18" xr3:uid="{75328263-19F5-9E41-A079-EA70EAB2BD37}" name="VolumeAV17" dataDxfId="2232" dataCellStyle="Comma"/>
    <tableColumn id="19" xr3:uid="{7429A8D8-0A57-E74F-9269-8E54044F49AB}" name="VolumeAV18" dataDxfId="2231" dataCellStyle="Comma"/>
    <tableColumn id="20" xr3:uid="{575D40F2-3F48-1D4D-9813-1574FF33990B}" name="VolumeAV19" dataDxfId="2230" dataCellStyle="Comma"/>
    <tableColumn id="21" xr3:uid="{E4DCEDCE-1D73-E54B-8746-C7B82073AA57}" name="VolumeAV20" dataDxfId="2229"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28" dataDxfId="2227" tableBorderDxfId="2226">
  <autoFilter ref="F1199:Z1293" xr:uid="{071FD0FF-AECC-C844-91B0-2D3814BAA800}"/>
  <tableColumns count="21">
    <tableColumn id="1" xr3:uid="{3E6BCBC8-17C5-D544-8397-29CB96C09FB0}" name="BETA0" dataDxfId="2225"/>
    <tableColumn id="2" xr3:uid="{EA9DF148-0896-0241-9853-BCCF84E573C7}" name="BETA1" dataDxfId="2224"/>
    <tableColumn id="3" xr3:uid="{305CE689-D655-3047-8897-0CB222FC9C97}" name="BETA2" dataDxfId="2223"/>
    <tableColumn id="4" xr3:uid="{B642F9B5-64FD-F541-A471-56F96D4838D5}" name="BETA3" dataDxfId="2222"/>
    <tableColumn id="5" xr3:uid="{7D408C4F-A6DA-7744-90B5-58BED4DCA387}" name="BETA4" dataDxfId="2221"/>
    <tableColumn id="6" xr3:uid="{1C388ED8-51FC-FC4B-8218-215A76F7FE67}" name="BETA5" dataDxfId="2220"/>
    <tableColumn id="7" xr3:uid="{E7CDFCD7-DA4D-2449-AF1E-C02968632992}" name="BETA6" dataDxfId="2219"/>
    <tableColumn id="8" xr3:uid="{85FC13AF-AA4A-F542-9735-2441281158E1}" name="BETA7" dataDxfId="2218"/>
    <tableColumn id="9" xr3:uid="{99F619D1-DC28-C640-9EA1-3B3528D0F909}" name="BETA8" dataDxfId="2217"/>
    <tableColumn id="10" xr3:uid="{8EF98610-5953-1744-9F07-FCBA4B8DAD80}" name="BETA9" dataDxfId="2216"/>
    <tableColumn id="11" xr3:uid="{48405BC4-9142-8448-A3A7-0E5B30515726}" name="BETA10" dataDxfId="2215"/>
    <tableColumn id="12" xr3:uid="{4B254EFA-F69B-CD48-95A7-E3DD170FDAF6}" name="BETA11" dataDxfId="2214"/>
    <tableColumn id="13" xr3:uid="{F4BD7B80-FE62-584F-87F5-9610991B2DF9}" name="BETA12" dataDxfId="2213"/>
    <tableColumn id="14" xr3:uid="{997D1600-D275-2448-9059-48C623B70DBD}" name="BETA13" dataDxfId="2212"/>
    <tableColumn id="15" xr3:uid="{7FB75DCB-5880-334F-A05B-5C68FD891D9C}" name="BETA14" dataDxfId="2211"/>
    <tableColumn id="16" xr3:uid="{29D4352B-3770-A444-8C39-24FF6DCF527D}" name="BETA15" dataDxfId="2210"/>
    <tableColumn id="17" xr3:uid="{CC6C6D3F-4D9E-FB4E-870B-9E37C67A1E94}" name="BETA16" dataDxfId="2209"/>
    <tableColumn id="18" xr3:uid="{B6C6B591-4B12-5B48-B6EE-A7BF688195FF}" name="BETA17" dataDxfId="2208"/>
    <tableColumn id="19" xr3:uid="{91C40A07-D511-6C45-9282-58D43AF5D020}" name="BETA18" dataDxfId="2207"/>
    <tableColumn id="20" xr3:uid="{4980A1EB-51EE-2C4F-B65C-97ED9A3D26B5}" name="BETA19" dataDxfId="2206"/>
    <tableColumn id="21" xr3:uid="{C4D8FCC4-CF6E-EF4C-8612-A56614867063}" name="BETA20" dataDxfId="2205">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04" dataDxfId="2203" tableBorderDxfId="2202" dataCellStyle="Comma">
  <autoFilter ref="AB902:AV996" xr:uid="{6B77735E-46E6-7545-A642-770D818A2D75}"/>
  <tableColumns count="21">
    <tableColumn id="1" xr3:uid="{78A7C6E8-2822-4343-B8B3-B58D5A5C861C}" name="RSI0" dataDxfId="2201" dataCellStyle="Comma"/>
    <tableColumn id="2" xr3:uid="{E98CCE09-2573-4E47-ACFE-022664B84B4C}" name="RSI1" dataDxfId="2200" dataCellStyle="Comma"/>
    <tableColumn id="3" xr3:uid="{ACFE02A1-D8BD-EB4A-B834-5B28E9ACC18D}" name="RSI2" dataDxfId="2199" dataCellStyle="Comma"/>
    <tableColumn id="4" xr3:uid="{B6282100-5411-B14D-A9C9-B2CAC437FBB9}" name="RSI3" dataDxfId="2198" dataCellStyle="Comma"/>
    <tableColumn id="5" xr3:uid="{7A8EE7B4-22B4-404D-B15A-BC6B8B952E38}" name="RSI4" dataDxfId="2197" dataCellStyle="Comma"/>
    <tableColumn id="6" xr3:uid="{2989F0E1-E812-514F-95E6-26AA98E62E04}" name="RSI5" dataDxfId="2196" dataCellStyle="Comma"/>
    <tableColumn id="7" xr3:uid="{A8D8FA8D-9763-1640-AB49-A2CC0DF27AD9}" name="RSI6" dataDxfId="2195" dataCellStyle="Comma"/>
    <tableColumn id="8" xr3:uid="{2383B8DB-8E34-2045-80E5-BFC5F537D306}" name="RSI7" dataDxfId="2194" dataCellStyle="Comma"/>
    <tableColumn id="9" xr3:uid="{BEE36186-0446-AA4E-A48D-58473919680F}" name="RSI8" dataDxfId="2193" dataCellStyle="Comma"/>
    <tableColumn id="10" xr3:uid="{3056AA09-B75A-3F47-BA0C-4BC0730AA9A2}" name="RSI9" dataDxfId="2192" dataCellStyle="Comma"/>
    <tableColumn id="11" xr3:uid="{88D58233-4FE5-6D43-8260-B992739672EC}" name="RSI10" dataDxfId="2191" dataCellStyle="Comma"/>
    <tableColumn id="12" xr3:uid="{D08F0A16-307A-CB4E-B109-169320FBD1E9}" name="RSI11" dataDxfId="2190" dataCellStyle="Comma"/>
    <tableColumn id="13" xr3:uid="{5675D356-6E8F-7140-84E2-2760931C0061}" name="RSI12" dataDxfId="2189" dataCellStyle="Comma"/>
    <tableColumn id="14" xr3:uid="{56E1F75D-E50B-6941-9C85-C8456F3A502D}" name="RSI13" dataDxfId="2188" dataCellStyle="Comma"/>
    <tableColumn id="15" xr3:uid="{0EB5233D-4800-3B48-8C4D-83F182791517}" name="RSI14" dataDxfId="2187" dataCellStyle="Comma"/>
    <tableColumn id="16" xr3:uid="{F1DA6FAA-219D-DB40-888E-4B8355632C3E}" name="RSI15" dataDxfId="2186" dataCellStyle="Comma"/>
    <tableColumn id="17" xr3:uid="{87038607-300B-9A4E-8AB1-32360C0BCED1}" name="RSI16" dataDxfId="2185" dataCellStyle="Comma"/>
    <tableColumn id="18" xr3:uid="{216E4659-AF11-2749-A023-E9DBCA3D3FA2}" name="RSI17" dataDxfId="2184" dataCellStyle="Comma"/>
    <tableColumn id="19" xr3:uid="{3369DE30-2A5A-4049-8BC3-16DCF75D83FE}" name="RSI18" dataDxfId="2183" dataCellStyle="Comma"/>
    <tableColumn id="20" xr3:uid="{48350DE2-6BE5-1345-84B2-782B10F06A03}" name="RSI19" dataDxfId="2182" dataCellStyle="Comma"/>
    <tableColumn id="21" xr3:uid="{48474E5F-00E7-A24D-9184-B6F5A16251A0}" name="RSI20" dataDxfId="2181"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80" dataDxfId="2179" tableBorderDxfId="2178" dataCellStyle="Comma">
  <autoFilter ref="AB1001:AV1095" xr:uid="{55876AF5-DDC5-0C46-8253-9CE2A2026D21}"/>
  <tableColumns count="21">
    <tableColumn id="1" xr3:uid="{7881D38C-EE57-AD43-9C51-A2D36B2DD1C0}" name="RSIConv0" dataDxfId="2177" dataCellStyle="Comma"/>
    <tableColumn id="2" xr3:uid="{273702F5-9D3C-9F4A-80D0-0DCDBB3DCD59}" name="RSIConv1" dataDxfId="2176" dataCellStyle="Comma"/>
    <tableColumn id="3" xr3:uid="{83DCA11F-CA44-8848-8B85-F0B2E37C4F0C}" name="RSIConv2" dataDxfId="2175" dataCellStyle="Comma"/>
    <tableColumn id="4" xr3:uid="{55C21B30-B418-0D45-AD39-1565CF1997A1}" name="RSIConv3" dataDxfId="2174" dataCellStyle="Comma"/>
    <tableColumn id="5" xr3:uid="{BB9B84B0-BCEB-794C-8FF2-D58E69348C06}" name="RSIConv4" dataDxfId="2173" dataCellStyle="Comma"/>
    <tableColumn id="6" xr3:uid="{097186E5-7C8A-3F41-B35A-49384289CD0F}" name="RSIConv5" dataDxfId="2172" dataCellStyle="Comma"/>
    <tableColumn id="7" xr3:uid="{CC05FA3D-FFB7-BE47-99D3-2646C96C0CBF}" name="RSIConv6" dataDxfId="2171" dataCellStyle="Comma"/>
    <tableColumn id="8" xr3:uid="{CB2150CC-BF4D-D345-A7AA-4181448136A7}" name="RSIConv7" dataDxfId="2170" dataCellStyle="Comma"/>
    <tableColumn id="9" xr3:uid="{72A1979C-0FD2-9F4E-AFE5-CBD747F6B4AA}" name="RSIConv8" dataDxfId="2169" dataCellStyle="Comma"/>
    <tableColumn id="10" xr3:uid="{D515DCE0-17C5-8E42-BAD4-109A2A5298F0}" name="RSIConv9" dataDxfId="2168" dataCellStyle="Comma"/>
    <tableColumn id="11" xr3:uid="{F44C4C40-F6CC-1941-9573-4BA0D73A8D58}" name="RSIConv10" dataDxfId="2167" dataCellStyle="Comma"/>
    <tableColumn id="12" xr3:uid="{4DE80765-1FE2-A649-B6F3-0C2B4518761C}" name="RSIConv11" dataDxfId="2166" dataCellStyle="Comma"/>
    <tableColumn id="13" xr3:uid="{8544D363-8B56-7C43-95EE-FFDB1DEA969C}" name="RSIConv12" dataDxfId="2165" dataCellStyle="Comma"/>
    <tableColumn id="14" xr3:uid="{D60B5757-70FA-A245-9445-8A97AB6A0396}" name="RSIConv13" dataDxfId="2164" dataCellStyle="Comma"/>
    <tableColumn id="15" xr3:uid="{B4235226-F5D9-DD46-910F-103FE2B1C3B9}" name="RSIConv14" dataDxfId="2163" dataCellStyle="Comma"/>
    <tableColumn id="16" xr3:uid="{05479B02-8B5D-8441-B9F1-DB51C7A70F30}" name="RSIConv15" dataDxfId="2162" dataCellStyle="Comma"/>
    <tableColumn id="17" xr3:uid="{2C4FA0F3-DB10-274D-8CF3-2AE6D06CE419}" name="RSIConv16" dataDxfId="2161" dataCellStyle="Comma"/>
    <tableColumn id="18" xr3:uid="{58D242FC-0690-DD47-B0BA-60ED63154F95}" name="RSIConv17" dataDxfId="2160" dataCellStyle="Comma"/>
    <tableColumn id="19" xr3:uid="{65EAB3BB-4FC4-6448-B97E-F13E83B68528}" name="RSIConv18" dataDxfId="2159" dataCellStyle="Comma"/>
    <tableColumn id="20" xr3:uid="{E85541A1-4E16-B549-87E0-867D3FA7AB11}" name="RSIConv19" dataDxfId="2158" dataCellStyle="Comma"/>
    <tableColumn id="21" xr3:uid="{62EE7DD4-57B6-1B4B-BB14-920C26DA151F}" name="RSIConv20" dataDxfId="2157"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56" dataDxfId="2155" tableBorderDxfId="2154" dataCellStyle="Comma">
  <autoFilter ref="AB1100:AV1194" xr:uid="{A6858140-8021-514E-B3E1-C7BF94FA0033}"/>
  <tableColumns count="21">
    <tableColumn id="1" xr3:uid="{E298D0BD-45AF-4148-9BAD-429094EF8271}" name="Cash0" dataDxfId="2153" dataCellStyle="Comma"/>
    <tableColumn id="2" xr3:uid="{86547C8D-C915-714E-9477-0F23E52B00F6}" name="Cash1" dataDxfId="2152" dataCellStyle="Comma"/>
    <tableColumn id="3" xr3:uid="{36D62499-6FBB-044B-ABE4-67E8EC92B406}" name="Cash2" dataDxfId="2151" dataCellStyle="Comma"/>
    <tableColumn id="4" xr3:uid="{95CBFF96-C40A-394B-871E-117B86F71A75}" name="Cash3" dataDxfId="2150" dataCellStyle="Comma"/>
    <tableColumn id="5" xr3:uid="{40B0C993-D356-544E-8F72-B25CD1561DB9}" name="Cash4" dataDxfId="2149" dataCellStyle="Comma"/>
    <tableColumn id="6" xr3:uid="{16105271-212F-7F47-BCE1-3C465279D64E}" name="Cash5" dataDxfId="2148" dataCellStyle="Comma"/>
    <tableColumn id="7" xr3:uid="{9B523121-22D5-7D4C-9773-B20E7E733C34}" name="Cash6" dataDxfId="2147" dataCellStyle="Comma"/>
    <tableColumn id="8" xr3:uid="{99749C28-89C2-3D49-97C2-E4C4640DF6DA}" name="Cash7" dataDxfId="2146" dataCellStyle="Comma"/>
    <tableColumn id="9" xr3:uid="{5111F612-3907-904E-986D-8892DD33995C}" name="Cash8" dataDxfId="2145" dataCellStyle="Comma"/>
    <tableColumn id="10" xr3:uid="{E08E9B9D-14BA-5440-95B0-D4AFDB52F61F}" name="Cash9" dataDxfId="2144" dataCellStyle="Comma"/>
    <tableColumn id="11" xr3:uid="{D271A389-E25F-104D-9413-0FD54B41EEAE}" name="Cash10" dataDxfId="2143" dataCellStyle="Comma"/>
    <tableColumn id="12" xr3:uid="{3B4A241E-9074-734F-915D-7726D458DCAF}" name="Cash11" dataDxfId="2142" dataCellStyle="Comma"/>
    <tableColumn id="13" xr3:uid="{E8D8F957-8CFE-914E-B859-B221C47E58B2}" name="Cash12" dataDxfId="2141" dataCellStyle="Comma"/>
    <tableColumn id="14" xr3:uid="{113831A1-CC99-3B42-B8F5-AFEB1DC22D33}" name="Cash13" dataDxfId="2140" dataCellStyle="Comma"/>
    <tableColumn id="15" xr3:uid="{0E765A96-5FE3-4C4B-82B8-8B3F51B4536C}" name="Cash14" dataDxfId="2139" dataCellStyle="Comma"/>
    <tableColumn id="16" xr3:uid="{F2C78A88-D1BC-014E-8114-18527AC2CB5B}" name="Cash15" dataDxfId="2138" dataCellStyle="Comma"/>
    <tableColumn id="17" xr3:uid="{D2964560-F4EE-6344-A6DE-47921DE660C0}" name="Cash16" dataDxfId="2137" dataCellStyle="Comma"/>
    <tableColumn id="18" xr3:uid="{4FD8EDF7-D5A7-1440-B477-3FF6B70BEDD0}" name="Cash17" dataDxfId="2136" dataCellStyle="Comma"/>
    <tableColumn id="19" xr3:uid="{3649DE1E-D435-714F-BB19-EF3402C6AF22}" name="Cash18" dataDxfId="2135" dataCellStyle="Comma"/>
    <tableColumn id="20" xr3:uid="{701D1C02-DFD0-784A-9F28-745E11161D7E}" name="Cash19" dataDxfId="2134" dataCellStyle="Comma"/>
    <tableColumn id="21" xr3:uid="{0C684961-AF54-3648-8593-3FE8563E6C51}" name="Cash20" dataDxfId="2133"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32" dataDxfId="2131" tableBorderDxfId="2130" dataCellStyle="Comma">
  <autoFilter ref="AB1199:AV1293" xr:uid="{0A5A3FC2-1860-534B-8DD0-10BDA217BDFE}"/>
  <tableColumns count="21">
    <tableColumn id="1" xr3:uid="{B7BE4C83-4F89-A148-9BFD-EF937D226141}" name="RevSale0" dataDxfId="2129" dataCellStyle="Comma"/>
    <tableColumn id="2" xr3:uid="{D9B00968-AB75-D341-95A0-B5E0538F519B}" name="RevSale1" dataDxfId="2128" dataCellStyle="Comma"/>
    <tableColumn id="3" xr3:uid="{848EC437-A5F6-CD42-94EE-ADC9AE69EB25}" name="RevSale2" dataDxfId="2127" dataCellStyle="Comma"/>
    <tableColumn id="4" xr3:uid="{1B494BF3-2E0F-8F4A-9955-142385E1F8BD}" name="RevSale3" dataDxfId="2126" dataCellStyle="Comma"/>
    <tableColumn id="5" xr3:uid="{48A95940-B649-F245-BDFB-40FD49B4EEA9}" name="RevSale4" dataDxfId="2125" dataCellStyle="Comma"/>
    <tableColumn id="6" xr3:uid="{F29C926F-5AD5-DB46-A4C8-38488FC88563}" name="RevSale5" dataDxfId="2124" dataCellStyle="Comma"/>
    <tableColumn id="7" xr3:uid="{40881A88-B6CC-1748-AE84-DBBF15CDD664}" name="RevSale6" dataDxfId="2123" dataCellStyle="Comma"/>
    <tableColumn id="8" xr3:uid="{06780BEA-27AA-E74D-A331-9525B9D24152}" name="RevSale7" dataDxfId="2122" dataCellStyle="Comma"/>
    <tableColumn id="9" xr3:uid="{0900939F-F515-6C46-888D-909EDE9F09FB}" name="RevSale8" dataDxfId="2121" dataCellStyle="Comma"/>
    <tableColumn id="10" xr3:uid="{0DE3B22B-7FDD-5F47-B41E-5678A133FE87}" name="RevSale9" dataDxfId="2120" dataCellStyle="Comma"/>
    <tableColumn id="11" xr3:uid="{F662376C-7504-8046-9CD8-038237C565B0}" name="RevSale10" dataDxfId="2119" dataCellStyle="Comma"/>
    <tableColumn id="12" xr3:uid="{007BA40B-4C88-4243-B8BD-C61A273884FA}" name="RevSale11" dataDxfId="2118" dataCellStyle="Comma"/>
    <tableColumn id="13" xr3:uid="{9000EAA8-2766-DC4D-8C59-5A2A0FF49296}" name="RevSale12" dataDxfId="2117" dataCellStyle="Comma"/>
    <tableColumn id="14" xr3:uid="{6FC4A1EC-D5E3-3A4E-8294-EC201288D435}" name="RevSale13" dataDxfId="2116" dataCellStyle="Comma"/>
    <tableColumn id="15" xr3:uid="{43639010-CC3B-D243-B85E-C1E15232EBDC}" name="RevSale14" dataDxfId="2115" dataCellStyle="Comma"/>
    <tableColumn id="16" xr3:uid="{61BFA615-44B6-9D4C-B74F-B6FFE6E04A2D}" name="RevSale15" dataDxfId="2114" dataCellStyle="Comma"/>
    <tableColumn id="17" xr3:uid="{D569100A-7B22-4E4A-970A-85E3A0A201C1}" name="RevSale16" dataDxfId="2113" dataCellStyle="Comma"/>
    <tableColumn id="18" xr3:uid="{06F7FE50-0662-3A4D-9EE3-8DB9F5D70BFF}" name="RevSale17" dataDxfId="2112" dataCellStyle="Comma"/>
    <tableColumn id="19" xr3:uid="{15DF4D6C-5238-9246-BC08-243E825E1949}" name="RevSale18" dataDxfId="2111" dataCellStyle="Comma"/>
    <tableColumn id="20" xr3:uid="{49CC288D-DED6-E54C-AE81-4FB2F509C2FB}" name="RevSale19" dataDxfId="2110" dataCellStyle="Comma"/>
    <tableColumn id="21" xr3:uid="{106C00F1-2979-8B4B-BB61-4D1DF0F6F9E0}" name="RevSale20" dataDxfId="2109"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08" dataDxfId="2107" tableBorderDxfId="2106" dataCellStyle="Comma">
  <autoFilter ref="AB1298:AV1392" xr:uid="{029B3B90-231D-984A-8913-4BD26833EE55}"/>
  <tableColumns count="21">
    <tableColumn id="1" xr3:uid="{6A48BBC4-9F8C-E241-ABF9-8B082D07A915}" name="RevBuy0" dataDxfId="2105" dataCellStyle="Comma"/>
    <tableColumn id="2" xr3:uid="{3DC22D7D-8F33-224B-9FD3-A02E0E52A654}" name="RevBuy1" dataDxfId="2104" dataCellStyle="Comma"/>
    <tableColumn id="3" xr3:uid="{BFA86469-714F-604A-83B7-ADBDA419AAAC}" name="RevBuy2" dataDxfId="2103" dataCellStyle="Comma"/>
    <tableColumn id="4" xr3:uid="{BD5D4CEC-DFA9-A645-B64D-5478236122ED}" name="RevBuy3" dataDxfId="2102" dataCellStyle="Comma"/>
    <tableColumn id="5" xr3:uid="{FEEEA6B5-12EE-CA49-BC91-E9808CF75D06}" name="RevBuy4" dataDxfId="2101" dataCellStyle="Comma"/>
    <tableColumn id="6" xr3:uid="{8DDFBBE0-AB23-7641-A24A-F97BF48C35AC}" name="RevBuy5" dataDxfId="2100" dataCellStyle="Comma"/>
    <tableColumn id="7" xr3:uid="{9AAFF624-6153-C640-9CA1-6E9EAE0C62E6}" name="RevBuy6" dataDxfId="2099" dataCellStyle="Comma"/>
    <tableColumn id="8" xr3:uid="{3CE951EB-53B3-1244-B40C-ACD7AE718ADE}" name="RevBuy7" dataDxfId="2098" dataCellStyle="Comma"/>
    <tableColumn id="9" xr3:uid="{0F49B9D0-426D-C34B-8BC8-3409AFDA4ABC}" name="RevBuy8" dataDxfId="2097" dataCellStyle="Comma"/>
    <tableColumn id="10" xr3:uid="{9A0FBB4F-5D77-2B4B-99E0-824364A5297D}" name="RevBuy9" dataDxfId="2096" dataCellStyle="Comma"/>
    <tableColumn id="11" xr3:uid="{A6DFA062-72DB-994D-B9D4-26B6405DD395}" name="RevBuy10" dataDxfId="2095" dataCellStyle="Comma"/>
    <tableColumn id="12" xr3:uid="{7393EDBB-4FCA-B149-8058-EB9D09947DDE}" name="RevBuy11" dataDxfId="2094" dataCellStyle="Comma"/>
    <tableColumn id="13" xr3:uid="{0E6A4A32-6A6F-174A-95B9-58836CFD2CB3}" name="RevBuy12" dataDxfId="2093" dataCellStyle="Comma"/>
    <tableColumn id="14" xr3:uid="{2CF43023-9A75-C748-985A-9E29BD626892}" name="RevBuy13" dataDxfId="2092" dataCellStyle="Comma"/>
    <tableColumn id="15" xr3:uid="{4E36864A-377C-3A48-BC00-50578A6E506F}" name="RevBuy14" dataDxfId="2091" dataCellStyle="Comma"/>
    <tableColumn id="16" xr3:uid="{DB1CD117-EFF8-1840-99D4-2D16851999F1}" name="RevBuy15" dataDxfId="2090" dataCellStyle="Comma"/>
    <tableColumn id="17" xr3:uid="{42B2D85B-B956-8E40-9443-86D19B1A05D9}" name="RevBuy16" dataDxfId="2089" dataCellStyle="Comma"/>
    <tableColumn id="18" xr3:uid="{512DE7CC-E954-994C-A03A-4ABBD8962618}" name="RevBuy17" dataDxfId="2088" dataCellStyle="Comma"/>
    <tableColumn id="19" xr3:uid="{695A19CA-5D3E-ED4B-97F1-6D391036EF05}" name="RevBuy18" dataDxfId="2087" dataCellStyle="Comma"/>
    <tableColumn id="20" xr3:uid="{B2119E64-AACB-A14C-9559-514A472B4B21}" name="RevBuy19" dataDxfId="2086" dataCellStyle="Comma"/>
    <tableColumn id="21" xr3:uid="{2163EE0E-D715-DF4A-AEE0-8201AC51B898}" name="RevBuy20" dataDxfId="2085"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84" dataDxfId="2083" tableBorderDxfId="2082" dataCellStyle="Comma">
  <autoFilter ref="AB1397:AV1491" xr:uid="{A862798D-1A6F-4F4B-9D3C-CC5F9499011B}"/>
  <tableColumns count="21">
    <tableColumn id="1" xr3:uid="{3AC0D457-1D0C-7F49-A40F-0DE88B6B346F}" name="ExtraV0" dataDxfId="2081" totalsRowDxfId="2080" dataCellStyle="Comma"/>
    <tableColumn id="2" xr3:uid="{BBA9E372-2827-524A-8766-E691E6346A00}" name="ExtraV1" dataDxfId="2079" totalsRowDxfId="2078" dataCellStyle="Comma"/>
    <tableColumn id="3" xr3:uid="{86FFF09D-F252-5D4A-B7AE-018C7F417359}" name="ExtraV2" dataDxfId="2077" totalsRowDxfId="2076" dataCellStyle="Comma"/>
    <tableColumn id="4" xr3:uid="{EC3B54C3-0BA1-454F-B2AE-A9D80F740098}" name="ExtraV3" dataDxfId="2075" totalsRowDxfId="2074" dataCellStyle="Comma"/>
    <tableColumn id="5" xr3:uid="{D993D839-87B0-0E40-8C6F-15665A8E8072}" name="ExtraV4" dataDxfId="2073" totalsRowDxfId="2072" dataCellStyle="Comma"/>
    <tableColumn id="6" xr3:uid="{1BFB46B7-C176-504F-8EBB-26171A3D0521}" name="ExtraV5" dataDxfId="2071" totalsRowDxfId="2070" dataCellStyle="Comma"/>
    <tableColumn id="7" xr3:uid="{2B054E70-6A65-2841-B5D4-1D5AA57C8782}" name="ExtraV6" dataDxfId="2069" totalsRowDxfId="2068" dataCellStyle="Comma"/>
    <tableColumn id="8" xr3:uid="{68325155-E45A-FC4D-97C1-76858716F55F}" name="ExtraV7" dataDxfId="2067" totalsRowDxfId="2066" dataCellStyle="Comma"/>
    <tableColumn id="9" xr3:uid="{C54B2B53-F7FD-7A49-BDA6-04D9B4EF7741}" name="ExtraV8" dataDxfId="2065" totalsRowDxfId="2064" dataCellStyle="Comma"/>
    <tableColumn id="10" xr3:uid="{6B6BA1C0-34D2-A141-93A2-236370689F5C}" name="ExtraV9" dataDxfId="2063" totalsRowDxfId="2062" dataCellStyle="Comma"/>
    <tableColumn id="11" xr3:uid="{05AD6B97-9023-594F-8540-CDDA816224C7}" name="ExtraV10" dataDxfId="2061" totalsRowDxfId="2060" dataCellStyle="Comma"/>
    <tableColumn id="12" xr3:uid="{AE2DB8DB-D042-3345-AE75-DF958B831776}" name="ExtraV11" dataDxfId="2059" totalsRowDxfId="2058" dataCellStyle="Comma"/>
    <tableColumn id="13" xr3:uid="{DB617589-A099-C643-8929-3D2CA9AFC0F5}" name="ExtraV12" dataDxfId="2057" totalsRowDxfId="2056" dataCellStyle="Comma"/>
    <tableColumn id="14" xr3:uid="{CD892BF4-9983-4847-9C5F-D9B2BB0D5F2D}" name="ExtraV13" dataDxfId="2055" totalsRowDxfId="2054" dataCellStyle="Comma"/>
    <tableColumn id="15" xr3:uid="{8E18B52E-0B40-1F43-8E69-05D5D9F2074B}" name="ExtraV14" dataDxfId="2053" totalsRowDxfId="2052" dataCellStyle="Comma"/>
    <tableColumn id="16" xr3:uid="{077DD0B2-C59F-8E48-9793-B86BF53B2326}" name="ExtraV15" dataDxfId="2051" totalsRowDxfId="2050" dataCellStyle="Comma"/>
    <tableColumn id="17" xr3:uid="{FA7FEF7D-BB41-C94D-AD7E-65D253D5E0B2}" name="ExtraV16" dataDxfId="2049" totalsRowDxfId="2048" dataCellStyle="Comma"/>
    <tableColumn id="18" xr3:uid="{DE9E75AC-9C77-CB44-9498-19B521B8BE07}" name="ExtraV17" dataDxfId="2047" totalsRowDxfId="2046" dataCellStyle="Comma"/>
    <tableColumn id="19" xr3:uid="{2FEDB87D-6676-E142-B6C6-4C01E32E4F0A}" name="ExtraV18" dataDxfId="2045" totalsRowDxfId="2044" dataCellStyle="Comma"/>
    <tableColumn id="20" xr3:uid="{2FCA0075-35A7-1B40-8488-C039CCE16E9D}" name="ExtraV19" dataDxfId="2043" totalsRowDxfId="2042" dataCellStyle="Comma"/>
    <tableColumn id="21" xr3:uid="{8B815B8D-74CB-1A4D-B00D-1F6DAD74FC4B}" name="ExtraV20" dataDxfId="2041" totalsRowDxfId="2040"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39" dataDxfId="2038" tableBorderDxfId="2037" dataCellStyle="Percent">
  <autoFilter ref="AB1496:AV1590" xr:uid="{0F744D99-CBDB-A840-B675-EB13CC0AC422}"/>
  <tableColumns count="21">
    <tableColumn id="1" xr3:uid="{E1EC9148-EB38-344A-9ECF-E8F28A8A49A8}" name="Rev_GL0" dataDxfId="2036" dataCellStyle="Percent"/>
    <tableColumn id="2" xr3:uid="{4187F546-585D-D945-A89B-784CBB16D86B}" name="Rev_GL1" dataDxfId="2035" dataCellStyle="Percent"/>
    <tableColumn id="3" xr3:uid="{952B18A9-1809-FD4A-A0D4-0B8C6B10222D}" name="Rev_GL2" dataDxfId="2034" dataCellStyle="Percent"/>
    <tableColumn id="4" xr3:uid="{454132EA-52DC-4B46-84C9-F8C1817AAA8B}" name="Rev_GL3" dataDxfId="2033" dataCellStyle="Percent"/>
    <tableColumn id="5" xr3:uid="{46042E51-AD37-D64B-9F54-0AECB1CF208E}" name="Rev_GL4" dataDxfId="2032" dataCellStyle="Percent"/>
    <tableColumn id="6" xr3:uid="{88F9D56A-B70E-5F42-94D8-D65259D09AB6}" name="Rev_GL5" dataDxfId="2031" dataCellStyle="Percent"/>
    <tableColumn id="7" xr3:uid="{E66AADF7-66BC-6945-B6C8-8DE9B67D7D8C}" name="Rev_GL6" dataDxfId="2030" dataCellStyle="Percent"/>
    <tableColumn id="8" xr3:uid="{37DCCF9B-EF3C-2E46-A599-23C1C4979010}" name="Rev_GL7" dataDxfId="2029" dataCellStyle="Percent"/>
    <tableColumn id="9" xr3:uid="{E3EC2144-FCFD-4A4A-9A90-DBEB5288EF9F}" name="Rev_GL8" dataDxfId="2028" dataCellStyle="Percent"/>
    <tableColumn id="10" xr3:uid="{F8204BC8-8C71-AC4D-94AB-07EF311BCDB1}" name="Rev_GL9" dataDxfId="2027" dataCellStyle="Percent"/>
    <tableColumn id="11" xr3:uid="{9BC9C872-1F07-7B4D-9217-6A0B6AF47865}" name="Rev_GL10" dataDxfId="2026" dataCellStyle="Percent"/>
    <tableColumn id="12" xr3:uid="{120827D9-3318-D744-9216-DC27D3CF5968}" name="Rev_GL11" dataDxfId="2025" dataCellStyle="Percent"/>
    <tableColumn id="13" xr3:uid="{5D3F0E9B-693A-E944-918D-50F58C26C2C4}" name="Rev_GL12" dataDxfId="2024" dataCellStyle="Percent"/>
    <tableColumn id="14" xr3:uid="{17E4A056-EF9A-6746-8B3A-898BFDD6A696}" name="Rev_GL13" dataDxfId="2023" dataCellStyle="Percent"/>
    <tableColumn id="15" xr3:uid="{FFEBDC05-8049-534C-A5B3-7EBE90032BE1}" name="Rev_GL14" dataDxfId="2022" dataCellStyle="Percent"/>
    <tableColumn id="16" xr3:uid="{0A197748-CDC1-C64A-AE17-D22E200567DB}" name="Rev_GL15" dataDxfId="2021" dataCellStyle="Percent"/>
    <tableColumn id="17" xr3:uid="{42E0E5EF-910E-5F4E-9CF1-9CFAEC4C8700}" name="Rev_GL16" dataDxfId="2020" dataCellStyle="Percent"/>
    <tableColumn id="18" xr3:uid="{8B111263-3695-3044-B75D-C98410149243}" name="Rev_GL17" dataDxfId="2019" dataCellStyle="Percent"/>
    <tableColumn id="19" xr3:uid="{C3255BF8-7FCD-D64A-97FB-553379A81A55}" name="Rev_GL18" dataDxfId="2018" dataCellStyle="Percent"/>
    <tableColumn id="20" xr3:uid="{7A6EE87E-0D4C-D14A-B440-FBF691F1A8D2}" name="Rev_GL19" dataDxfId="2017" dataCellStyle="Percent"/>
    <tableColumn id="21" xr3:uid="{2E0D70B8-5AC9-9044-8C37-930BC7209F87}" name="Rev_GL20" dataDxfId="2016"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15" dataDxfId="2014" tableBorderDxfId="2013" dataCellStyle="Percent">
  <autoFilter ref="F1298:Z1392" xr:uid="{AF2A9EC8-851C-1C46-8C70-3CD3F3C868AC}"/>
  <tableColumns count="21">
    <tableColumn id="1" xr3:uid="{CA2857FA-1FC2-104D-B66E-371CA24537CD}" name="Naft0" dataDxfId="2012" dataCellStyle="Percent"/>
    <tableColumn id="2" xr3:uid="{8C525679-2502-FF45-B2B9-12506AA3F644}" name="Naft1" dataDxfId="2011" dataCellStyle="Percent"/>
    <tableColumn id="3" xr3:uid="{AD993A4C-A7F1-E342-9EC4-C90192C82B31}" name="Naft2" dataDxfId="2010" dataCellStyle="Percent"/>
    <tableColumn id="4" xr3:uid="{40B8B76F-5171-D54D-BF06-A4AC21350B3B}" name="Naft3" dataDxfId="2009" dataCellStyle="Percent"/>
    <tableColumn id="5" xr3:uid="{762033C0-4281-1746-84F3-542BF017FA4B}" name="Naft4" dataDxfId="2008" dataCellStyle="Percent"/>
    <tableColumn id="6" xr3:uid="{FAFE4B64-0CB1-994E-8F05-C5E44C8DDB03}" name="Naft5" dataDxfId="2007" dataCellStyle="Percent"/>
    <tableColumn id="7" xr3:uid="{AF0D904D-7647-BB48-8D6E-B302E22C3C1C}" name="Naft6" dataDxfId="2006" dataCellStyle="Percent"/>
    <tableColumn id="8" xr3:uid="{CF096B0E-2F7F-924E-BA91-4DC10C6E3ED9}" name="Naft7" dataDxfId="2005" dataCellStyle="Percent"/>
    <tableColumn id="9" xr3:uid="{C3C4E1F9-90C6-9646-BC1A-573E5493DC64}" name="Naft8" dataDxfId="2004" dataCellStyle="Percent"/>
    <tableColumn id="10" xr3:uid="{8A89D7FB-45BB-7642-A43A-239F682092E7}" name="Naft9" dataDxfId="2003" dataCellStyle="Percent"/>
    <tableColumn id="11" xr3:uid="{6CB557D2-EFB9-2E40-ADFE-F1D06A55A2C1}" name="Naft10" dataDxfId="2002" dataCellStyle="Percent"/>
    <tableColumn id="12" xr3:uid="{D7F02D6C-BB3C-D747-B902-F6B6DDD59B57}" name="Naft11" dataDxfId="2001" dataCellStyle="Percent"/>
    <tableColumn id="13" xr3:uid="{FD8D6943-9FA6-EA49-BBD9-F5E3DDB53BE7}" name="Naft12" dataDxfId="2000" dataCellStyle="Percent"/>
    <tableColumn id="14" xr3:uid="{2393C95D-1173-E448-837B-713DEFB9753C}" name="Naft13" dataDxfId="1999" dataCellStyle="Percent"/>
    <tableColumn id="15" xr3:uid="{E4C43FA3-A3C8-D340-985B-1BEA174F8B98}" name="Naft14" dataDxfId="1998" dataCellStyle="Percent"/>
    <tableColumn id="16" xr3:uid="{5F4E9827-A41F-8D4B-B649-51F74733E28D}" name="Naft15" dataDxfId="1997" dataCellStyle="Percent"/>
    <tableColumn id="17" xr3:uid="{DC3B667D-F4B9-8648-ACF1-C0371C364AA1}" name="Naft16" dataDxfId="1996" dataCellStyle="Percent"/>
    <tableColumn id="18" xr3:uid="{3E4D8A11-1F61-DE42-9951-C0BA46393626}" name="Naft17" dataDxfId="1995" dataCellStyle="Percent"/>
    <tableColumn id="19" xr3:uid="{50825E73-0383-E743-BD57-1CC0EAEE123B}" name="Naft18" dataDxfId="1994" dataCellStyle="Percent"/>
    <tableColumn id="20" xr3:uid="{BF93579D-889E-5B4A-A245-055F31FD5F5F}" name="Naft19" dataDxfId="1993" dataCellStyle="Percent"/>
    <tableColumn id="21" xr3:uid="{1A3DDD58-5298-C144-A846-CB3FD97B6F3B}" name="Naft20" dataDxfId="1992"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91" dataDxfId="1990" tableBorderDxfId="1989">
  <autoFilter ref="F1397:Z1491" xr:uid="{F6EF671C-15EB-6340-A931-CD19935BD39E}"/>
  <tableColumns count="21">
    <tableColumn id="1" xr3:uid="{3937D0B6-0B63-584B-8662-4CF442418B39}" name="Free2_0" dataDxfId="1988"/>
    <tableColumn id="2" xr3:uid="{297E75E7-30A8-614A-BC6B-7EDF8EA51692}" name="Free2_1" dataDxfId="1987"/>
    <tableColumn id="3" xr3:uid="{7F7BAB67-5081-FE41-B799-765A7833B5F6}" name="Free2_2" dataDxfId="1986"/>
    <tableColumn id="4" xr3:uid="{700C6907-FB66-B04F-81CB-5569C38B311E}" name="Free2_3" dataDxfId="1985"/>
    <tableColumn id="5" xr3:uid="{E20B3C31-90B8-D44C-9ECA-BC79BF5194CC}" name="Free2_4" dataDxfId="1984"/>
    <tableColumn id="6" xr3:uid="{27ADA4AC-F4C1-944D-8D1E-59B6112D7B6E}" name="Free2_5" dataDxfId="1983"/>
    <tableColumn id="7" xr3:uid="{97FCEADF-673E-2044-B069-C5D83CC6CD02}" name="Free2_6" dataDxfId="1982"/>
    <tableColumn id="8" xr3:uid="{2DAEB5D8-A75B-6345-B212-BABEC279EF4F}" name="Free2_7" dataDxfId="1981"/>
    <tableColumn id="9" xr3:uid="{D048A8D0-4C56-164A-B9F6-25853F5C87FB}" name="Free2_8" dataDxfId="1980"/>
    <tableColumn id="10" xr3:uid="{1B9502C7-37BD-1F47-9E14-6E91E86574DE}" name="Free2_9" dataDxfId="1979"/>
    <tableColumn id="11" xr3:uid="{9B6DF665-04C4-7649-852D-B0E5327053BC}" name="Free2_10" dataDxfId="1978"/>
    <tableColumn id="12" xr3:uid="{ABA824BF-6AB3-F848-89AE-8ACE9C246B08}" name="Free2_11" dataDxfId="1977"/>
    <tableColumn id="13" xr3:uid="{BE8860B0-2B51-9346-9587-0367E9E40239}" name="Free2_12" dataDxfId="1976"/>
    <tableColumn id="14" xr3:uid="{3BEA1E54-18D2-6740-93C2-7BD649B58A23}" name="Free2_13" dataDxfId="1975"/>
    <tableColumn id="15" xr3:uid="{79159609-704E-8146-B86F-5E75085DE96C}" name="Free2_14" dataDxfId="1974"/>
    <tableColumn id="16" xr3:uid="{E8E7FE0B-CAFC-A648-A958-2ACB64144D08}" name="Free2_15" dataDxfId="1973"/>
    <tableColumn id="17" xr3:uid="{D33B5289-1DC5-5447-8C39-5A33CEF0329C}" name="Free2_16" dataDxfId="1972"/>
    <tableColumn id="18" xr3:uid="{A4005841-AE7D-4E45-B5E4-DCCB8C0DAF66}" name="Free2_17" dataDxfId="1971"/>
    <tableColumn id="19" xr3:uid="{BF68ED05-57C6-CF48-97AC-E91CD45EE53C}" name="Free2_18" dataDxfId="1970"/>
    <tableColumn id="20" xr3:uid="{E9FBBC2B-85F5-8242-86CF-10EB4C79D58D}" name="Free2_19" dataDxfId="1969"/>
    <tableColumn id="21" xr3:uid="{29DD2BEB-9881-8043-9502-DA3DA8E0EC3C}" name="Free2_20" dataDxfId="1968">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67" dataDxfId="1966" tableBorderDxfId="1965" dataCellStyle="Comma">
  <autoFilter ref="AB404:AV498" xr:uid="{A5A966C8-A895-2142-9D9C-4A177559753C}"/>
  <tableColumns count="21">
    <tableColumn id="1" xr3:uid="{086170E0-912A-0046-8C70-71421FDB86CB}" name="AvCh%_5d0" dataDxfId="1964" dataCellStyle="Comma"/>
    <tableColumn id="2" xr3:uid="{C47EE9E0-CEB9-744E-A9B1-030E5081996F}" name="AvCh%_5d1" dataDxfId="1963" dataCellStyle="Comma"/>
    <tableColumn id="3" xr3:uid="{0374466B-D15D-8849-BFAB-F2C39763E33E}" name="AvCh%_5d2" dataDxfId="1962" dataCellStyle="Comma"/>
    <tableColumn id="4" xr3:uid="{3DC4E1AB-5240-2B47-95A1-A9FED5CB7931}" name="AvCh%_5d3" dataDxfId="1961" dataCellStyle="Comma"/>
    <tableColumn id="5" xr3:uid="{AD8D194A-067C-D54B-B1FC-6AA332CE1097}" name="AvCh%_5d4" dataDxfId="1960" dataCellStyle="Comma"/>
    <tableColumn id="6" xr3:uid="{B5DAB107-F4BA-3846-B1DF-1BB15544E5EB}" name="AvCh%_5d5" dataDxfId="1959" dataCellStyle="Comma"/>
    <tableColumn id="7" xr3:uid="{FC981E9A-3BB2-EC42-9BD0-4739A49F449B}" name="AvCh%_5d6" dataDxfId="1958" dataCellStyle="Comma"/>
    <tableColumn id="8" xr3:uid="{0D786F90-14A9-EC46-B54E-55D2023B3BAB}" name="AvCh%_5d7" dataDxfId="1957" dataCellStyle="Comma"/>
    <tableColumn id="9" xr3:uid="{640827C4-D151-714F-9431-310E739241DB}" name="AvCh%_5d8" dataDxfId="1956" dataCellStyle="Comma"/>
    <tableColumn id="10" xr3:uid="{883C6F42-8C48-8A47-A661-A9DC638F12F2}" name="AvCh%_5d9" dataDxfId="1955" dataCellStyle="Comma"/>
    <tableColumn id="11" xr3:uid="{CEF2A3F7-C727-D942-BBAD-594BB418F823}" name="AvCh%_5d10" dataDxfId="1954" dataCellStyle="Comma"/>
    <tableColumn id="12" xr3:uid="{A3DB2142-E94A-AD4D-9220-463878802587}" name="AvCh%_5d11" dataDxfId="1953" dataCellStyle="Comma"/>
    <tableColumn id="13" xr3:uid="{1FFAEF3D-A638-0843-889A-A25ABD8D4445}" name="AvCh%_5d12" dataDxfId="1952" dataCellStyle="Comma"/>
    <tableColumn id="14" xr3:uid="{66353A91-21E4-6345-9E5E-23B2AA7D6228}" name="AvCh%_5d13" dataDxfId="1951" dataCellStyle="Comma"/>
    <tableColumn id="15" xr3:uid="{4FA84C89-1A8F-284D-9C13-78D90BBF6266}" name="AvCh%_5d14" dataDxfId="1950" dataCellStyle="Comma"/>
    <tableColumn id="16" xr3:uid="{AEB3F103-A250-9D40-91AE-588B1AF73D28}" name="AvCh%_5d15" dataDxfId="1949" dataCellStyle="Comma"/>
    <tableColumn id="17" xr3:uid="{89C20C78-7E59-C74D-AF29-1A8CCB46B1D9}" name="AvCh%_5d16" dataDxfId="1948" dataCellStyle="Percent"/>
    <tableColumn id="18" xr3:uid="{44BE309E-DDA6-0F4A-98BD-B8D4F08F3A35}" name="AvCh%_5d17" dataDxfId="1947" dataCellStyle="Percent"/>
    <tableColumn id="19" xr3:uid="{F644A9A2-2953-9D41-B057-FC93AC10643A}" name="AvCh%_5d18" dataDxfId="1946" dataCellStyle="Percent"/>
    <tableColumn id="20" xr3:uid="{913F3E58-BEA0-7047-9081-6EE33487BB80}" name="AvCh%_5d19" dataDxfId="1945" dataCellStyle="Percent"/>
    <tableColumn id="21" xr3:uid="{AF453376-8DDF-764F-B09C-84B72B80BF75}" name="AvCh%_5d20" dataDxfId="1944"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43" totalsRowDxfId="20"/>
    <tableColumn id="2" xr3:uid="{C0145B90-171D-F843-922B-5308D656256B}" name="Summary1" dataDxfId="1942" totalsRowDxfId="19"/>
    <tableColumn id="3" xr3:uid="{13B89441-86AC-2245-A728-E49F31DB3D6A}" name="Summary2" dataDxfId="1941" totalsRowDxfId="18"/>
    <tableColumn id="4" xr3:uid="{1B918288-DC53-904B-AB84-4C90F09BE4EC}" name="Summary3" dataDxfId="1940" totalsRowDxfId="17"/>
    <tableColumn id="5" xr3:uid="{48DD1F16-0C12-8349-8732-19827F0EAE9F}" name="Summary4" dataDxfId="1939" totalsRowDxfId="16"/>
    <tableColumn id="6" xr3:uid="{D4E4DABC-EA23-ED49-81B2-4BFF2A0772F9}" name="Summary5" dataDxfId="1938" totalsRowDxfId="15"/>
    <tableColumn id="7" xr3:uid="{4C49F7EE-3ECF-174B-A361-EC8BFAA95624}" name="Summary6" dataDxfId="1937" totalsRowDxfId="14" dataCellStyle="Percent"/>
    <tableColumn id="8" xr3:uid="{816A286C-4A21-3144-93B8-B400778D576A}" name="Summary7" dataDxfId="1936" totalsRowDxfId="13"/>
    <tableColumn id="9" xr3:uid="{59E1500E-A932-4840-BA3E-5B3025BB1454}" name="Summary8" dataDxfId="1935" totalsRowDxfId="12"/>
    <tableColumn id="10" xr3:uid="{F96B4C1B-365D-1741-B72A-531258FFE2BC}" name="Summary9" dataDxfId="1934" totalsRowDxfId="11"/>
    <tableColumn id="11" xr3:uid="{77C9D1FE-F025-D54B-8787-3FC4E59E56AD}" name="Summary10" dataDxfId="1933" totalsRowDxfId="10"/>
    <tableColumn id="12" xr3:uid="{47411572-1EC6-254C-9838-49A66022B7E4}" name="Summary11" dataDxfId="1932" totalsRowDxfId="9"/>
    <tableColumn id="13" xr3:uid="{60CF3707-8850-F148-BBF5-A0EE9B808735}" name="Summary12" dataDxfId="1931" totalsRowDxfId="8" dataCellStyle="Comma"/>
    <tableColumn id="14" xr3:uid="{3A0F36B9-4B29-0A4C-A448-D9CF99B8C62F}" name="Summary13" dataDxfId="1930" totalsRowDxfId="7"/>
    <tableColumn id="15" xr3:uid="{C63BF0B5-FDDE-D043-A434-8FF7E3AE8994}" name="Summary14" dataDxfId="1929" totalsRowDxfId="6"/>
    <tableColumn id="16" xr3:uid="{07929D4C-E2BA-E64A-AA43-4BF7D1D5E3A2}" name="Summary15" dataDxfId="1928" totalsRowDxfId="5"/>
    <tableColumn id="17" xr3:uid="{A2E5D0AD-33EE-F140-9570-FEF3580B722F}" name="Summary16" dataDxfId="1927" totalsRowDxfId="4"/>
    <tableColumn id="18" xr3:uid="{379DD2CB-9A5C-D142-A1F0-8F2739E2CFA8}" name="Summary17" dataDxfId="1926" totalsRowDxfId="3" dataCellStyle="Percent"/>
    <tableColumn id="19" xr3:uid="{268245B6-FCB0-084E-A766-46A83AED1DB3}" name="Summary18" dataDxfId="1925" totalsRowDxfId="2" dataCellStyle="Comma"/>
    <tableColumn id="20" xr3:uid="{861CA8D0-B5BD-6F48-80D5-D373641A59B8}" name="Summary19" dataDxfId="1924" totalsRowDxfId="1"/>
    <tableColumn id="21" xr3:uid="{2D6D6470-C27B-9441-BFD7-B5A6B11B21EE}" name="Summary20" dataDxfId="1923"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22" dataCellStyle="Percent">
  <autoFilter ref="F1496:Z1590" xr:uid="{BD0B59F9-75A4-6345-9840-A2E778B47C79}"/>
  <tableColumns count="21">
    <tableColumn id="1" xr3:uid="{3DEEB649-1545-504F-B74F-9FE969CBD76A}" name="MarkUp0" dataDxfId="1921" dataCellStyle="Percent"/>
    <tableColumn id="2" xr3:uid="{A6C89CFF-07F2-8B49-AAA7-95B57C6AEA42}" name="MarkUp1" dataDxfId="1920" dataCellStyle="Percent"/>
    <tableColumn id="3" xr3:uid="{80775B53-35F4-1742-A64B-DBC41620A5F8}" name="MarkUp2" dataDxfId="1919" dataCellStyle="Percent"/>
    <tableColumn id="4" xr3:uid="{789F2A95-FF0D-514F-A880-E9C55248174B}" name="MarkUp3" dataDxfId="1918" dataCellStyle="Percent"/>
    <tableColumn id="5" xr3:uid="{DB0D0239-7981-3C47-AD76-C782554E8AB8}" name="MarkUp4" dataDxfId="1917" dataCellStyle="Percent"/>
    <tableColumn id="6" xr3:uid="{544A8C51-585B-F848-8A7B-A1008FDFDF37}" name="MarkUp5" dataDxfId="1916" dataCellStyle="Percent"/>
    <tableColumn id="7" xr3:uid="{A575BF9D-8361-714D-B07E-8D0E262F5FBB}" name="MarkUp6" dataDxfId="1915" dataCellStyle="Percent"/>
    <tableColumn id="8" xr3:uid="{0B8D438E-DFEB-DA4D-8453-53E9B370F907}" name="MarkUp7" dataDxfId="1914" dataCellStyle="Percent"/>
    <tableColumn id="9" xr3:uid="{DA3BFA50-3B0C-844C-8D33-C1F303E0855D}" name="MarkUp8" dataDxfId="1913" dataCellStyle="Percent"/>
    <tableColumn id="10" xr3:uid="{8E2DFA05-ADCD-0240-B8AC-9A068217E1F3}" name="MarkUp9" dataDxfId="1912" dataCellStyle="Percent"/>
    <tableColumn id="11" xr3:uid="{1799051C-A221-0543-BE05-0E219A76BB16}" name="MarkUp10" dataDxfId="1911" dataCellStyle="Percent"/>
    <tableColumn id="12" xr3:uid="{98820823-ACB0-1F49-AA92-A32FD2BAD762}" name="MarkUp11" dataDxfId="1910" dataCellStyle="Percent"/>
    <tableColumn id="13" xr3:uid="{C19E583A-0D28-FB48-9A8A-B5A7CB5484A4}" name="MarkUp12" dataDxfId="1909" dataCellStyle="Percent"/>
    <tableColumn id="14" xr3:uid="{8059EBA1-5F47-CF46-84AB-5A12E88D8D2C}" name="MarkUp13" dataDxfId="1908" dataCellStyle="Percent"/>
    <tableColumn id="15" xr3:uid="{510C91B6-E50C-FC46-BFA2-6964EC87E14B}" name="MarkUp14" dataDxfId="1907" dataCellStyle="Percent"/>
    <tableColumn id="16" xr3:uid="{8C82C0B6-D9ED-CE4B-AED9-78058B4F22DA}" name="MarkUp15" dataDxfId="1906" dataCellStyle="Percent"/>
    <tableColumn id="17" xr3:uid="{1CC24814-7184-0C4B-A764-BAC31484FFD7}" name="MarkUp16" dataDxfId="1905" dataCellStyle="Percent"/>
    <tableColumn id="18" xr3:uid="{254EACA1-0431-EB47-9340-65308D62D404}" name="MarkUp17" dataDxfId="1904" dataCellStyle="Percent"/>
    <tableColumn id="19" xr3:uid="{B63624E4-0107-AE46-B98F-363678F4DBF5}" name="MarkUp18" dataDxfId="1903" dataCellStyle="Percent"/>
    <tableColumn id="20" xr3:uid="{096A92CA-4B2E-E442-A2EC-DE652EE21C06}" name="MarkUp19" dataDxfId="1902" dataCellStyle="Percent"/>
    <tableColumn id="21" xr3:uid="{92E1C85C-4F66-6340-BEBE-C53E1E837A88}" name="MarkUp20" dataDxfId="190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00" dataCellStyle="Percent">
  <autoFilter ref="F1596:Z1689" xr:uid="{D5BEC7A6-EF60-3B46-B9E8-034B7BBF3E15}"/>
  <tableColumns count="21">
    <tableColumn id="1" xr3:uid="{2C2B2823-339F-4D4E-B506-4D9D2FD31170}" name="Sum**2_0" dataDxfId="1899" dataCellStyle="Percent"/>
    <tableColumn id="2" xr3:uid="{63B31B64-D53D-D148-A12E-0035DE733783}" name="Sum**2_1" dataDxfId="1898" dataCellStyle="Percent"/>
    <tableColumn id="3" xr3:uid="{AB7122E0-6AA1-2345-9984-477938E242DE}" name="Sum**2_2" dataDxfId="1897" dataCellStyle="Percent"/>
    <tableColumn id="4" xr3:uid="{C1F1B198-A6E5-6E4B-9EFE-3A79002AA194}" name="Sum**2_3" dataDxfId="1896" dataCellStyle="Percent"/>
    <tableColumn id="5" xr3:uid="{CD8ADFDF-0FAA-2F4B-A5BA-D3744B56DB65}" name="Sum**2_4" dataDxfId="1895" dataCellStyle="Percent"/>
    <tableColumn id="6" xr3:uid="{A773326D-FA9D-F645-8327-6BD976AF582F}" name="Sum**2_5" dataDxfId="1894" dataCellStyle="Percent"/>
    <tableColumn id="7" xr3:uid="{819DBD76-9239-DC4A-9670-B59537B37853}" name="Sum**2_6" dataDxfId="1893" dataCellStyle="Percent"/>
    <tableColumn id="8" xr3:uid="{9E873F49-2374-174D-9563-D76244E18328}" name="Sum**2_7" dataDxfId="1892" dataCellStyle="Percent"/>
    <tableColumn id="9" xr3:uid="{B103D527-25A1-D646-AD0A-2D6D80419144}" name="Sum**2_8" dataDxfId="1891" dataCellStyle="Percent"/>
    <tableColumn id="10" xr3:uid="{96CCA32E-3C73-7142-BF4C-C158F7B37810}" name="Sum**2_9" dataDxfId="1890" dataCellStyle="Percent"/>
    <tableColumn id="11" xr3:uid="{56B7687B-91AF-4445-A28F-2881C7A6A6CD}" name="Sum**2_10" dataDxfId="1889" dataCellStyle="Percent"/>
    <tableColumn id="12" xr3:uid="{DB2A6F66-3621-8846-9226-BC837F3A8607}" name="Sum**2_11" dataDxfId="1888" dataCellStyle="Percent"/>
    <tableColumn id="13" xr3:uid="{AF2CAAB5-0134-4944-A2DF-51F7D4C73924}" name="Sum**2_12" dataDxfId="1887" dataCellStyle="Percent"/>
    <tableColumn id="14" xr3:uid="{96835407-A70C-7447-8F4F-990440ABEC87}" name="Sum**2_13" dataDxfId="1886" dataCellStyle="Percent"/>
    <tableColumn id="15" xr3:uid="{CA0AA75C-43E5-784B-8D61-06F3C41CF8A0}" name="Sum**2_14" dataDxfId="1885" dataCellStyle="Percent"/>
    <tableColumn id="16" xr3:uid="{13A8CBF4-DB9A-B849-8F2C-A0A188E0DF2A}" name="Sum**2_15" dataDxfId="1884" dataCellStyle="Percent"/>
    <tableColumn id="17" xr3:uid="{1F0AAC37-63D2-6F47-A469-FCC7FEF1D822}" name="Sum**2_16" dataDxfId="1883" dataCellStyle="Percent"/>
    <tableColumn id="18" xr3:uid="{A2F60BCE-BEE7-654C-BC93-9A7FA97E5352}" name="Sum**2_17" dataDxfId="1882" dataCellStyle="Percent"/>
    <tableColumn id="19" xr3:uid="{C3C24884-56D0-D04B-B09F-B980FE86E022}" name="Sum**2_18" dataDxfId="1881" dataCellStyle="Percent"/>
    <tableColumn id="20" xr3:uid="{87579DA9-E185-BD4F-B501-5C2BD25EC567}" name="Sum**2_19" dataDxfId="1880" dataCellStyle="Percent"/>
    <tableColumn id="21" xr3:uid="{8C3E0B6F-730F-3540-A789-4533BE6E2F4F}" name="Sum**2_20" dataDxfId="187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78" dataCellStyle="Percent">
  <autoFilter ref="AB1595:AV1689" xr:uid="{E6A8CF0B-7BCE-7A42-AF72-2FEB89DD3A0B}"/>
  <tableColumns count="21">
    <tableColumn id="1" xr3:uid="{9EDCB166-851C-9C48-A224-9B8BFE7FE3EA}" name="Sum**2_0" dataDxfId="1877" dataCellStyle="Percent"/>
    <tableColumn id="2" xr3:uid="{61601C57-E293-4C4A-A5AB-3FE09D2D2FF9}" name="Sum**2_1" dataDxfId="1876" dataCellStyle="Percent"/>
    <tableColumn id="3" xr3:uid="{1C26E27A-CF61-7E4F-9A2A-AF52B8F9FA0A}" name="Sum**2_2" dataDxfId="1875" dataCellStyle="Percent"/>
    <tableColumn id="4" xr3:uid="{75C65365-474A-3D45-ADC6-D2047EA06590}" name="Sum**2_3" dataDxfId="1874" dataCellStyle="Percent"/>
    <tableColumn id="5" xr3:uid="{09B33CCF-A873-244E-AC3B-291C83A0BE67}" name="Sum**2_4" dataDxfId="1873" dataCellStyle="Percent"/>
    <tableColumn id="6" xr3:uid="{9B1510FE-6D6F-5A4A-9B5A-BD71A0794CEE}" name="Sum**2_5" dataDxfId="1872" dataCellStyle="Percent"/>
    <tableColumn id="7" xr3:uid="{31F83491-B3A3-D54A-BA15-B163AC5F2C9A}" name="Sum**2_6" dataDxfId="1871" dataCellStyle="Percent"/>
    <tableColumn id="8" xr3:uid="{9979AA70-2D99-DE49-B7D5-D643B1001152}" name="Sum**2_7" dataDxfId="1870" dataCellStyle="Percent"/>
    <tableColumn id="9" xr3:uid="{56FDE8E4-7BDA-C045-92CE-C96F0478841C}" name="Sum**2_8" dataDxfId="1869" dataCellStyle="Percent"/>
    <tableColumn id="10" xr3:uid="{BF651EAC-5DE6-8C4B-ABC0-7FF266F414FD}" name="Sum**2_9" dataDxfId="1868" dataCellStyle="Percent"/>
    <tableColumn id="11" xr3:uid="{3274233F-09E2-B64E-8CBF-8506F78A99B0}" name="Sum**2_10" dataDxfId="1867" dataCellStyle="Percent"/>
    <tableColumn id="12" xr3:uid="{CD61E0F9-09BC-1745-A795-3F33957E3D3B}" name="Sum**2_11" dataDxfId="1866" dataCellStyle="Percent"/>
    <tableColumn id="13" xr3:uid="{BABFF967-AEF7-3644-A589-7A5B73F2D156}" name="Sum**2_12" dataDxfId="1865" dataCellStyle="Percent"/>
    <tableColumn id="14" xr3:uid="{D196ECB2-3F4E-6544-B4EC-2376A142D915}" name="Sum**2_13" dataDxfId="1864" dataCellStyle="Percent"/>
    <tableColumn id="15" xr3:uid="{4D81CFC7-992B-D642-904A-CBCDCAD97394}" name="Sum**2_14" dataDxfId="1863" dataCellStyle="Percent"/>
    <tableColumn id="16" xr3:uid="{5C315818-8E3C-1848-ABAE-9D4300EDBD1B}" name="Sum**2_15" dataDxfId="1862" dataCellStyle="Percent"/>
    <tableColumn id="17" xr3:uid="{728CDA8F-F9BB-C84B-83D6-434A28B7A69E}" name="Sum**2_16" dataDxfId="1861" dataCellStyle="Percent"/>
    <tableColumn id="18" xr3:uid="{AB73409A-6B6D-6B4B-9F6A-31BD45FAC5D4}" name="Sum**2_17" dataDxfId="1860" dataCellStyle="Percent"/>
    <tableColumn id="19" xr3:uid="{27A4013B-1966-EE44-AF6E-83D9EAC45769}" name="Sum**2_18" dataDxfId="1859" dataCellStyle="Percent"/>
    <tableColumn id="20" xr3:uid="{E4C94DB5-B5B2-DE4C-93AC-18C099042A0A}" name="Sum**2_19" dataDxfId="1858" dataCellStyle="Percent"/>
    <tableColumn id="21" xr3:uid="{8DDFD0E0-45EB-0249-B5F1-B1404A2BB9D0}" name="Sum**2_20" dataDxfId="185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56"/>
    <tableColumn id="6" xr3:uid="{6CD35761-7716-F844-8AFD-9AD0DA2D1AAF}" name="YTChg5" dataDxfId="1855"/>
    <tableColumn id="7" xr3:uid="{78E5C771-5566-C94D-8D04-27B9FB5E7651}" name="YTChg6" dataDxfId="1854" dataCellStyle="Percent"/>
    <tableColumn id="8" xr3:uid="{73C26D4B-48AF-3D46-B671-432194BF504C}" name="YTChg7" dataDxfId="1853"/>
    <tableColumn id="9" xr3:uid="{83E7FC4C-38C3-4B44-8912-AA08D1092E9E}" name="YTChg8"/>
    <tableColumn id="10" xr3:uid="{48CE05BF-DA40-BF42-A501-A01DD1FF524B}" name="YTChg9" dataDxfId="1852"/>
    <tableColumn id="11" xr3:uid="{37C00FB8-016E-0345-8F7E-90F263DB49E6}" name="YTChg10" dataDxfId="1851"/>
    <tableColumn id="12" xr3:uid="{DA1D9B79-9E70-634C-AB9A-E8C7256E6781}" name="YTChg11"/>
    <tableColumn id="13" xr3:uid="{474BC66F-E848-2F48-A010-419F1A8E34C7}" name="YTChg12" dataDxfId="1850"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49" dataCellStyle="Percent"/>
    <tableColumn id="19" xr3:uid="{40EB9D23-041A-834B-BA45-C29E2B36BACA}" name="YTChg18" dataDxfId="1848"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47" totalsRowDxfId="1845" tableBorderDxfId="1846">
  <autoFilter ref="A3:KF71" xr:uid="{6184EC62-F546-EC44-B85F-22666178BACB}"/>
  <tableColumns count="292">
    <tableColumn id="1" xr3:uid="{57623EC6-295D-6C46-8762-F4C1DD08499F}" name="RegIndex" dataDxfId="1844" totalsRowDxfId="1123">
      <calculatedColumnFormula>ROW() - ROW(TabReg[[#Headers],[RegIndex]])</calculatedColumnFormula>
    </tableColumn>
    <tableColumn id="2" xr3:uid="{59C53E03-08BC-7241-A405-B961C9CD4E4C}" name="AAPL" totalsRowFunction="custom" dataDxfId="1843" totalsRowDxfId="1122">
      <totalsRowFormula>COUNT(TabReg[AAPL])</totalsRowFormula>
    </tableColumn>
    <tableColumn id="3" xr3:uid="{E8ED35B7-2399-6041-8311-C19BDE1DDA95}" name="AAPL1" totalsRowFunction="custom" dataDxfId="1842" totalsRowDxfId="1121" dataCellStyle="Comma">
      <totalsRowFormula>COUNT(TabReg[AAPL1])</totalsRowFormula>
    </tableColumn>
    <tableColumn id="4" xr3:uid="{C3865FAF-DC26-3B45-AC2D-579945EE4DE2}" name="AAPL2" totalsRowFunction="custom" dataDxfId="1841" totalsRowDxfId="1120" dataCellStyle="Comma">
      <totalsRowFormula>COUNT(TabReg[AAPL2])</totalsRowFormula>
    </tableColumn>
    <tableColumn id="5" xr3:uid="{58414643-D5EF-DC42-BE18-AFAB1AA967A3}" name="ADEA" totalsRowFunction="custom" dataDxfId="1840" totalsRowDxfId="1119">
      <totalsRowFormula>COUNT(TabReg[ADEA])</totalsRowFormula>
    </tableColumn>
    <tableColumn id="6" xr3:uid="{770722DB-0B2C-4149-8CBF-EBAC14770B02}" name="ADEA1" totalsRowFunction="custom" dataDxfId="1839" totalsRowDxfId="1118" dataCellStyle="Comma">
      <totalsRowFormula>COUNT(TabReg[ADEA1])</totalsRowFormula>
    </tableColumn>
    <tableColumn id="7" xr3:uid="{ADBB0985-AFC7-0A49-AAD9-9FD8A0ADA9E8}" name="ADEA2" totalsRowFunction="custom" dataDxfId="1838" totalsRowDxfId="1117" dataCellStyle="Comma">
      <totalsRowFormula>COUNT(TabReg[ADEA2])</totalsRowFormula>
    </tableColumn>
    <tableColumn id="8" xr3:uid="{F9B8D055-A3B6-6049-AB67-FD35F31EAD12}" name="AET" totalsRowFunction="custom" dataDxfId="1837" totalsRowDxfId="1116">
      <totalsRowFormula>COUNT(TabReg[AET])</totalsRowFormula>
    </tableColumn>
    <tableColumn id="9" xr3:uid="{4F1B47E7-AE09-DE47-9326-7E38373F590D}" name="AET1" totalsRowFunction="custom" dataDxfId="1836" totalsRowDxfId="1115" dataCellStyle="Comma">
      <totalsRowFormula>COUNT(TabReg[AET1])</totalsRowFormula>
    </tableColumn>
    <tableColumn id="10" xr3:uid="{C55D7E50-6E70-8245-AF6D-9B0AF1B842F6}" name="AET2" totalsRowFunction="custom" dataDxfId="1835" totalsRowDxfId="1114" dataCellStyle="Comma">
      <totalsRowFormula>COUNT(TabReg[AET2])</totalsRowFormula>
    </tableColumn>
    <tableColumn id="11" xr3:uid="{75AEAC53-9C89-8F4E-A89E-5819F07855E8}" name="AMZN" totalsRowFunction="custom" dataDxfId="1834" totalsRowDxfId="1113">
      <totalsRowFormula>COUNT(TabReg[AMZN])</totalsRowFormula>
    </tableColumn>
    <tableColumn id="12" xr3:uid="{50DF90F7-5FF8-F84C-9DEF-B56AE90E9FE1}" name="AMZN1" totalsRowFunction="custom" dataDxfId="1833" totalsRowDxfId="1112" dataCellStyle="Comma">
      <totalsRowFormula>COUNT(TabReg[AMZN1])</totalsRowFormula>
    </tableColumn>
    <tableColumn id="13" xr3:uid="{BB3AD602-9B27-A44D-956D-E044A03841B0}" name="AMZN2" totalsRowFunction="custom" dataDxfId="1832" totalsRowDxfId="1111" dataCellStyle="Comma">
      <totalsRowFormula>COUNT(TabReg[AMZN2])</totalsRowFormula>
    </tableColumn>
    <tableColumn id="14" xr3:uid="{49715757-C441-334A-8359-CB03A54D44A0}" name="ALDNE" totalsRowFunction="custom" dataDxfId="1831" totalsRowDxfId="1110" dataCellStyle="Comma">
      <totalsRowFormula>COUNT(TabReg[ALDNE])</totalsRowFormula>
    </tableColumn>
    <tableColumn id="15" xr3:uid="{2367F0AA-874E-0F49-8743-948F4AA0066D}" name="ALDNE1" totalsRowFunction="custom" dataDxfId="1830" totalsRowDxfId="1109" dataCellStyle="Comma">
      <totalsRowFormula>COUNT(TabReg[ALDNE1])</totalsRowFormula>
    </tableColumn>
    <tableColumn id="16" xr3:uid="{136C77A7-D877-524E-A602-4F388B4DC883}" name="ALDNE2" totalsRowFunction="custom" dataDxfId="1829" totalsRowDxfId="1108" dataCellStyle="Comma">
      <totalsRowFormula>COUNT(TabReg[ALDNE2])</totalsRowFormula>
    </tableColumn>
    <tableColumn id="179" xr3:uid="{24648F26-5ACD-B54B-A6CE-ED445344889D}" name="ASML" totalsRowFunction="custom" dataDxfId="1828" totalsRowDxfId="1107" dataCellStyle="Comma">
      <totalsRowFormula>COUNT(TabReg[ASML])</totalsRowFormula>
    </tableColumn>
    <tableColumn id="180" xr3:uid="{4685999F-AD40-C34D-B18F-9AE018200409}" name="ASML1" totalsRowFunction="custom" dataDxfId="1827" totalsRowDxfId="1106" dataCellStyle="Comma">
      <totalsRowFormula>COUNT(TabReg[ASML1])</totalsRowFormula>
    </tableColumn>
    <tableColumn id="181" xr3:uid="{4FFE09BD-40A8-0846-9183-DCBB01B1E7C1}" name="ASML2" totalsRowFunction="custom" dataDxfId="1826" totalsRowDxfId="1105" dataCellStyle="Comma">
      <totalsRowFormula>COUNT(TabReg[ASML2])</totalsRowFormula>
    </tableColumn>
    <tableColumn id="175" xr3:uid="{C078EC90-D9D7-E54A-B14B-6247837CA7D1}" name="AVGO" totalsRowFunction="custom" dataDxfId="1825" totalsRowDxfId="1104" dataCellStyle="Comma">
      <totalsRowFormula>COUNT(TabReg[AVGO])</totalsRowFormula>
    </tableColumn>
    <tableColumn id="174" xr3:uid="{4907FD99-23B8-0C46-B85B-0B8F78B3E102}" name="AVGO1" totalsRowFunction="custom" dataDxfId="1824" totalsRowDxfId="1103" dataCellStyle="Comma">
      <totalsRowFormula>COUNT(TabReg[AVGO1])</totalsRowFormula>
    </tableColumn>
    <tableColumn id="173" xr3:uid="{BBB39EE6-6F6F-BE4E-ABA4-34B7CD29B270}" name="AVGO2" totalsRowFunction="custom" dataDxfId="1823" totalsRowDxfId="1102" dataCellStyle="Comma">
      <totalsRowFormula>COUNT(TabReg[AVGO2])</totalsRowFormula>
    </tableColumn>
    <tableColumn id="279" xr3:uid="{7779299B-53A0-B24B-931D-BAB9A59FEE4F}" name="AZN" totalsRowFunction="custom" dataDxfId="1822" totalsRowDxfId="1101" dataCellStyle="Comma">
      <totalsRowFormula>COUNT(TabReg[AZN])</totalsRowFormula>
    </tableColumn>
    <tableColumn id="280" xr3:uid="{E931132A-A088-874A-B802-74955F5A51ED}" name="AZN1" totalsRowFunction="custom" dataDxfId="1821" totalsRowDxfId="1100" dataCellStyle="Comma">
      <totalsRowFormula>COUNT(TabReg[AZN1])</totalsRowFormula>
    </tableColumn>
    <tableColumn id="278" xr3:uid="{2DB0600A-9980-454D-B57C-8E1729380840}" name="AZN2" totalsRowFunction="custom" dataDxfId="1820" totalsRowDxfId="1099" dataCellStyle="Comma">
      <totalsRowFormula>COUNT(TabReg[AZN2])</totalsRowFormula>
    </tableColumn>
    <tableColumn id="290" xr3:uid="{3A948DBC-E554-114B-9856-05ED7CFD7F8C}" name="BLDP" totalsRowFunction="custom" dataDxfId="1819" totalsRowDxfId="1098" dataCellStyle="Comma">
      <totalsRowFormula>COUNT(TabReg[BLDP])</totalsRowFormula>
    </tableColumn>
    <tableColumn id="291" xr3:uid="{EBF4CFFB-7F3F-A648-AA96-9F683DEB40C2}" name="BLDP1" totalsRowFunction="custom" dataDxfId="1818" totalsRowDxfId="1097" dataCellStyle="Comma">
      <totalsRowFormula>COUNT(TabReg[BLDP1])</totalsRowFormula>
    </tableColumn>
    <tableColumn id="292" xr3:uid="{DEF375A3-1AEB-1447-AAA1-210FF59FFAB3}" name="BLDP2" totalsRowFunction="custom" dataDxfId="1817" totalsRowDxfId="1096" dataCellStyle="Comma">
      <totalsRowFormula>COUNT(TabReg[BLDP2])</totalsRowFormula>
    </tableColumn>
    <tableColumn id="281" xr3:uid="{3B2EE5F2-7BA3-4944-9A29-0E94A422A457}" name="BMRA" totalsRowFunction="custom" dataDxfId="1816" totalsRowDxfId="1095" dataCellStyle="Comma">
      <totalsRowFormula>COUNT(TabReg[BMRA])</totalsRowFormula>
    </tableColumn>
    <tableColumn id="282" xr3:uid="{7CAF9C5B-8DD1-DC42-8DE9-44E2726437AF}" name="BMRA1" totalsRowFunction="custom" dataDxfId="1815" totalsRowDxfId="1094" dataCellStyle="Comma">
      <totalsRowFormula>COUNT(TabReg[BMRA1])</totalsRowFormula>
    </tableColumn>
    <tableColumn id="283" xr3:uid="{86EB1738-523E-9446-A1FD-BA96C5EEC9D8}" name="BMRA2" totalsRowFunction="custom" dataDxfId="1814" totalsRowDxfId="1093" dataCellStyle="Comma">
      <totalsRowFormula>COUNT(TabReg[BMRA2])</totalsRowFormula>
    </tableColumn>
    <tableColumn id="17" xr3:uid="{6CE9E4BB-2E28-D048-BEC8-1E8072E45461}" name="C" totalsRowFunction="custom" dataDxfId="1813" totalsRowDxfId="1092" dataCellStyle="Comma">
      <totalsRowFormula>COUNT(TabReg[C])</totalsRowFormula>
    </tableColumn>
    <tableColumn id="18" xr3:uid="{9335FB1F-2111-9347-8BEA-BA672F606FE1}" name="C1" totalsRowFunction="custom" dataDxfId="1812" totalsRowDxfId="1091" dataCellStyle="Comma">
      <totalsRowFormula>COUNT(TabReg[C1])</totalsRowFormula>
    </tableColumn>
    <tableColumn id="19" xr3:uid="{47B8B9DB-56E0-4849-B633-AB8E567BC6A2}" name="C2" totalsRowFunction="custom" dataDxfId="1811" totalsRowDxfId="1090" dataCellStyle="Comma">
      <totalsRowFormula>COUNT(TabReg[C2])</totalsRowFormula>
    </tableColumn>
    <tableColumn id="20" xr3:uid="{66BF6E62-9341-8D45-8C56-4B59337C40DE}" name="CSCO" totalsRowFunction="custom" dataDxfId="1810" totalsRowDxfId="1089" dataCellStyle="Comma">
      <totalsRowFormula>COUNT(TabReg[CSCO])</totalsRowFormula>
    </tableColumn>
    <tableColumn id="21" xr3:uid="{0766B374-52D4-2947-BA01-337368F5998F}" name="CSCO1" totalsRowFunction="custom" dataDxfId="1809" totalsRowDxfId="1088" dataCellStyle="Comma">
      <totalsRowFormula>COUNT(TabReg[CSCO1])</totalsRowFormula>
    </tableColumn>
    <tableColumn id="22" xr3:uid="{9342CC24-A8C2-5B40-86F8-AEAC5372742F}" name="CSCO2" totalsRowFunction="custom" dataDxfId="1808" totalsRowDxfId="1087" dataCellStyle="Comma">
      <totalsRowFormula>COUNT(TabReg[CSCO2])</totalsRowFormula>
    </tableColumn>
    <tableColumn id="23" xr3:uid="{3B6738B7-B322-7B41-9D51-6C47F21F1EC2}" name="CVS" totalsRowFunction="custom" dataDxfId="1807" totalsRowDxfId="1086" dataCellStyle="Comma">
      <totalsRowFormula>COUNT(TabReg[CVS])</totalsRowFormula>
    </tableColumn>
    <tableColumn id="24" xr3:uid="{69FD021F-7252-9E48-A9C1-B58E1E44090C}" name="CVS1" totalsRowFunction="custom" dataDxfId="1806" totalsRowDxfId="1085" dataCellStyle="Comma">
      <totalsRowFormula>COUNT(TabReg[CVS1])</totalsRowFormula>
    </tableColumn>
    <tableColumn id="25" xr3:uid="{1459F42D-6ADD-C642-9895-1BEA61E6EB67}" name="CVS2" totalsRowFunction="custom" dataDxfId="1805" totalsRowDxfId="1084" dataCellStyle="Comma">
      <totalsRowFormula>COUNT(TabReg[CVS2])</totalsRowFormula>
    </tableColumn>
    <tableColumn id="26" xr3:uid="{063E938B-FAE4-744E-9F28-8F39125ADC16}" name="DDD" totalsRowFunction="custom" dataDxfId="1804" totalsRowDxfId="1083">
      <totalsRowFormula>COUNT(TabReg[DDD])</totalsRowFormula>
    </tableColumn>
    <tableColumn id="27" xr3:uid="{1C7D2960-4D7C-3A43-864A-9D2F2207D012}" name="DDD1" totalsRowFunction="custom" dataDxfId="1803" totalsRowDxfId="1082" dataCellStyle="Comma">
      <totalsRowFormula>COUNT(TabReg[DDD1])</totalsRowFormula>
    </tableColumn>
    <tableColumn id="28" xr3:uid="{1BEB1AF9-8C3C-B04C-9A62-E35492C2C4B4}" name="DDD2" totalsRowFunction="custom" dataDxfId="1802" totalsRowDxfId="1081" dataCellStyle="Comma">
      <totalsRowFormula>COUNT(TabReg[DDD2])</totalsRowFormula>
    </tableColumn>
    <tableColumn id="29" xr3:uid="{ABF122A5-B5D9-754E-898C-5A469C089337}" name="DIS" totalsRowFunction="custom" dataDxfId="1801" totalsRowDxfId="1080">
      <totalsRowFormula>COUNT(TabReg[DIS])</totalsRowFormula>
    </tableColumn>
    <tableColumn id="30" xr3:uid="{7C2A5D2F-4040-8040-8346-E75A957CFF74}" name="DIS1" totalsRowFunction="custom" dataDxfId="1800" totalsRowDxfId="1079" dataCellStyle="Comma">
      <totalsRowFormula>COUNT(TabReg[DIS1])</totalsRowFormula>
    </tableColumn>
    <tableColumn id="31" xr3:uid="{3D5AE59B-27C1-0F4D-8490-91E3B001EC18}" name="DIS2" totalsRowFunction="custom" dataDxfId="1799" totalsRowDxfId="1078" dataCellStyle="Comma">
      <totalsRowFormula>COUNT(TabReg[DIS2])</totalsRowFormula>
    </tableColumn>
    <tableColumn id="32" xr3:uid="{D9A01F25-6BC9-2A4C-BE7A-8A095A4F4699}" name="DSY" totalsRowFunction="custom" dataDxfId="1798" totalsRowDxfId="1077">
      <totalsRowFormula>COUNT(TabReg[DSY])</totalsRowFormula>
    </tableColumn>
    <tableColumn id="33" xr3:uid="{345BC183-7AAE-3C47-BE0D-B82379F2CAE1}" name="DSY1" totalsRowFunction="custom" dataDxfId="1797" totalsRowDxfId="1076" dataCellStyle="Comma">
      <totalsRowFormula>COUNT(TabReg[DSY1])</totalsRowFormula>
    </tableColumn>
    <tableColumn id="34" xr3:uid="{25CD66A3-4CD6-E742-B453-45470819DC16}" name="DSY2" totalsRowFunction="custom" dataDxfId="1796" totalsRowDxfId="1075" dataCellStyle="Comma">
      <totalsRowFormula>COUNT(TabReg[DSY2])</totalsRowFormula>
    </tableColumn>
    <tableColumn id="35" xr3:uid="{D83AFDCF-42BD-564D-9427-1D78C6682439}" name="DVA" totalsRowFunction="custom" dataDxfId="1795" totalsRowDxfId="1074">
      <totalsRowFormula>COUNT(TabReg[DVA])</totalsRowFormula>
    </tableColumn>
    <tableColumn id="36" xr3:uid="{C061890B-B5E9-6841-8038-940695CA8CF1}" name="DVA1" totalsRowFunction="custom" dataDxfId="1794" totalsRowDxfId="1073" dataCellStyle="Comma">
      <totalsRowFormula>COUNT(TabReg[DVA1])</totalsRowFormula>
    </tableColumn>
    <tableColumn id="37" xr3:uid="{BDA00239-5392-EB47-861F-6CC9421DE4C2}" name="DVA2" totalsRowFunction="custom" dataDxfId="1793" totalsRowDxfId="1072" dataCellStyle="Comma">
      <totalsRowFormula>COUNT(TabReg[DVA2])</totalsRowFormula>
    </tableColumn>
    <tableColumn id="38" xr3:uid="{EAB6CDF7-DCC5-3947-82F8-B20B36657868}" name="DXC" totalsRowFunction="custom" dataDxfId="1792" totalsRowDxfId="1071">
      <totalsRowFormula>COUNT(TabReg[DXC])</totalsRowFormula>
    </tableColumn>
    <tableColumn id="39" xr3:uid="{70295CBC-7FD4-C542-97C0-076D2DBB8560}" name="DXC1" totalsRowFunction="custom" dataDxfId="1791" totalsRowDxfId="1070" dataCellStyle="Comma">
      <totalsRowFormula>COUNT(TabReg[DXC1])</totalsRowFormula>
    </tableColumn>
    <tableColumn id="40" xr3:uid="{FD803DE8-0F34-1F4F-B4CA-C142B6124013}" name="DXC2" totalsRowFunction="custom" dataDxfId="1790" totalsRowDxfId="1069" dataCellStyle="Comma">
      <totalsRowFormula>COUNT(TabReg[DXC2])</totalsRowFormula>
    </tableColumn>
    <tableColumn id="41" xr3:uid="{883A6563-5D30-3647-A642-03C1D2587F09}" name="EOAN" totalsRowFunction="custom" dataDxfId="1789" totalsRowDxfId="1068">
      <totalsRowFormula>COUNT(TabReg[EOAN])</totalsRowFormula>
    </tableColumn>
    <tableColumn id="42" xr3:uid="{DA9DDAAE-CAB2-6143-95E1-1416DF9923B1}" name="EOAN1" totalsRowFunction="custom" dataDxfId="1788" totalsRowDxfId="1067" dataCellStyle="Comma">
      <totalsRowFormula>COUNT(TabReg[EOAN1])</totalsRowFormula>
    </tableColumn>
    <tableColumn id="43" xr3:uid="{313E3763-ACA8-6547-84D3-3905F0AEFB64}" name="EOAN2" totalsRowFunction="custom" dataDxfId="1787" totalsRowDxfId="1066" dataCellStyle="Comma">
      <totalsRowFormula>COUNT(TabReg[EOAN2])</totalsRowFormula>
    </tableColumn>
    <tableColumn id="44" xr3:uid="{DE961D13-327B-554F-B7CF-C73C3AEF6BBD}" name="EPIX" totalsRowFunction="custom" dataDxfId="1786" totalsRowDxfId="1065">
      <totalsRowFormula>COUNT(TabReg[EPIX])</totalsRowFormula>
    </tableColumn>
    <tableColumn id="45" xr3:uid="{6C6AE2AF-0CFC-044D-B320-623532E243D7}" name="EPIX1" totalsRowFunction="custom" dataDxfId="1785" totalsRowDxfId="1064" dataCellStyle="Comma">
      <totalsRowFormula>COUNT(TabReg[EPIX1])</totalsRowFormula>
    </tableColumn>
    <tableColumn id="46" xr3:uid="{A85AEFAE-0C46-2342-A2A0-03C1C03F2383}" name="EPIX2" totalsRowFunction="custom" dataDxfId="1784" totalsRowDxfId="1063" dataCellStyle="Comma">
      <totalsRowFormula>COUNT(TabReg[EPIX2])</totalsRowFormula>
    </tableColumn>
    <tableColumn id="47" xr3:uid="{1034943A-F82F-A944-8F7E-1E4A894BCAF1}" name="GM" totalsRowFunction="custom" dataDxfId="1783" totalsRowDxfId="1062">
      <totalsRowFormula>COUNT(TabReg[GM])</totalsRowFormula>
    </tableColumn>
    <tableColumn id="48" xr3:uid="{51DE31AC-13D3-CD46-B5FE-5DA3D9A31D71}" name="GM1" totalsRowFunction="custom" dataDxfId="1782" totalsRowDxfId="1061" dataCellStyle="Comma">
      <totalsRowFormula>COUNT(TabReg[GM1])</totalsRowFormula>
    </tableColumn>
    <tableColumn id="49" xr3:uid="{574522F8-74D0-F04C-86A4-21E8FF51BAF4}" name="GM2" totalsRowFunction="custom" dataDxfId="1781" totalsRowDxfId="1060" dataCellStyle="Comma">
      <totalsRowFormula>COUNT(TabReg[GM2])</totalsRowFormula>
    </tableColumn>
    <tableColumn id="50" xr3:uid="{F1F680B7-6221-4B43-9EEC-42EADC72535E}" name="HPE" totalsRowFunction="custom" dataDxfId="1780" totalsRowDxfId="1059">
      <totalsRowFormula>COUNT(TabReg[HPE])</totalsRowFormula>
    </tableColumn>
    <tableColumn id="51" xr3:uid="{A794E8F2-2178-E945-A531-C9DEAC87C0CF}" name="HPE1" totalsRowFunction="custom" dataDxfId="1779" totalsRowDxfId="1058" dataCellStyle="Comma">
      <totalsRowFormula>COUNT(TabReg[HPE1])</totalsRowFormula>
    </tableColumn>
    <tableColumn id="52" xr3:uid="{74900C8F-AF95-EF44-8790-FF51D716DB9C}" name="HPE2" totalsRowFunction="custom" dataDxfId="1778" totalsRowDxfId="1057" dataCellStyle="Comma">
      <totalsRowFormula>COUNT(TabReg[HPE2])</totalsRowFormula>
    </tableColumn>
    <tableColumn id="53" xr3:uid="{9E4C7D64-DCA6-8149-AAA3-41838EBEED0F}" name="HPQ" totalsRowFunction="custom" dataDxfId="1777" totalsRowDxfId="1056">
      <totalsRowFormula>COUNT(TabReg[HPQ])</totalsRowFormula>
    </tableColumn>
    <tableColumn id="54" xr3:uid="{3322AA64-E865-144B-80CB-759A3279236E}" name="HPQ1" totalsRowFunction="custom" dataDxfId="1776" totalsRowDxfId="1055" dataCellStyle="Comma">
      <totalsRowFormula>COUNT(TabReg[HPQ1])</totalsRowFormula>
    </tableColumn>
    <tableColumn id="55" xr3:uid="{94334F80-D1DF-404A-B3D8-EF0FA062E0F9}" name="HPQ2" totalsRowFunction="custom" dataDxfId="1775" totalsRowDxfId="1054" dataCellStyle="Comma">
      <totalsRowFormula>COUNT(TabReg[HPQ2])</totalsRowFormula>
    </tableColumn>
    <tableColumn id="284" xr3:uid="{B51A72A3-F030-9F40-92FE-BF02BB2A5D59}" name="IAG" totalsRowFunction="custom" dataDxfId="1774" totalsRowDxfId="1053">
      <totalsRowFormula>COUNT(TabReg[IAG])</totalsRowFormula>
    </tableColumn>
    <tableColumn id="285" xr3:uid="{CEA5A13B-039C-444A-8A33-BDB427ADC196}" name="IAG1" totalsRowFunction="custom" dataDxfId="1773" totalsRowDxfId="1052" dataCellStyle="Comma">
      <totalsRowFormula>COUNT(TabReg[IAG1])</totalsRowFormula>
    </tableColumn>
    <tableColumn id="286" xr3:uid="{2E05A3E4-533D-F646-8DBA-FDCA0D064519}" name="IAG2" totalsRowFunction="custom" dataDxfId="1772" totalsRowDxfId="1051" dataCellStyle="Comma">
      <totalsRowFormula>COUNT(TabReg[IAG2])</totalsRowFormula>
    </tableColumn>
    <tableColumn id="56" xr3:uid="{6F12E7F1-8AF1-1846-AF5B-31B60034E0D7}" name="KR" totalsRowFunction="custom" dataDxfId="1771" totalsRowDxfId="1050">
      <totalsRowFormula>COUNT(TabReg[KR])</totalsRowFormula>
    </tableColumn>
    <tableColumn id="57" xr3:uid="{5BEC4E93-146D-7245-8EDE-093807DDEE21}" name="KR1" totalsRowFunction="custom" dataDxfId="1770" totalsRowDxfId="1049" dataCellStyle="Comma">
      <totalsRowFormula>COUNT(TabReg[KR1])</totalsRowFormula>
    </tableColumn>
    <tableColumn id="58" xr3:uid="{717517AC-D851-A04B-9414-52C005882D84}" name="KR2" totalsRowFunction="custom" dataDxfId="1769" totalsRowDxfId="1048" dataCellStyle="Comma">
      <totalsRowFormula>COUNT(TabReg[KR2])</totalsRowFormula>
    </tableColumn>
    <tableColumn id="59" xr3:uid="{D021B57D-07DD-E947-B756-65EFC624E3F3}" name="LNSR" totalsRowFunction="custom" dataDxfId="1768" totalsRowDxfId="1047">
      <totalsRowFormula>COUNT(TabReg[LNSR])</totalsRowFormula>
    </tableColumn>
    <tableColumn id="60" xr3:uid="{66BE0145-D170-4D49-8DAC-3456350BE6D9}" name="LNSR1" totalsRowFunction="custom" dataDxfId="1767" totalsRowDxfId="1046" dataCellStyle="Comma">
      <totalsRowFormula>COUNT(TabReg[LNSR1])</totalsRowFormula>
    </tableColumn>
    <tableColumn id="61" xr3:uid="{7AD7594E-BCF1-7E48-8728-03B525428275}" name="LNSR2" totalsRowFunction="custom" dataDxfId="1766" totalsRowDxfId="1045" dataCellStyle="Comma">
      <totalsRowFormula>COUNT(TabReg[LNSR2])</totalsRowFormula>
    </tableColumn>
    <tableColumn id="62" xr3:uid="{43377BA1-60BD-EE40-894C-18287FDB1B16}" name="LUMN" totalsRowFunction="custom" dataDxfId="1765" totalsRowDxfId="1044">
      <totalsRowFormula>COUNT(TabReg[LUMN])</totalsRowFormula>
    </tableColumn>
    <tableColumn id="63" xr3:uid="{AD8D0B7B-217E-934B-A293-F7C63FBED141}" name="LUMN1" totalsRowFunction="custom" dataDxfId="1764" totalsRowDxfId="1043" dataCellStyle="Comma">
      <totalsRowFormula>COUNT(TabReg[LUMN1])</totalsRowFormula>
    </tableColumn>
    <tableColumn id="64" xr3:uid="{A870C284-0CA4-AE40-9EE1-3AB29BC5D4F3}" name="LUMN2" totalsRowFunction="custom" dataDxfId="1763" totalsRowDxfId="1042" dataCellStyle="Comma">
      <totalsRowFormula>COUNT(TabReg[LUMN2])</totalsRowFormula>
    </tableColumn>
    <tableColumn id="65" xr3:uid="{E275E28D-3757-9044-A4A4-D99F5D566005}" name="MRNA" totalsRowFunction="custom" dataDxfId="1762" totalsRowDxfId="1041">
      <totalsRowFormula>COUNT(TabReg[MRNA])</totalsRowFormula>
    </tableColumn>
    <tableColumn id="66" xr3:uid="{6AD855FC-9BBF-C445-985D-CA7838F8FD2D}" name="MRNA1" totalsRowFunction="custom" dataDxfId="1761" totalsRowDxfId="1040" dataCellStyle="Comma">
      <totalsRowFormula>COUNT(TabReg[MRNA1])</totalsRowFormula>
    </tableColumn>
    <tableColumn id="67" xr3:uid="{3068B037-08B2-D448-9549-6A149801D195}" name="MRNA2" totalsRowFunction="custom" dataDxfId="1760" totalsRowDxfId="1039" dataCellStyle="Comma">
      <totalsRowFormula>COUNT(TabReg[MRNA2])</totalsRowFormula>
    </tableColumn>
    <tableColumn id="68" xr3:uid="{49549E71-6C51-4A4C-B492-0153C310953B}" name="MSFT" totalsRowFunction="custom" dataDxfId="1759" totalsRowDxfId="1038">
      <totalsRowFormula>COUNT(TabReg[MSFT])</totalsRowFormula>
    </tableColumn>
    <tableColumn id="69" xr3:uid="{8DF195BA-794A-0A40-8685-FAE62977224A}" name="MSFT1" totalsRowFunction="custom" dataDxfId="1758" totalsRowDxfId="1037" dataCellStyle="Comma">
      <totalsRowFormula>COUNT(TabReg[MSFT1])</totalsRowFormula>
    </tableColumn>
    <tableColumn id="70" xr3:uid="{E7B650AE-A343-1F4D-B438-EAF54796762D}" name="MSFT2" totalsRowFunction="custom" dataDxfId="1757" totalsRowDxfId="1036" dataCellStyle="Comma">
      <totalsRowFormula>COUNT(TabReg[MSFT2])</totalsRowFormula>
    </tableColumn>
    <tableColumn id="71" xr3:uid="{4607C2AF-82CF-2243-A48D-A39169CBA57A}" name="NEE" totalsRowFunction="custom" dataDxfId="1756" totalsRowDxfId="1035">
      <totalsRowFormula>COUNT(TabReg[NEE])</totalsRowFormula>
    </tableColumn>
    <tableColumn id="72" xr3:uid="{5D4EB61A-7397-9E47-8536-E31BAAA24355}" name="NEE1" totalsRowFunction="custom" dataDxfId="1755" totalsRowDxfId="1034" dataCellStyle="Comma">
      <totalsRowFormula>COUNT(TabReg[NEE1])</totalsRowFormula>
    </tableColumn>
    <tableColumn id="73" xr3:uid="{B6AABF8F-F7D4-BB41-AAD4-AFCC47585858}" name="NEE2" totalsRowFunction="custom" dataDxfId="1754" totalsRowDxfId="1033" dataCellStyle="Comma">
      <totalsRowFormula>COUNT(TabReg[NEE2])</totalsRowFormula>
    </tableColumn>
    <tableColumn id="74" xr3:uid="{52882C01-3B38-C744-BF22-E05F01808FEE}" name="NEM" totalsRowFunction="custom" dataDxfId="1753" totalsRowDxfId="1032">
      <totalsRowFormula>COUNT(TabReg[NEM])</totalsRowFormula>
    </tableColumn>
    <tableColumn id="75" xr3:uid="{24398854-C209-6C4B-9B66-920EB4C8B544}" name="NEM1" totalsRowFunction="custom" dataDxfId="1752" totalsRowDxfId="1031" dataCellStyle="Comma">
      <totalsRowFormula>COUNT(TabReg[NEM1])</totalsRowFormula>
    </tableColumn>
    <tableColumn id="76" xr3:uid="{3597365E-AEEA-6047-A23F-2848214BCC19}" name="NEM2" totalsRowFunction="custom" dataDxfId="1751" totalsRowDxfId="1030" dataCellStyle="Comma">
      <totalsRowFormula>COUNT(TabReg[NEM2])</totalsRowFormula>
    </tableColumn>
    <tableColumn id="77" xr3:uid="{4BD1BB60-3B6E-B547-9FE0-2B384EFF0910}" name="NFLX" totalsRowFunction="custom" dataDxfId="1750" totalsRowDxfId="1029">
      <totalsRowFormula>COUNT(TabReg[NFLX])</totalsRowFormula>
    </tableColumn>
    <tableColumn id="78" xr3:uid="{CAF9351A-3A29-0D44-B1EE-3271D7689AFA}" name="NFLX1" totalsRowFunction="custom" dataDxfId="1749" totalsRowDxfId="1028" dataCellStyle="Comma">
      <totalsRowFormula>COUNT(TabReg[NFLX1])</totalsRowFormula>
    </tableColumn>
    <tableColumn id="79" xr3:uid="{0510658C-3791-4748-BD84-8C9883EE2448}" name="NFLX2" totalsRowFunction="custom" dataDxfId="1748" totalsRowDxfId="1027" dataCellStyle="Comma">
      <totalsRowFormula>COUNT(TabReg[NFLX2])</totalsRowFormula>
    </tableColumn>
    <tableColumn id="80" xr3:uid="{442BD350-9075-D64B-8A88-64DCBE51B30A}" name="NOTE" totalsRowFunction="custom" dataDxfId="1747" totalsRowDxfId="1026">
      <totalsRowFormula>COUNT(TabReg[NOTE])</totalsRowFormula>
    </tableColumn>
    <tableColumn id="81" xr3:uid="{6DE1FDFB-FFF4-AC4C-AF68-9F7F0CF3B558}" name="NOTE1" totalsRowFunction="custom" dataDxfId="1746" totalsRowDxfId="1025" dataCellStyle="Comma">
      <totalsRowFormula>COUNT(TabReg[NOTE1])</totalsRowFormula>
    </tableColumn>
    <tableColumn id="82" xr3:uid="{DE24F44E-8FA3-B048-82A8-E77F97825CA4}" name="NOTE2" totalsRowFunction="custom" dataDxfId="1745" totalsRowDxfId="1024" dataCellStyle="Comma">
      <totalsRowFormula>COUNT(TabReg[NOTE2])</totalsRowFormula>
    </tableColumn>
    <tableColumn id="83" xr3:uid="{9F6B78F2-DBBC-1A46-A62D-57E0901EF550}" name="PAAS" totalsRowFunction="custom" dataDxfId="1744" totalsRowDxfId="1023">
      <totalsRowFormula>COUNT(TabReg[PAAS])</totalsRowFormula>
    </tableColumn>
    <tableColumn id="84" xr3:uid="{0C908565-3389-EC4E-A6AB-52D31DD4689D}" name="PAAS1" totalsRowFunction="custom" dataDxfId="1743" totalsRowDxfId="1022" dataCellStyle="Comma">
      <totalsRowFormula>COUNT(TabReg[PAAS1])</totalsRowFormula>
    </tableColumn>
    <tableColumn id="85" xr3:uid="{2B626666-3F4C-DA47-9281-BDA5E66093CD}" name="PAAS2" totalsRowFunction="custom" dataDxfId="1742" totalsRowDxfId="1021" dataCellStyle="Comma">
      <totalsRowFormula>COUNT(TabReg[PAAS2])</totalsRowFormula>
    </tableColumn>
    <tableColumn id="86" xr3:uid="{F4E3303B-0E98-4C4C-AE0B-E64934CC95A6}" name="PROF" totalsRowFunction="custom" dataDxfId="1741" totalsRowDxfId="1020">
      <totalsRowFormula>COUNT(TabReg[PROF])</totalsRowFormula>
    </tableColumn>
    <tableColumn id="87" xr3:uid="{DE03D08F-9F3C-D449-A3B5-8748D00BFE01}" name="PROF1" totalsRowFunction="custom" dataDxfId="1740" totalsRowDxfId="1019" dataCellStyle="Comma">
      <totalsRowFormula>COUNT(TabReg[PROF1])</totalsRowFormula>
    </tableColumn>
    <tableColumn id="88" xr3:uid="{3569531C-2EA3-5B48-A18A-1DCF94D98401}" name="PROF2" totalsRowFunction="custom" dataDxfId="1739" totalsRowDxfId="1018" dataCellStyle="Comma">
      <totalsRowFormula>COUNT(TabReg[PROF2])</totalsRowFormula>
    </tableColumn>
    <tableColumn id="89" xr3:uid="{75113B95-6171-E140-BB9D-63439FA70099}" name="POET" totalsRowFunction="custom" dataDxfId="1738" totalsRowDxfId="1017">
      <totalsRowFormula>COUNT(TabReg[POET])</totalsRowFormula>
    </tableColumn>
    <tableColumn id="90" xr3:uid="{83152C3B-8CD6-B143-9EB4-93109EC82770}" name="POET1" totalsRowFunction="custom" dataDxfId="1737" totalsRowDxfId="1016" dataCellStyle="Comma">
      <totalsRowFormula>COUNT(TabReg[POET1])</totalsRowFormula>
    </tableColumn>
    <tableColumn id="91" xr3:uid="{3E7BB71D-2688-9E47-A610-5D73CD9AA787}" name="POET2" totalsRowFunction="custom" dataDxfId="1736" totalsRowDxfId="1015" dataCellStyle="Comma">
      <totalsRowFormula>COUNT(TabReg[POET2])</totalsRowFormula>
    </tableColumn>
    <tableColumn id="92" xr3:uid="{CE5B0666-9EC2-054D-AFC3-C980131F81B8}" name="PW" totalsRowFunction="custom" dataDxfId="1735" totalsRowDxfId="1014">
      <totalsRowFormula>COUNT(TabReg[PW])</totalsRowFormula>
    </tableColumn>
    <tableColumn id="93" xr3:uid="{0E0F1866-7C84-6648-9FED-367E22A8B639}" name="PW1" totalsRowFunction="custom" dataDxfId="1734" totalsRowDxfId="1013" dataCellStyle="Comma">
      <totalsRowFormula>COUNT(TabReg[PW1])</totalsRowFormula>
    </tableColumn>
    <tableColumn id="94" xr3:uid="{73BAB3D4-5375-1246-9E6A-2A0B4994EC3C}" name="PW2" totalsRowFunction="custom" dataDxfId="1733" totalsRowDxfId="1012" dataCellStyle="Comma">
      <totalsRowFormula>COUNT(TabReg[PW2])</totalsRowFormula>
    </tableColumn>
    <tableColumn id="95" xr3:uid="{62667957-E2C9-3A47-8AEA-85E8FB7BF330}" name="RIGL" totalsRowFunction="custom" dataDxfId="1732" totalsRowDxfId="1011">
      <totalsRowFormula>COUNT(TabReg[RIGL])</totalsRowFormula>
    </tableColumn>
    <tableColumn id="96" xr3:uid="{8F4D9886-9333-4148-B2C7-5C81493AE4BD}" name="RIGL1" totalsRowFunction="custom" dataDxfId="1731" totalsRowDxfId="1010" dataCellStyle="Comma">
      <totalsRowFormula>COUNT(TabReg[RIGL1])</totalsRowFormula>
    </tableColumn>
    <tableColumn id="97" xr3:uid="{680094D7-06F8-524C-BA76-746BA0D1D205}" name="RIGL2" totalsRowFunction="custom" dataDxfId="1730" totalsRowDxfId="1009" dataCellStyle="Comma">
      <totalsRowFormula>COUNT(TabReg[RIGL2])</totalsRowFormula>
    </tableColumn>
    <tableColumn id="98" xr3:uid="{D886DD55-C3E7-634E-8462-B3FD2D56434A}" name="RWE" totalsRowFunction="custom" dataDxfId="1729" totalsRowDxfId="1008">
      <totalsRowFormula>COUNT(TabReg[RWE])</totalsRowFormula>
    </tableColumn>
    <tableColumn id="99" xr3:uid="{0A4DDF35-0DBD-7440-B2AE-2C35740FECF2}" name="RWE1" totalsRowFunction="custom" dataDxfId="1728" totalsRowDxfId="1007" dataCellStyle="Comma">
      <totalsRowFormula>COUNT(TabReg[RWE1])</totalsRowFormula>
    </tableColumn>
    <tableColumn id="100" xr3:uid="{6A68AE46-0376-A040-8013-9EF9BEF52B13}" name="RWE2" totalsRowFunction="custom" dataDxfId="1727" totalsRowDxfId="1006" dataCellStyle="Comma">
      <totalsRowFormula>COUNT(TabReg[RWE2])</totalsRowFormula>
    </tableColumn>
    <tableColumn id="185" xr3:uid="{DE00E83F-2920-024F-B423-12D5FAE83151}" name="SAP" totalsRowFunction="custom" dataDxfId="1726" totalsRowDxfId="1005">
      <totalsRowFormula>COUNT(TabReg[SAP])</totalsRowFormula>
    </tableColumn>
    <tableColumn id="186" xr3:uid="{3F10E388-7AB3-E043-80E3-1DED6BD713F1}" name="SAP1" totalsRowFunction="custom" dataDxfId="1725" totalsRowDxfId="1004" dataCellStyle="Comma">
      <totalsRowFormula>COUNT(TabReg[SAP1])</totalsRowFormula>
    </tableColumn>
    <tableColumn id="187" xr3:uid="{E8D0D7A6-83F5-A64B-96E4-6B51993BBD00}" name="SAP2" totalsRowFunction="custom" dataDxfId="1724" totalsRowDxfId="1003">
      <totalsRowFormula>COUNT(TabReg[SAP2])</totalsRowFormula>
    </tableColumn>
    <tableColumn id="188" xr3:uid="{C8262558-0B27-4A44-BF9A-0898AD5C5095}" name="SHECY" totalsRowFunction="custom" dataDxfId="1723" totalsRowDxfId="1002">
      <totalsRowFormula>COUNT(TabReg[SHECY])</totalsRowFormula>
    </tableColumn>
    <tableColumn id="189" xr3:uid="{2C6CC351-BB1F-AA4A-860C-3C1D2C50A4FC}" name="SHECY1" totalsRowFunction="custom" dataDxfId="1722" totalsRowDxfId="1001" dataCellStyle="Comma">
      <totalsRowFormula>COUNT(TabReg[SHECY1])</totalsRowFormula>
    </tableColumn>
    <tableColumn id="190" xr3:uid="{98889618-47DC-2149-B0F2-6618201B43B0}" name="SHECY2" totalsRowFunction="custom" dataDxfId="1721" totalsRowDxfId="1000">
      <totalsRowFormula>COUNT(TabReg[SHECY2])</totalsRowFormula>
    </tableColumn>
    <tableColumn id="101" xr3:uid="{521C5459-0F23-5347-9B6A-EDC0A3E3BC25}" name="SSYS" totalsRowFunction="custom" dataDxfId="1720" totalsRowDxfId="999">
      <totalsRowFormula>COUNT(TabReg[SSYS])</totalsRowFormula>
    </tableColumn>
    <tableColumn id="102" xr3:uid="{6FB8136B-6631-984D-9D04-2A5E527DD95D}" name="SSYS1" totalsRowFunction="custom" dataDxfId="1719" totalsRowDxfId="998" dataCellStyle="Comma">
      <totalsRowFormula>COUNT(TabReg[SSYS1])</totalsRowFormula>
    </tableColumn>
    <tableColumn id="103" xr3:uid="{913E48BF-4356-634C-ADC3-621D146F4A17}" name="SSYS2" totalsRowFunction="custom" dataDxfId="1718" totalsRowDxfId="997" dataCellStyle="Comma">
      <totalsRowFormula>COUNT(TabReg[SSYS2])</totalsRowFormula>
    </tableColumn>
    <tableColumn id="104" xr3:uid="{2456B9BF-4D21-D54C-A793-6973577C34DE}" name="TSLA" totalsRowFunction="custom" dataDxfId="1717" totalsRowDxfId="996">
      <totalsRowFormula>COUNT(TabReg[TSLA])</totalsRowFormula>
    </tableColumn>
    <tableColumn id="105" xr3:uid="{B8E3C6CF-2410-9448-99CC-EA470C412ADB}" name="TSLA1" totalsRowFunction="custom" dataDxfId="1716" totalsRowDxfId="995" dataCellStyle="Comma">
      <totalsRowFormula>COUNT(TabReg[TSLA1])</totalsRowFormula>
    </tableColumn>
    <tableColumn id="106" xr3:uid="{6DABB6B4-568C-E242-BA9A-66B1823D06FB}" name="TSLA2" totalsRowFunction="custom" dataDxfId="1715" totalsRowDxfId="994" dataCellStyle="Comma">
      <totalsRowFormula>COUNT(TabReg[TSLA2])</totalsRowFormula>
    </tableColumn>
    <tableColumn id="107" xr3:uid="{7B18E74E-1F96-DE49-A713-7E8C042E7F88}" name="TSM" totalsRowFunction="custom" dataDxfId="1714" totalsRowDxfId="993">
      <totalsRowFormula>COUNT(TabReg[TSM])</totalsRowFormula>
    </tableColumn>
    <tableColumn id="108" xr3:uid="{D12190D1-9044-9141-ADD8-0871FA1688C0}" name="TSM1" totalsRowFunction="custom" dataDxfId="1713" totalsRowDxfId="992" dataCellStyle="Comma">
      <totalsRowFormula>COUNT(TabReg[TSM1])</totalsRowFormula>
    </tableColumn>
    <tableColumn id="109" xr3:uid="{1B66B6A6-B718-8F42-98E0-CD76F0D5A829}" name="TSM2" totalsRowFunction="custom" dataDxfId="1712" totalsRowDxfId="991" dataCellStyle="Comma">
      <totalsRowFormula>COUNT(TabReg[TSM2])</totalsRowFormula>
    </tableColumn>
    <tableColumn id="110" xr3:uid="{1A945ACE-273D-734A-8C83-77BB5E8319BD}" name="UN0" totalsRowFunction="custom" dataDxfId="1711" totalsRowDxfId="990">
      <totalsRowFormula>COUNT(TabReg[UN0])</totalsRowFormula>
    </tableColumn>
    <tableColumn id="111" xr3:uid="{3DA9E56D-F97D-F74D-9B25-778FFC4532B6}" name="UN01" totalsRowFunction="custom" dataDxfId="1710" totalsRowDxfId="989" dataCellStyle="Comma">
      <totalsRowFormula>COUNT(TabReg[UN01])</totalsRowFormula>
    </tableColumn>
    <tableColumn id="112" xr3:uid="{D83DF0EE-56BB-804E-88D8-BCDE3B64BC7E}" name="UN02" totalsRowFunction="custom" dataDxfId="1709" totalsRowDxfId="988" dataCellStyle="Comma">
      <totalsRowFormula>COUNT(TabReg[UN02])</totalsRowFormula>
    </tableColumn>
    <tableColumn id="113" xr3:uid="{AB6DA1FE-83BC-8C44-AE28-39191AE0A338}" name="UNIT" totalsRowFunction="custom" dataDxfId="1708" totalsRowDxfId="987">
      <totalsRowFormula>COUNT(TabReg[UNIT])</totalsRowFormula>
    </tableColumn>
    <tableColumn id="114" xr3:uid="{C4F3FB31-D6F1-2447-8736-7372F6D4C91C}" name="UNIT1" totalsRowFunction="custom" dataDxfId="1707" totalsRowDxfId="986" dataCellStyle="Comma">
      <totalsRowFormula>COUNT(TabReg[UNIT1])</totalsRowFormula>
    </tableColumn>
    <tableColumn id="115" xr3:uid="{AB5F6294-8139-4A49-8631-32C384FB1DBC}" name="UNIT2" totalsRowFunction="custom" dataDxfId="1706" totalsRowDxfId="985" dataCellStyle="Comma">
      <totalsRowFormula>COUNT(TabReg[UNIT2])</totalsRowFormula>
    </tableColumn>
    <tableColumn id="191" xr3:uid="{AD95F93D-62BB-8646-881A-FDCF1F4203E3}" name="Free" totalsRowFunction="custom" dataDxfId="1705" totalsRowDxfId="984">
      <totalsRowFormula>COUNT(TabReg[Free])</totalsRowFormula>
    </tableColumn>
    <tableColumn id="192" xr3:uid="{751C8CA5-9FC6-6144-8379-1FF0AC9B4A7C}" name="Free1" totalsRowFunction="custom" dataDxfId="1704" totalsRowDxfId="983" dataCellStyle="Comma">
      <totalsRowFormula>COUNT(TabReg[Free1])</totalsRowFormula>
    </tableColumn>
    <tableColumn id="193" xr3:uid="{37F82F33-F30B-EA48-B816-29C8A5F9F7B9}" name="Free2" totalsRowFunction="custom" dataDxfId="1703" totalsRowDxfId="982">
      <totalsRowFormula>COUNT(TabReg[Free2])</totalsRowFormula>
    </tableColumn>
    <tableColumn id="233" xr3:uid="{5C4BF384-1740-CB49-8025-B346D90C0917}" name="VLVLY" totalsRowFunction="custom" dataDxfId="1702" totalsRowDxfId="981">
      <totalsRowFormula>COUNT(TabReg[VLVLY])</totalsRowFormula>
    </tableColumn>
    <tableColumn id="234" xr3:uid="{6B24C139-13D4-CD4F-AA1F-A361E6F76F4F}" name="VLVLY1" totalsRowFunction="custom" dataDxfId="1701" totalsRowDxfId="980" dataCellStyle="Comma">
      <totalsRowFormula>COUNT(TabReg[VLVLY1])</totalsRowFormula>
    </tableColumn>
    <tableColumn id="235" xr3:uid="{12493D9D-4297-CF46-B66F-1559E8FB14BE}" name="VLVLY2" totalsRowFunction="custom" dataDxfId="1700" totalsRowDxfId="979">
      <totalsRowFormula>COUNT(TabReg[VLVLY2])</totalsRowFormula>
    </tableColumn>
    <tableColumn id="236" xr3:uid="{7E0EDE3A-36BF-2B41-B80B-CC97CAEA7DE6}" name="VONN" totalsRowFunction="custom" dataDxfId="1699" totalsRowDxfId="978">
      <totalsRowFormula>COUNT(TabReg[VONN])</totalsRowFormula>
    </tableColumn>
    <tableColumn id="237" xr3:uid="{8B33F160-B82A-B345-A971-DA3D869687B4}" name="VONN1" totalsRowFunction="custom" dataDxfId="1698" totalsRowDxfId="977" dataCellStyle="Comma">
      <totalsRowFormula>COUNT(TabReg[VONN1])</totalsRowFormula>
    </tableColumn>
    <tableColumn id="238" xr3:uid="{8182C875-990C-F64B-9F13-C9023F898A5D}" name="VONN2" totalsRowFunction="custom" dataDxfId="1697" totalsRowDxfId="976" dataCellStyle="Comma">
      <totalsRowFormula>COUNT(TabReg[VONN2])</totalsRowFormula>
    </tableColumn>
    <tableColumn id="116" xr3:uid="{EAFA0E97-DD26-2746-8568-280408AB6E0E}" name="VTRS" totalsRowFunction="custom" dataDxfId="1696" totalsRowDxfId="975">
      <totalsRowFormula>COUNT(TabReg[VTRS])</totalsRowFormula>
    </tableColumn>
    <tableColumn id="117" xr3:uid="{F4925C9A-0EA1-854B-9D01-DD31D1925353}" name="VTRS1" totalsRowFunction="custom" dataDxfId="1695" totalsRowDxfId="974" dataCellStyle="Comma">
      <totalsRowFormula>COUNT(TabReg[VTRS1])</totalsRowFormula>
    </tableColumn>
    <tableColumn id="118" xr3:uid="{FDD4CF08-9B2E-2740-B044-F3F004164CAB}" name="VTRS2" totalsRowFunction="custom" dataDxfId="1694" totalsRowDxfId="973" dataCellStyle="Comma">
      <totalsRowFormula>COUNT(TabReg[VTRS2])</totalsRowFormula>
    </tableColumn>
    <tableColumn id="119" xr3:uid="{FC06DF00-5468-524C-8EDC-8EEF915AA6FD}" name="WBA" totalsRowFunction="custom" dataDxfId="1693" totalsRowDxfId="972">
      <totalsRowFormula>COUNT(TabReg[WBA])</totalsRowFormula>
    </tableColumn>
    <tableColumn id="120" xr3:uid="{D5C360EB-B8B1-A741-B40E-C08576251C87}" name="WBA1" totalsRowFunction="custom" dataDxfId="1692" totalsRowDxfId="971" dataCellStyle="Comma">
      <totalsRowFormula>COUNT(TabReg[WBA1])</totalsRowFormula>
    </tableColumn>
    <tableColumn id="121" xr3:uid="{39CEDF0B-E2E3-E448-9E9B-A947524DF97B}" name="WBA2" totalsRowFunction="custom" dataDxfId="1691" totalsRowDxfId="970" dataCellStyle="Comma">
      <totalsRowFormula>COUNT(TabReg[WBA2])</totalsRowFormula>
    </tableColumn>
    <tableColumn id="122" xr3:uid="{51611324-95E2-7A49-B281-67A46FC8D674}" name="XOM" totalsRowFunction="custom" dataDxfId="1690" totalsRowDxfId="969">
      <totalsRowFormula>COUNT(TabReg[XOM])</totalsRowFormula>
    </tableColumn>
    <tableColumn id="123" xr3:uid="{13422B36-F155-B840-B2CF-B05574FDF663}" name="XOM1" totalsRowFunction="custom" dataDxfId="1689" totalsRowDxfId="968" dataCellStyle="Comma">
      <totalsRowFormula>COUNT(TabReg[XOM1])</totalsRowFormula>
    </tableColumn>
    <tableColumn id="124" xr3:uid="{764EB640-E02A-5C4B-8207-C8D40970E5C7}" name="XOM2" totalsRowFunction="custom" dataDxfId="1688" totalsRowDxfId="967" dataCellStyle="Comma">
      <totalsRowFormula>COUNT(TabReg[XOM2])</totalsRowFormula>
    </tableColumn>
    <tableColumn id="125" xr3:uid="{2E708A98-1149-AD42-A6A9-5C9860AA9242}" name="XPER" totalsRowFunction="custom" dataDxfId="1687" totalsRowDxfId="966">
      <totalsRowFormula>COUNT(TabReg[XPER])</totalsRowFormula>
    </tableColumn>
    <tableColumn id="126" xr3:uid="{93528364-BF0F-7144-A219-2BB9427F4E0B}" name="XPER1" totalsRowFunction="custom" dataDxfId="1686" totalsRowDxfId="965" dataCellStyle="Comma">
      <totalsRowFormula>COUNT(TabReg[XPER1])</totalsRowFormula>
    </tableColumn>
    <tableColumn id="127" xr3:uid="{6FA0AB33-2B74-8741-86CE-5DD24EAFB0AE}" name="XPER2" totalsRowFunction="custom" dataDxfId="1685" totalsRowDxfId="964" dataCellStyle="Comma">
      <totalsRowFormula>COUNT(TabReg[XPER2])</totalsRowFormula>
    </tableColumn>
    <tableColumn id="128" xr3:uid="{C486E5C1-6BEC-8C4B-86D1-C3E8153030D4}" name="MVEALDNE" totalsRowFunction="custom" dataDxfId="1684" totalsRowDxfId="963">
      <totalsRowFormula>COUNT(TabReg[MVEALDNE])</totalsRowFormula>
    </tableColumn>
    <tableColumn id="129" xr3:uid="{3FB451E6-2946-8040-A85E-6B646D511A9C}" name="MVEALDNE1" totalsRowFunction="custom" dataDxfId="1683" totalsRowDxfId="962" dataCellStyle="Comma">
      <totalsRowFormula>COUNT(TabReg[MVEALDNE1])</totalsRowFormula>
    </tableColumn>
    <tableColumn id="130" xr3:uid="{626584AD-E5BE-944D-BE1F-698427DA51F7}" name="MVEALDNE2" totalsRowFunction="custom" dataDxfId="1682" totalsRowDxfId="961" dataCellStyle="Comma">
      <totalsRowFormula>COUNT(TabReg[MVEALDNE2])</totalsRowFormula>
    </tableColumn>
    <tableColumn id="131" xr3:uid="{DD68A5C2-4B08-024C-9778-DA46318A392D}" name="MVEDDD" totalsRowFunction="custom" dataDxfId="1681" totalsRowDxfId="960">
      <totalsRowFormula>COUNT(TabReg[MVEDDD])</totalsRowFormula>
    </tableColumn>
    <tableColumn id="132" xr3:uid="{D9A558E3-596C-5C4F-936E-47C954B63F35}" name="MVEDDD1" totalsRowFunction="custom" dataDxfId="1680" totalsRowDxfId="959" dataCellStyle="Comma">
      <totalsRowFormula>COUNT(TabReg[MVEDDD1])</totalsRowFormula>
    </tableColumn>
    <tableColumn id="133" xr3:uid="{7120DB8C-7514-FA48-A08E-5B247085EBF9}" name="MVEDDD2" totalsRowFunction="custom" dataDxfId="1679" totalsRowDxfId="958" dataCellStyle="Comma">
      <totalsRowFormula>COUNT(TabReg[MVEDDD2])</totalsRowFormula>
    </tableColumn>
    <tableColumn id="134" xr3:uid="{2FD8B1C9-64F0-584A-A7F0-676B72893EB0}" name="MVEDSY" totalsRowFunction="custom" dataDxfId="1678" totalsRowDxfId="957">
      <totalsRowFormula>COUNT(TabReg[MVEDSY])</totalsRowFormula>
    </tableColumn>
    <tableColumn id="135" xr3:uid="{D76DA24F-4421-F847-B121-A8F4A193BD82}" name="MVEDSY1" totalsRowFunction="custom" dataDxfId="1677" totalsRowDxfId="956" dataCellStyle="Comma">
      <totalsRowFormula>COUNT(TabReg[MVEDSY1])</totalsRowFormula>
    </tableColumn>
    <tableColumn id="136" xr3:uid="{396A0ECB-755E-104D-A8E3-7A5B2AE7C6EA}" name="MVEDSY2" totalsRowFunction="custom" dataDxfId="1676" totalsRowDxfId="955" dataCellStyle="Comma">
      <totalsRowFormula>COUNT(TabReg[MVEDSY2])</totalsRowFormula>
    </tableColumn>
    <tableColumn id="137" xr3:uid="{2C0B4D1E-F3B5-484A-9C4B-65760000E495}" name="MVEEOAN" totalsRowFunction="custom" dataDxfId="1675" totalsRowDxfId="954">
      <totalsRowFormula>COUNT(TabReg[MVEEOAN])</totalsRowFormula>
    </tableColumn>
    <tableColumn id="138" xr3:uid="{1FF1B771-C944-A04A-B9B9-0F3D9C680168}" name="MVEEOAN1" totalsRowFunction="custom" dataDxfId="1674" totalsRowDxfId="953" dataCellStyle="Comma">
      <totalsRowFormula>COUNT(TabReg[MVEEOAN1])</totalsRowFormula>
    </tableColumn>
    <tableColumn id="139" xr3:uid="{66A5709F-8CE1-C54D-A79D-76E0054D3090}" name="MVEEOAN2" totalsRowFunction="custom" dataDxfId="1673" totalsRowDxfId="952" dataCellStyle="Comma">
      <totalsRowFormula>COUNT(TabReg[MVEEOAN2])</totalsRowFormula>
    </tableColumn>
    <tableColumn id="140" xr3:uid="{6631A4B3-359A-FC4A-ADBD-0EC86E90A804}" name="MVEENI" totalsRowFunction="custom" dataDxfId="1672" totalsRowDxfId="951">
      <totalsRowFormula>COUNT(TabReg[MVEENI])</totalsRowFormula>
    </tableColumn>
    <tableColumn id="141" xr3:uid="{A95026D5-E0DE-2C40-B806-896DAD5080B2}" name="MVEENI1" totalsRowFunction="custom" dataDxfId="1671" totalsRowDxfId="950" dataCellStyle="Comma">
      <totalsRowFormula>COUNT(TabReg[MVEENI1])</totalsRowFormula>
    </tableColumn>
    <tableColumn id="142" xr3:uid="{F8B96B9E-4850-7843-AD4B-6B4E2A697D2B}" name="MVEENI2" totalsRowFunction="custom" dataDxfId="1670" totalsRowDxfId="949" dataCellStyle="Comma">
      <totalsRowFormula>COUNT(TabReg[MVEENI2])</totalsRowFormula>
    </tableColumn>
    <tableColumn id="143" xr3:uid="{10AC4A37-9481-6542-84E4-55D1CA14160D}" name="MVEEPIX" totalsRowFunction="custom" dataDxfId="1669" totalsRowDxfId="948">
      <totalsRowFormula>COUNT(TabReg[MVEEPIX])</totalsRowFormula>
    </tableColumn>
    <tableColumn id="144" xr3:uid="{299E26EE-7492-CC43-869A-F15EBBF8E46C}" name="MVEEPIX1" totalsRowFunction="custom" dataDxfId="1668" totalsRowDxfId="947" dataCellStyle="Comma">
      <totalsRowFormula>COUNT(TabReg[MVEEPIX1])</totalsRowFormula>
    </tableColumn>
    <tableColumn id="145" xr3:uid="{C8D192BC-03B4-D644-8664-CCB8652B8687}" name="MVEEPIX2" totalsRowFunction="custom" dataDxfId="1667" totalsRowDxfId="946" dataCellStyle="Comma">
      <totalsRowFormula>COUNT(TabReg[MVEEPIX2])</totalsRowFormula>
    </tableColumn>
    <tableColumn id="146" xr3:uid="{798AB43E-D927-AA4A-952C-C7A4EED1515C}" name="MVEGLE" totalsRowFunction="custom" dataDxfId="1666" totalsRowDxfId="945">
      <totalsRowFormula>COUNT(TabReg[MVEGLE])</totalsRowFormula>
    </tableColumn>
    <tableColumn id="147" xr3:uid="{29D52BAD-01AC-9843-99E2-108D85712955}" name="MVEGLE1" totalsRowFunction="custom" dataDxfId="1665" totalsRowDxfId="944" dataCellStyle="Comma">
      <totalsRowFormula>COUNT(TabReg[MVEGLE1])</totalsRowFormula>
    </tableColumn>
    <tableColumn id="148" xr3:uid="{91A1A354-6935-214C-B655-6FA5D05B6148}" name="MVEGLE2" totalsRowFunction="custom" dataDxfId="1664" totalsRowDxfId="943" dataCellStyle="Comma">
      <totalsRowFormula>COUNT(TabReg[MVEGLE2])</totalsRowFormula>
    </tableColumn>
    <tableColumn id="149" xr3:uid="{63EC1406-ED3D-7248-BC5E-B3891B5F1C34}" name="MVEORA" totalsRowFunction="custom" dataDxfId="1663" totalsRowDxfId="942">
      <totalsRowFormula>COUNT(TabReg[MVEORA])</totalsRowFormula>
    </tableColumn>
    <tableColumn id="150" xr3:uid="{BD96D106-F762-CA4F-9926-DCA72A4EFCF8}" name="MVEORA1" totalsRowFunction="custom" dataDxfId="1662" totalsRowDxfId="941" dataCellStyle="Comma">
      <totalsRowFormula>COUNT(TabReg[MVEORA1])</totalsRowFormula>
    </tableColumn>
    <tableColumn id="151" xr3:uid="{6F6EEB8A-4418-9F48-B010-D1102DED03E8}" name="MVEORA2" totalsRowFunction="custom" dataDxfId="1661" totalsRowDxfId="940" dataCellStyle="Comma">
      <totalsRowFormula>COUNT(TabReg[MVEORA2])</totalsRowFormula>
    </tableColumn>
    <tableColumn id="152" xr3:uid="{08AF805C-499B-CA44-8B1B-09DDD9BDDA89}" name="MVERWE" totalsRowFunction="custom" dataDxfId="1660" totalsRowDxfId="939">
      <totalsRowFormula>COUNT(TabReg[MVERWE])</totalsRowFormula>
    </tableColumn>
    <tableColumn id="153" xr3:uid="{73DE675B-333C-8042-A051-7C22080AA480}" name="MVERWE1" totalsRowFunction="custom" dataDxfId="1659" totalsRowDxfId="938" dataCellStyle="Comma">
      <totalsRowFormula>COUNT(TabReg[MVERWE1])</totalsRowFormula>
    </tableColumn>
    <tableColumn id="154" xr3:uid="{3F90A3E1-83FC-5F43-9DEE-1A1BF3455758}" name="MVERWE2" totalsRowFunction="custom" dataDxfId="1658" totalsRowDxfId="937" dataCellStyle="Comma">
      <totalsRowFormula>COUNT(TabReg[MVERWE2])</totalsRowFormula>
    </tableColumn>
    <tableColumn id="155" xr3:uid="{E9F565FB-317B-7B48-8D94-56DBC6AB96D8}" name="MVESAP" totalsRowFunction="custom" dataDxfId="1657" totalsRowDxfId="936">
      <totalsRowFormula>COUNT(TabReg[MVESAP])</totalsRowFormula>
    </tableColumn>
    <tableColumn id="156" xr3:uid="{877F9E2B-72C9-1D43-8E9B-7585F3B9C5A8}" name="MVESAP1" totalsRowFunction="custom" dataDxfId="1656" totalsRowDxfId="935" dataCellStyle="Comma">
      <totalsRowFormula>COUNT(TabReg[MVESAP1])</totalsRowFormula>
    </tableColumn>
    <tableColumn id="157" xr3:uid="{095D7B94-97D5-F04F-8693-4C0766693B3D}" name="MVESAP2" totalsRowFunction="custom" dataDxfId="1655" totalsRowDxfId="934" dataCellStyle="Comma">
      <totalsRowFormula>COUNT(TabReg[MVESAP2])</totalsRowFormula>
    </tableColumn>
    <tableColumn id="158" xr3:uid="{6DAC9D38-B756-EA4C-9F7A-8677964ECEE7}" name="MVEUN0" totalsRowFunction="custom" dataDxfId="1654" totalsRowDxfId="933">
      <totalsRowFormula>COUNT(TabReg[MVEUN0])</totalsRowFormula>
    </tableColumn>
    <tableColumn id="159" xr3:uid="{A8EC8BAE-FF6E-2249-9250-9AA033F9ED29}" name="MVEUN01" totalsRowFunction="custom" dataDxfId="1653" totalsRowDxfId="932" dataCellStyle="Comma">
      <totalsRowFormula>COUNT(TabReg[MVEUN01])</totalsRowFormula>
    </tableColumn>
    <tableColumn id="160" xr3:uid="{F612F125-1D81-1E44-874A-33914890A832}" name="MVEUN02" totalsRowFunction="custom" dataDxfId="1652" totalsRowDxfId="931" dataCellStyle="Comma">
      <totalsRowFormula>COUNT(TabReg[MVEUN02])</totalsRowFormula>
    </tableColumn>
    <tableColumn id="245" xr3:uid="{87DB3F20-52D6-CA4E-88EA-60775FA48471}" name="SAFAAPL" totalsRowFunction="custom" dataDxfId="1651" totalsRowDxfId="930">
      <totalsRowFormula>COUNT(TabReg[SAFAAPL])</totalsRowFormula>
    </tableColumn>
    <tableColumn id="246" xr3:uid="{20517EE6-352A-AD43-8441-3441B61C1D89}" name="SAFAAPL1" totalsRowFunction="custom" dataDxfId="1650" totalsRowDxfId="929" dataCellStyle="Comma">
      <totalsRowFormula>COUNT(TabReg[SAFAAPL1])</totalsRowFormula>
    </tableColumn>
    <tableColumn id="247" xr3:uid="{3C4F3F09-49B3-EA48-ABFA-662F1DB33DA3}" name="SAFAAPL2" totalsRowFunction="custom" dataDxfId="1649" totalsRowDxfId="928">
      <totalsRowFormula>COUNT(TabReg[SAFAAPL2])</totalsRowFormula>
    </tableColumn>
    <tableColumn id="248" xr3:uid="{AABFB2F9-1399-A74B-9F06-69E103AFB9CD}" name="SAFAMZN" totalsRowFunction="custom" dataDxfId="1648" totalsRowDxfId="927">
      <totalsRowFormula>COUNT(TabReg[SAFAMZN])</totalsRowFormula>
    </tableColumn>
    <tableColumn id="249" xr3:uid="{D38CCD21-85E7-5243-8853-685BFE452284}" name="SAFAMZN1" totalsRowFunction="custom" dataDxfId="1647" totalsRowDxfId="926" dataCellStyle="Comma">
      <totalsRowFormula>COUNT(TabReg[SAFAMZN1])</totalsRowFormula>
    </tableColumn>
    <tableColumn id="250" xr3:uid="{E22F61D9-4EB0-B94C-8F20-A63DF62D6B14}" name="SAFAMZN2" totalsRowFunction="custom" dataDxfId="1646" totalsRowDxfId="925">
      <totalsRowFormula>COUNT(TabReg[SAFAMZN2])</totalsRowFormula>
    </tableColumn>
    <tableColumn id="251" xr3:uid="{F25F604C-FECA-CA4F-B82A-F2731B9AB9E2}" name="SAFASML" totalsRowFunction="custom" dataDxfId="1645" totalsRowDxfId="924">
      <totalsRowFormula>COUNT(TabReg[SAFASML])</totalsRowFormula>
    </tableColumn>
    <tableColumn id="252" xr3:uid="{30ACA57E-5B73-3341-B584-158624B040E3}" name="SAFASML1" totalsRowFunction="custom" dataDxfId="1644" totalsRowDxfId="923" dataCellStyle="Comma">
      <totalsRowFormula>COUNT(TabReg[SAFASML1])</totalsRowFormula>
    </tableColumn>
    <tableColumn id="253" xr3:uid="{20ED69C9-1D65-6341-8E2D-F366D2B2C54B}" name="SAFASML2" totalsRowFunction="custom" dataDxfId="1643" totalsRowDxfId="922">
      <totalsRowFormula>COUNT(TabReg[SAFASML2])</totalsRowFormula>
    </tableColumn>
    <tableColumn id="254" xr3:uid="{2C63720C-5818-4944-BDB8-32411EDB5BB5}" name="SAFDDD" totalsRowFunction="custom" dataDxfId="1642" totalsRowDxfId="921">
      <totalsRowFormula>COUNT(TabReg[SAFDDD])</totalsRowFormula>
    </tableColumn>
    <tableColumn id="255" xr3:uid="{D31C2829-AC58-5245-9282-3889257E506D}" name="SAFDDD1" totalsRowFunction="custom" dataDxfId="1641" totalsRowDxfId="920" dataCellStyle="Comma">
      <totalsRowFormula>COUNT(TabReg[SAFDDD1])</totalsRowFormula>
    </tableColumn>
    <tableColumn id="256" xr3:uid="{E7DF0399-71E8-B642-B9E4-D0FDA4593657}" name="SAFDDD2" totalsRowFunction="custom" dataDxfId="1640" totalsRowDxfId="919">
      <totalsRowFormula>COUNT(TabReg[SAFDDD2])</totalsRowFormula>
    </tableColumn>
    <tableColumn id="194" xr3:uid="{F93F1814-DD60-0A4E-8EA3-934D7D95DB83}" name="SAFDIS" totalsRowFunction="custom" dataDxfId="1639" totalsRowDxfId="918">
      <totalsRowFormula>COUNT(TabReg[SAFDIS])</totalsRowFormula>
    </tableColumn>
    <tableColumn id="195" xr3:uid="{A22E8D43-4FB7-1445-8926-DD20EC462EE2}" name="SAFDIS1" totalsRowFunction="custom" dataDxfId="1638" totalsRowDxfId="917" dataCellStyle="Comma">
      <totalsRowFormula>COUNT(TabReg[SAFDIS1])</totalsRowFormula>
    </tableColumn>
    <tableColumn id="196" xr3:uid="{730E80A0-73EA-F14F-B023-90418CB7FF94}" name="SAFDIS2" totalsRowFunction="custom" dataDxfId="1637" totalsRowDxfId="916" dataCellStyle="Comma">
      <totalsRowFormula>COUNT(TabReg[SAFDIS2])</totalsRowFormula>
    </tableColumn>
    <tableColumn id="197" xr3:uid="{6EBEAD56-C7F4-BE4A-B558-A5F2DBB0CE46}" name="SAFGM" totalsRowFunction="custom" dataDxfId="1636" totalsRowDxfId="915">
      <totalsRowFormula>COUNT(TabReg[SAFGM])</totalsRowFormula>
    </tableColumn>
    <tableColumn id="198" xr3:uid="{8550DAEC-2C07-FC46-A369-CE27ACA32089}" name="SAFGM1" totalsRowFunction="custom" dataDxfId="1635" totalsRowDxfId="914" dataCellStyle="Comma">
      <totalsRowFormula>COUNT(TabReg[SAFGM1])</totalsRowFormula>
    </tableColumn>
    <tableColumn id="199" xr3:uid="{076EBF9E-377C-F747-82A7-FA7768DD8DC4}" name="SAFGM2" totalsRowFunction="custom" dataDxfId="1634" totalsRowDxfId="913" dataCellStyle="Comma">
      <totalsRowFormula>COUNT(TabReg[SAFGM2])</totalsRowFormula>
    </tableColumn>
    <tableColumn id="200" xr3:uid="{735B8A44-120B-FF4C-AAEF-AFACB3D9DFCF}" name="SAFIAG" totalsRowFunction="custom" dataDxfId="1633" totalsRowDxfId="912">
      <totalsRowFormula>COUNT(TabReg[SAFIAG])</totalsRowFormula>
    </tableColumn>
    <tableColumn id="201" xr3:uid="{A329D987-F158-744A-9A1D-8059162935DD}" name="SAFIAG1" totalsRowFunction="custom" dataDxfId="1632" totalsRowDxfId="911" dataCellStyle="Comma">
      <totalsRowFormula>COUNT(TabReg[SAFIAG1])</totalsRowFormula>
    </tableColumn>
    <tableColumn id="296" xr3:uid="{CA00107A-3584-4E4D-9727-9DD9D29E985C}" name="SAFIAG2" totalsRowFunction="custom" dataDxfId="1631" totalsRowDxfId="910" dataCellStyle="Comma">
      <totalsRowFormula>COUNT(TabReg[SAFIAG2])</totalsRowFormula>
    </tableColumn>
    <tableColumn id="297" xr3:uid="{C33A51F9-76AA-7E4A-8F99-9984D22DF038}" name="SAFMRNA" totalsRowFunction="custom" dataDxfId="1630" totalsRowDxfId="909" dataCellStyle="Comma">
      <totalsRowFormula>COUNT(TabReg[SAFMRNA])</totalsRowFormula>
    </tableColumn>
    <tableColumn id="298" xr3:uid="{38EAE1F2-CCA3-2243-8FA9-8C83A7C2E83E}" name="SAFMRNA1" totalsRowFunction="custom" dataDxfId="1629" totalsRowDxfId="908" dataCellStyle="Comma">
      <totalsRowFormula>COUNT(TabReg[SAFMRNA1])</totalsRowFormula>
    </tableColumn>
    <tableColumn id="202" xr3:uid="{58031338-9EAE-DB42-B765-E2B6B518A683}" name="SAFMRNA2" totalsRowFunction="custom" dataDxfId="1628" totalsRowDxfId="907" dataCellStyle="Comma">
      <totalsRowFormula>COUNT(TabReg[SAFMRNA2])</totalsRowFormula>
    </tableColumn>
    <tableColumn id="299" xr3:uid="{4C1E3C38-AA96-C24E-95A1-3B57744A500F}" name="BLNK" totalsRowFunction="custom" dataDxfId="1627" totalsRowDxfId="906">
      <totalsRowFormula>COUNT(TabReg[BLNK])</totalsRowFormula>
    </tableColumn>
    <tableColumn id="300" xr3:uid="{023BBB79-E8CA-254F-9A5F-6769DEF86DEB}" name="BLNK1" totalsRowFunction="custom" dataDxfId="1626" totalsRowDxfId="905" dataCellStyle="Comma">
      <totalsRowFormula>COUNT(TabReg[BLNK1])</totalsRowFormula>
    </tableColumn>
    <tableColumn id="301" xr3:uid="{8FF7052C-5BC8-6246-B336-C9608EE0C4D8}" name="BLNK2" totalsRowFunction="custom" dataDxfId="1625" totalsRowDxfId="904" dataCellStyle="Comma">
      <totalsRowFormula>COUNT(TabReg[BLNK2])</totalsRowFormula>
    </tableColumn>
    <tableColumn id="203" xr3:uid="{5146FD2A-2827-254E-AC2D-0ACF26A0C74F}" name="ENI" totalsRowFunction="custom" dataDxfId="1624" totalsRowDxfId="903">
      <totalsRowFormula>COUNT(TabReg[ENI])</totalsRowFormula>
    </tableColumn>
    <tableColumn id="204" xr3:uid="{6DC93B63-70C5-4745-A0E8-9B1894B72882}" name="ENI1" totalsRowFunction="custom" dataDxfId="1623" totalsRowDxfId="902" dataCellStyle="Comma">
      <totalsRowFormula>COUNT(TabReg[ENI1])</totalsRowFormula>
    </tableColumn>
    <tableColumn id="205" xr3:uid="{1586E4F1-AF55-7943-9C5C-6F56BC0D13FB}" name="ENI2" totalsRowFunction="custom" dataDxfId="1622" totalsRowDxfId="901" dataCellStyle="Comma">
      <totalsRowFormula>COUNT(TabReg[ENI2])</totalsRowFormula>
    </tableColumn>
    <tableColumn id="206" xr3:uid="{F90D6620-764A-014D-8E1D-2C110AC0BDCF}" name="EZJ" totalsRowFunction="custom" dataDxfId="1621" totalsRowDxfId="900">
      <totalsRowFormula>COUNT(TabReg[EZJ])</totalsRowFormula>
    </tableColumn>
    <tableColumn id="207" xr3:uid="{AEF036D2-CA8D-5244-B754-038CD142E280}" name="EZJ1" totalsRowFunction="custom" dataDxfId="1620" totalsRowDxfId="899" dataCellStyle="Comma">
      <totalsRowFormula>COUNT(TabReg[EZJ1])</totalsRowFormula>
    </tableColumn>
    <tableColumn id="208" xr3:uid="{172612BD-38A4-9045-8225-B6BACB6E0938}" name="EZJ2" totalsRowFunction="custom" dataDxfId="1619" totalsRowDxfId="898" dataCellStyle="Comma">
      <totalsRowFormula>COUNT(TabReg[EZJ2])</totalsRowFormula>
    </tableColumn>
    <tableColumn id="257" xr3:uid="{897D4C8A-78D4-D145-ACA9-1DF7996B1927}" name="F" totalsRowFunction="custom" dataDxfId="1618" totalsRowDxfId="897">
      <totalsRowFormula>COUNT(TabReg[F])</totalsRowFormula>
    </tableColumn>
    <tableColumn id="258" xr3:uid="{A7D8D583-1B05-8148-91A8-CEB2BB055274}" name="F1" totalsRowFunction="custom" dataDxfId="1617" totalsRowDxfId="896" dataCellStyle="Comma">
      <totalsRowFormula>COUNT(TabReg[F1])</totalsRowFormula>
    </tableColumn>
    <tableColumn id="259" xr3:uid="{22766649-0D25-BF4F-85D7-B86CDF58DA39}" name="F2" totalsRowFunction="custom" dataDxfId="1616" totalsRowDxfId="895" dataCellStyle="Comma">
      <totalsRowFormula>COUNT(TabReg[F2])</totalsRowFormula>
    </tableColumn>
    <tableColumn id="260" xr3:uid="{FCD11F79-1C56-6C45-AC2E-082E924CB4A3}" name="GLE" totalsRowFunction="custom" dataDxfId="1615" totalsRowDxfId="894">
      <totalsRowFormula>COUNT(TabReg[GLE])</totalsRowFormula>
    </tableColumn>
    <tableColumn id="261" xr3:uid="{5EB7E023-E38C-DD45-912B-0DFE7A6D3146}" name="GLE1" totalsRowFunction="custom" dataDxfId="1614" totalsRowDxfId="893" dataCellStyle="Comma">
      <totalsRowFormula>COUNT(TabReg[GLE1])</totalsRowFormula>
    </tableColumn>
    <tableColumn id="262" xr3:uid="{FC176C26-7A73-DB43-BD0A-E6EE991D681A}" name="GLE2" totalsRowFunction="custom" dataDxfId="1613" totalsRowDxfId="892" dataCellStyle="Comma">
      <totalsRowFormula>COUNT(TabReg[GLE2])</totalsRowFormula>
    </tableColumn>
    <tableColumn id="263" xr3:uid="{9446E411-2C2F-D343-A67C-95ED97E45DA5}" name="GNRC" totalsRowFunction="custom" dataDxfId="1612" totalsRowDxfId="891">
      <totalsRowFormula>COUNT(TabReg[GNRC])</totalsRowFormula>
    </tableColumn>
    <tableColumn id="264" xr3:uid="{F3FE8B53-FAAF-CB4E-A4D7-0F5EE1683F9E}" name="GNRC1" totalsRowFunction="custom" dataDxfId="1611" totalsRowDxfId="890" dataCellStyle="Comma">
      <totalsRowFormula>COUNT(TabReg[GNRC1])</totalsRowFormula>
    </tableColumn>
    <tableColumn id="265" xr3:uid="{E75747AB-0FE8-A948-9AB7-15132E227017}" name="GNRC2" totalsRowFunction="custom" dataDxfId="1610" totalsRowDxfId="889" dataCellStyle="Comma">
      <totalsRowFormula>COUNT(TabReg[GNRC2])</totalsRowFormula>
    </tableColumn>
    <tableColumn id="209" xr3:uid="{131BFBC2-6A94-CC42-BD9A-855C7FE85C35}" name="GS" totalsRowFunction="custom" dataDxfId="1609" totalsRowDxfId="888">
      <totalsRowFormula>COUNT(TabReg[GS])</totalsRowFormula>
    </tableColumn>
    <tableColumn id="210" xr3:uid="{A78ED95C-9665-9742-8BFA-99A9C75BC404}" name="GS1" totalsRowFunction="custom" dataDxfId="1608" totalsRowDxfId="887" dataCellStyle="Comma">
      <totalsRowFormula>COUNT(TabReg[GS1])</totalsRowFormula>
    </tableColumn>
    <tableColumn id="211" xr3:uid="{8F5C146D-8344-9C4B-BCA6-5AF63729897B}" name="GS2" totalsRowFunction="custom" dataDxfId="1607" totalsRowDxfId="886" dataCellStyle="Comma">
      <totalsRowFormula>COUNT(TabReg[GS2])</totalsRowFormula>
    </tableColumn>
    <tableColumn id="266" xr3:uid="{20F2F446-BE57-094C-9573-EB81C34762AF}" name="LAZR" totalsRowFunction="custom" dataDxfId="1606" totalsRowDxfId="885">
      <totalsRowFormula>COUNT(TabReg[LAZR])</totalsRowFormula>
    </tableColumn>
    <tableColumn id="267" xr3:uid="{F00BD279-0ECA-F743-9538-36D809B80CD3}" name="LAZR1" totalsRowFunction="custom" dataDxfId="1605" totalsRowDxfId="884" dataCellStyle="Comma">
      <totalsRowFormula>COUNT(TabReg[LAZR1])</totalsRowFormula>
    </tableColumn>
    <tableColumn id="268" xr3:uid="{1D038EDA-DE9D-4245-89D8-B2C045C70A6C}" name="LAZR2" totalsRowFunction="custom" dataDxfId="1604" totalsRowDxfId="883">
      <totalsRowFormula>COUNT(TabReg[LAZR2])</totalsRowFormula>
    </tableColumn>
    <tableColumn id="269" xr3:uid="{F16F4EFF-2D64-E744-A3AC-95F9B17CEA2F}" name="LUV" totalsRowFunction="custom" dataDxfId="1603" totalsRowDxfId="882">
      <totalsRowFormula>COUNT(TabReg[LUV])</totalsRowFormula>
    </tableColumn>
    <tableColumn id="270" xr3:uid="{AC39F39E-E54F-1B4B-81E0-A9D66F18D678}" name="LUV1" totalsRowFunction="custom" dataDxfId="1602" totalsRowDxfId="881" dataCellStyle="Comma">
      <totalsRowFormula>COUNT(TabReg[LUV1])</totalsRowFormula>
    </tableColumn>
    <tableColumn id="271" xr3:uid="{DDA01EC9-A8EC-E340-8856-045E57C154E5}" name="LUV2" totalsRowFunction="custom" dataDxfId="1601" totalsRowDxfId="880" dataCellStyle="Comma">
      <totalsRowFormula>COUNT(TabReg[LUV2])</totalsRowFormula>
    </tableColumn>
    <tableColumn id="272" xr3:uid="{749351A6-512B-204B-84E4-670FAACD0369}" name="MA" totalsRowFunction="custom" dataDxfId="1600" totalsRowDxfId="879">
      <totalsRowFormula>COUNT(TabReg[MA])</totalsRowFormula>
    </tableColumn>
    <tableColumn id="273" xr3:uid="{828049A8-7C35-B542-8930-68C89091C4D8}" name="MA1" totalsRowFunction="custom" dataDxfId="1599" totalsRowDxfId="878" dataCellStyle="Comma">
      <totalsRowFormula>COUNT(TabReg[MA1])</totalsRowFormula>
    </tableColumn>
    <tableColumn id="274" xr3:uid="{B1925B35-79A0-C947-AF5A-95C1B54AAD2D}" name="MA2" totalsRowFunction="custom" dataDxfId="1598" totalsRowDxfId="877">
      <totalsRowFormula>COUNT(TabReg[MA2])</totalsRowFormula>
    </tableColumn>
    <tableColumn id="275" xr3:uid="{9E1D1A56-BAC9-7447-BC8D-85593A0856D6}" name="NVAX" totalsRowFunction="custom" dataDxfId="1597" totalsRowDxfId="876">
      <totalsRowFormula>COUNT(TabReg[NVAX])</totalsRowFormula>
    </tableColumn>
    <tableColumn id="276" xr3:uid="{0B75FE73-7F51-5D4E-9BEB-979D6617649C}" name="NVAX1" totalsRowFunction="custom" dataDxfId="1596" totalsRowDxfId="875" dataCellStyle="Comma">
      <totalsRowFormula>COUNT(TabReg[NVAX1])</totalsRowFormula>
    </tableColumn>
    <tableColumn id="277" xr3:uid="{4A6A0493-9483-CA4A-885C-1B1C245534E5}" name="NVAX2" totalsRowFunction="custom" dataDxfId="1595" totalsRowDxfId="874">
      <totalsRowFormula>COUNT(TabReg[NVAX2])</totalsRowFormula>
    </tableColumn>
    <tableColumn id="287" xr3:uid="{7D4C2FDC-F45E-014B-8CCA-692692C22E13}" name="NVS" totalsRowFunction="custom" dataDxfId="1594" totalsRowDxfId="873">
      <totalsRowFormula>COUNT(TabReg[NVS])</totalsRowFormula>
    </tableColumn>
    <tableColumn id="288" xr3:uid="{FBCE367A-3707-9948-B314-F8D5000F6BF9}" name="NVS1" totalsRowFunction="custom" dataDxfId="1593" totalsRowDxfId="872" dataCellStyle="Comma">
      <totalsRowFormula>COUNT(TabReg[NVS1])</totalsRowFormula>
    </tableColumn>
    <tableColumn id="289" xr3:uid="{15239B29-1C46-C24A-8E4B-52142A0760BA}" name="NVS2" totalsRowFunction="custom" dataDxfId="1592" totalsRowDxfId="871">
      <totalsRowFormula>COUNT(TabReg[NVS2])</totalsRowFormula>
    </tableColumn>
    <tableColumn id="293" xr3:uid="{9E5FA77E-2974-304D-BF26-38A14FFED41C}" name="ORA" totalsRowFunction="custom" dataDxfId="1591" totalsRowDxfId="870">
      <totalsRowFormula>COUNT(TabReg[ORA])</totalsRowFormula>
    </tableColumn>
    <tableColumn id="294" xr3:uid="{EAFF0433-5E40-6A4A-8274-D6B66E885F64}" name="ORA1" totalsRowFunction="custom" dataDxfId="1590" totalsRowDxfId="869" dataCellStyle="Comma">
      <totalsRowFormula>COUNT(TabReg[ORA1])</totalsRowFormula>
    </tableColumn>
    <tableColumn id="295" xr3:uid="{98FDE75C-EEE2-D945-8F39-C938380B1DCF}" name="ORA2" totalsRowFunction="custom" dataDxfId="1589" totalsRowDxfId="868">
      <totalsRowFormula>COUNT(TabReg[ORA2])</totalsRowFormula>
    </tableColumn>
    <tableColumn id="341" xr3:uid="{79F0B853-990E-F048-9DB7-48CEDB15D449}" name="OXY" totalsRowFunction="custom" dataDxfId="1588" totalsRowDxfId="867">
      <totalsRowFormula>COUNT(TabReg[OXY])</totalsRowFormula>
    </tableColumn>
    <tableColumn id="342" xr3:uid="{67D8C685-D16D-354A-B89E-7171813BBACB}" name="OXY1" totalsRowFunction="custom" dataDxfId="1587" totalsRowDxfId="866" dataCellStyle="Comma">
      <totalsRowFormula>COUNT(TabReg[OXY1])</totalsRowFormula>
    </tableColumn>
    <tableColumn id="343" xr3:uid="{28DE8418-782B-5944-BAEF-72062E46E63B}" name="OXY2" totalsRowFunction="custom" dataDxfId="1586" totalsRowDxfId="865">
      <totalsRowFormula>COUNT(TabReg[OXY2])</totalsRowFormula>
    </tableColumn>
    <tableColumn id="344" xr3:uid="{89941348-5FF4-CB40-BC45-E8D2587B0B46}" name="PFE" totalsRowFunction="custom" dataDxfId="1585" totalsRowDxfId="864">
      <totalsRowFormula>COUNT(TabReg[PFE])</totalsRowFormula>
    </tableColumn>
    <tableColumn id="345" xr3:uid="{244BE308-157C-A446-BC34-CFC3E87F727E}" name="PFE1" totalsRowFunction="custom" dataDxfId="1584" totalsRowDxfId="863" dataCellStyle="Comma">
      <totalsRowFormula>COUNT(TabReg[PFE1])</totalsRowFormula>
    </tableColumn>
    <tableColumn id="346" xr3:uid="{D5E76701-0AE3-1E47-92EE-A72611DC786D}" name="PFE2" totalsRowFunction="custom" dataDxfId="1583" totalsRowDxfId="862">
      <totalsRowFormula>COUNT(TabReg[PFE2])</totalsRowFormula>
    </tableColumn>
    <tableColumn id="347" xr3:uid="{E30CEE26-CE01-2644-851E-A54AC199B369}" name="RIG" totalsRowFunction="custom" dataDxfId="1582" totalsRowDxfId="861">
      <totalsRowFormula>COUNT(TabReg[RIG])</totalsRowFormula>
    </tableColumn>
    <tableColumn id="348" xr3:uid="{0BDB8355-85ED-0F48-B9D2-BE4BFC6AB116}" name="RIG1" totalsRowFunction="custom" dataDxfId="1581" totalsRowDxfId="860" dataCellStyle="Comma">
      <totalsRowFormula>COUNT(TabReg[RIG1])</totalsRowFormula>
    </tableColumn>
    <tableColumn id="349" xr3:uid="{A9F9D8BA-10B6-E84E-A870-0D7A28806645}" name="RIG2" totalsRowFunction="custom" dataDxfId="1580" totalsRowDxfId="859">
      <totalsRowFormula>COUNT(TabReg[RIG2])</totalsRowFormula>
    </tableColumn>
    <tableColumn id="212" xr3:uid="{F30CC0DB-52A4-E744-A741-C26358086BAC}" name="RRC" totalsRowFunction="custom" dataDxfId="1579" totalsRowDxfId="858">
      <totalsRowFormula>COUNT(TabReg[RRC])</totalsRowFormula>
    </tableColumn>
    <tableColumn id="213" xr3:uid="{56C3BFFD-3193-F64F-B26B-CEEED7BF9A3F}" name="RRC1" totalsRowFunction="custom" dataDxfId="1578" totalsRowDxfId="857" dataCellStyle="Comma">
      <totalsRowFormula>COUNT(TabReg[RRC1])</totalsRowFormula>
    </tableColumn>
    <tableColumn id="214" xr3:uid="{8DE967B3-1687-0848-A144-0C489B72A69B}" name="RRC2" totalsRowFunction="custom" dataDxfId="1577" totalsRowDxfId="856" dataCellStyle="Comma">
      <totalsRowFormula>COUNT(TabReg[RRC2])</totalsRowFormula>
    </tableColumn>
    <tableColumn id="215" xr3:uid="{622EC914-822C-924A-AEF5-A27E19DF6037}" name="XYZ" totalsRowFunction="custom" dataDxfId="1576" totalsRowDxfId="855">
      <totalsRowFormula>COUNT(TabReg[XYZ])</totalsRowFormula>
    </tableColumn>
    <tableColumn id="216" xr3:uid="{B030C74E-0D3D-6541-B7BB-48BF89C99809}" name="XYZ1" totalsRowFunction="custom" dataDxfId="1575" totalsRowDxfId="854" dataCellStyle="Comma">
      <totalsRowFormula>COUNT(TabReg[XYZ1])</totalsRowFormula>
    </tableColumn>
    <tableColumn id="217" xr3:uid="{ACEFFD2C-EAB6-9948-989F-D7D5AC701829}" name="XYZ2" totalsRowFunction="custom" dataDxfId="1574" totalsRowDxfId="853" dataCellStyle="Comma">
      <totalsRowFormula>COUNT(TabReg[XYZ2])</totalsRowFormula>
    </tableColumn>
    <tableColumn id="218" xr3:uid="{4CD2CE15-E36E-3E42-A306-F305A7C90830}" name="THC" totalsRowFunction="custom" dataDxfId="1573" totalsRowDxfId="852">
      <totalsRowFormula>COUNT(TabReg[THC])</totalsRowFormula>
    </tableColumn>
    <tableColumn id="219" xr3:uid="{C11F035D-CDF4-174B-9BE6-F7593779E4D8}" name="THC1" totalsRowFunction="custom" dataDxfId="1572" totalsRowDxfId="851" dataCellStyle="Comma">
      <totalsRowFormula>COUNT(TabReg[THC1])</totalsRowFormula>
    </tableColumn>
    <tableColumn id="220" xr3:uid="{2A06D532-4E45-4645-BB9C-323A66479BFA}" name="THC2" totalsRowFunction="custom" dataDxfId="1571" totalsRowDxfId="850" dataCellStyle="Comma">
      <totalsRowFormula>COUNT(TabReg[THC2])</totalsRowFormula>
    </tableColumn>
    <tableColumn id="221" xr3:uid="{6EA5B267-5542-3547-8C51-B4865046DAB9}" name="X" totalsRowFunction="custom" dataDxfId="1570" totalsRowDxfId="849">
      <totalsRowFormula>COUNT(TabReg[X])</totalsRowFormula>
    </tableColumn>
    <tableColumn id="222" xr3:uid="{365245E0-D863-7643-BC5B-7BD0ECB1DE4C}" name="X1" totalsRowFunction="custom" dataDxfId="1569" totalsRowDxfId="848" dataCellStyle="Comma">
      <totalsRowFormula>COUNT(TabReg[X1])</totalsRowFormula>
    </tableColumn>
    <tableColumn id="223" xr3:uid="{DCD6AC1F-F77E-0741-AC5D-657E140B6DC2}" name="X2" totalsRowFunction="custom" dataDxfId="1568" totalsRowDxfId="847" dataCellStyle="Comma">
      <totalsRowFormula>COUNT(TabReg[X2])</totalsRowFormula>
    </tableColumn>
    <tableColumn id="302" xr3:uid="{12D2B534-7A04-F54F-80F6-A11D14B88280}" name="LOCK" totalsRowFunction="custom" dataDxfId="1567" totalsRowDxfId="846">
      <totalsRowFormula>COUNT(TabReg[LOCK])</totalsRowFormula>
    </tableColumn>
    <tableColumn id="303" xr3:uid="{8CFAE27D-A663-E64A-BF5D-1F73B5863089}" name="LOCK1" totalsRowFunction="custom" dataDxfId="1566" totalsRowDxfId="845" dataCellStyle="Comma">
      <totalsRowFormula>COUNT(TabReg[LOCK1])</totalsRowFormula>
    </tableColumn>
    <tableColumn id="304" xr3:uid="{D90F9136-0218-FB4C-836E-08A741E13B5A}" name="LOCK2" totalsRowFunction="custom" dataDxfId="1565" totalsRowDxfId="844" dataCellStyle="Comma">
      <totalsRowFormula>COUNT(TabReg[LOCK2])</totalsRowFormula>
    </tableColumn>
    <tableColumn id="161" xr3:uid="{A9E992B2-11DC-8849-A7E9-148965BC4326}" name="JBASML" totalsRowFunction="custom" dataDxfId="1564" totalsRowDxfId="84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63" totalsRowDxfId="84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62" totalsRowDxfId="84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61" totalsRowDxfId="84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60" totalsRowDxfId="83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59" totalsRowDxfId="83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58" totalsRowDxfId="83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57" totalsRowDxfId="83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56" totalsRowDxfId="83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55" totalsRowDxfId="83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54" totalsRowDxfId="83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53" totalsRowDxfId="83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52" tableBorderDxfId="1551">
  <autoFilter ref="B3:JZ36" xr:uid="{B9FDB8E1-C2D8-CA44-9290-EA3B066D98B2}"/>
  <tableColumns count="285">
    <tableColumn id="1" xr3:uid="{4F3C6718-1B2B-FE44-B8C7-4CA3C7D81539}" name="AAPL" totalsRowFunction="sum" dataDxfId="1550" totalsRowDxfId="407" dataCellStyle="Comma">
      <calculatedColumnFormula>C4*(_xlfn.XLOOKUP(B$3,TabCalc[Ticker],TabCalc[M])+D4)</calculatedColumnFormula>
    </tableColumn>
    <tableColumn id="2" xr3:uid="{FF2983F9-BF22-2A43-A1DE-D6A2929E69C2}" name="AAPL1" totalsRowFunction="sum" dataDxfId="1549" totalsRowDxfId="406" dataCellStyle="Comma"/>
    <tableColumn id="3" xr3:uid="{AE90608B-5D45-834A-9CEC-916B02A0BF70}" name="AAPL2" totalsRowFunction="average" dataDxfId="1548" totalsRowDxfId="405" dataCellStyle="Comma"/>
    <tableColumn id="4" xr3:uid="{4B747254-4228-9644-99B3-FF68845A1767}" name="ADEA" totalsRowFunction="sum" dataDxfId="1547" totalsRowDxfId="404" dataCellStyle="Comma">
      <calculatedColumnFormula>F4*(_xlfn.XLOOKUP(E$3,TabCalc[Ticker],TabCalc[M])+G4)</calculatedColumnFormula>
    </tableColumn>
    <tableColumn id="5" xr3:uid="{A192C7BC-8A1A-024C-AEFD-A4B09613ABCA}" name="ADEA1" totalsRowFunction="sum" dataDxfId="1546" totalsRowDxfId="403" dataCellStyle="Comma"/>
    <tableColumn id="6" xr3:uid="{86DBBBB8-C822-A042-882E-DAF1F6E7F1A9}" name="ADEA2" totalsRowFunction="average" dataDxfId="1545" totalsRowDxfId="402" dataCellStyle="Comma"/>
    <tableColumn id="7" xr3:uid="{CDB0D2D9-A20E-9F44-855D-B737E27A8610}" name="AET" totalsRowFunction="sum" dataDxfId="1544" totalsRowDxfId="401" dataCellStyle="Comma">
      <calculatedColumnFormula>I4*(_xlfn.XLOOKUP(H$3,TabCalc[Ticker],TabCalc[M])+J4)</calculatedColumnFormula>
    </tableColumn>
    <tableColumn id="8" xr3:uid="{F7C57E98-EFA4-264D-A1A8-5E18578768AC}" name="AET1" totalsRowFunction="sum" dataDxfId="1543" totalsRowDxfId="400" dataCellStyle="Comma"/>
    <tableColumn id="9" xr3:uid="{5E45A015-732A-FE4C-B729-DE274A6016E0}" name="AET2" totalsRowFunction="average" dataDxfId="1542" totalsRowDxfId="399" dataCellStyle="Comma"/>
    <tableColumn id="10" xr3:uid="{29B6658B-8137-294C-BDFD-629EF915B030}" name="AMZN" totalsRowFunction="sum" dataDxfId="1541" totalsRowDxfId="398" dataCellStyle="Comma">
      <calculatedColumnFormula>L4*(_xlfn.XLOOKUP(K$3,TabCalc[Ticker],TabCalc[M])+M4)</calculatedColumnFormula>
    </tableColumn>
    <tableColumn id="11" xr3:uid="{D51515D0-AD0A-7042-83F6-2930DDECDC82}" name="AMZN1" totalsRowFunction="sum" dataDxfId="1540" totalsRowDxfId="397" dataCellStyle="Comma"/>
    <tableColumn id="12" xr3:uid="{D6411F6F-1618-5046-A24E-F795B967A62E}" name="AMZN2" totalsRowFunction="average" dataDxfId="1539" totalsRowDxfId="396" dataCellStyle="Comma"/>
    <tableColumn id="13" xr3:uid="{8C7D245B-EC8F-414A-AE20-9F53131FF92C}" name="ALDNE" totalsRowFunction="sum" dataDxfId="1538" totalsRowDxfId="395" dataCellStyle="Comma">
      <calculatedColumnFormula>O4*(_xlfn.XLOOKUP(N$3,TabCalc[Ticker],TabCalc[M])+P4)</calculatedColumnFormula>
    </tableColumn>
    <tableColumn id="14" xr3:uid="{9A5ACEE4-9677-974E-BBC5-32C8CE678401}" name="ALDNE1" totalsRowFunction="sum" dataDxfId="1537" totalsRowDxfId="394" dataCellStyle="Comma"/>
    <tableColumn id="15" xr3:uid="{C9CC9906-076E-B542-90B7-A75EAA4C486F}" name="ALDNE2" totalsRowFunction="average" dataDxfId="1536" totalsRowDxfId="393" dataCellStyle="Comma"/>
    <tableColumn id="16" xr3:uid="{04CB329C-3089-0945-9AC7-48EFD8C7E2D0}" name="ASML" totalsRowFunction="sum" dataDxfId="1535" totalsRowDxfId="392" dataCellStyle="Comma">
      <calculatedColumnFormula>R4*(_xlfn.XLOOKUP(Q$3,TabCalc[Ticker],TabCalc[M])+S4)</calculatedColumnFormula>
    </tableColumn>
    <tableColumn id="17" xr3:uid="{B77296A8-A666-6444-97C5-8C071857CF23}" name="ASML1" totalsRowFunction="sum" dataDxfId="1534" totalsRowDxfId="391" dataCellStyle="Comma"/>
    <tableColumn id="18" xr3:uid="{83202C9D-48DB-5B48-B948-26C6A8D48AB1}" name="ASML2" totalsRowFunction="average" dataDxfId="1533" totalsRowDxfId="390" dataCellStyle="Comma"/>
    <tableColumn id="19" xr3:uid="{FB5345B6-A211-DB42-A1E9-A005590036FF}" name="AVGO" dataDxfId="1532" totalsRowDxfId="389" dataCellStyle="Comma">
      <calculatedColumnFormula>U4*(_xlfn.XLOOKUP(T$3,TabCalc[Ticker],TabCalc[M])+V4)</calculatedColumnFormula>
    </tableColumn>
    <tableColumn id="20" xr3:uid="{68D705CA-90AF-6242-9C88-DFDD951676B9}" name="AVGO1" dataDxfId="1531" totalsRowDxfId="388" dataCellStyle="Comma"/>
    <tableColumn id="21" xr3:uid="{C5D19C38-801A-6A46-8BA6-8B94CC71900F}" name="AVGO2" dataDxfId="1530" totalsRowDxfId="387" dataCellStyle="Comma"/>
    <tableColumn id="22" xr3:uid="{A277A45B-54A4-0A4D-A9D7-28389A195826}" name="AZN" dataDxfId="1529" totalsRowDxfId="386" dataCellStyle="Comma">
      <calculatedColumnFormula>X4*(_xlfn.XLOOKUP(W$3,TabCalc[Ticker],TabCalc[M])+Y4)</calculatedColumnFormula>
    </tableColumn>
    <tableColumn id="23" xr3:uid="{92B99FAD-1108-734D-8297-53766E839787}" name="AZN1" dataDxfId="1528" totalsRowDxfId="385" dataCellStyle="Comma"/>
    <tableColumn id="24" xr3:uid="{82125733-91A0-0E43-98ED-EE5820A40A2D}" name="AZN2" dataDxfId="1527" totalsRowDxfId="384" dataCellStyle="Comma"/>
    <tableColumn id="25" xr3:uid="{11C1CFCE-DD1E-034E-9F0B-6EAC1073C537}" name="BLDP" dataDxfId="1526" totalsRowDxfId="383" dataCellStyle="Comma">
      <calculatedColumnFormula>AA4*(_xlfn.XLOOKUP(Z$3,TabCalc[Ticker],TabCalc[M])+AB4)</calculatedColumnFormula>
    </tableColumn>
    <tableColumn id="26" xr3:uid="{360D253A-CA28-5E4D-B955-B8406C4A5F9E}" name="BLDP1" dataDxfId="1525" totalsRowDxfId="382" dataCellStyle="Comma"/>
    <tableColumn id="27" xr3:uid="{78BB3D99-F937-4F43-8875-B7E23A6FA32B}" name="BLDP2" dataDxfId="1524" totalsRowDxfId="381" dataCellStyle="Comma"/>
    <tableColumn id="28" xr3:uid="{C59C5AD3-A4D8-7B4F-83F9-EFA750C2D5EB}" name="BMRA" dataDxfId="1523" totalsRowDxfId="380" dataCellStyle="Comma">
      <calculatedColumnFormula>AD4*(_xlfn.XLOOKUP(AC$3,TabCalc[Ticker],TabCalc[M])+AE4)</calculatedColumnFormula>
    </tableColumn>
    <tableColumn id="29" xr3:uid="{30176083-A0E5-FE4E-8CA3-9FF85C53DAA0}" name="BMRA1" dataDxfId="1522" totalsRowDxfId="379" dataCellStyle="Comma"/>
    <tableColumn id="30" xr3:uid="{157B3467-E16E-6B4C-B0AC-345A122E272E}" name="BMRA2" dataDxfId="1521" totalsRowDxfId="378" dataCellStyle="Comma"/>
    <tableColumn id="31" xr3:uid="{09259404-461E-4B42-97D7-BC216348265E}" name="C" dataDxfId="1520" totalsRowDxfId="377" dataCellStyle="Comma">
      <calculatedColumnFormula>AG4*(_xlfn.XLOOKUP(AF$3,TabCalc[Ticker],TabCalc[M])+AH4)</calculatedColumnFormula>
    </tableColumn>
    <tableColumn id="32" xr3:uid="{C2842856-FA06-F241-9877-F4F2A22D62C0}" name="C1" dataDxfId="1519" totalsRowDxfId="376" dataCellStyle="Comma"/>
    <tableColumn id="33" xr3:uid="{CE4D0E24-6414-C94A-9600-A11AABD3BC40}" name="C2" dataDxfId="1518" totalsRowDxfId="375" dataCellStyle="Comma"/>
    <tableColumn id="34" xr3:uid="{078D17E2-A2D5-3D4D-B742-157B8CB3F0BA}" name="CSCO" dataDxfId="1517" totalsRowDxfId="374" dataCellStyle="Comma">
      <calculatedColumnFormula>AJ4*(_xlfn.XLOOKUP(AI$3,TabCalc[Ticker],TabCalc[M])+AK4)</calculatedColumnFormula>
    </tableColumn>
    <tableColumn id="35" xr3:uid="{DA4CCFB4-3785-A448-BD12-B24CFFE15100}" name="CSCO1" dataDxfId="1516" totalsRowDxfId="373" dataCellStyle="Comma"/>
    <tableColumn id="36" xr3:uid="{706D3649-B8D9-CB46-85BB-2503E26E2C17}" name="CSCO2" dataDxfId="1515" totalsRowDxfId="372" dataCellStyle="Comma"/>
    <tableColumn id="37" xr3:uid="{C664F6F7-12B5-6842-8880-53DF3553EBE5}" name="CVS" dataDxfId="1514" totalsRowDxfId="371" dataCellStyle="Comma">
      <calculatedColumnFormula>AM4*(_xlfn.XLOOKUP(AL$3,TabCalc[Ticker],TabCalc[M])+AN4)</calculatedColumnFormula>
    </tableColumn>
    <tableColumn id="38" xr3:uid="{4661F2A7-EF10-8F47-A857-292ADCBC9FD1}" name="CVS1" dataDxfId="1513" totalsRowDxfId="370" dataCellStyle="Comma"/>
    <tableColumn id="39" xr3:uid="{846CEC17-7EC7-E84E-B199-0C0E8960419B}" name="CVS2" dataDxfId="1512" totalsRowDxfId="369" dataCellStyle="Comma"/>
    <tableColumn id="40" xr3:uid="{4DCD0661-9DF9-CE49-90F9-D694D57AE82F}" name="DDD" dataDxfId="1511" totalsRowDxfId="368" dataCellStyle="Comma">
      <calculatedColumnFormula>AP4*(_xlfn.XLOOKUP(AO$3,TabCalc[Ticker],TabCalc[M])+AQ4)</calculatedColumnFormula>
    </tableColumn>
    <tableColumn id="41" xr3:uid="{65C42C47-BEEF-5A43-8793-34D0816F3BC5}" name="DDD1" dataDxfId="1510" totalsRowDxfId="367" dataCellStyle="Comma"/>
    <tableColumn id="42" xr3:uid="{3B8ABE3C-1DCC-6A4B-970C-E21CDF07AC21}" name="DDD2" dataDxfId="1509" totalsRowDxfId="366" dataCellStyle="Comma"/>
    <tableColumn id="43" xr3:uid="{1569A28F-F511-5C4D-8DD6-30ACA757E7E7}" name="DIS" dataDxfId="1508" totalsRowDxfId="365" dataCellStyle="Comma">
      <calculatedColumnFormula>AS4*(_xlfn.XLOOKUP(AR$3,TabCalc[Ticker],TabCalc[M])+AT4)</calculatedColumnFormula>
    </tableColumn>
    <tableColumn id="44" xr3:uid="{E403B095-56DF-0641-9062-C7B3671154B2}" name="DIS1" dataDxfId="1507" totalsRowDxfId="364" dataCellStyle="Comma"/>
    <tableColumn id="45" xr3:uid="{8DFBDE8E-AC27-7A42-BE30-25EF0C39ED2D}" name="DIS2" dataDxfId="1506" totalsRowDxfId="363" dataCellStyle="Comma"/>
    <tableColumn id="46" xr3:uid="{6046D983-09F2-8342-B55E-38DC94662758}" name="DSY" dataDxfId="1505" totalsRowDxfId="362" dataCellStyle="Comma">
      <calculatedColumnFormula>AV4*(_xlfn.XLOOKUP(AU$3,TabCalc[Ticker],TabCalc[M])+AW4)</calculatedColumnFormula>
    </tableColumn>
    <tableColumn id="47" xr3:uid="{F8D640E4-7B06-4C41-8CCD-2056E9C5A036}" name="DSY1" dataDxfId="1504" totalsRowDxfId="361" dataCellStyle="Comma"/>
    <tableColumn id="48" xr3:uid="{B16CF993-FFAD-8348-9062-209D2EB1063C}" name="DSY2" dataDxfId="1503" totalsRowDxfId="360" dataCellStyle="Comma"/>
    <tableColumn id="49" xr3:uid="{16299194-B209-E04F-B83E-22E206A94209}" name="DVA" dataDxfId="1502" totalsRowDxfId="359" dataCellStyle="Comma">
      <calculatedColumnFormula>AY4*(_xlfn.XLOOKUP(AX$3,TabCalc[Ticker],TabCalc[M])+AZ4)</calculatedColumnFormula>
    </tableColumn>
    <tableColumn id="50" xr3:uid="{B0D37179-E335-0D45-9DAC-63F72DFDB690}" name="DVA1" dataDxfId="1501" totalsRowDxfId="358" dataCellStyle="Comma"/>
    <tableColumn id="51" xr3:uid="{4A45E220-F558-E14A-9111-D79E6AEE9F87}" name="DVA2" dataDxfId="1500" totalsRowDxfId="357" dataCellStyle="Comma"/>
    <tableColumn id="52" xr3:uid="{5FE7A652-62D3-034A-85CF-95616062006C}" name="DXC" dataDxfId="1499" totalsRowDxfId="356" dataCellStyle="Comma">
      <calculatedColumnFormula>BB4*(_xlfn.XLOOKUP(BA$3,TabCalc[Ticker],TabCalc[M])+BC4)</calculatedColumnFormula>
    </tableColumn>
    <tableColumn id="53" xr3:uid="{83D50AE1-D96C-5A4F-BBB5-435FC1C1CDCD}" name="DXC1" dataDxfId="1498" totalsRowDxfId="355" dataCellStyle="Comma"/>
    <tableColumn id="54" xr3:uid="{FD007891-17F4-544B-A18C-7CF33EC95A98}" name="DXC2" dataDxfId="1497" totalsRowDxfId="354" dataCellStyle="Comma"/>
    <tableColumn id="55" xr3:uid="{9AD98B59-186F-4645-B06F-1EFB866D9D3A}" name="EOAN" dataDxfId="1496" totalsRowDxfId="353" dataCellStyle="Comma">
      <calculatedColumnFormula>BE4*(_xlfn.XLOOKUP(BD$3,TabCalc[Ticker],TabCalc[M])+BF4)</calculatedColumnFormula>
    </tableColumn>
    <tableColumn id="56" xr3:uid="{2C37859C-05A6-2F46-A430-12020E97CDDA}" name="EOAN1" dataDxfId="1495" totalsRowDxfId="352" dataCellStyle="Comma"/>
    <tableColumn id="57" xr3:uid="{39A52E6F-F4D8-0A42-B6F4-7E059D490412}" name="EOAN2" dataDxfId="1494" totalsRowDxfId="351" dataCellStyle="Comma"/>
    <tableColumn id="58" xr3:uid="{7BBECE56-3D92-2F42-9FC8-DB87EB6560AC}" name="EPIX" dataDxfId="1493" totalsRowDxfId="350" dataCellStyle="Comma">
      <calculatedColumnFormula>BH4*(_xlfn.XLOOKUP(BG$3,TabCalc[Ticker],TabCalc[M])+BI4)</calculatedColumnFormula>
    </tableColumn>
    <tableColumn id="59" xr3:uid="{334321B6-C136-5045-B0D8-C45B5968E1F4}" name="EPIX1" dataDxfId="1492" totalsRowDxfId="349" dataCellStyle="Comma"/>
    <tableColumn id="60" xr3:uid="{65990670-CFEB-7B48-9CA3-1AA957BC261E}" name="EPIX2" dataDxfId="1491" totalsRowDxfId="348" dataCellStyle="Comma"/>
    <tableColumn id="61" xr3:uid="{336FC4A6-72E6-AD47-BB46-577B146714F1}" name="GM" dataDxfId="1490" totalsRowDxfId="347" dataCellStyle="Comma">
      <calculatedColumnFormula>BK4*(_xlfn.XLOOKUP(BJ$3,TabCalc[Ticker],TabCalc[M])+BL4)</calculatedColumnFormula>
    </tableColumn>
    <tableColumn id="62" xr3:uid="{C4B9154B-A497-C746-A22E-268498C355B1}" name="GM1" dataDxfId="1489" totalsRowDxfId="346" dataCellStyle="Comma"/>
    <tableColumn id="63" xr3:uid="{533CB1C3-2006-3A44-82D6-50E2F60B1390}" name="GM2" dataDxfId="1488" totalsRowDxfId="345" dataCellStyle="Comma"/>
    <tableColumn id="64" xr3:uid="{64C92ADD-B441-A54B-B34F-ACC0AAA55A6D}" name="HPE" dataDxfId="1487" totalsRowDxfId="344" dataCellStyle="Comma">
      <calculatedColumnFormula>BN4*(_xlfn.XLOOKUP(BM$3,TabCalc[Ticker],TabCalc[M])+BO4)</calculatedColumnFormula>
    </tableColumn>
    <tableColumn id="65" xr3:uid="{DDC3C698-57C9-8E40-9B44-03AEF5E2D33E}" name="HPE1" dataDxfId="1486" totalsRowDxfId="343" dataCellStyle="Comma"/>
    <tableColumn id="66" xr3:uid="{FE47C51F-A166-3D4F-B502-DB6D6F219911}" name="HPE2" dataDxfId="1485" totalsRowDxfId="342" dataCellStyle="Comma"/>
    <tableColumn id="67" xr3:uid="{17E23500-7942-B64E-82CA-F7883926C605}" name="HPQ" dataDxfId="1484" totalsRowDxfId="341" dataCellStyle="Comma">
      <calculatedColumnFormula>BQ4*(_xlfn.XLOOKUP(BP$3,TabCalc[Ticker],TabCalc[M])+BR4)</calculatedColumnFormula>
    </tableColumn>
    <tableColumn id="68" xr3:uid="{CA289335-17CB-674A-8A96-84F9C9BFB456}" name="HPQ1" dataDxfId="1483" totalsRowDxfId="340" dataCellStyle="Comma"/>
    <tableColumn id="69" xr3:uid="{D3EAC5FA-188A-F74E-956B-23A739D82BE2}" name="HPQ2" dataDxfId="1482" totalsRowDxfId="339" dataCellStyle="Comma"/>
    <tableColumn id="70" xr3:uid="{F794EEC2-757B-0B4C-A97F-488A63CF054F}" name="IAG" dataDxfId="1481" totalsRowDxfId="338" dataCellStyle="Comma">
      <calculatedColumnFormula>BT4*(_xlfn.XLOOKUP(BS$3,TabCalc[Ticker],TabCalc[M])+BU4)</calculatedColumnFormula>
    </tableColumn>
    <tableColumn id="71" xr3:uid="{C8D9C546-3E1E-3944-8CAE-5102C0B702A7}" name="IAG1" dataDxfId="1480" totalsRowDxfId="337" dataCellStyle="Comma"/>
    <tableColumn id="72" xr3:uid="{2711F9B5-1A47-ED40-91E3-53338F3897E5}" name="IAG2" dataDxfId="1479" totalsRowDxfId="336" dataCellStyle="Comma"/>
    <tableColumn id="73" xr3:uid="{F5FC5392-4456-AB4B-8BA4-9DBAE831115C}" name="KR" dataDxfId="1478" totalsRowDxfId="335" dataCellStyle="Comma">
      <calculatedColumnFormula>BW4*(_xlfn.XLOOKUP(BV$3,TabCalc[Ticker],TabCalc[M])+BX4)</calculatedColumnFormula>
    </tableColumn>
    <tableColumn id="74" xr3:uid="{777F8583-92B7-8F41-859A-79C3721421C1}" name="KR1" dataDxfId="1477" totalsRowDxfId="334" dataCellStyle="Comma"/>
    <tableColumn id="75" xr3:uid="{E99A7506-8017-FC4E-9CA2-52E6F7C05881}" name="KR2" dataDxfId="1476" totalsRowDxfId="333" dataCellStyle="Comma"/>
    <tableColumn id="76" xr3:uid="{920BB91C-1886-7148-98B1-FDFF98736F14}" name="LNSR" dataDxfId="1475" totalsRowDxfId="332" dataCellStyle="Comma">
      <calculatedColumnFormula>BZ4*(_xlfn.XLOOKUP(BY$3,TabCalc[Ticker],TabCalc[M])+CA4)</calculatedColumnFormula>
    </tableColumn>
    <tableColumn id="77" xr3:uid="{0CA43B86-716C-254E-860A-62C5E5FF6526}" name="LNSR1" dataDxfId="1474" totalsRowDxfId="331" dataCellStyle="Comma"/>
    <tableColumn id="78" xr3:uid="{7AEF95B8-712B-F642-87C9-6A9501098ED9}" name="LNSR2" dataDxfId="1473" totalsRowDxfId="330" dataCellStyle="Comma"/>
    <tableColumn id="79" xr3:uid="{3CDEC1EC-7A39-7C41-A8F5-6DD96DF561A2}" name="LUMN" dataDxfId="1472" totalsRowDxfId="329" dataCellStyle="Comma">
      <calculatedColumnFormula>CC4*(_xlfn.XLOOKUP(CB$3,TabCalc[Ticker],TabCalc[M])+CD4)</calculatedColumnFormula>
    </tableColumn>
    <tableColumn id="80" xr3:uid="{075ED823-73A8-3140-A535-39CB4912DA86}" name="LUMN1" dataDxfId="1471" totalsRowDxfId="328" dataCellStyle="Comma"/>
    <tableColumn id="81" xr3:uid="{EF42D74A-4522-2241-832E-A1E70E9145F9}" name="LUMN2" dataDxfId="1470" totalsRowDxfId="327" dataCellStyle="Comma"/>
    <tableColumn id="82" xr3:uid="{FAD1EB90-EE7E-7E4D-8F6A-D530C21860C4}" name="MRNA" dataDxfId="1469" totalsRowDxfId="326" dataCellStyle="Comma">
      <calculatedColumnFormula>CF4*(_xlfn.XLOOKUP(CE$3,TabCalc[Ticker],TabCalc[M])+CG4)</calculatedColumnFormula>
    </tableColumn>
    <tableColumn id="83" xr3:uid="{E96325F3-3FFB-4945-97DF-3E0B895B32BA}" name="MRNA1" dataDxfId="1468" totalsRowDxfId="325" dataCellStyle="Comma"/>
    <tableColumn id="84" xr3:uid="{38C36CD7-FFF3-B94D-BBA2-E3FCEDD9E2C9}" name="MRNA2" dataDxfId="1467" totalsRowDxfId="324" dataCellStyle="Comma"/>
    <tableColumn id="85" xr3:uid="{D3F7B5A1-68CB-DD47-95A2-C2A2F4FEB49A}" name="MSFT" dataDxfId="1466" totalsRowDxfId="323" dataCellStyle="Comma">
      <calculatedColumnFormula>CI4*(_xlfn.XLOOKUP(CH$3,TabCalc[Ticker],TabCalc[M])+CJ4)</calculatedColumnFormula>
    </tableColumn>
    <tableColumn id="86" xr3:uid="{498E253A-4894-CC4A-8BDB-D493B847ADEE}" name="MSFT1" dataDxfId="1465" totalsRowDxfId="322" dataCellStyle="Comma"/>
    <tableColumn id="87" xr3:uid="{6B7745C3-9073-9F42-86E9-6E29F372AB19}" name="MSFT2" dataDxfId="1464" totalsRowDxfId="321" dataCellStyle="Comma"/>
    <tableColumn id="88" xr3:uid="{7967BFC4-C0E3-5F41-B5FB-B99F8B1F4F60}" name="NEE" dataDxfId="1463" totalsRowDxfId="320" dataCellStyle="Comma">
      <calculatedColumnFormula>CL4*(_xlfn.XLOOKUP(CK$3,TabCalc[Ticker],TabCalc[M])+CM4)</calculatedColumnFormula>
    </tableColumn>
    <tableColumn id="89" xr3:uid="{E26FAAA2-E84A-664D-A186-5B869A89DE66}" name="NEE1" dataDxfId="1462" totalsRowDxfId="319" dataCellStyle="Comma"/>
    <tableColumn id="90" xr3:uid="{D4457184-AC90-FF46-A98C-28B4FE42662F}" name="NEE2" dataDxfId="1461" totalsRowDxfId="318" dataCellStyle="Comma"/>
    <tableColumn id="91" xr3:uid="{0350E67E-C364-DC45-860A-163A20CB2AF7}" name="NEM" dataDxfId="1460" totalsRowDxfId="317" dataCellStyle="Comma">
      <calculatedColumnFormula>CO4*(_xlfn.XLOOKUP(CN$3,TabCalc[Ticker],TabCalc[M])+CP4)</calculatedColumnFormula>
    </tableColumn>
    <tableColumn id="92" xr3:uid="{CC763123-44C0-0B48-8910-25EBF34C057F}" name="NEM1" dataDxfId="1459" totalsRowDxfId="316" dataCellStyle="Comma"/>
    <tableColumn id="93" xr3:uid="{BC59D84A-BD01-F546-A05F-73A544F2A66B}" name="NEM2" dataDxfId="1458" totalsRowDxfId="315" dataCellStyle="Comma"/>
    <tableColumn id="94" xr3:uid="{01C43689-6564-574E-8C2F-3218C46EED39}" name="NFLX" dataDxfId="1457" totalsRowDxfId="314" dataCellStyle="Comma">
      <calculatedColumnFormula>CR4*(_xlfn.XLOOKUP(CQ$3,TabCalc[Ticker],TabCalc[M])+CS4)</calculatedColumnFormula>
    </tableColumn>
    <tableColumn id="95" xr3:uid="{C61EBA53-FA20-E14E-AC13-AF5A204B1D64}" name="NFLX1" dataDxfId="1456" totalsRowDxfId="313" dataCellStyle="Comma"/>
    <tableColumn id="96" xr3:uid="{528E1A3F-ADF3-A041-AF88-A5D1CBE54694}" name="NFLX2" dataDxfId="1455" totalsRowDxfId="312" dataCellStyle="Comma"/>
    <tableColumn id="97" xr3:uid="{EE8DB3DE-C84A-7142-9DBE-22152BE7F05C}" name="NOTE" dataDxfId="1454" totalsRowDxfId="311" dataCellStyle="Comma">
      <calculatedColumnFormula>CU4*(_xlfn.XLOOKUP(CT$3,TabCalc[Ticker],TabCalc[M])+CV4)</calculatedColumnFormula>
    </tableColumn>
    <tableColumn id="98" xr3:uid="{3EB79190-BE55-FF41-A5B8-89261ABFCCEF}" name="NOTE1" dataDxfId="1453" totalsRowDxfId="310" dataCellStyle="Comma"/>
    <tableColumn id="99" xr3:uid="{C275B362-7AF8-D04D-A60A-29807754C61A}" name="NOTE2" dataDxfId="1452" totalsRowDxfId="309" dataCellStyle="Comma"/>
    <tableColumn id="100" xr3:uid="{84156E29-C75E-1549-93F0-4C22B621E470}" name="PAAS" dataDxfId="1451" totalsRowDxfId="308" dataCellStyle="Comma">
      <calculatedColumnFormula>CX4*(_xlfn.XLOOKUP(CW$3,TabCalc[Ticker],TabCalc[M])+CY4)</calculatedColumnFormula>
    </tableColumn>
    <tableColumn id="101" xr3:uid="{3074A862-D4A8-BC4A-8525-FBE77503EFCE}" name="PAAS1" dataDxfId="1450" totalsRowDxfId="307" dataCellStyle="Comma"/>
    <tableColumn id="102" xr3:uid="{B774B9E2-AFA0-CC40-8434-1E869C710642}" name="PAAS2" dataDxfId="1449" totalsRowDxfId="306" dataCellStyle="Comma"/>
    <tableColumn id="103" xr3:uid="{F59B1991-C44E-1842-B560-FD6BA7BF65E1}" name="PROF" dataDxfId="1448" totalsRowDxfId="305" dataCellStyle="Comma">
      <calculatedColumnFormula>DA4*(_xlfn.XLOOKUP(CZ$3,TabCalc[Ticker],TabCalc[M])+DB4)</calculatedColumnFormula>
    </tableColumn>
    <tableColumn id="104" xr3:uid="{7A648921-782B-094B-9AC1-9A3182FADEE7}" name="PROF1" dataDxfId="1447" totalsRowDxfId="304" dataCellStyle="Comma"/>
    <tableColumn id="105" xr3:uid="{E134CDF6-54A6-104D-A588-BD86FD67040F}" name="PROF2" dataDxfId="1446" totalsRowDxfId="303" dataCellStyle="Comma"/>
    <tableColumn id="106" xr3:uid="{86D65F56-DF53-CC4A-9E19-B529E65F1C75}" name="POET" dataDxfId="1445" totalsRowDxfId="302" dataCellStyle="Comma"/>
    <tableColumn id="107" xr3:uid="{E9280078-06B8-9649-8650-511767770BD3}" name="POET1" dataDxfId="1444" totalsRowDxfId="301" dataCellStyle="Comma"/>
    <tableColumn id="108" xr3:uid="{2E35D0FA-1511-8C47-B29B-8A3751083E79}" name="POET2" dataDxfId="1443" totalsRowDxfId="300" dataCellStyle="Comma"/>
    <tableColumn id="109" xr3:uid="{ACDC3A1B-310F-344D-A25D-EFAF2DA754F5}" name="PW" dataDxfId="1442" totalsRowDxfId="299" dataCellStyle="Comma">
      <calculatedColumnFormula>DG4*(_xlfn.XLOOKUP(DF$3,TabCalc[Ticker],TabCalc[M])+DH4)</calculatedColumnFormula>
    </tableColumn>
    <tableColumn id="110" xr3:uid="{FAEE4FEA-62CA-294D-ABF9-4563064E6BA8}" name="PW1" dataDxfId="1441" totalsRowDxfId="298" dataCellStyle="Comma"/>
    <tableColumn id="111" xr3:uid="{80FF5CFA-8F63-894A-9C56-7A6A804F620F}" name="PW2" dataDxfId="1440" totalsRowDxfId="297" dataCellStyle="Comma"/>
    <tableColumn id="112" xr3:uid="{FE3C1657-D29A-254B-8304-D173720389C1}" name="RIGL" dataDxfId="1439" totalsRowDxfId="296" dataCellStyle="Comma">
      <calculatedColumnFormula>DJ4*(_xlfn.XLOOKUP(DI$3,TabCalc[Ticker],TabCalc[M])+DK4)</calculatedColumnFormula>
    </tableColumn>
    <tableColumn id="113" xr3:uid="{39AEED7D-52C8-8347-BCA2-C8207398A415}" name="RIGL1" dataDxfId="1438" totalsRowDxfId="295" dataCellStyle="Comma"/>
    <tableColumn id="114" xr3:uid="{65A5449B-6191-3848-AAE6-E474979A4826}" name="RIGL2" dataDxfId="1437" totalsRowDxfId="294" dataCellStyle="Comma"/>
    <tableColumn id="115" xr3:uid="{64B37DD2-A420-3A4C-BB41-103D11E44E00}" name="RWE" dataDxfId="1436" totalsRowDxfId="293" dataCellStyle="Comma">
      <calculatedColumnFormula>DM4*(_xlfn.XLOOKUP(DL$3,TabCalc[Ticker],TabCalc[M])+DN4)</calculatedColumnFormula>
    </tableColumn>
    <tableColumn id="116" xr3:uid="{0C8DB87B-3DFF-F849-803F-304BE29ACE6F}" name="RWE1" dataDxfId="1435" totalsRowDxfId="292" dataCellStyle="Comma"/>
    <tableColumn id="117" xr3:uid="{F03B718E-935E-5944-8702-A489484FF2A5}" name="RWE2" dataDxfId="1434" totalsRowDxfId="291" dataCellStyle="Comma"/>
    <tableColumn id="118" xr3:uid="{E81E3112-8486-004F-A62E-9163C465EABC}" name="SAP" dataDxfId="1433" totalsRowDxfId="290" dataCellStyle="Comma">
      <calculatedColumnFormula>DP4*(_xlfn.XLOOKUP(DO$3,TabCalc[Ticker],TabCalc[M])+DQ4)</calculatedColumnFormula>
    </tableColumn>
    <tableColumn id="119" xr3:uid="{DF7A2077-A8B7-B24B-BCC7-9A5CE980BB63}" name="SAP1" dataDxfId="1432" totalsRowDxfId="289" dataCellStyle="Comma"/>
    <tableColumn id="120" xr3:uid="{81BAD1BF-576A-C14A-B5BC-22A810BF9C8B}" name="SAP2" dataDxfId="1431" totalsRowDxfId="288" dataCellStyle="Comma"/>
    <tableColumn id="121" xr3:uid="{F83ADD54-B4F0-BE40-98DA-A3F47F9655A7}" name="SHECY" dataDxfId="1430" totalsRowDxfId="287" dataCellStyle="Comma">
      <calculatedColumnFormula>DS4*(_xlfn.XLOOKUP(DR$3,TabCalc[Ticker],TabCalc[M])+DT4)</calculatedColumnFormula>
    </tableColumn>
    <tableColumn id="122" xr3:uid="{22AC636A-1AE3-5E4B-B841-E385E86CDD56}" name="SHECY1" dataDxfId="1429" totalsRowDxfId="286" dataCellStyle="Comma"/>
    <tableColumn id="123" xr3:uid="{388F1694-2482-C14D-B433-CDD72262C7F2}" name="SHECY2" dataDxfId="1428" totalsRowDxfId="285" dataCellStyle="Comma"/>
    <tableColumn id="124" xr3:uid="{20F10A2E-5921-DF40-8350-2F803C2D284F}" name="SSYS" dataDxfId="1427" totalsRowDxfId="284" dataCellStyle="Comma">
      <calculatedColumnFormula>DV4*(_xlfn.XLOOKUP(DU$3,TabCalc[Ticker],TabCalc[M])+DW4)</calculatedColumnFormula>
    </tableColumn>
    <tableColumn id="125" xr3:uid="{CFB45D49-E59D-E94A-91A9-6D7BFA0DA4BF}" name="SSYS1" dataDxfId="1426" totalsRowDxfId="283" dataCellStyle="Comma"/>
    <tableColumn id="126" xr3:uid="{FBE6F387-DE88-A54B-8EDA-5A7F03478FE9}" name="SSYS2" dataDxfId="1425" totalsRowDxfId="282" dataCellStyle="Comma"/>
    <tableColumn id="127" xr3:uid="{729B6E9F-E8D7-8743-8199-94F998ED5529}" name="TSLA" dataDxfId="1424" totalsRowDxfId="281" dataCellStyle="Comma">
      <calculatedColumnFormula>DY4*(_xlfn.XLOOKUP(DX$3,TabCalc[Ticker],TabCalc[M])+DZ4)</calculatedColumnFormula>
    </tableColumn>
    <tableColumn id="128" xr3:uid="{5FC83869-9BDE-DB42-89C9-A75961A28912}" name="TSLA1" dataDxfId="1423" totalsRowDxfId="280" dataCellStyle="Comma"/>
    <tableColumn id="129" xr3:uid="{7ED7429F-A831-2741-B223-E18CF879D0FF}" name="TSLA2" dataDxfId="1422" totalsRowDxfId="279" dataCellStyle="Comma"/>
    <tableColumn id="130" xr3:uid="{8F2F86A1-AB73-4C45-B6A3-71BCA5A197E9}" name="TSM" dataDxfId="1421" totalsRowDxfId="278" dataCellStyle="Comma">
      <calculatedColumnFormula>EB4*(_xlfn.XLOOKUP(EA$3,TabCalc[Ticker],TabCalc[M])+EC4)</calculatedColumnFormula>
    </tableColumn>
    <tableColumn id="131" xr3:uid="{44F96535-4AB3-654D-9E97-294D66B63AA9}" name="TSM1" dataDxfId="1420" totalsRowDxfId="277" dataCellStyle="Comma"/>
    <tableColumn id="132" xr3:uid="{C9083538-F7CF-244B-BA6D-8F04FACB053E}" name="TSM2" dataDxfId="1419" totalsRowDxfId="276" dataCellStyle="Comma"/>
    <tableColumn id="133" xr3:uid="{FC95878B-E72D-B64D-A477-817226300E96}" name="UN0" dataDxfId="1418" totalsRowDxfId="275" dataCellStyle="Comma">
      <calculatedColumnFormula>EE4*(_xlfn.XLOOKUP(ED$3,TabCalc[Ticker],TabCalc[M])+EF4)</calculatedColumnFormula>
    </tableColumn>
    <tableColumn id="134" xr3:uid="{7E5B9EDF-F393-2448-A152-B30F39B596FD}" name="UN01" dataDxfId="1417" totalsRowDxfId="274" dataCellStyle="Comma"/>
    <tableColumn id="135" xr3:uid="{65FB4079-20B9-BC47-9D99-5CC5FE09BDF5}" name="UN02" dataDxfId="1416" totalsRowDxfId="273" dataCellStyle="Comma"/>
    <tableColumn id="136" xr3:uid="{6D8B7C95-E8BD-CF4E-A0F8-6ACCCE764AF4}" name="UNIT" dataDxfId="1415" totalsRowDxfId="272" dataCellStyle="Comma">
      <calculatedColumnFormula>EH4*(_xlfn.XLOOKUP(EG$3,TabCalc[Ticker],TabCalc[M])+EI4)</calculatedColumnFormula>
    </tableColumn>
    <tableColumn id="137" xr3:uid="{0F1D805F-0864-C14A-9BA6-E30A638F801B}" name="UNIT1" dataDxfId="1414" totalsRowDxfId="271" dataCellStyle="Comma"/>
    <tableColumn id="138" xr3:uid="{8339927D-798A-374E-952D-498E693C2F81}" name="UNIT2" dataDxfId="1413" totalsRowDxfId="270" dataCellStyle="Comma"/>
    <tableColumn id="139" xr3:uid="{E86CE4B2-67C3-E946-99EE-215F9AFBB44B}" name="Free" dataDxfId="1412" totalsRowDxfId="269" dataCellStyle="Comma">
      <calculatedColumnFormula>EK4*(_xlfn.XLOOKUP(EJ$3,TabCalc[Ticker],TabCalc[M])+EL4)</calculatedColumnFormula>
    </tableColumn>
    <tableColumn id="140" xr3:uid="{2A1F7BD6-D7FB-5149-B6B0-D7DE17D011FF}" name="Free1" dataDxfId="1411" totalsRowDxfId="268" dataCellStyle="Comma"/>
    <tableColumn id="141" xr3:uid="{33907480-858B-7E4F-AFC4-0EDC7312C3F7}" name="Free2" dataDxfId="1410" totalsRowDxfId="267" dataCellStyle="Comma"/>
    <tableColumn id="142" xr3:uid="{00D1CCC4-1D2A-0345-A1E0-9F720EA238C8}" name="VLVLY" dataDxfId="1409" totalsRowDxfId="266" dataCellStyle="Comma">
      <calculatedColumnFormula>EN4*(_xlfn.XLOOKUP(EM$3,TabCalc[Ticker],TabCalc[M])+EO4)</calculatedColumnFormula>
    </tableColumn>
    <tableColumn id="143" xr3:uid="{ECF23EF1-8B60-9744-9A10-58CBC82F4625}" name="VLVLY1" dataDxfId="1408" totalsRowDxfId="265" dataCellStyle="Comma"/>
    <tableColumn id="144" xr3:uid="{7004DF05-E0F2-794A-AB5E-B44C42C1B293}" name="VLVLY2" dataDxfId="1407" totalsRowDxfId="264" dataCellStyle="Comma"/>
    <tableColumn id="145" xr3:uid="{41F14CA5-D644-7844-92B5-1CDA6AD1EDBD}" name="VONN" dataDxfId="1406" totalsRowDxfId="263" dataCellStyle="Comma">
      <calculatedColumnFormula>EQ4*(_xlfn.XLOOKUP(EP$3,TabCalc[Ticker],TabCalc[M])+ER4)</calculatedColumnFormula>
    </tableColumn>
    <tableColumn id="146" xr3:uid="{D4CB0390-24B1-184E-9999-820F8A0A3E71}" name="VONN1" dataDxfId="1405" totalsRowDxfId="262" dataCellStyle="Comma"/>
    <tableColumn id="147" xr3:uid="{0F61E6EC-5AA7-4E4E-9881-330A85520104}" name="VONN2" dataDxfId="1404" totalsRowDxfId="261" dataCellStyle="Comma"/>
    <tableColumn id="148" xr3:uid="{42C8BF39-DEFC-3D4D-8A5D-2BA2E330D8D9}" name="VTRS" dataDxfId="1403" totalsRowDxfId="260" dataCellStyle="Comma">
      <calculatedColumnFormula>ET4*(_xlfn.XLOOKUP(ES$3,TabCalc[Ticker],TabCalc[M])+EU4)</calculatedColumnFormula>
    </tableColumn>
    <tableColumn id="149" xr3:uid="{0E05FFE0-E1FD-7241-BD67-7FD0BF47A6E7}" name="VTRS1" dataDxfId="1402" totalsRowDxfId="259" dataCellStyle="Comma"/>
    <tableColumn id="150" xr3:uid="{4D304682-5B3C-9443-A1F2-DD94157006BF}" name="VTRS2" dataDxfId="1401" totalsRowDxfId="258" dataCellStyle="Comma"/>
    <tableColumn id="151" xr3:uid="{6FAB44FC-5959-A841-BE04-05A288B83A96}" name="WBA" dataDxfId="1400" totalsRowDxfId="257" dataCellStyle="Comma">
      <calculatedColumnFormula>EW4*(_xlfn.XLOOKUP(EV$3,TabCalc[Ticker],TabCalc[M])+EX4)</calculatedColumnFormula>
    </tableColumn>
    <tableColumn id="152" xr3:uid="{EB1E6E75-1A3D-F54A-BDAC-B7FB81FAAA76}" name="WBA1" dataDxfId="1399" totalsRowDxfId="256" dataCellStyle="Comma"/>
    <tableColumn id="153" xr3:uid="{0E0D2AAF-3A9E-9B42-B1C7-78FF8512709B}" name="WBA2" dataDxfId="1398" totalsRowDxfId="255"/>
    <tableColumn id="154" xr3:uid="{78C7D213-AD65-A147-B2D4-136490099172}" name="XOM" dataDxfId="1397" totalsRowDxfId="254" dataCellStyle="Comma">
      <calculatedColumnFormula>EZ4*(_xlfn.XLOOKUP(EY$3,TabCalc[Ticker],TabCalc[M])+FA4)</calculatedColumnFormula>
    </tableColumn>
    <tableColumn id="155" xr3:uid="{5FC889AE-E8E8-0C48-B5C2-8A78C0BB67CB}" name="XOM1" dataDxfId="1396" totalsRowDxfId="253" dataCellStyle="Comma"/>
    <tableColumn id="156" xr3:uid="{4431D097-8451-014D-BC06-B1985AD57878}" name="XOM2" dataDxfId="1395" totalsRowDxfId="252"/>
    <tableColumn id="157" xr3:uid="{0E46A2D5-3273-B447-BEED-AE25F7D069CD}" name="XPER" dataDxfId="1394" totalsRowDxfId="251" dataCellStyle="Comma">
      <calculatedColumnFormula>FC4*(_xlfn.XLOOKUP(FB$3,TabCalc[Ticker],TabCalc[M])+FD4)</calculatedColumnFormula>
    </tableColumn>
    <tableColumn id="158" xr3:uid="{E61E2579-C816-774A-B173-ABA6CCC18EE0}" name="XPER1" dataDxfId="1393" totalsRowDxfId="250" dataCellStyle="Comma"/>
    <tableColumn id="159" xr3:uid="{265E885E-1CAF-0748-9DE0-769739590A1B}" name="XPER2" dataDxfId="1392" totalsRowDxfId="249"/>
    <tableColumn id="160" xr3:uid="{3820CAC2-68B6-3748-A506-ADBB9F837618}" name="MVEALDNE" dataDxfId="1391" totalsRowDxfId="248" dataCellStyle="Comma">
      <calculatedColumnFormula>FF4*(_xlfn.XLOOKUP(FE$3,TabCalc[Ticker],TabCalc[M])+FG4)</calculatedColumnFormula>
    </tableColumn>
    <tableColumn id="161" xr3:uid="{A0543065-1D11-C54C-960C-D08B13ADB829}" name="MVEALDNE1" dataDxfId="1390" totalsRowDxfId="247" dataCellStyle="Comma"/>
    <tableColumn id="162" xr3:uid="{BD3314F7-04D1-874A-8549-329C72734F3D}" name="MVEALDNE2" dataDxfId="1389" totalsRowDxfId="246" dataCellStyle="Comma"/>
    <tableColumn id="163" xr3:uid="{C8F49C24-279A-A346-B056-A737A6F85AE9}" name="MVEDDD" dataDxfId="1388" totalsRowDxfId="245" dataCellStyle="Comma">
      <calculatedColumnFormula>FI4*(_xlfn.XLOOKUP(FH$3,TabCalc[Ticker],TabCalc[M])+FJ4)</calculatedColumnFormula>
    </tableColumn>
    <tableColumn id="164" xr3:uid="{B06AB4B5-078A-424C-87F9-13B7C649DD51}" name="MVEDDD1" dataDxfId="1387" totalsRowDxfId="244" dataCellStyle="Comma"/>
    <tableColumn id="165" xr3:uid="{5D1FC6AB-E21E-C246-A0CF-D8247A189BAC}" name="MVEDDD2" dataDxfId="1386" totalsRowDxfId="243" dataCellStyle="Comma"/>
    <tableColumn id="166" xr3:uid="{75E6225D-62D5-4742-AFA8-9736C31E2BFF}" name="MVEDSY" dataDxfId="1385" totalsRowDxfId="242" dataCellStyle="Comma">
      <calculatedColumnFormula>FL4*(_xlfn.XLOOKUP(FK$3,TabCalc[Ticker],TabCalc[M])+FM4)</calculatedColumnFormula>
    </tableColumn>
    <tableColumn id="167" xr3:uid="{966A6923-293E-2444-9A23-5F7BB5A04262}" name="MVEDSY1" dataDxfId="1384" totalsRowDxfId="241" dataCellStyle="Comma"/>
    <tableColumn id="168" xr3:uid="{1118E635-3B19-DB46-9F11-B12BB1E875FC}" name="MVEDSY2" dataDxfId="1383" totalsRowDxfId="240" dataCellStyle="Comma"/>
    <tableColumn id="169" xr3:uid="{2E957AA9-B081-A14E-9108-FF128A790B84}" name="MVEEOAN" dataDxfId="1382" totalsRowDxfId="239" dataCellStyle="Comma">
      <calculatedColumnFormula>FO4*(_xlfn.XLOOKUP(FN$3,TabCalc[Ticker],TabCalc[M])+FP4)</calculatedColumnFormula>
    </tableColumn>
    <tableColumn id="170" xr3:uid="{A0606DA9-0DC0-D14E-94B7-BDC8F26A844B}" name="MVEEOAN1" dataDxfId="1381" totalsRowDxfId="238" dataCellStyle="Comma"/>
    <tableColumn id="171" xr3:uid="{03F498C0-CF20-AC4C-813D-E60D1042341A}" name="MVEEOAN2" dataDxfId="1380" totalsRowDxfId="237" dataCellStyle="Comma"/>
    <tableColumn id="172" xr3:uid="{D4905E0E-6225-7A4B-B4D3-C4A9E8817C59}" name="MVEENI" dataDxfId="1379" totalsRowDxfId="236" dataCellStyle="Comma">
      <calculatedColumnFormula>FR4*(_xlfn.XLOOKUP(FQ$3,TabCalc[Ticker],TabCalc[M])+FS4)</calculatedColumnFormula>
    </tableColumn>
    <tableColumn id="173" xr3:uid="{64B53446-A0B1-8246-B470-E50AB2C5EDC9}" name="MVEENI1" dataDxfId="1378" totalsRowDxfId="235" dataCellStyle="Comma"/>
    <tableColumn id="174" xr3:uid="{1EE87B8D-7646-2748-9950-418A6569C95E}" name="MVEENI2" dataDxfId="1377" totalsRowDxfId="234" dataCellStyle="Comma"/>
    <tableColumn id="175" xr3:uid="{CE13D8FB-3DD0-2D4D-8B70-CBBD6D591004}" name="MVEEPIX" dataDxfId="1376" totalsRowDxfId="233" dataCellStyle="Comma">
      <calculatedColumnFormula>FU4*(_xlfn.XLOOKUP(FT$3,TabCalc[Ticker],TabCalc[M])+FV4)</calculatedColumnFormula>
    </tableColumn>
    <tableColumn id="176" xr3:uid="{9685FEC9-D23A-4A49-A43D-9AFF22AF6B6B}" name="MVEEPIX1" dataDxfId="1375" totalsRowDxfId="232" dataCellStyle="Comma"/>
    <tableColumn id="177" xr3:uid="{DD9AA91E-A700-B044-9B39-2039AD46446A}" name="MVEEPIX2" dataDxfId="1374" totalsRowDxfId="231" dataCellStyle="Comma"/>
    <tableColumn id="178" xr3:uid="{E730A607-73BA-6741-8FD9-2DB67F9B782A}" name="MVEGLE" dataDxfId="1373" totalsRowDxfId="230" dataCellStyle="Comma">
      <calculatedColumnFormula>FX4*(_xlfn.XLOOKUP(FW$3,TabCalc[Ticker],TabCalc[M])+FY4)</calculatedColumnFormula>
    </tableColumn>
    <tableColumn id="179" xr3:uid="{BEB0F207-007F-BD4F-92A0-37F8695434E9}" name="MVEGLE1" dataDxfId="1372" totalsRowDxfId="229" dataCellStyle="Comma"/>
    <tableColumn id="180" xr3:uid="{29F037D3-4405-6543-B349-A70079931FB1}" name="MVEGLE2" dataDxfId="1371" totalsRowDxfId="228" dataCellStyle="Comma"/>
    <tableColumn id="181" xr3:uid="{C8B245DB-DF16-FC4F-931F-E81CB9BBF7B2}" name="MVEORA" dataDxfId="1370" totalsRowDxfId="227" dataCellStyle="Comma">
      <calculatedColumnFormula>GA4*(_xlfn.XLOOKUP(FZ$3,TabCalc[Ticker],TabCalc[M])+GB4)</calculatedColumnFormula>
    </tableColumn>
    <tableColumn id="182" xr3:uid="{D903C307-9791-7445-84DE-4733652E096C}" name="MVEORA1" dataDxfId="1369" totalsRowDxfId="226" dataCellStyle="Comma"/>
    <tableColumn id="183" xr3:uid="{B918E06A-7F74-4B48-9C49-E84E94857CE2}" name="MVEORA2" dataDxfId="1368" totalsRowDxfId="225" dataCellStyle="Comma"/>
    <tableColumn id="184" xr3:uid="{15C75F0C-7812-B844-9CE0-4120E521988E}" name="MVERWE" dataDxfId="1367" totalsRowDxfId="224" dataCellStyle="Comma">
      <calculatedColumnFormula>GD4*(_xlfn.XLOOKUP(GC$3,TabCalc[Ticker],TabCalc[M])+GE4)</calculatedColumnFormula>
    </tableColumn>
    <tableColumn id="185" xr3:uid="{F34D96F3-8856-124C-B582-F166D95DE24E}" name="MVERWE1" dataDxfId="1366" totalsRowDxfId="223" dataCellStyle="Comma"/>
    <tableColumn id="186" xr3:uid="{7C6D5177-8805-364D-96E9-808F000002BE}" name="MVERWE2" dataDxfId="1365" totalsRowDxfId="222" dataCellStyle="Comma"/>
    <tableColumn id="187" xr3:uid="{6FDB4658-5ED5-3B4F-9594-F34A6C55A047}" name="MVESAP" dataDxfId="1364" totalsRowDxfId="221" dataCellStyle="Comma">
      <calculatedColumnFormula>GG4*(_xlfn.XLOOKUP(GF$3,TabCalc[Ticker],TabCalc[M])+GH4)</calculatedColumnFormula>
    </tableColumn>
    <tableColumn id="188" xr3:uid="{9172DE0E-F5D9-6D45-9FA5-13F9353D77CE}" name="MVESAP1" dataDxfId="1363" totalsRowDxfId="220" dataCellStyle="Comma"/>
    <tableColumn id="189" xr3:uid="{440AACDB-64D0-FB4F-8A2A-D0897192C709}" name="MVESAP2" dataDxfId="1362" totalsRowDxfId="219" dataCellStyle="Comma"/>
    <tableColumn id="190" xr3:uid="{0FCF7579-5965-604A-A65D-258362E4C2BE}" name="MVEUN0" dataDxfId="1361" totalsRowDxfId="218" dataCellStyle="Comma">
      <calculatedColumnFormula>GJ4*(_xlfn.XLOOKUP(GI$3,TabCalc[Ticker],TabCalc[M])+GK4)</calculatedColumnFormula>
    </tableColumn>
    <tableColumn id="191" xr3:uid="{57F9CA37-2493-8148-8436-143BE0A5D9E0}" name="MVEUN01" dataDxfId="1360" totalsRowDxfId="217" dataCellStyle="Comma"/>
    <tableColumn id="192" xr3:uid="{DFD39CE4-780E-884B-BC2E-280709B1BCDA}" name="MVEUN02" dataDxfId="1359" totalsRowDxfId="216" dataCellStyle="Comma"/>
    <tableColumn id="193" xr3:uid="{E3D86E5C-3036-3745-9926-210CAAFAD7C8}" name="SAFAAPL" totalsRowFunction="sum" dataDxfId="1358" totalsRowDxfId="215" dataCellStyle="Comma">
      <calculatedColumnFormula>GM4*(_xlfn.XLOOKUP(GL$3,TabCalc[Ticker],TabCalc[M])+GN4)</calculatedColumnFormula>
    </tableColumn>
    <tableColumn id="194" xr3:uid="{FF18444A-A208-FE43-9CFF-64026A262E73}" name="SAFAAPL1" totalsRowFunction="sum" dataDxfId="1357" totalsRowDxfId="214" dataCellStyle="Comma"/>
    <tableColumn id="195" xr3:uid="{84176513-3FA0-1545-94D9-D44CFF5883FA}" name="SAFAAPL2" totalsRowFunction="average" dataDxfId="1356" totalsRowDxfId="213" dataCellStyle="Comma"/>
    <tableColumn id="196" xr3:uid="{4CBA2AA6-F524-194B-A9E1-1915FFFFA4C8}" name="SAFAMZN" totalsRowFunction="sum" dataDxfId="1355" totalsRowDxfId="212" dataCellStyle="Comma">
      <calculatedColumnFormula>GP4*(_xlfn.XLOOKUP(GO$3,TabCalc[Ticker],TabCalc[M])+GQ4)</calculatedColumnFormula>
    </tableColumn>
    <tableColumn id="197" xr3:uid="{AE80B7F0-A13E-BD45-803B-55C1C01EE9C5}" name="SAFAMZN1" totalsRowFunction="sum" dataDxfId="1354" totalsRowDxfId="211" dataCellStyle="Comma"/>
    <tableColumn id="198" xr3:uid="{64F06311-56C7-E84F-BD4C-989A8B345110}" name="SAFAMZN2" totalsRowFunction="average" dataDxfId="1353" totalsRowDxfId="210" dataCellStyle="Comma"/>
    <tableColumn id="199" xr3:uid="{775363EB-0F54-C541-8562-4A379B17EADC}" name="SAFASML" totalsRowFunction="sum" dataDxfId="1352" totalsRowDxfId="209" dataCellStyle="Comma">
      <calculatedColumnFormula>GS4*(_xlfn.XLOOKUP(GR$3,TabCalc[Ticker],TabCalc[M])+GT4)</calculatedColumnFormula>
    </tableColumn>
    <tableColumn id="200" xr3:uid="{46C8FB70-49E5-DA4E-B9C6-85E89CBBB5D2}" name="SAFASML1" totalsRowFunction="sum" dataDxfId="1351" totalsRowDxfId="208" dataCellStyle="Comma"/>
    <tableColumn id="201" xr3:uid="{5CFC5AE2-BB9E-BF4E-9536-714C86396EB9}" name="SAFASML2" totalsRowFunction="average" dataDxfId="1350" totalsRowDxfId="207" dataCellStyle="Comma"/>
    <tableColumn id="202" xr3:uid="{2B388994-C6C9-0145-B61B-B365A9E7944D}" name="SAFDDD" totalsRowFunction="sum" dataDxfId="1349" totalsRowDxfId="206" dataCellStyle="Comma">
      <calculatedColumnFormula>GV4*(_xlfn.XLOOKUP(GU$3,TabCalc[Ticker],TabCalc[M])+GW4)</calculatedColumnFormula>
    </tableColumn>
    <tableColumn id="203" xr3:uid="{EC7D730F-171D-5841-B2E3-8CCB70DE842F}" name="SAFDDD1" totalsRowFunction="sum" dataDxfId="1348" totalsRowDxfId="205" dataCellStyle="Comma"/>
    <tableColumn id="204" xr3:uid="{5FAAEB35-DECD-244B-B6B4-4926CB30645A}" name="SAFDDD2" totalsRowFunction="average" dataDxfId="1347" totalsRowDxfId="204" dataCellStyle="Comma"/>
    <tableColumn id="205" xr3:uid="{AED14D0A-9588-F14F-9433-95F490D9E17E}" name="SAFDIS" totalsRowFunction="sum" dataDxfId="1346" totalsRowDxfId="203" dataCellStyle="Comma">
      <calculatedColumnFormula>GY4*(_xlfn.XLOOKUP(GX$3,TabCalc[Ticker],TabCalc[M])+GZ4)</calculatedColumnFormula>
    </tableColumn>
    <tableColumn id="206" xr3:uid="{114427FC-7455-B04A-A6DD-826FA591A5EE}" name="SAFDIS1" totalsRowFunction="sum" dataDxfId="1345" totalsRowDxfId="202" dataCellStyle="Comma"/>
    <tableColumn id="207" xr3:uid="{237C6617-E1E6-9A45-A95E-AF4856201610}" name="SAFDIS2" totalsRowFunction="average" dataDxfId="1344" totalsRowDxfId="201" dataCellStyle="Comma"/>
    <tableColumn id="208" xr3:uid="{4E509DFA-86B7-CD4F-9F15-18F2851CBFE7}" name="SAFGM" totalsRowFunction="sum" dataDxfId="1343" totalsRowDxfId="200" dataCellStyle="Comma">
      <calculatedColumnFormula>HB4*(_xlfn.XLOOKUP(HA$3,TabCalc[Ticker],TabCalc[M])+HC4)</calculatedColumnFormula>
    </tableColumn>
    <tableColumn id="209" xr3:uid="{E12ABEE4-9265-9343-9331-DC1DBFA56091}" name="SAFGM1" totalsRowFunction="sum" dataDxfId="1342" totalsRowDxfId="199" dataCellStyle="Comma"/>
    <tableColumn id="210" xr3:uid="{B4D1E6C5-EA57-0545-9936-5131B6AFAB33}" name="SAFGM2" totalsRowFunction="average" dataDxfId="1341" totalsRowDxfId="198" dataCellStyle="Comma"/>
    <tableColumn id="211" xr3:uid="{27E94563-2841-AF44-882D-8B7C4CF26E41}" name="SAFIAG" totalsRowFunction="sum" dataDxfId="1340" totalsRowDxfId="197" dataCellStyle="Comma">
      <calculatedColumnFormula>HE4*(_xlfn.XLOOKUP(HD$3,TabCalc[Ticker],TabCalc[M])+HF4)</calculatedColumnFormula>
    </tableColumn>
    <tableColumn id="212" xr3:uid="{015596F7-028B-EF41-8610-35212F6C6E0A}" name="SAFIAG1" totalsRowFunction="sum" dataDxfId="1339" totalsRowDxfId="196" dataCellStyle="Comma"/>
    <tableColumn id="213" xr3:uid="{1E90A488-7D24-2641-89A0-5E10BB30D3E2}" name="SAFIAG2" totalsRowFunction="average" dataDxfId="1338" totalsRowDxfId="195" dataCellStyle="Comma"/>
    <tableColumn id="214" xr3:uid="{E2934692-5F80-5142-A085-BAB3016D1D7D}" name="SAFMRNA" totalsRowFunction="sum" dataDxfId="1337" totalsRowDxfId="194" dataCellStyle="Comma">
      <calculatedColumnFormula>HH4*(_xlfn.XLOOKUP(HG$3,TabCalc[Ticker],TabCalc[M])+HI4)</calculatedColumnFormula>
    </tableColumn>
    <tableColumn id="215" xr3:uid="{B5288CAF-4E4E-6A41-8D03-CFF98B939A73}" name="SAFMRNA1" totalsRowFunction="sum" dataDxfId="1336" totalsRowDxfId="193" dataCellStyle="Comma"/>
    <tableColumn id="216" xr3:uid="{E379AF68-9AF7-5645-B486-E8B292B5F7C7}" name="SAFMRNA2" totalsRowFunction="average" dataDxfId="1335" totalsRowDxfId="192" dataCellStyle="Comma"/>
    <tableColumn id="217" xr3:uid="{7669526C-C45D-164B-B7FC-D486C9FF0CED}" name="BLNK" totalsRowFunction="sum" dataDxfId="1334" totalsRowDxfId="191" dataCellStyle="Comma">
      <calculatedColumnFormula>HK4*(_xlfn.XLOOKUP(HJ$3,TabCalc[Ticker],TabCalc[M])+HL4)</calculatedColumnFormula>
    </tableColumn>
    <tableColumn id="218" xr3:uid="{EB728490-D337-F843-A196-E31315AE89DA}" name="BLNK1" totalsRowFunction="sum" dataDxfId="1333" totalsRowDxfId="190" dataCellStyle="Comma"/>
    <tableColumn id="219" xr3:uid="{49A5A043-B549-214A-915F-58CDC0E497DA}" name="BLNK2" totalsRowFunction="average" dataDxfId="1332" totalsRowDxfId="189" dataCellStyle="Comma"/>
    <tableColumn id="220" xr3:uid="{C225E383-5B3A-D246-BE92-549A7117AA19}" name="ENI" totalsRowFunction="sum" dataDxfId="1331" totalsRowDxfId="188" dataCellStyle="Comma">
      <calculatedColumnFormula>HN4*(_xlfn.XLOOKUP(HM$3,TabCalc[Ticker],TabCalc[M])+HO4)</calculatedColumnFormula>
    </tableColumn>
    <tableColumn id="221" xr3:uid="{58DD1976-BCC3-1641-94EA-C37E2379D322}" name="ENI1" totalsRowFunction="sum" dataDxfId="1330" totalsRowDxfId="187" dataCellStyle="Comma"/>
    <tableColumn id="222" xr3:uid="{91099446-2ED1-AD42-B338-64989653AEF5}" name="ENI2" totalsRowFunction="average" dataDxfId="1329" totalsRowDxfId="186" dataCellStyle="Comma"/>
    <tableColumn id="223" xr3:uid="{94D8AF40-ECA0-354C-B75F-5D3226599EFC}" name="EZJ" totalsRowFunction="sum" dataDxfId="1328" totalsRowDxfId="185" dataCellStyle="Comma">
      <calculatedColumnFormula>HQ4*(_xlfn.XLOOKUP(HP$3,TabCalc[Ticker],TabCalc[M])+HR4)</calculatedColumnFormula>
    </tableColumn>
    <tableColumn id="224" xr3:uid="{BF26A8AA-5B90-794F-BD83-D51B4040DBC5}" name="EZJ1" totalsRowFunction="sum" dataDxfId="1327" totalsRowDxfId="184" dataCellStyle="Comma"/>
    <tableColumn id="225" xr3:uid="{3689C227-DC38-A04E-94B5-D5FC6B66A85B}" name="EZJ2" totalsRowFunction="average" dataDxfId="1326" totalsRowDxfId="183" dataCellStyle="Comma"/>
    <tableColumn id="226" xr3:uid="{FB7C2B18-95F9-9F48-B6F8-7107918C37B0}" name="F" totalsRowFunction="sum" dataDxfId="1325" totalsRowDxfId="182" dataCellStyle="Comma">
      <calculatedColumnFormula>HT4*(_xlfn.XLOOKUP(HS$3,TabCalc[Ticker],TabCalc[M])+HU4)</calculatedColumnFormula>
    </tableColumn>
    <tableColumn id="227" xr3:uid="{59201844-A7EE-0D4E-A913-002521A7DFF7}" name="F1" totalsRowFunction="sum" dataDxfId="1324" totalsRowDxfId="181" dataCellStyle="Comma"/>
    <tableColumn id="228" xr3:uid="{2784B2D6-D849-AD47-9AE6-C37C7F718EDC}" name="F2" totalsRowFunction="average" dataDxfId="1323" totalsRowDxfId="180" dataCellStyle="Comma"/>
    <tableColumn id="229" xr3:uid="{5172CAD0-43DE-4A44-B3CF-A2D7F6ECA044}" name="GLE" totalsRowFunction="sum" dataDxfId="1322" totalsRowDxfId="179" dataCellStyle="Comma">
      <calculatedColumnFormula>HW4*(_xlfn.XLOOKUP(HV$3,TabCalc[Ticker],TabCalc[M])+HX4)</calculatedColumnFormula>
    </tableColumn>
    <tableColumn id="230" xr3:uid="{1A17A66C-4D5C-8947-A874-ED96997253F5}" name="GLE1" totalsRowFunction="sum" dataDxfId="1321" totalsRowDxfId="178" dataCellStyle="Comma"/>
    <tableColumn id="231" xr3:uid="{51390D36-859F-F947-9F17-40DF6678074C}" name="GLE2" totalsRowFunction="average" dataDxfId="1320" totalsRowDxfId="177" dataCellStyle="Comma"/>
    <tableColumn id="232" xr3:uid="{E898C86B-1F4A-6D40-BBD5-FA08BEBDF164}" name="GNRC" totalsRowFunction="sum" dataDxfId="1319" totalsRowDxfId="176" dataCellStyle="Comma">
      <calculatedColumnFormula>HZ4*(_xlfn.XLOOKUP(HY$3,TabCalc[Ticker],TabCalc[M])+IA4)</calculatedColumnFormula>
    </tableColumn>
    <tableColumn id="233" xr3:uid="{740B70BA-648E-4E48-A652-F470085294B4}" name="GNRC1" totalsRowFunction="sum" dataDxfId="1318" totalsRowDxfId="175" dataCellStyle="Comma"/>
    <tableColumn id="234" xr3:uid="{2F969E41-2934-A047-B1B2-9FFA73F86BA4}" name="GNRC2" totalsRowFunction="average" dataDxfId="1317" totalsRowDxfId="174" dataCellStyle="Comma"/>
    <tableColumn id="235" xr3:uid="{68E93E7C-D13A-3E44-9E22-D0A4371CD0F0}" name="GS" totalsRowFunction="sum" dataDxfId="1316" totalsRowDxfId="173" dataCellStyle="Comma">
      <calculatedColumnFormula>IC4*(_xlfn.XLOOKUP(IB$3,TabCalc[Ticker],TabCalc[M])+ID4)</calculatedColumnFormula>
    </tableColumn>
    <tableColumn id="236" xr3:uid="{389DA179-71AB-FE4B-A39A-C93BCB1FB2E4}" name="GS1" totalsRowFunction="sum" dataDxfId="1315" totalsRowDxfId="172" dataCellStyle="Comma"/>
    <tableColumn id="237" xr3:uid="{2E819FD9-9936-F240-8450-6DC6610CEBF5}" name="GS2" totalsRowFunction="average" dataDxfId="1314" totalsRowDxfId="171" dataCellStyle="Comma"/>
    <tableColumn id="238" xr3:uid="{FB45914F-65A5-4241-B148-E2F60812B6C3}" name="LAZR" totalsRowFunction="sum" dataDxfId="1313" totalsRowDxfId="170" dataCellStyle="Comma">
      <calculatedColumnFormula>IF4*(_xlfn.XLOOKUP(IE$3,TabCalc[Ticker],TabCalc[M])+IG4)</calculatedColumnFormula>
    </tableColumn>
    <tableColumn id="239" xr3:uid="{CF8C5BB1-A44F-1047-93BE-D4E505F70014}" name="LAZR1" totalsRowFunction="sum" dataDxfId="1312" totalsRowDxfId="169" dataCellStyle="Comma"/>
    <tableColumn id="240" xr3:uid="{BBB6BF29-FDD1-8B42-AB8F-CC2B044F8E0E}" name="LAZR2" totalsRowFunction="average" dataDxfId="1311" totalsRowDxfId="168" dataCellStyle="Comma"/>
    <tableColumn id="241" xr3:uid="{4626281E-0051-5F41-918A-C974DAD7A8B8}" name="LUV" totalsRowFunction="sum" dataDxfId="1310" totalsRowDxfId="167" dataCellStyle="Comma">
      <calculatedColumnFormula>II4*(_xlfn.XLOOKUP(IH$3,TabCalc[Ticker],TabCalc[M])+IJ4)</calculatedColumnFormula>
    </tableColumn>
    <tableColumn id="242" xr3:uid="{DC6573B8-8548-A54D-B782-F4BA2982C75A}" name="LUV1" totalsRowFunction="sum" dataDxfId="1309" totalsRowDxfId="166" dataCellStyle="Comma"/>
    <tableColumn id="243" xr3:uid="{7D3946E4-49FC-A94A-BA1E-9C8B10F808C3}" name="LUV2" totalsRowFunction="average" dataDxfId="1308" totalsRowDxfId="165" dataCellStyle="Comma"/>
    <tableColumn id="244" xr3:uid="{95FF93E3-248C-7F4E-8C0F-13E06B2E9B5F}" name="MA" totalsRowFunction="sum" dataDxfId="1307" totalsRowDxfId="164" dataCellStyle="Comma">
      <calculatedColumnFormula>IL4*(_xlfn.XLOOKUP(IK$3,TabCalc[Ticker],TabCalc[M])+IM4)</calculatedColumnFormula>
    </tableColumn>
    <tableColumn id="245" xr3:uid="{8D711E27-1BEF-FC4B-A240-9FF85F1F4FFE}" name="MA1" totalsRowFunction="sum" dataDxfId="1306" totalsRowDxfId="163" dataCellStyle="Comma"/>
    <tableColumn id="246" xr3:uid="{C373D45E-C415-5A43-A25D-920AB52AD15D}" name="MA2" totalsRowFunction="average" dataDxfId="1305" totalsRowDxfId="162" dataCellStyle="Comma"/>
    <tableColumn id="247" xr3:uid="{B5DB9542-EF25-ED46-912C-E96C598C5B95}" name="NVAX" totalsRowFunction="sum" dataDxfId="1304" totalsRowDxfId="161" dataCellStyle="Comma">
      <calculatedColumnFormula>IO4*(_xlfn.XLOOKUP(IN$3,TabCalc[Ticker],TabCalc[M])+IP4)</calculatedColumnFormula>
    </tableColumn>
    <tableColumn id="248" xr3:uid="{E9ED7765-27CF-5540-915B-9709575A569F}" name="NVAX1" totalsRowFunction="sum" dataDxfId="1303" totalsRowDxfId="160" dataCellStyle="Comma"/>
    <tableColumn id="249" xr3:uid="{5C6E1216-E6D3-E749-B59D-76C0424F9D79}" name="NVAX2" totalsRowFunction="average" dataDxfId="1302" totalsRowDxfId="159" dataCellStyle="Comma"/>
    <tableColumn id="250" xr3:uid="{703D6D6F-409A-4640-870E-8E56D1AEAA52}" name="NVS" totalsRowFunction="sum" dataDxfId="1301" totalsRowDxfId="158" dataCellStyle="Comma">
      <calculatedColumnFormula>IR4*(_xlfn.XLOOKUP(IQ$3,TabCalc[Ticker],TabCalc[M]))</calculatedColumnFormula>
    </tableColumn>
    <tableColumn id="251" xr3:uid="{3C12C176-2B62-4145-B89E-20D020A45A29}" name="NVS1" totalsRowFunction="sum" dataDxfId="1300" totalsRowDxfId="157" dataCellStyle="Comma"/>
    <tableColumn id="252" xr3:uid="{DA81076B-11C3-DD41-B2AE-FBB09632E161}" name="NVS2" totalsRowFunction="average" dataDxfId="1299" totalsRowDxfId="156" dataCellStyle="Comma"/>
    <tableColumn id="253" xr3:uid="{A4E40067-3EDA-2B47-B781-77DE32A0C3A4}" name="ORA" totalsRowFunction="sum" dataDxfId="1298" totalsRowDxfId="155" dataCellStyle="Comma">
      <calculatedColumnFormula>IU4*(_xlfn.XLOOKUP(IT$3,TabCalc[Ticker],TabCalc[M])+IV4)</calculatedColumnFormula>
    </tableColumn>
    <tableColumn id="254" xr3:uid="{EDE806CC-445C-D949-BA1D-8437B5C6C058}" name="ORA1" totalsRowFunction="sum" dataDxfId="1297" totalsRowDxfId="154" dataCellStyle="Comma"/>
    <tableColumn id="255" xr3:uid="{F483F38C-62A6-2347-925B-49625ADB435F}" name="ORA2" totalsRowFunction="average" dataDxfId="1296" totalsRowDxfId="153" dataCellStyle="Comma"/>
    <tableColumn id="256" xr3:uid="{E840F141-B187-4E46-9FE1-56FE22148CE0}" name="OXY" totalsRowFunction="sum" dataDxfId="1295" totalsRowDxfId="152" dataCellStyle="Comma">
      <calculatedColumnFormula>IX4*(_xlfn.XLOOKUP(IW$3,TabCalc[Ticker],TabCalc[M])+IY4)</calculatedColumnFormula>
    </tableColumn>
    <tableColumn id="257" xr3:uid="{BB4D994A-23E5-F243-9E5A-EE72A43E6583}" name="OXY1" totalsRowFunction="sum" dataDxfId="1294" totalsRowDxfId="151" dataCellStyle="Comma"/>
    <tableColumn id="258" xr3:uid="{6B4719B5-2341-5347-B41B-3E893EFD8F32}" name="OXY2" totalsRowFunction="average" dataDxfId="1293" totalsRowDxfId="150" dataCellStyle="Comma"/>
    <tableColumn id="259" xr3:uid="{B9F8C50C-AC54-B245-901E-AC81835A888D}" name="PFE" totalsRowFunction="sum" dataDxfId="1292" totalsRowDxfId="149" dataCellStyle="Comma">
      <calculatedColumnFormula>JA4*(_xlfn.XLOOKUP(IZ$3,TabCalc[Ticker],TabCalc[M])+JB4)</calculatedColumnFormula>
    </tableColumn>
    <tableColumn id="260" xr3:uid="{200440A7-9597-5541-B06F-5394908ECBD4}" name="PFE1" totalsRowFunction="sum" dataDxfId="1291" totalsRowDxfId="148" dataCellStyle="Comma"/>
    <tableColumn id="261" xr3:uid="{BD830D5D-B303-4E4C-90F5-1BE90210D860}" name="PFE2" totalsRowFunction="average" dataDxfId="1290" totalsRowDxfId="147" dataCellStyle="Comma"/>
    <tableColumn id="262" xr3:uid="{E95C3C1D-D1DA-7341-A6C7-350240ABB556}" name="RIG" totalsRowFunction="sum" dataDxfId="1289" totalsRowDxfId="146" dataCellStyle="Comma">
      <calculatedColumnFormula>JD4*(_xlfn.XLOOKUP(JC$3,TabCalc[Ticker],TabCalc[M])+JE4)</calculatedColumnFormula>
    </tableColumn>
    <tableColumn id="263" xr3:uid="{903313B4-7B9D-154A-AE3D-77FD3F20BF47}" name="RIG1" totalsRowFunction="sum" dataDxfId="1288" totalsRowDxfId="145" dataCellStyle="Comma"/>
    <tableColumn id="264" xr3:uid="{E9244164-4FD9-7746-BD3E-4849A574AB73}" name="RIG2" totalsRowFunction="sum" dataDxfId="1287" totalsRowDxfId="144" dataCellStyle="Comma"/>
    <tableColumn id="265" xr3:uid="{9B1C2547-CF68-CF4F-93A0-EA05F87A3A64}" name="RRC" totalsRowFunction="sum" dataDxfId="1286" totalsRowDxfId="143" dataCellStyle="Comma">
      <calculatedColumnFormula>JG4*(_xlfn.XLOOKUP(JF$3,TabCalc[Ticker],TabCalc[M])+JH4)</calculatedColumnFormula>
    </tableColumn>
    <tableColumn id="266" xr3:uid="{CD08F2A2-DF91-AA4D-959F-CFB14552D844}" name="RRC1" totalsRowFunction="sum" dataDxfId="1285" totalsRowDxfId="142" dataCellStyle="Comma"/>
    <tableColumn id="267" xr3:uid="{CDC2D8B0-B269-7744-BD53-210E13C0BD55}" name="RRC2" totalsRowFunction="average" dataDxfId="1284" totalsRowDxfId="141" dataCellStyle="Comma"/>
    <tableColumn id="268" xr3:uid="{845D5BAB-F92C-FF45-8A4C-8139058F1117}" name="XYZ" totalsRowFunction="sum" dataDxfId="1283" totalsRowDxfId="140" dataCellStyle="Comma">
      <calculatedColumnFormula>JJ4*(_xlfn.XLOOKUP(JI$3,TabCalc[Ticker],TabCalc[M])+JK4)</calculatedColumnFormula>
    </tableColumn>
    <tableColumn id="269" xr3:uid="{A539E0AA-586B-1245-BC7F-E4BA7C46540E}" name="XYZ1" totalsRowFunction="sum" dataDxfId="1282" totalsRowDxfId="139" dataCellStyle="Comma"/>
    <tableColumn id="270" xr3:uid="{6E0B2157-4642-5045-B4BB-094AE6BFA747}" name="XYZ2" totalsRowFunction="average" dataDxfId="1281" totalsRowDxfId="138" dataCellStyle="Comma"/>
    <tableColumn id="271" xr3:uid="{9D7AA151-B32B-AF46-8E71-B15590BD1888}" name="THC" totalsRowFunction="sum" dataDxfId="1280" totalsRowDxfId="137" dataCellStyle="Comma">
      <calculatedColumnFormula>JM4*(_xlfn.XLOOKUP(JL$3,TabCalc[Ticker],TabCalc[M])+JN4)</calculatedColumnFormula>
    </tableColumn>
    <tableColumn id="272" xr3:uid="{1578BB9F-0EBD-3D44-A97E-58279FD356E8}" name="THC1" totalsRowFunction="sum" dataDxfId="1279" totalsRowDxfId="136" dataCellStyle="Comma"/>
    <tableColumn id="273" xr3:uid="{E1B590BB-BE88-E842-931D-959A64574D89}" name="THC2" totalsRowFunction="average" dataDxfId="1278" totalsRowDxfId="135" dataCellStyle="Comma"/>
    <tableColumn id="274" xr3:uid="{2C6A0043-B3F5-0E42-9DCF-DB694535043F}" name="X" totalsRowFunction="sum" dataDxfId="1277" totalsRowDxfId="134" dataCellStyle="Comma">
      <calculatedColumnFormula>JP4*(_xlfn.XLOOKUP(JO$3,TabCalc[Ticker],TabCalc[M])+JQ4)</calculatedColumnFormula>
    </tableColumn>
    <tableColumn id="275" xr3:uid="{618B8C28-7E04-1844-8C5A-7C077244BE3C}" name="X1" totalsRowFunction="sum" dataDxfId="1276" totalsRowDxfId="133" dataCellStyle="Comma"/>
    <tableColumn id="276" xr3:uid="{4BE104A1-9211-4F4C-94BA-24883EE05EB2}" name="X2" totalsRowFunction="average" dataDxfId="1275" totalsRowDxfId="132" dataCellStyle="Comma"/>
    <tableColumn id="277" xr3:uid="{9CF61E2D-7D69-3A47-BA46-58E661CC2A03}" name="LOCK" totalsRowFunction="sum" dataDxfId="1274" totalsRowDxfId="131" dataCellStyle="Comma">
      <calculatedColumnFormula>JS4*(_xlfn.XLOOKUP(JR$3,TabCalc[Ticker],TabCalc[M])+JT4)</calculatedColumnFormula>
    </tableColumn>
    <tableColumn id="278" xr3:uid="{3CEABE9C-FBED-B14E-B347-305053C76B00}" name="LOCK1" totalsRowFunction="sum" dataDxfId="1273" totalsRowDxfId="130" dataCellStyle="Comma"/>
    <tableColumn id="279" xr3:uid="{0C18DBDC-FECC-3341-B235-DF1E9063D6FB}" name="LOCK2" totalsRowFunction="average" dataDxfId="1272" totalsRowDxfId="129" dataCellStyle="Comma"/>
    <tableColumn id="280" xr3:uid="{0957126C-3AC2-FC46-9CCE-9CDB97F3259D}" name="JBASML" totalsRowFunction="sum" dataDxfId="1271" totalsRowDxfId="128" dataCellStyle="Comma">
      <calculatedColumnFormula>JV4*(_xlfn.XLOOKUP(JU$3,TabCalc[Ticker],TabCalc[M])+JW4)</calculatedColumnFormula>
    </tableColumn>
    <tableColumn id="281" xr3:uid="{4E796D8B-0B1A-A24E-846F-D5CA1530C11A}" name="JBASML1" totalsRowFunction="sum" dataDxfId="1270" totalsRowDxfId="127" dataCellStyle="Comma"/>
    <tableColumn id="282" xr3:uid="{05B1CEE8-DE7A-8648-AA60-B3D6FFC1C0B4}" name="JBASML2" totalsRowFunction="average" dataDxfId="1269" totalsRowDxfId="126" dataCellStyle="Comma"/>
    <tableColumn id="283" xr3:uid="{D1D8A769-1420-5846-BE54-E349675C5315}" name="JBEOAN" totalsRowFunction="sum" dataDxfId="1268" totalsRowDxfId="125" dataCellStyle="Comma">
      <calculatedColumnFormula>JY4*(_xlfn.XLOOKUP(JX$3,TabCalc[Ticker],TabCalc[M])+JZ4)</calculatedColumnFormula>
    </tableColumn>
    <tableColumn id="284" xr3:uid="{AFC92BED-9DE5-594B-8735-E720CDAEFC29}" name="JBEOAN1" totalsRowFunction="sum" dataDxfId="1267" totalsRowDxfId="124" dataCellStyle="Comma"/>
    <tableColumn id="285" xr3:uid="{5F4263ED-C98D-B847-B128-EAB2E7CD8E43}" name="JBEOAN2" totalsRowFunction="average" dataDxfId="1266" totalsRowDxfId="12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265" headerRowCellStyle="Comma">
  <autoFilter ref="A2:BU96" xr:uid="{1355A38B-5BD1-D249-AD6D-96E02BC9C311}"/>
  <tableColumns count="73">
    <tableColumn id="2" xr3:uid="{AB1EC51C-CE10-C44F-8563-D562A0774781}" name="Scale" totalsRowLabel="Total" dataDxfId="1264" totalsRowDxfId="1263">
      <calculatedColumnFormula>IF(_xlfn.XLOOKUP(TabTRADERCorrupted[[#This Row],[ClickTick]],TabCalc[Ticker],TabCalc[Cur])="GBp",0.01,1)</calculatedColumnFormula>
    </tableColumn>
    <tableColumn id="3" xr3:uid="{85E73ED8-4FDB-0D4B-87C7-1C8139DDD84A}" name="LastBuy_RevRem_n" dataDxfId="1262" totalsRowDxfId="1261">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260" totalsRowDxfId="1259">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258" totalsRowDxfId="1257">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256" totalsRowDxfId="1255">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254" totalsRowDxfId="1253"/>
    <tableColumn id="12" xr3:uid="{F165B824-ACDF-0044-A649-45E93AB88C03}" name="LastSale_RevBuy$" dataDxfId="1252" totalsRowDxfId="1251"/>
    <tableColumn id="13" xr3:uid="{C007EDF1-F9A7-A54D-B9A5-63A7F0F2DE88}" name="if_ReBuy_nSold" dataDxfId="1250" totalsRowDxfId="1249" dataCellStyle="Comma"/>
    <tableColumn id="15" xr3:uid="{7D769024-523A-604D-B662-648DD5B77A3D}" name="Rebuy2" dataDxfId="1248" totalsRowDxfId="1247" dataCellStyle="Comma"/>
    <tableColumn id="16" xr3:uid="{E3F0170B-738A-4C4A-B89A-95794135EB60}" name="Gravity" dataDxfId="1246" totalsRowDxfId="1245" dataCellStyle="Comma">
      <calculatedColumnFormula>_xlfn.XLOOKUP(TabTRADERCorrupted[[#This Row],[ClickTick]],TabCalc[Ticker],ListGravity)</calculatedColumnFormula>
    </tableColumn>
    <tableColumn id="17" xr3:uid="{294D7F67-21E5-8B44-89D8-1F7A1CA93BAB}" name="Extran" dataDxfId="1244" totalsRowDxfId="1243"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242" totalsRowDxfId="1241"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240" totalsRowDxfId="1239">
      <calculatedColumnFormula>_xlfn.XLOOKUP(TabTRADERCorrupted[[#This Row],[ClickTick]],TabCalc[Ticker],TabCalc[Agiotage])</calculatedColumnFormula>
    </tableColumn>
    <tableColumn id="20" xr3:uid="{42A2A74C-CA9D-004F-8FB3-8DE0DE7852F9}" name="RSI" dataDxfId="1238" totalsRowDxfId="1237" dataCellStyle="Comma">
      <calculatedColumnFormula array="1">_xlfn.XLOOKUP(TabTRADERCorrupted[[#This Row],[ClickTick]],ListTickers,Tab2RSIConventional[RSIConv20])</calculatedColumnFormula>
    </tableColumn>
    <tableColumn id="11" xr3:uid="{9014D1F9-34DC-3748-977E-00BCAAA27F23}" name="Begin/Status" dataDxfId="1236" totalsRowDxfId="1235"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234" totalsRowDxfId="1233" dataCellStyle="Comma">
      <calculatedColumnFormula>_xlfn.XLOOKUP(TabTRADERCorrupted[[#This Row],[ClickTick]],TabCalc[Ticker],TabCalc[L_Bn])</calculatedColumnFormula>
    </tableColumn>
    <tableColumn id="31" xr3:uid="{528D52A3-6941-1949-A034-665AD9FAE6A1}" name="L_Bp" dataDxfId="1232" totalsRowDxfId="1231" dataCellStyle="Comma">
      <calculatedColumnFormula>_xlfn.XLOOKUP(TabTRADERCorrupted[[#This Row],[ClickTick]],TabCalc[Ticker],TabCalc[L_Bp])</calculatedColumnFormula>
    </tableColumn>
    <tableColumn id="21" xr3:uid="{708FCF43-CBDB-8F4F-8472-28891FF733C4}" name="Rev_Sale" dataDxfId="1230" totalsRowDxfId="1229">
      <calculatedColumnFormula>(TabTRADERCorrupted[[#This Row],[M]]+TabTRADERCorrupted[[#This Row],[L_Bp]])/ABS(TabTRADERCorrupted[[#This Row],[L_Bp]])</calculatedColumnFormula>
    </tableColumn>
    <tableColumn id="22" xr3:uid="{FE1A96A1-072C-D74B-83F4-42AA4B053368}" name="Sale_Back_$" totalsRowFunction="sum" dataDxfId="1228" totalsRowDxfId="1227" dataCellStyle="Comma">
      <calculatedColumnFormula>_xlfn.XLOOKUP(TabTRADERCorrupted[[#This Row],[ClickTick]],TabCalc[Ticker],TabCalc[Rev(MinStock)])*(1-Commission)</calculatedColumnFormula>
    </tableColumn>
    <tableColumn id="7" xr3:uid="{E41693E9-FA9D-724E-8373-ADDD00EA5A62}" name="Agiotage" dataDxfId="1226" totalsRowDxfId="1225" dataCellStyle="Percent">
      <calculatedColumnFormula>_xlfn.XLOOKUP(TabTRADERCorrupted[[#This Row],[ClickTick]],TabCalc[Ticker],TabCalc[Agiotage])</calculatedColumnFormula>
    </tableColumn>
    <tableColumn id="42" xr3:uid="{7CC4EE64-3885-9F45-8D66-FF4F8A62FA79}" name="SncOpenYest%" totalsRowFunction="sum" dataDxfId="1224" totalsRowDxfId="1223">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222" totalsRowDxfId="1221" dataCellStyle="Comma">
      <calculatedColumnFormula>_xlfn.XLOOKUP(TabTRADERCorrupted[[#This Row],[ClickTick]],[1]!RTData[Ticker_Symbol],[1]!RTData[Currency])</calculatedColumnFormula>
    </tableColumn>
    <tableColumn id="9" xr3:uid="{AB89C7C7-F885-7043-91BD-2951C5C799FB}" name="M" dataDxfId="1220" totalsRowDxfId="1219" dataCellStyle="Comma">
      <calculatedColumnFormula>_xlfn.XLOOKUP(TabTRADERCorrupted[[#This Row],[ClickTick]],TabCalc[Ticker],TabCalc[M])</calculatedColumnFormula>
    </tableColumn>
    <tableColumn id="10" xr3:uid="{A64F3714-DFF9-6546-B45D-A323AD90D7C9}" name="ClickTick" dataDxfId="1218" totalsRowDxfId="1217">
      <calculatedColumnFormula>SORTING!B3</calculatedColumnFormula>
    </tableColumn>
    <tableColumn id="54" xr3:uid="{EBDD1601-CCB5-FD46-832E-ACF4F62B8FAF}" name="Target1Y" dataDxfId="1216" totalsRowDxfId="1215">
      <calculatedColumnFormula>_xlfn.XLOOKUP(TabTRADERCorrupted[[#This Row],[ClickTick]],TabCalc[Ticker],TabCalc[Y])</calculatedColumnFormula>
    </tableColumn>
    <tableColumn id="57" xr3:uid="{AC840AB4-C360-B048-B882-E681719F5339}" name="Y_Change" dataDxfId="1214" totalsRowDxfId="1213" dataCellStyle="Comma">
      <calculatedColumnFormula>_xlfn.XLOOKUP(TabTRADERCorrupted[[#This Row],[ClickTick]],[1]!RTData[Ticker_Symbol],[1]!RTData[YTChange])</calculatedColumnFormula>
    </tableColumn>
    <tableColumn id="8" xr3:uid="{C207CF0F-86BD-F844-8AD2-9525818B008A}" name="A" dataDxfId="1212" totalsRowDxfId="1211" dataCellStyle="Comma"/>
    <tableColumn id="60" xr3:uid="{455EB8C9-4981-D846-9DA9-DBC931878F14}" name="Ch%_Yest" dataDxfId="1210" totalsRowDxfId="1209" dataCellStyle="Comma">
      <calculatedColumnFormula array="1">_xlfn.XLOOKUP(TabTRADERCorrupted[[#This Row],[ClickTick]],ListTickers,Tab1ChangePercent[Change%19])</calculatedColumnFormula>
    </tableColumn>
    <tableColumn id="52" xr3:uid="{68C8CE58-14CD-8543-8CA6-0BDBACC71AB6}" name="N" dataDxfId="1208" totalsRowDxfId="1207">
      <calculatedColumnFormula>_xlfn.XLOOKUP(TabTRADERCorrupted[[#This Row],[ClickTick]],TabCalc[Ticker],TabCalc[NAfter])</calculatedColumnFormula>
    </tableColumn>
    <tableColumn id="45" xr3:uid="{DAA0B676-9E0E-864B-BD4C-31777526BBCA}" name="Glnow_/M_Value_K$" dataDxfId="1206" totalsRowDxfId="1205">
      <calculatedColumnFormula>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204" totalsRowDxfId="1203"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202" totalsRowDxfId="1201"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200" totalsRowDxfId="1199"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198" totalsRowDxfId="1197"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196" totalsRowDxfId="1195"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194" totalsRowDxfId="1193" dataCellStyle="Comma"/>
    <tableColumn id="71" xr3:uid="{58E37E07-46BA-BE41-BFAD-14A7826B9516}" name="Buy_np" dataDxfId="1192" totalsRowDxfId="1191"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190" totalsRowDxfId="1189" dataCellStyle="Comma"/>
    <tableColumn id="69" xr3:uid="{3CBE5C8F-2442-4141-B77E-2C711B18F46A}" name="Buy_NA" dataDxfId="1188" totalsRowDxfId="1187" dataCellStyle="Comma"/>
    <tableColumn id="51" xr3:uid="{4AD58491-CF6F-7743-AF1C-D80979FA3C92}" name="GL_R/M_NA" totalsRowFunction="sum" dataDxfId="1186" totalsRowDxfId="1185"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184" totalsRowDxfId="1183"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182" totalsRowDxfId="1181"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80" totalsRowDxfId="1179"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178" totalsRowDxfId="1177" dataCellStyle="Percent">
      <calculatedColumnFormula>_xlfn.XLOOKUP(TabTRADERCorrupted[[#This Row],[ClickTick]],TabCalc[Ticker],TabCalc[Ann%RevLB])</calculatedColumnFormula>
    </tableColumn>
    <tableColumn id="64" xr3:uid="{67659519-1C42-244B-921B-725F68AA979B}" name="MUP" dataDxfId="1176" totalsRowDxfId="1175" dataCellStyle="Percent">
      <calculatedColumnFormula>_xlfn.XLOOKUP(TabTRADERCorrupted[[#This Row],[ClickTick]],TabCalc[Ticker],TabCalc[Up20])</calculatedColumnFormula>
    </tableColumn>
    <tableColumn id="62" xr3:uid="{BD8F261A-D478-8F4A-BEDF-C53705997463}" name="vs.LBt%" dataDxfId="1174" totalsRowDxfId="1173"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172" totalsRowDxfId="1171"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170" totalsRowDxfId="1169"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168" totalsRowDxfId="1167"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166" totalsRowDxfId="1165"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calculatedColumnFormula>
    </tableColumn>
    <tableColumn id="46" xr3:uid="{4B31C15E-12AB-9C48-8833-943538E8D5D9}" name="nxGL/s(M-A)" dataDxfId="1164" totalsRowDxfId="1163"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162" totalsRowDxfId="1161">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160" totalsRowDxfId="1159"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158" totalsRowDxfId="1157" dataCellStyle="Comma">
      <calculatedColumnFormula>_xlfn.XLOOKUP(TabTRADERCorrupted[[#This Row],[ClickTick]],TabCalc[Ticker],TabCalc[L_Sn])</calculatedColumnFormula>
    </tableColumn>
    <tableColumn id="32" xr3:uid="{089D5B01-CA85-1A4E-8FB3-81A40C89B0F9}" name="L_Sp" dataDxfId="1156" totalsRowDxfId="1155" dataCellStyle="Comma">
      <calculatedColumnFormula>_xlfn.XLOOKUP(TabTRADERCorrupted[[#This Row],[ClickTick]],TabCalc[Ticker],TabCalc[L_Sp])</calculatedColumnFormula>
    </tableColumn>
    <tableColumn id="23" xr3:uid="{A3EEAFE0-9CBA-FC42-8ECA-46F817BA644B}" name="Rev_Buy" dataDxfId="1154" totalsRowDxfId="1153">
      <calculatedColumnFormula>-IFERROR((TabTRADERCorrupted[[#This Row],[M]]-TabTRADERCorrupted[[#This Row],[L_Sp]])/TabTRADERCorrupted[[#This Row],[L_Sp]],0)</calculatedColumnFormula>
    </tableColumn>
    <tableColumn id="24" xr3:uid="{3F91613F-AC29-AB41-B5A5-812FE6F84343}" name="Buy_Back" totalsRowFunction="sum" dataDxfId="1152" totalsRowDxfId="1151"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150" totalsRowDxfId="1149">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148" totalsRowDxfId="1147">
      <calculatedColumnFormula>IFERROR((TabTRADERCorrupted[[#This Row],[M]]-TabTRADERCorrupted[[#This Row],[A]])/TabTRADERCorrupted[[#This Row],[A]],0)</calculatedColumnFormula>
    </tableColumn>
    <tableColumn id="26" xr3:uid="{7550FC06-5A93-6F46-B561-83A49DA6DDC1}" name="Alln*M-A:GL$" dataDxfId="1146" totalsRowDxfId="1145"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144" totalsRowDxfId="1143" dataCellStyle="Comma"/>
    <tableColumn id="49" xr3:uid="{744FF3A2-F5E4-9545-B57B-D8CDE6F502E1}" name="MinB/M" dataDxfId="1142" totalsRowDxfId="1141" dataCellStyle="Comma"/>
    <tableColumn id="28" xr3:uid="{B960CEB6-2522-4147-8EDC-C07732CFB8E5}" name="Tick_M_A" dataDxfId="1140" totalsRowDxfId="1139">
      <calculatedColumnFormula>TabTRADERCorrupted[[#This Row],[ClickTick]]&amp;": "&amp;_xlfn.XLOOKUP(TabTRADERCorrupted[[#This Row],[ClickTick]],TabCalc[Ticker],TabCalc[Pile?])</calculatedColumnFormula>
    </tableColumn>
    <tableColumn id="29" xr3:uid="{16DF2913-98AD-B246-8118-794256FA3500}" name="Status" totalsRowFunction="count" dataDxfId="1138" totalsRowDxfId="1137"/>
    <tableColumn id="35" xr3:uid="{F14A80AE-E62C-DF48-99D4-9293058E44B1}" name="Code" dataDxfId="1136" totalsRowDxfId="1135">
      <calculatedColumnFormula array="1">_xlfn.TEXTJOIN("",,INDEX({"M","A","Y"}, _xlfn.SORTBY({1,2,3}, -CHOOSE({1,2,3}, TabTRADERCorrupted[[#This Row],[M]], TabTRADERCorrupted[[#This Row],[A]], TabTRADERCorrupted[[#This Row],[Agiotage]]))))</calculatedColumnFormula>
    </tableColumn>
    <tableColumn id="37" xr3:uid="{E6B8B070-0576-C54E-8049-42AD03CF00A9}" name="TonM" dataDxfId="1134" totalsRowDxfId="1133">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32">
      <calculatedColumnFormula>TabTRADERCorrupted[[#This Row],[L_Sn]]*TabTRADERCorrupted[[#This Row],[L_Sp]]+TabTRADERCorrupted[[#This Row],[SellMore]]*TabTRADERCorrupted[[#This Row],[M]]</calculatedColumnFormula>
    </tableColumn>
    <tableColumn id="39" xr3:uid="{493C574C-1BCF-3241-AFCD-2265A016AB75}" name="SellMore" dataDxfId="1131"/>
    <tableColumn id="40" xr3:uid="{A99302DF-FBDC-D545-91AF-29D9F0C0AE01}" name="NoStock" dataDxfId="1130" dataCellStyle="Percent"/>
    <tableColumn id="41" xr3:uid="{877B67EB-D7DA-554B-951C-D198CA8535FE}" name="HOLD" dataDxfId="1129" totalsRowDxfId="1128">
      <calculatedColumnFormula>TabTRADERCorrupted[[#This Row],[ReBuy]]/(TabTRADERCorrupted[[#This Row],[L_Sn]]+TabTRADERCorrupted[[#This Row],[SellMore]])</calculatedColumnFormula>
    </tableColumn>
    <tableColumn id="43" xr3:uid="{92F17730-71E8-AE49-A350-B41610408C9D}" name="Column7" dataDxfId="1127">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126">
      <calculatedColumnFormula>(TabTRADERCorrupted[[#This Row],[M]]-TabTRADERCorrupted[[#This Row],[Agiotage]])/(TabTRADERCorrupted[[#This Row],[M]]-TabTRADERCorrupted[[#This Row],[A]])-1</calculatedColumnFormula>
    </tableColumn>
    <tableColumn id="68" xr3:uid="{09E388EE-11E8-EE40-AFDA-665C399A4A38}" name="index" dataDxfId="1125" totalsRowDxfId="1124">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A9EF626A-0723-DA42-BBA6-0DFC16A1D66D}">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23662D19-EFA1-9C4C-8E28-D08CCABBFF8C}">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F4FB172D-964F-4E4F-9937-A1DE53F539F9}">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1A03EC20-8827-F743-8E9B-676DAD6FB05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1701</v>
      </c>
      <c r="P2" s="15"/>
      <c r="R2" s="15"/>
      <c r="T2" s="15"/>
      <c r="U2" s="509"/>
      <c r="V2" s="469" t="s">
        <v>1693</v>
      </c>
      <c r="W2" s="15"/>
      <c r="X2" s="15"/>
      <c r="Y2" s="509"/>
    </row>
    <row r="3" spans="1:25">
      <c r="E3" s="219">
        <v>0.9</v>
      </c>
      <c r="F3" s="219">
        <v>0.8</v>
      </c>
      <c r="G3">
        <f>G$1*5</f>
        <v>7.5</v>
      </c>
      <c r="H3" t="s">
        <v>1588</v>
      </c>
      <c r="I3" s="1" t="s">
        <v>1549</v>
      </c>
      <c r="J3" s="12" t="s">
        <v>1690</v>
      </c>
      <c r="K3" s="13"/>
      <c r="N3">
        <v>1</v>
      </c>
      <c r="P3" s="1">
        <v>0.8</v>
      </c>
      <c r="R3" s="1">
        <v>0.6</v>
      </c>
      <c r="T3" s="511">
        <v>0.4</v>
      </c>
      <c r="U3" s="510">
        <v>1</v>
      </c>
      <c r="V3" s="1">
        <v>0.9</v>
      </c>
      <c r="W3" s="1">
        <v>0.7</v>
      </c>
      <c r="X3" s="511">
        <v>0.5</v>
      </c>
    </row>
    <row r="4" spans="1:25" ht="23" thickBot="1">
      <c r="E4" s="219">
        <v>1.1000000000000001</v>
      </c>
      <c r="F4" s="219">
        <v>1.2</v>
      </c>
      <c r="G4">
        <f>G$1*15</f>
        <v>22.5</v>
      </c>
      <c r="H4" t="s">
        <v>1687</v>
      </c>
      <c r="I4" t="s">
        <v>1589</v>
      </c>
      <c r="J4" s="499" t="s">
        <v>1692</v>
      </c>
      <c r="K4" s="508" t="s">
        <v>1706</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1562</v>
      </c>
      <c r="B5" s="351" t="s">
        <v>1563</v>
      </c>
      <c r="D5" t="s">
        <v>1691</v>
      </c>
      <c r="E5" s="500" t="s">
        <v>1565</v>
      </c>
      <c r="F5" s="501" t="s">
        <v>690</v>
      </c>
      <c r="G5" s="502" t="s">
        <v>1564</v>
      </c>
      <c r="H5" t="s">
        <v>1685</v>
      </c>
      <c r="I5" s="124" t="s">
        <v>1694</v>
      </c>
      <c r="J5" s="1" t="s">
        <v>1695</v>
      </c>
      <c r="K5" s="1" t="s">
        <v>1700</v>
      </c>
      <c r="L5" s="1" t="s">
        <v>1707</v>
      </c>
      <c r="M5" s="1" t="s">
        <v>1709</v>
      </c>
      <c r="N5" s="1" t="s">
        <v>1702</v>
      </c>
      <c r="O5" s="1" t="s">
        <v>187</v>
      </c>
      <c r="P5" s="1" t="s">
        <v>1703</v>
      </c>
      <c r="Q5" s="1" t="s">
        <v>1704</v>
      </c>
      <c r="R5" s="1" t="s">
        <v>1705</v>
      </c>
      <c r="S5" t="s">
        <v>1699</v>
      </c>
      <c r="T5" t="s">
        <v>1696</v>
      </c>
      <c r="U5" t="s">
        <v>1697</v>
      </c>
      <c r="V5" t="s">
        <v>1698</v>
      </c>
    </row>
    <row r="6" spans="1:25">
      <c r="A6" s="355" t="s">
        <v>690</v>
      </c>
      <c r="B6" s="353" t="s">
        <v>1565</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1575</v>
      </c>
      <c r="I6" t="s">
        <v>1586</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1564</v>
      </c>
      <c r="B7" s="353" t="s">
        <v>1565</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1555</v>
      </c>
      <c r="I7" t="s">
        <v>1587</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1564</v>
      </c>
      <c r="B8" s="361" t="s">
        <v>690</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1578</v>
      </c>
      <c r="I8" t="s">
        <v>1587</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1565</v>
      </c>
      <c r="B9" s="361" t="s">
        <v>690</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1579</v>
      </c>
      <c r="I9" t="s">
        <v>1585</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690</v>
      </c>
      <c r="B10" s="354" t="s">
        <v>1564</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1580</v>
      </c>
      <c r="I10" t="s">
        <v>1582</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1565</v>
      </c>
      <c r="B11" s="354" t="s">
        <v>1564</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1581</v>
      </c>
      <c r="I11" t="s">
        <v>1582</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1574</v>
      </c>
      <c r="J13" t="s">
        <v>1688</v>
      </c>
      <c r="K13" t="s">
        <v>1549</v>
      </c>
      <c r="L13" t="s">
        <v>1550</v>
      </c>
      <c r="M13" s="1" t="s">
        <v>1573</v>
      </c>
      <c r="U13" s="503"/>
    </row>
    <row r="14" spans="1:25" ht="23" thickBot="1">
      <c r="A14" s="351" t="s">
        <v>1562</v>
      </c>
      <c r="B14" s="351" t="s">
        <v>1563</v>
      </c>
      <c r="D14" s="1" t="s">
        <v>1708</v>
      </c>
      <c r="E14" s="500" t="s">
        <v>1565</v>
      </c>
      <c r="F14" s="501" t="s">
        <v>690</v>
      </c>
      <c r="G14" s="502" t="s">
        <v>1564</v>
      </c>
      <c r="H14" t="s">
        <v>187</v>
      </c>
      <c r="I14" t="s">
        <v>186</v>
      </c>
      <c r="J14" t="s">
        <v>1686</v>
      </c>
      <c r="K14" s="351" t="s">
        <v>1689</v>
      </c>
      <c r="L14" s="351" t="s">
        <v>1551</v>
      </c>
      <c r="M14" s="351" t="s">
        <v>1583</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1556</v>
      </c>
      <c r="K15" s="352" t="s">
        <v>1568</v>
      </c>
      <c r="L15" s="352" t="s">
        <v>1553</v>
      </c>
      <c r="M15" s="353" t="s">
        <v>1552</v>
      </c>
    </row>
    <row r="16" spans="1:25">
      <c r="A16" s="352" t="s">
        <v>1566</v>
      </c>
      <c r="B16" s="357" t="s">
        <v>1565</v>
      </c>
      <c r="D16" s="1">
        <v>10</v>
      </c>
      <c r="E16" s="1" cm="1">
        <f t="array" ref="E16">IFERROR(_xlfn.IFS(LEFT(J16,1)="A",15,RIGHT(J16,1)="A",5),10)</f>
        <v>15</v>
      </c>
      <c r="F16" s="1" cm="1">
        <f t="array" ref="F16">IFERROR(_xlfn.IFS(LEFT(J16,1)="P",15,RIGHT(J16,1)="P",5),10)</f>
        <v>5</v>
      </c>
      <c r="G16" s="1" cm="1">
        <f t="array" ref="G16">IFERROR(_xlfn.IFS(LEFT(J16,1)="S",15,RIGHT(J16,1)="S",5),10)</f>
        <v>10</v>
      </c>
      <c r="J16" t="s">
        <v>1557</v>
      </c>
      <c r="K16" s="352" t="s">
        <v>1569</v>
      </c>
      <c r="L16" s="352" t="s">
        <v>1553</v>
      </c>
      <c r="M16" s="352" t="s">
        <v>1553</v>
      </c>
    </row>
    <row r="17" spans="1:13">
      <c r="A17" s="356" t="s">
        <v>1564</v>
      </c>
      <c r="B17" s="353" t="s">
        <v>1566</v>
      </c>
      <c r="D17" s="1">
        <v>10</v>
      </c>
      <c r="E17" s="1" cm="1">
        <f t="array" ref="E17">IFERROR(_xlfn.IFS(LEFT(J17,1)="A",15,RIGHT(J17,1)="A",5),10)</f>
        <v>10</v>
      </c>
      <c r="F17" s="1" cm="1">
        <f t="array" ref="F17">IFERROR(_xlfn.IFS(LEFT(J17,1)="P",15,RIGHT(J17,1)="P",5),10)</f>
        <v>15</v>
      </c>
      <c r="G17" s="1" cm="1">
        <f t="array" ref="G17">IFERROR(_xlfn.IFS(LEFT(J17,1)="S",15,RIGHT(J17,1)="S",5),10)</f>
        <v>5</v>
      </c>
      <c r="J17" t="s">
        <v>1560</v>
      </c>
      <c r="K17" s="353" t="s">
        <v>1572</v>
      </c>
      <c r="L17" s="353" t="s">
        <v>1552</v>
      </c>
      <c r="M17" s="353" t="s">
        <v>1552</v>
      </c>
    </row>
    <row r="18" spans="1:13">
      <c r="A18" s="354" t="s">
        <v>1565</v>
      </c>
      <c r="B18" s="353" t="s">
        <v>1566</v>
      </c>
      <c r="D18" s="1">
        <v>10</v>
      </c>
      <c r="E18" s="1" cm="1">
        <f t="array" ref="E18">IFERROR(_xlfn.IFS(LEFT(J18,1)="A",15,RIGHT(J18,1)="A",5),10)</f>
        <v>5</v>
      </c>
      <c r="F18" s="1" cm="1">
        <f t="array" ref="F18">IFERROR(_xlfn.IFS(LEFT(J18,1)="P",15,RIGHT(J18,1)="P",5),10)</f>
        <v>15</v>
      </c>
      <c r="G18" s="1" cm="1">
        <f t="array" ref="G18">IFERROR(_xlfn.IFS(LEFT(J18,1)="S",15,RIGHT(J18,1)="S",5),10)</f>
        <v>10</v>
      </c>
      <c r="J18" t="s">
        <v>1559</v>
      </c>
      <c r="K18" s="353" t="s">
        <v>1572</v>
      </c>
      <c r="L18" s="353" t="s">
        <v>1552</v>
      </c>
      <c r="M18" s="353" t="s">
        <v>1552</v>
      </c>
    </row>
    <row r="19" spans="1:13">
      <c r="A19" s="354" t="s">
        <v>1565</v>
      </c>
      <c r="B19" s="355" t="s">
        <v>1564</v>
      </c>
      <c r="D19" s="1">
        <v>10</v>
      </c>
      <c r="E19" s="1" cm="1">
        <f t="array" ref="E19">IFERROR(_xlfn.IFS(LEFT(J19,1)="A",15,RIGHT(J19,1)="A",5),10)</f>
        <v>5</v>
      </c>
      <c r="F19" s="1" cm="1">
        <f t="array" ref="F19">IFERROR(_xlfn.IFS(LEFT(J19,1)="P",15,RIGHT(J19,1)="P",5),10)</f>
        <v>10</v>
      </c>
      <c r="G19" s="1" cm="1">
        <f t="array" ref="G19">IFERROR(_xlfn.IFS(LEFT(J19,1)="S",15,RIGHT(J19,1)="S",5),10)</f>
        <v>15</v>
      </c>
      <c r="J19" t="s">
        <v>1558</v>
      </c>
      <c r="K19" s="353" t="s">
        <v>1571</v>
      </c>
      <c r="L19" s="359" t="s">
        <v>1561</v>
      </c>
      <c r="M19" s="352" t="s">
        <v>1553</v>
      </c>
    </row>
    <row r="20" spans="1:13">
      <c r="A20" s="352" t="s">
        <v>1566</v>
      </c>
      <c r="B20" s="355" t="s">
        <v>1564</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1570</v>
      </c>
      <c r="L20" s="358" t="s">
        <v>1008</v>
      </c>
      <c r="M20" s="352" t="s">
        <v>1553</v>
      </c>
    </row>
    <row r="22" spans="1:13" ht="25" thickBot="1">
      <c r="E22" t="s">
        <v>1764</v>
      </c>
      <c r="F22" t="s">
        <v>1765</v>
      </c>
      <c r="G22" t="s">
        <v>1766</v>
      </c>
      <c r="H22" t="s">
        <v>1763</v>
      </c>
    </row>
    <row r="23" spans="1:13" ht="25" thickBot="1">
      <c r="G23" s="291" t="s">
        <v>1729</v>
      </c>
      <c r="H23" s="539" t="s">
        <v>1726</v>
      </c>
      <c r="I23" s="540" t="s">
        <v>1727</v>
      </c>
      <c r="J23" s="541" t="s">
        <v>1728</v>
      </c>
    </row>
    <row r="24" spans="1:13" ht="26" thickTop="1" thickBot="1">
      <c r="G24" s="291"/>
      <c r="H24" t="s">
        <v>1733</v>
      </c>
    </row>
    <row r="25" spans="1:13" ht="25" thickBot="1">
      <c r="D25" s="12" t="s">
        <v>1732</v>
      </c>
      <c r="E25" s="537" t="s">
        <v>1734</v>
      </c>
      <c r="F25" s="538"/>
      <c r="G25" s="542" t="s">
        <v>1736</v>
      </c>
      <c r="H25" s="13" t="s">
        <v>1744</v>
      </c>
      <c r="I25" s="13"/>
      <c r="J25" s="67"/>
    </row>
    <row r="26" spans="1:13" ht="24">
      <c r="D26" s="16"/>
      <c r="E26" t="s">
        <v>1731</v>
      </c>
      <c r="G26" s="291" t="s">
        <v>1730</v>
      </c>
      <c r="H26" t="s">
        <v>1735</v>
      </c>
      <c r="I26" t="s">
        <v>1737</v>
      </c>
      <c r="J26" s="69"/>
    </row>
    <row r="27" spans="1:13" ht="24">
      <c r="D27" s="16"/>
      <c r="G27" s="291"/>
      <c r="H27" t="s">
        <v>1740</v>
      </c>
      <c r="I27" t="s">
        <v>1738</v>
      </c>
      <c r="J27" s="69"/>
    </row>
    <row r="28" spans="1:13" ht="24">
      <c r="D28" s="16"/>
      <c r="H28" t="s">
        <v>1741</v>
      </c>
      <c r="I28" t="s">
        <v>1739</v>
      </c>
      <c r="J28" s="69"/>
    </row>
    <row r="29" spans="1:13" ht="24">
      <c r="D29" s="16"/>
      <c r="H29" t="s">
        <v>1743</v>
      </c>
      <c r="I29" t="s">
        <v>1742</v>
      </c>
      <c r="J29" s="69"/>
    </row>
    <row r="30" spans="1:13" ht="24">
      <c r="D30" s="16"/>
      <c r="H30" t="s">
        <v>1755</v>
      </c>
      <c r="J30" s="69"/>
    </row>
    <row r="31" spans="1:13" ht="24">
      <c r="D31" s="16"/>
      <c r="H31" t="s">
        <v>1725</v>
      </c>
      <c r="J31" s="69"/>
    </row>
    <row r="32" spans="1:13" ht="25" thickBot="1">
      <c r="D32" s="19"/>
      <c r="E32" s="20"/>
      <c r="F32" s="20"/>
      <c r="G32" s="20"/>
      <c r="H32" s="20" t="s">
        <v>1757</v>
      </c>
      <c r="I32" s="20" t="s">
        <v>1762</v>
      </c>
      <c r="J32" s="78"/>
    </row>
    <row r="33" spans="4:10" ht="25" thickBot="1">
      <c r="D33" s="12" t="s">
        <v>1745</v>
      </c>
      <c r="E33" s="537" t="s">
        <v>1758</v>
      </c>
      <c r="F33" s="538"/>
      <c r="G33" s="542" t="s">
        <v>1736</v>
      </c>
      <c r="H33" s="13" t="s">
        <v>1746</v>
      </c>
      <c r="I33" s="13"/>
      <c r="J33" s="67"/>
    </row>
    <row r="34" spans="4:10" ht="24">
      <c r="D34" s="16"/>
      <c r="E34" t="s">
        <v>1761</v>
      </c>
      <c r="G34" s="291" t="s">
        <v>1730</v>
      </c>
      <c r="H34" t="s">
        <v>1747</v>
      </c>
      <c r="I34" t="s">
        <v>1753</v>
      </c>
      <c r="J34" s="69"/>
    </row>
    <row r="35" spans="4:10" ht="24">
      <c r="D35" s="16"/>
      <c r="G35" s="291"/>
      <c r="H35" t="s">
        <v>1748</v>
      </c>
      <c r="I35" t="s">
        <v>1751</v>
      </c>
      <c r="J35" s="69"/>
    </row>
    <row r="36" spans="4:10" ht="24">
      <c r="D36" s="16"/>
      <c r="H36" t="s">
        <v>1749</v>
      </c>
      <c r="I36" t="s">
        <v>1754</v>
      </c>
      <c r="J36" s="69"/>
    </row>
    <row r="37" spans="4:10" ht="24">
      <c r="D37" s="16"/>
      <c r="H37" t="s">
        <v>1750</v>
      </c>
      <c r="I37" t="s">
        <v>1752</v>
      </c>
      <c r="J37" s="69"/>
    </row>
    <row r="38" spans="4:10" ht="24">
      <c r="D38" s="16"/>
      <c r="H38" t="s">
        <v>1756</v>
      </c>
      <c r="J38" s="69"/>
    </row>
    <row r="39" spans="4:10" ht="24">
      <c r="D39" s="16"/>
      <c r="H39" t="s">
        <v>1759</v>
      </c>
      <c r="J39" s="69"/>
    </row>
    <row r="40" spans="4:10" ht="25" thickBot="1">
      <c r="D40" s="19"/>
      <c r="E40" s="20"/>
      <c r="F40" s="20"/>
      <c r="G40" s="20"/>
      <c r="H40" s="20" t="s">
        <v>1760</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1719</v>
      </c>
      <c r="C1" s="534" t="s">
        <v>1720</v>
      </c>
    </row>
    <row r="2" spans="2:3">
      <c r="B2" s="1" t="str" cm="1">
        <f t="array" ref="B2:B113">TRANSPOSE(TabCalc[#Headers])</f>
        <v>Cur</v>
      </c>
    </row>
    <row r="3" spans="2:3">
      <c r="B3" s="1" t="str">
        <v>Scale</v>
      </c>
    </row>
    <row r="4" spans="2:3">
      <c r="B4" s="1" t="str">
        <v>Nbegin</v>
      </c>
      <c r="C4" t="s">
        <v>1607</v>
      </c>
    </row>
    <row r="5" spans="2:3">
      <c r="B5" s="1" t="str">
        <v>PriceBeg</v>
      </c>
    </row>
    <row r="6" spans="2:3">
      <c r="B6" s="1" t="str">
        <v>ValueBegin</v>
      </c>
    </row>
    <row r="7" spans="2:3">
      <c r="B7" s="1" t="str">
        <v>M_V</v>
      </c>
    </row>
    <row r="8" spans="2:3">
      <c r="B8" s="1" t="str">
        <v>NAfter</v>
      </c>
      <c r="C8" t="s">
        <v>1608</v>
      </c>
    </row>
    <row r="9" spans="2:3">
      <c r="B9" s="1" t="str">
        <v>Ticker</v>
      </c>
    </row>
    <row r="10" spans="2:3">
      <c r="B10" s="1" t="str">
        <v>M</v>
      </c>
    </row>
    <row r="11" spans="2:3" ht="138">
      <c r="B11" s="1" t="str">
        <v>A</v>
      </c>
      <c r="C11" s="406" t="s">
        <v>1770</v>
      </c>
    </row>
    <row r="12" spans="2:3">
      <c r="B12" s="1" t="str">
        <v>Y</v>
      </c>
    </row>
    <row r="13" spans="2:3">
      <c r="B13" s="1" t="str">
        <v>E</v>
      </c>
      <c r="C13" t="s">
        <v>1721</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1611</v>
      </c>
    </row>
    <row r="31" spans="2:3">
      <c r="B31" s="1" t="str">
        <v>L_Bpm%</v>
      </c>
    </row>
    <row r="32" spans="2:3" ht="207">
      <c r="B32" s="1" t="str">
        <v>ReverseS1</v>
      </c>
      <c r="C32" s="406" t="s">
        <v>1612</v>
      </c>
    </row>
    <row r="33" spans="2:3">
      <c r="B33" s="1" t="str">
        <v>L_B1D</v>
      </c>
    </row>
    <row r="34" spans="2:3" ht="69">
      <c r="B34" s="1" t="str">
        <v>L_B1n</v>
      </c>
      <c r="C34" s="406" t="s">
        <v>1613</v>
      </c>
    </row>
    <row r="35" spans="2:3">
      <c r="B35" s="1" t="str">
        <v>L_B1p</v>
      </c>
    </row>
    <row r="36" spans="2:3" ht="46">
      <c r="B36" s="1" t="str">
        <v>ReverseB</v>
      </c>
      <c r="C36" s="406" t="s">
        <v>1614</v>
      </c>
    </row>
    <row r="37" spans="2:3">
      <c r="B37" s="1" t="str">
        <v>L_SDate</v>
      </c>
      <c r="C37" t="s">
        <v>1615</v>
      </c>
    </row>
    <row r="38" spans="2:3">
      <c r="B38" s="1" t="str">
        <v>L_Sn</v>
      </c>
    </row>
    <row r="39" spans="2:3">
      <c r="B39" s="1" t="str">
        <v>L_Sp</v>
      </c>
    </row>
    <row r="40" spans="2:3">
      <c r="B40" s="1" t="str">
        <v>ReverseB1</v>
      </c>
    </row>
    <row r="41" spans="2:3">
      <c r="B41" s="1" t="str">
        <v>L_S1D</v>
      </c>
      <c r="C41" t="s">
        <v>1616</v>
      </c>
    </row>
    <row r="42" spans="2:3" ht="46">
      <c r="B42" s="1" t="str">
        <v>L_S1n</v>
      </c>
      <c r="C42" s="406" t="s">
        <v>1617</v>
      </c>
    </row>
    <row r="43" spans="2:3" ht="46">
      <c r="B43" s="1" t="str">
        <v>L_S1p</v>
      </c>
      <c r="C43" s="406" t="s">
        <v>1618</v>
      </c>
    </row>
    <row r="44" spans="2:3" ht="92">
      <c r="B44" s="1" t="str">
        <v>SaldOp</v>
      </c>
      <c r="C44" s="406" t="s">
        <v>1619</v>
      </c>
    </row>
    <row r="45" spans="2:3">
      <c r="B45" s="1" t="str">
        <v>SinceClose</v>
      </c>
    </row>
    <row r="46" spans="2:3">
      <c r="B46" s="1" t="str">
        <v>PreDay</v>
      </c>
      <c r="C46" t="s">
        <v>1620</v>
      </c>
    </row>
    <row r="47" spans="2:3" ht="92">
      <c r="B47" s="1" t="str">
        <v>Gravity</v>
      </c>
      <c r="C47" s="406" t="s">
        <v>1621</v>
      </c>
    </row>
    <row r="48" spans="2:3">
      <c r="B48" s="1" t="str">
        <v>Refill1</v>
      </c>
      <c r="C48" t="s">
        <v>1622</v>
      </c>
    </row>
    <row r="49" spans="2:3">
      <c r="B49" s="1" t="str">
        <v>Refill2</v>
      </c>
      <c r="C49" t="s">
        <v>1623</v>
      </c>
    </row>
    <row r="50" spans="2:3">
      <c r="B50" s="1" t="str">
        <v>Resale</v>
      </c>
      <c r="C50" t="s">
        <v>1624</v>
      </c>
    </row>
    <row r="51" spans="2:3">
      <c r="B51" s="1" t="str">
        <v>Extran</v>
      </c>
      <c r="C51" t="s">
        <v>1625</v>
      </c>
    </row>
    <row r="52" spans="2:3">
      <c r="B52" s="1" t="str">
        <v>Repulse</v>
      </c>
      <c r="C52" t="s">
        <v>1626</v>
      </c>
    </row>
    <row r="53" spans="2:3">
      <c r="B53" s="1" t="str">
        <v>Ori_Sold</v>
      </c>
      <c r="C53" t="s">
        <v>1627</v>
      </c>
    </row>
    <row r="54" spans="2:3">
      <c r="B54" s="1" t="str">
        <v>V/VA</v>
      </c>
      <c r="C54" t="s">
        <v>1628</v>
      </c>
    </row>
    <row r="55" spans="2:3" ht="230">
      <c r="B55" s="1" t="str">
        <v>TimeEX</v>
      </c>
      <c r="C55" s="406" t="s">
        <v>1629</v>
      </c>
    </row>
    <row r="56" spans="2:3" ht="92">
      <c r="B56" s="1" t="str">
        <v>Agiotage</v>
      </c>
      <c r="C56" s="406" t="s">
        <v>1630</v>
      </c>
    </row>
    <row r="57" spans="2:3">
      <c r="B57" s="1" t="str">
        <v>NoT_C</v>
      </c>
      <c r="C57" t="s">
        <v>1631</v>
      </c>
    </row>
    <row r="58" spans="2:3">
      <c r="B58" s="1" t="str">
        <v>NoT_GL</v>
      </c>
    </row>
    <row r="59" spans="2:3">
      <c r="B59" s="1" t="str">
        <v>GLStatus</v>
      </c>
      <c r="C59" t="s">
        <v>1632</v>
      </c>
    </row>
    <row r="60" spans="2:3">
      <c r="B60" s="1" t="str">
        <v>AddBuys</v>
      </c>
      <c r="C60" t="s">
        <v>1633</v>
      </c>
    </row>
    <row r="61" spans="2:3" ht="46">
      <c r="B61" s="1" t="str">
        <v>AddCash</v>
      </c>
      <c r="C61" s="406" t="s">
        <v>1634</v>
      </c>
    </row>
    <row r="62" spans="2:3">
      <c r="B62" s="1" t="str">
        <v>AddValue</v>
      </c>
      <c r="C62" t="s">
        <v>1635</v>
      </c>
    </row>
    <row r="63" spans="2:3">
      <c r="B63" s="1" t="str">
        <v>Tot_Paid</v>
      </c>
    </row>
    <row r="64" spans="2:3" ht="115">
      <c r="B64" s="1" t="str">
        <v>S_Income</v>
      </c>
      <c r="C64" s="406" t="s">
        <v>1636</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1637</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1722</v>
      </c>
    </row>
    <row r="84" spans="2:3">
      <c r="B84" s="1" t="str">
        <v>Min_Sp</v>
      </c>
    </row>
    <row r="85" spans="2:3" ht="138">
      <c r="B85" s="1" t="str">
        <v>Max_SD</v>
      </c>
      <c r="C85" s="406" t="s">
        <v>1723</v>
      </c>
    </row>
    <row r="86" spans="2:3">
      <c r="B86" s="1" t="str">
        <v>Max_Sn</v>
      </c>
    </row>
    <row r="87" spans="2:3">
      <c r="B87" s="1" t="str">
        <v>Max_SP</v>
      </c>
      <c r="C87" t="s">
        <v>1724</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954</v>
      </c>
      <c r="B1" t="s">
        <v>668</v>
      </c>
      <c r="AA1" s="408" t="str" cm="1">
        <f t="array" ref="AA1:AA112">TRANSPOSE(TabCalc[#Headers])</f>
        <v>Cur</v>
      </c>
    </row>
    <row r="2" spans="1:127">
      <c r="A2" t="s">
        <v>733</v>
      </c>
      <c r="B2" t="s">
        <v>669</v>
      </c>
      <c r="C2" t="s">
        <v>670</v>
      </c>
      <c r="D2" t="s">
        <v>680</v>
      </c>
      <c r="AA2" s="407" t="str">
        <v>Scale</v>
      </c>
    </row>
    <row r="3" spans="1:127">
      <c r="B3" s="141" t="s">
        <v>543</v>
      </c>
      <c r="C3" s="142" t="s">
        <v>660</v>
      </c>
      <c r="D3" s="90" t="s">
        <v>956</v>
      </c>
      <c r="E3" s="170" t="s">
        <v>734</v>
      </c>
      <c r="AA3" s="407" t="str">
        <v>Nbegin</v>
      </c>
    </row>
    <row r="4" spans="1:127">
      <c r="B4" s="142" t="s">
        <v>735</v>
      </c>
      <c r="C4" s="87" t="s">
        <v>1050</v>
      </c>
      <c r="D4" s="114" t="s">
        <v>955</v>
      </c>
      <c r="P4" t="s">
        <v>1548</v>
      </c>
      <c r="Q4" t="s">
        <v>1549</v>
      </c>
      <c r="R4" t="s">
        <v>1550</v>
      </c>
      <c r="S4" s="1" t="s">
        <v>1573</v>
      </c>
      <c r="T4" t="s">
        <v>1574</v>
      </c>
      <c r="AA4" s="407" t="str">
        <v>PriceBeg</v>
      </c>
      <c r="AC4" t="s">
        <v>1607</v>
      </c>
    </row>
    <row r="5" spans="1:127">
      <c r="B5" s="142" t="s">
        <v>189</v>
      </c>
      <c r="C5" s="87" t="s">
        <v>8</v>
      </c>
      <c r="D5" s="114" t="s">
        <v>955</v>
      </c>
      <c r="I5" t="s">
        <v>1015</v>
      </c>
      <c r="Q5" s="351" t="s">
        <v>1576</v>
      </c>
      <c r="R5" s="351" t="s">
        <v>1551</v>
      </c>
      <c r="S5" s="351" t="s">
        <v>1583</v>
      </c>
      <c r="T5" s="351" t="s">
        <v>1562</v>
      </c>
      <c r="U5" s="351" t="s">
        <v>1563</v>
      </c>
      <c r="AA5" s="407" t="str">
        <v>ValueBegin</v>
      </c>
    </row>
    <row r="6" spans="1:127">
      <c r="A6" s="85"/>
      <c r="B6" s="142" t="s">
        <v>190</v>
      </c>
      <c r="C6" s="87" t="s">
        <v>677</v>
      </c>
      <c r="D6" s="114" t="s">
        <v>955</v>
      </c>
      <c r="I6" t="s">
        <v>975</v>
      </c>
      <c r="J6" t="s">
        <v>976</v>
      </c>
      <c r="K6" t="s">
        <v>543</v>
      </c>
      <c r="L6" t="s">
        <v>1047</v>
      </c>
      <c r="P6" t="s">
        <v>1556</v>
      </c>
      <c r="Q6" s="352" t="s">
        <v>1568</v>
      </c>
      <c r="R6" s="352" t="s">
        <v>1553</v>
      </c>
      <c r="S6" s="353" t="s">
        <v>1552</v>
      </c>
      <c r="T6" s="356" t="s">
        <v>1564</v>
      </c>
      <c r="U6" s="357" t="s">
        <v>1565</v>
      </c>
      <c r="AA6" s="407" t="str">
        <v>M_V</v>
      </c>
    </row>
    <row r="7" spans="1:127">
      <c r="A7" s="90" t="s">
        <v>167</v>
      </c>
      <c r="B7" s="142" t="s">
        <v>167</v>
      </c>
      <c r="C7" s="87" t="s">
        <v>676</v>
      </c>
      <c r="D7" s="114" t="s">
        <v>955</v>
      </c>
      <c r="I7" t="s">
        <v>965</v>
      </c>
      <c r="J7" t="s">
        <v>964</v>
      </c>
      <c r="K7" t="s">
        <v>1000</v>
      </c>
      <c r="L7" t="s">
        <v>136</v>
      </c>
      <c r="M7" t="s">
        <v>1008</v>
      </c>
      <c r="P7" t="s">
        <v>1557</v>
      </c>
      <c r="Q7" s="352" t="s">
        <v>1569</v>
      </c>
      <c r="R7" s="352" t="s">
        <v>1553</v>
      </c>
      <c r="S7" s="352" t="s">
        <v>1553</v>
      </c>
      <c r="T7" s="352" t="s">
        <v>1566</v>
      </c>
      <c r="U7" s="357" t="s">
        <v>1565</v>
      </c>
      <c r="AA7" s="407" t="str">
        <v>NAfter</v>
      </c>
    </row>
    <row r="8" spans="1:127">
      <c r="A8" s="124"/>
      <c r="B8" s="142" t="s">
        <v>191</v>
      </c>
      <c r="C8" s="87" t="s">
        <v>678</v>
      </c>
      <c r="D8" s="114" t="s">
        <v>955</v>
      </c>
      <c r="I8" t="s">
        <v>969</v>
      </c>
      <c r="J8" t="s">
        <v>1001</v>
      </c>
      <c r="K8" t="s">
        <v>970</v>
      </c>
      <c r="P8" t="s">
        <v>1560</v>
      </c>
      <c r="Q8" s="353" t="s">
        <v>1572</v>
      </c>
      <c r="R8" s="353" t="s">
        <v>1552</v>
      </c>
      <c r="S8" s="353" t="s">
        <v>1552</v>
      </c>
      <c r="T8" s="356" t="s">
        <v>1564</v>
      </c>
      <c r="U8" s="353" t="s">
        <v>1566</v>
      </c>
      <c r="AA8" s="407" t="str">
        <v>Ticker</v>
      </c>
      <c r="AC8" t="s">
        <v>1608</v>
      </c>
    </row>
    <row r="9" spans="1:127">
      <c r="A9" s="124"/>
      <c r="B9" s="142" t="s">
        <v>192</v>
      </c>
      <c r="C9" s="87" t="s">
        <v>679</v>
      </c>
      <c r="D9" s="114" t="s">
        <v>955</v>
      </c>
      <c r="I9" t="s">
        <v>977</v>
      </c>
      <c r="K9" t="s">
        <v>156</v>
      </c>
      <c r="L9" t="s">
        <v>1006</v>
      </c>
      <c r="P9" t="s">
        <v>1559</v>
      </c>
      <c r="Q9" s="353" t="s">
        <v>1572</v>
      </c>
      <c r="R9" s="353" t="s">
        <v>1552</v>
      </c>
      <c r="S9" s="353" t="s">
        <v>1552</v>
      </c>
      <c r="T9" s="354" t="s">
        <v>1565</v>
      </c>
      <c r="U9" s="353" t="s">
        <v>1566</v>
      </c>
      <c r="V9" t="s">
        <v>1597</v>
      </c>
      <c r="X9" t="s">
        <v>1598</v>
      </c>
      <c r="AA9" s="407" t="str">
        <v>M</v>
      </c>
    </row>
    <row r="10" spans="1:127" ht="161">
      <c r="B10" s="142" t="s">
        <v>193</v>
      </c>
      <c r="C10" s="87" t="s">
        <v>193</v>
      </c>
      <c r="D10" s="114" t="s">
        <v>955</v>
      </c>
      <c r="I10" t="s">
        <v>978</v>
      </c>
      <c r="K10" t="s">
        <v>1002</v>
      </c>
      <c r="P10" t="s">
        <v>1558</v>
      </c>
      <c r="Q10" s="353" t="s">
        <v>1571</v>
      </c>
      <c r="R10" s="359" t="s">
        <v>1561</v>
      </c>
      <c r="S10" s="352" t="s">
        <v>1553</v>
      </c>
      <c r="T10" s="354" t="s">
        <v>1565</v>
      </c>
      <c r="U10" s="355" t="s">
        <v>1564</v>
      </c>
      <c r="AA10" s="407" t="str">
        <v>A</v>
      </c>
      <c r="AC10" s="406" t="s">
        <v>1609</v>
      </c>
    </row>
    <row r="11" spans="1:127">
      <c r="B11" s="142" t="s">
        <v>194</v>
      </c>
      <c r="C11" s="87" t="s">
        <v>674</v>
      </c>
      <c r="D11" s="114" t="s">
        <v>955</v>
      </c>
      <c r="I11" t="s">
        <v>979</v>
      </c>
      <c r="K11" t="s">
        <v>1014</v>
      </c>
      <c r="L11" t="s">
        <v>727</v>
      </c>
      <c r="P11" t="s">
        <v>38</v>
      </c>
      <c r="Q11" s="352" t="s">
        <v>1570</v>
      </c>
      <c r="R11" s="358" t="s">
        <v>1008</v>
      </c>
      <c r="S11" s="352" t="s">
        <v>1553</v>
      </c>
      <c r="T11" s="352" t="s">
        <v>1566</v>
      </c>
      <c r="U11" s="355" t="s">
        <v>1564</v>
      </c>
      <c r="AA11" s="407" t="str">
        <v>Y</v>
      </c>
      <c r="DM11" t="s">
        <v>2447</v>
      </c>
      <c r="DN11" s="577">
        <v>500</v>
      </c>
      <c r="DO11" s="160">
        <v>-599.29999999999995</v>
      </c>
      <c r="DS11" t="s">
        <v>2448</v>
      </c>
      <c r="DT11" t="s">
        <v>2449</v>
      </c>
      <c r="DU11" s="136">
        <v>40544</v>
      </c>
      <c r="DV11" s="988">
        <v>500</v>
      </c>
      <c r="DW11" s="983">
        <v>-896.1</v>
      </c>
    </row>
    <row r="12" spans="1:127">
      <c r="B12" s="142" t="s">
        <v>195</v>
      </c>
      <c r="C12" s="87" t="s">
        <v>675</v>
      </c>
      <c r="D12" s="114" t="s">
        <v>955</v>
      </c>
      <c r="I12" t="s">
        <v>980</v>
      </c>
      <c r="K12" t="s">
        <v>1003</v>
      </c>
      <c r="L12" t="s">
        <v>1021</v>
      </c>
      <c r="AA12" s="407" t="str">
        <v>E</v>
      </c>
      <c r="AC12" t="s">
        <v>1610</v>
      </c>
      <c r="DN12" s="982">
        <v>300</v>
      </c>
      <c r="DO12" s="983">
        <v>-602.54999999999995</v>
      </c>
      <c r="DQ12" s="986"/>
      <c r="DR12" s="987"/>
      <c r="DU12" s="135">
        <v>45453</v>
      </c>
      <c r="DV12" s="120">
        <v>490</v>
      </c>
      <c r="DW12" s="160">
        <v>954.5</v>
      </c>
    </row>
    <row r="13" spans="1:127">
      <c r="B13" s="142" t="s">
        <v>196</v>
      </c>
      <c r="C13" s="87" t="s">
        <v>672</v>
      </c>
      <c r="D13" s="114" t="s">
        <v>955</v>
      </c>
      <c r="I13" t="s">
        <v>1013</v>
      </c>
      <c r="K13" t="s">
        <v>192</v>
      </c>
      <c r="AA13" s="407" t="str">
        <v>Ch_Today</v>
      </c>
      <c r="DN13" s="577">
        <v>200</v>
      </c>
      <c r="DO13" s="160">
        <v>-603.79999999999995</v>
      </c>
      <c r="DQ13" s="984">
        <v>-603.79999999999995</v>
      </c>
      <c r="DR13" s="985">
        <v>200</v>
      </c>
      <c r="DU13" s="136">
        <v>45468</v>
      </c>
      <c r="DV13" s="988">
        <v>500</v>
      </c>
      <c r="DW13" s="983">
        <v>-945</v>
      </c>
    </row>
    <row r="14" spans="1:127">
      <c r="B14" s="142" t="s">
        <v>197</v>
      </c>
      <c r="C14" s="87" t="s">
        <v>673</v>
      </c>
      <c r="D14" s="114" t="s">
        <v>955</v>
      </c>
      <c r="I14" t="s">
        <v>981</v>
      </c>
      <c r="O14" s="351" t="s">
        <v>1566</v>
      </c>
      <c r="P14" s="351" t="s">
        <v>1564</v>
      </c>
      <c r="Q14" s="351" t="s">
        <v>1565</v>
      </c>
      <c r="R14" s="351" t="s">
        <v>1551</v>
      </c>
      <c r="S14" s="351" t="s">
        <v>1554</v>
      </c>
      <c r="T14" s="351" t="s">
        <v>1567</v>
      </c>
      <c r="AA14" s="407" t="str">
        <v>Up20</v>
      </c>
      <c r="DN14" s="982">
        <v>500</v>
      </c>
      <c r="DO14" s="983">
        <v>-622.20000000000005</v>
      </c>
      <c r="DQ14" s="986"/>
      <c r="DR14" s="987"/>
      <c r="DU14" s="122">
        <v>45476</v>
      </c>
      <c r="DV14" s="120">
        <v>510</v>
      </c>
      <c r="DW14" s="160">
        <v>982.8</v>
      </c>
    </row>
    <row r="15" spans="1:127">
      <c r="B15" s="142" t="s">
        <v>198</v>
      </c>
      <c r="C15" s="87" t="s">
        <v>185</v>
      </c>
      <c r="D15" s="114" t="s">
        <v>955</v>
      </c>
      <c r="I15" t="s">
        <v>982</v>
      </c>
      <c r="O15" s="1">
        <v>10</v>
      </c>
      <c r="P15" s="1">
        <v>8</v>
      </c>
      <c r="Q15" s="1">
        <v>7</v>
      </c>
      <c r="R15" s="1">
        <f>(O15+Q15)/2</f>
        <v>8.5</v>
      </c>
      <c r="S15">
        <f>P15-O15</f>
        <v>-2</v>
      </c>
      <c r="T15" t="str">
        <f>IF(R15&lt;P15,"OK","LOSS")</f>
        <v>LOSS</v>
      </c>
      <c r="X15" t="s">
        <v>1600</v>
      </c>
      <c r="AA15" s="407" t="str">
        <v>Imp20</v>
      </c>
      <c r="DN15" s="577">
        <v>300</v>
      </c>
      <c r="DO15" s="160">
        <v>-632.79999999999995</v>
      </c>
      <c r="DQ15" s="986">
        <v>-632.79999999999995</v>
      </c>
      <c r="DR15" s="987">
        <v>300</v>
      </c>
      <c r="DU15" s="165">
        <v>45490</v>
      </c>
      <c r="DV15" s="988">
        <v>500</v>
      </c>
      <c r="DW15" s="983">
        <v>-879.74199999999996</v>
      </c>
    </row>
    <row r="16" spans="1:127">
      <c r="A16" s="125"/>
      <c r="B16" s="142" t="s">
        <v>736</v>
      </c>
      <c r="C16" s="87" t="s">
        <v>671</v>
      </c>
      <c r="D16" s="114" t="s">
        <v>955</v>
      </c>
      <c r="I16" t="s">
        <v>983</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955</v>
      </c>
      <c r="I17" t="s">
        <v>963</v>
      </c>
      <c r="J17" t="s">
        <v>163</v>
      </c>
      <c r="K17" t="s">
        <v>191</v>
      </c>
      <c r="L17" t="s">
        <v>1017</v>
      </c>
      <c r="M17" t="s">
        <v>1020</v>
      </c>
      <c r="AA17" s="407" t="str">
        <v>Up150</v>
      </c>
      <c r="DN17" s="577">
        <v>200</v>
      </c>
      <c r="DO17" s="160">
        <v>-645.5</v>
      </c>
      <c r="DQ17" s="986">
        <v>-645.5</v>
      </c>
      <c r="DR17" s="987">
        <v>200</v>
      </c>
      <c r="DU17" s="165">
        <v>45495</v>
      </c>
      <c r="DV17" s="988">
        <v>500</v>
      </c>
      <c r="DW17" s="983">
        <v>-857.1</v>
      </c>
    </row>
    <row r="18" spans="1:127">
      <c r="A18" t="s">
        <v>176</v>
      </c>
      <c r="B18" s="143" t="s">
        <v>176</v>
      </c>
      <c r="C18" s="142" t="s">
        <v>689</v>
      </c>
      <c r="D18" s="171" t="s">
        <v>956</v>
      </c>
      <c r="E18" t="s">
        <v>737</v>
      </c>
      <c r="I18" t="s">
        <v>966</v>
      </c>
      <c r="J18" t="s">
        <v>131</v>
      </c>
      <c r="AA18" s="407" t="str">
        <v>Imp150</v>
      </c>
      <c r="DN18" s="982">
        <v>200</v>
      </c>
      <c r="DO18" s="983">
        <v>-647.1</v>
      </c>
      <c r="DQ18" s="986">
        <v>-647.29999999999995</v>
      </c>
      <c r="DR18" s="987">
        <v>300</v>
      </c>
      <c r="DU18" s="165">
        <v>45506</v>
      </c>
      <c r="DV18" s="120">
        <v>300</v>
      </c>
      <c r="DW18" s="160">
        <v>-763.5</v>
      </c>
    </row>
    <row r="19" spans="1:127">
      <c r="B19" s="144" t="s">
        <v>738</v>
      </c>
      <c r="C19" s="87" t="s">
        <v>681</v>
      </c>
      <c r="D19" s="114" t="s">
        <v>955</v>
      </c>
      <c r="I19" t="s">
        <v>971</v>
      </c>
      <c r="J19" t="s">
        <v>1063</v>
      </c>
      <c r="K19" t="s">
        <v>548</v>
      </c>
      <c r="P19" t="s">
        <v>1588</v>
      </c>
      <c r="AA19" s="407" t="str">
        <v>DPWC150</v>
      </c>
      <c r="DN19" s="577">
        <v>300</v>
      </c>
      <c r="DO19" s="160">
        <v>-647.29999999999995</v>
      </c>
      <c r="DQ19" s="986">
        <v>-647.1</v>
      </c>
      <c r="DR19" s="987">
        <v>200</v>
      </c>
      <c r="DU19" s="165">
        <v>45523</v>
      </c>
      <c r="DV19" s="988">
        <v>300</v>
      </c>
      <c r="DW19" s="983">
        <v>826.52670000000001</v>
      </c>
    </row>
    <row r="20" spans="1:127">
      <c r="B20" s="144" t="s">
        <v>739</v>
      </c>
      <c r="C20" s="87" t="s">
        <v>719</v>
      </c>
      <c r="D20" s="114" t="s">
        <v>955</v>
      </c>
      <c r="I20" t="s">
        <v>984</v>
      </c>
      <c r="J20" t="s">
        <v>1059</v>
      </c>
      <c r="K20" t="s">
        <v>190</v>
      </c>
      <c r="P20" t="s">
        <v>1590</v>
      </c>
      <c r="Q20" t="s">
        <v>1589</v>
      </c>
      <c r="R20" s="1" t="s">
        <v>1549</v>
      </c>
      <c r="AA20" s="407" t="str">
        <v>DPWC20</v>
      </c>
      <c r="DN20" s="982">
        <v>1000</v>
      </c>
      <c r="DO20" s="983">
        <v>-653.1</v>
      </c>
      <c r="DQ20" s="986"/>
      <c r="DR20" s="987"/>
      <c r="DU20" s="165">
        <v>45531</v>
      </c>
      <c r="DV20" s="120">
        <v>300</v>
      </c>
      <c r="DW20" s="160">
        <v>-791.4</v>
      </c>
    </row>
    <row r="21" spans="1:127">
      <c r="B21" s="144" t="s">
        <v>740</v>
      </c>
      <c r="C21" s="87" t="s">
        <v>994</v>
      </c>
      <c r="D21" s="114" t="s">
        <v>955</v>
      </c>
      <c r="I21" t="s">
        <v>985</v>
      </c>
      <c r="J21" t="s">
        <v>139</v>
      </c>
      <c r="K21" t="s">
        <v>1004</v>
      </c>
      <c r="L21" t="s">
        <v>687</v>
      </c>
      <c r="Q21" s="351" t="s">
        <v>1577</v>
      </c>
      <c r="R21" s="351" t="s">
        <v>1551</v>
      </c>
      <c r="S21" s="351" t="s">
        <v>1584</v>
      </c>
      <c r="T21" s="351" t="s">
        <v>1562</v>
      </c>
      <c r="U21" s="351" t="s">
        <v>1563</v>
      </c>
      <c r="AA21" s="407" t="str">
        <v>AMZ</v>
      </c>
      <c r="DN21" s="577">
        <v>300</v>
      </c>
      <c r="DO21" s="160">
        <v>-653.70000000000005</v>
      </c>
      <c r="DQ21" s="984">
        <v>-653.70000000000005</v>
      </c>
      <c r="DR21" s="985">
        <v>1000</v>
      </c>
      <c r="DU21" s="165">
        <v>45575</v>
      </c>
      <c r="DV21" s="988">
        <v>200</v>
      </c>
      <c r="DW21" s="983">
        <v>-761.4</v>
      </c>
    </row>
    <row r="22" spans="1:127">
      <c r="B22" s="144" t="s">
        <v>741</v>
      </c>
      <c r="C22" t="s">
        <v>682</v>
      </c>
      <c r="D22" s="114" t="s">
        <v>955</v>
      </c>
      <c r="I22" t="s">
        <v>986</v>
      </c>
      <c r="P22" t="s">
        <v>1575</v>
      </c>
      <c r="Q22" t="s">
        <v>1586</v>
      </c>
      <c r="R22" s="353" t="s">
        <v>1552</v>
      </c>
      <c r="S22" s="352" t="s">
        <v>1553</v>
      </c>
      <c r="T22" s="355" t="s">
        <v>690</v>
      </c>
      <c r="U22" s="353" t="s">
        <v>1565</v>
      </c>
      <c r="X22" t="s">
        <v>1599</v>
      </c>
      <c r="AA22" s="407" t="str">
        <v>BMZ</v>
      </c>
      <c r="DN22" s="982">
        <v>200</v>
      </c>
      <c r="DO22" s="983">
        <v>-690.9</v>
      </c>
      <c r="DQ22" s="986"/>
      <c r="DR22" s="987"/>
      <c r="DU22" s="165">
        <v>45583</v>
      </c>
      <c r="DV22" s="120">
        <v>500</v>
      </c>
      <c r="DW22" s="160">
        <v>-653.1</v>
      </c>
    </row>
    <row r="23" spans="1:127">
      <c r="B23" s="153" t="s">
        <v>742</v>
      </c>
      <c r="C23" t="s">
        <v>694</v>
      </c>
      <c r="D23" s="114" t="s">
        <v>955</v>
      </c>
      <c r="I23" t="s">
        <v>987</v>
      </c>
      <c r="J23" t="s">
        <v>999</v>
      </c>
      <c r="K23" t="s">
        <v>162</v>
      </c>
      <c r="P23" t="s">
        <v>1555</v>
      </c>
      <c r="Q23" t="s">
        <v>1587</v>
      </c>
      <c r="R23" s="353" t="s">
        <v>1552</v>
      </c>
      <c r="S23" s="353" t="s">
        <v>1552</v>
      </c>
      <c r="T23" s="353" t="s">
        <v>1564</v>
      </c>
      <c r="U23" s="353" t="s">
        <v>1565</v>
      </c>
      <c r="AA23" s="407" t="str">
        <v>NMZ</v>
      </c>
      <c r="DN23" s="577">
        <v>500</v>
      </c>
      <c r="DO23" s="160">
        <v>-695.5</v>
      </c>
      <c r="DQ23" s="984"/>
      <c r="DR23" s="985"/>
      <c r="DU23" s="165">
        <v>45593</v>
      </c>
      <c r="DV23" s="988">
        <v>1000</v>
      </c>
      <c r="DW23" s="983">
        <v>-653.70000000000005</v>
      </c>
    </row>
    <row r="24" spans="1:127">
      <c r="B24" s="153" t="s">
        <v>743</v>
      </c>
      <c r="C24" t="s">
        <v>725</v>
      </c>
      <c r="D24" s="114" t="s">
        <v>955</v>
      </c>
      <c r="I24" t="s">
        <v>988</v>
      </c>
      <c r="J24" t="s">
        <v>178</v>
      </c>
      <c r="L24" t="s">
        <v>1005</v>
      </c>
      <c r="M24" t="s">
        <v>1024</v>
      </c>
      <c r="N24" t="s">
        <v>998</v>
      </c>
      <c r="P24" t="s">
        <v>1578</v>
      </c>
      <c r="Q24" t="s">
        <v>1587</v>
      </c>
      <c r="R24" s="353" t="s">
        <v>1552</v>
      </c>
      <c r="S24" s="353" t="s">
        <v>1552</v>
      </c>
      <c r="T24" s="353" t="s">
        <v>1564</v>
      </c>
      <c r="U24" s="361" t="s">
        <v>690</v>
      </c>
      <c r="AA24" s="407" t="str">
        <v>Type</v>
      </c>
      <c r="DN24" s="982">
        <v>200</v>
      </c>
      <c r="DO24" s="983">
        <v>-701.05</v>
      </c>
      <c r="DU24" s="165">
        <v>45663</v>
      </c>
      <c r="DV24" s="120">
        <v>200</v>
      </c>
      <c r="DW24" s="160">
        <v>729.4</v>
      </c>
    </row>
    <row r="25" spans="1:127">
      <c r="B25" s="143" t="s">
        <v>933</v>
      </c>
      <c r="C25" s="87" t="s">
        <v>1077</v>
      </c>
      <c r="E25" t="s">
        <v>744</v>
      </c>
      <c r="I25" t="s">
        <v>972</v>
      </c>
      <c r="J25" t="s">
        <v>157</v>
      </c>
      <c r="K25" t="s">
        <v>1009</v>
      </c>
      <c r="M25" t="s">
        <v>997</v>
      </c>
      <c r="P25" t="s">
        <v>1579</v>
      </c>
      <c r="Q25" t="s">
        <v>1585</v>
      </c>
      <c r="R25" s="352" t="s">
        <v>1553</v>
      </c>
      <c r="S25" s="359" t="s">
        <v>1561</v>
      </c>
      <c r="T25" s="354" t="s">
        <v>1565</v>
      </c>
      <c r="U25" s="361" t="s">
        <v>690</v>
      </c>
      <c r="AA25" s="407" t="str">
        <v>for_A=Y</v>
      </c>
      <c r="DN25" s="577">
        <v>100</v>
      </c>
      <c r="DO25" s="160">
        <v>-706.2</v>
      </c>
      <c r="DQ25" s="984"/>
      <c r="DR25" s="985"/>
      <c r="DU25" s="165">
        <v>45670</v>
      </c>
      <c r="DV25" s="988">
        <v>200</v>
      </c>
      <c r="DW25" s="983">
        <v>-706.2</v>
      </c>
    </row>
    <row r="26" spans="1:127">
      <c r="B26" s="143" t="s">
        <v>932</v>
      </c>
      <c r="C26" t="s">
        <v>934</v>
      </c>
      <c r="I26" t="s">
        <v>989</v>
      </c>
      <c r="P26" t="s">
        <v>1580</v>
      </c>
      <c r="Q26" t="s">
        <v>1582</v>
      </c>
      <c r="R26" s="352" t="s">
        <v>1553</v>
      </c>
      <c r="S26" s="358" t="s">
        <v>1008</v>
      </c>
      <c r="T26" s="355" t="s">
        <v>690</v>
      </c>
      <c r="U26" s="354" t="s">
        <v>1564</v>
      </c>
      <c r="AA26" s="407" t="str">
        <v>Rev(MinStock)</v>
      </c>
      <c r="DN26" s="982">
        <v>200</v>
      </c>
      <c r="DO26" s="983">
        <v>-706.6</v>
      </c>
      <c r="DU26" s="165">
        <v>45677</v>
      </c>
      <c r="DV26" s="120">
        <v>500</v>
      </c>
      <c r="DW26" s="160">
        <v>745.4</v>
      </c>
    </row>
    <row r="27" spans="1:127">
      <c r="B27" s="144" t="s">
        <v>745</v>
      </c>
      <c r="C27" s="87" t="s">
        <v>1058</v>
      </c>
      <c r="D27" s="171" t="s">
        <v>956</v>
      </c>
      <c r="E27" t="s">
        <v>746</v>
      </c>
      <c r="I27" t="s">
        <v>968</v>
      </c>
      <c r="J27" t="s">
        <v>967</v>
      </c>
      <c r="P27" t="s">
        <v>1581</v>
      </c>
      <c r="Q27" t="s">
        <v>1582</v>
      </c>
      <c r="R27" s="352" t="s">
        <v>1553</v>
      </c>
      <c r="S27" s="352" t="s">
        <v>1553</v>
      </c>
      <c r="T27" s="354" t="s">
        <v>1565</v>
      </c>
      <c r="U27" s="354" t="s">
        <v>1564</v>
      </c>
      <c r="AA27" s="407" t="str">
        <v>L_Bdate</v>
      </c>
      <c r="DN27" s="577">
        <v>100</v>
      </c>
      <c r="DO27" s="160">
        <v>-715.55</v>
      </c>
      <c r="DU27" s="165">
        <v>45679</v>
      </c>
      <c r="DV27" s="988">
        <v>200</v>
      </c>
      <c r="DW27" s="983">
        <v>748.4</v>
      </c>
    </row>
    <row r="28" spans="1:127">
      <c r="A28" t="s">
        <v>166</v>
      </c>
      <c r="B28" s="143" t="s">
        <v>747</v>
      </c>
      <c r="C28" s="87" t="s">
        <v>957</v>
      </c>
      <c r="D28" s="171" t="s">
        <v>956</v>
      </c>
      <c r="E28" t="s">
        <v>748</v>
      </c>
      <c r="I28" t="s">
        <v>990</v>
      </c>
      <c r="J28" t="s">
        <v>1007</v>
      </c>
      <c r="AA28" s="407" t="str">
        <v>L_Bn</v>
      </c>
      <c r="DN28" s="982">
        <v>100</v>
      </c>
      <c r="DO28" s="983">
        <v>-717.1</v>
      </c>
      <c r="DQ28" s="986"/>
      <c r="DR28" s="987"/>
      <c r="DU28" s="165">
        <v>45680</v>
      </c>
      <c r="DV28" s="120">
        <v>200</v>
      </c>
      <c r="DW28" s="160">
        <v>-715.55</v>
      </c>
    </row>
    <row r="29" spans="1:127" ht="68" customHeight="1">
      <c r="A29" t="s">
        <v>644</v>
      </c>
      <c r="B29" s="143" t="s">
        <v>749</v>
      </c>
      <c r="C29" s="87" t="s">
        <v>958</v>
      </c>
      <c r="D29" s="171" t="s">
        <v>956</v>
      </c>
      <c r="E29" t="s">
        <v>750</v>
      </c>
      <c r="I29" t="s">
        <v>991</v>
      </c>
      <c r="J29" t="s">
        <v>1025</v>
      </c>
      <c r="O29" t="s">
        <v>1596</v>
      </c>
      <c r="P29" t="s">
        <v>1595</v>
      </c>
      <c r="Q29" t="s">
        <v>1549</v>
      </c>
      <c r="AA29" s="407" t="str">
        <v>L_Bp</v>
      </c>
      <c r="AC29" s="406" t="s">
        <v>1611</v>
      </c>
      <c r="DU29" s="165">
        <v>45681</v>
      </c>
      <c r="DV29" s="988">
        <v>500</v>
      </c>
      <c r="DW29" s="983">
        <v>-701.05</v>
      </c>
    </row>
    <row r="30" spans="1:127">
      <c r="A30" t="s">
        <v>649</v>
      </c>
      <c r="B30" s="143" t="s">
        <v>751</v>
      </c>
      <c r="C30" s="87" t="s">
        <v>959</v>
      </c>
      <c r="D30" s="171" t="s">
        <v>956</v>
      </c>
      <c r="F30" s="82" t="s">
        <v>636</v>
      </c>
      <c r="I30" t="s">
        <v>992</v>
      </c>
      <c r="J30" t="s">
        <v>995</v>
      </c>
      <c r="O30" s="351" t="s">
        <v>1564</v>
      </c>
      <c r="P30" s="351" t="s">
        <v>690</v>
      </c>
      <c r="Q30" s="351" t="s">
        <v>1565</v>
      </c>
      <c r="R30" s="351" t="s">
        <v>1551</v>
      </c>
      <c r="S30" s="351" t="s">
        <v>1554</v>
      </c>
      <c r="T30" s="351" t="s">
        <v>1567</v>
      </c>
      <c r="U30" s="351" t="s">
        <v>970</v>
      </c>
      <c r="AA30" s="407" t="str">
        <v>L_Bpm%</v>
      </c>
      <c r="DU30" s="165">
        <v>45684</v>
      </c>
      <c r="DV30" s="120">
        <v>200</v>
      </c>
      <c r="DW30" s="160">
        <v>-647.1</v>
      </c>
    </row>
    <row r="31" spans="1:127" ht="207">
      <c r="B31" s="143" t="s">
        <v>752</v>
      </c>
      <c r="C31" s="87" t="s">
        <v>960</v>
      </c>
      <c r="D31" s="171" t="s">
        <v>956</v>
      </c>
      <c r="F31" s="82" t="s">
        <v>637</v>
      </c>
      <c r="I31" t="s">
        <v>993</v>
      </c>
      <c r="J31" t="s">
        <v>996</v>
      </c>
      <c r="O31" s="1">
        <v>10</v>
      </c>
      <c r="P31" s="1">
        <v>8</v>
      </c>
      <c r="Q31" s="1">
        <v>7</v>
      </c>
      <c r="R31" s="1">
        <f>2*Q31-O31</f>
        <v>4</v>
      </c>
      <c r="S31">
        <f>-(P31-O31)</f>
        <v>2</v>
      </c>
      <c r="T31" t="str">
        <f>IF(R31&lt;P31,"OK","LOSS")</f>
        <v>OK</v>
      </c>
      <c r="U31">
        <f>R31</f>
        <v>4</v>
      </c>
      <c r="AA31" s="407" t="str">
        <v>ReverseS1</v>
      </c>
      <c r="AC31" s="406" t="s">
        <v>1612</v>
      </c>
      <c r="DQ31" s="984">
        <v>-602.54999999999995</v>
      </c>
      <c r="DR31" s="985">
        <v>300</v>
      </c>
      <c r="DU31" s="165">
        <v>45701</v>
      </c>
      <c r="DV31" s="988">
        <v>100</v>
      </c>
      <c r="DW31" s="983">
        <v>737.1</v>
      </c>
    </row>
    <row r="32" spans="1:127">
      <c r="B32" s="143" t="s">
        <v>753</v>
      </c>
      <c r="C32" s="87" t="s">
        <v>1056</v>
      </c>
      <c r="F32" s="82" t="s">
        <v>638</v>
      </c>
      <c r="I32" t="s">
        <v>1061</v>
      </c>
      <c r="J32" t="s">
        <v>1062</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754</v>
      </c>
      <c r="C33" s="87" t="s">
        <v>1057</v>
      </c>
      <c r="F33" s="82" t="s">
        <v>639</v>
      </c>
      <c r="I33" t="s">
        <v>1010</v>
      </c>
      <c r="J33" t="s">
        <v>194</v>
      </c>
      <c r="Q33" s="360" t="s">
        <v>1591</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1613</v>
      </c>
      <c r="DQ33" s="984">
        <v>636.70000000000005</v>
      </c>
      <c r="DR33" s="985"/>
      <c r="DU33" s="165">
        <v>45706</v>
      </c>
      <c r="DV33" s="988">
        <v>100</v>
      </c>
      <c r="DW33" s="983">
        <v>-717.1</v>
      </c>
    </row>
    <row r="34" spans="1:127">
      <c r="B34" s="143" t="s">
        <v>755</v>
      </c>
      <c r="C34" s="87" t="s">
        <v>961</v>
      </c>
      <c r="I34" t="s">
        <v>973</v>
      </c>
      <c r="J34" t="s">
        <v>974</v>
      </c>
      <c r="P34" s="1">
        <v>8</v>
      </c>
      <c r="Q34" t="s">
        <v>1592</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756</v>
      </c>
      <c r="C35" s="87" t="s">
        <v>962</v>
      </c>
      <c r="I35" t="s">
        <v>1011</v>
      </c>
      <c r="J35" t="s">
        <v>1012</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1614</v>
      </c>
      <c r="DQ35" s="984">
        <v>-622.20000000000005</v>
      </c>
      <c r="DR35" s="985">
        <v>500</v>
      </c>
      <c r="DU35" s="891">
        <v>45713</v>
      </c>
      <c r="DV35" s="988">
        <v>300</v>
      </c>
      <c r="DW35" s="983">
        <v>-690.9</v>
      </c>
    </row>
    <row r="36" spans="1:127">
      <c r="A36" t="s">
        <v>641</v>
      </c>
      <c r="B36" s="144" t="s">
        <v>174</v>
      </c>
      <c r="C36" s="87" t="str">
        <f>TabCalc[[#Headers],[ValueBegin]]</f>
        <v>ValueBegin</v>
      </c>
      <c r="D36" t="s">
        <v>757</v>
      </c>
      <c r="I36" t="s">
        <v>1018</v>
      </c>
      <c r="J36" t="s">
        <v>1019</v>
      </c>
      <c r="N36" t="s">
        <v>1593</v>
      </c>
      <c r="O36">
        <v>100</v>
      </c>
      <c r="Q36" t="s">
        <v>1594</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1615</v>
      </c>
      <c r="DQ36" s="986">
        <v>667.2</v>
      </c>
      <c r="DR36" s="987"/>
      <c r="DU36" s="891">
        <v>45726</v>
      </c>
      <c r="DV36" s="120">
        <v>300</v>
      </c>
      <c r="DW36" s="160">
        <v>-632.79999999999995</v>
      </c>
    </row>
    <row r="37" spans="1:127">
      <c r="B37" s="144" t="s">
        <v>758</v>
      </c>
      <c r="C37" s="87" t="str">
        <f>TabCalc[[#Headers],[Nbegin]]</f>
        <v>Nbegin</v>
      </c>
      <c r="I37" t="s">
        <v>1022</v>
      </c>
      <c r="J37" t="s">
        <v>1023</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759</v>
      </c>
      <c r="C39" t="s">
        <v>1031</v>
      </c>
      <c r="D39" t="s">
        <v>760</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726</v>
      </c>
      <c r="C40" t="s">
        <v>727</v>
      </c>
      <c r="D40" t="s">
        <v>761</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1616</v>
      </c>
      <c r="DU40" s="891">
        <v>45833</v>
      </c>
      <c r="DV40" s="120">
        <v>200</v>
      </c>
      <c r="DW40" s="160">
        <v>-695.5</v>
      </c>
    </row>
    <row r="41" spans="1:127" ht="46">
      <c r="B41" s="144" t="s">
        <v>762</v>
      </c>
      <c r="C41" t="s">
        <v>683</v>
      </c>
      <c r="D41" t="s">
        <v>763</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1617</v>
      </c>
      <c r="DU41" s="891">
        <v>45856</v>
      </c>
      <c r="DV41" s="988">
        <v>100</v>
      </c>
      <c r="DW41" s="983">
        <v>-632.95000000000005</v>
      </c>
    </row>
    <row r="42" spans="1:127" ht="46">
      <c r="B42" s="144" t="s">
        <v>684</v>
      </c>
      <c r="C42" t="s">
        <v>684</v>
      </c>
      <c r="D42" t="s">
        <v>763</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1618</v>
      </c>
      <c r="DU42" s="891">
        <v>45856</v>
      </c>
      <c r="DV42" s="120">
        <v>200</v>
      </c>
      <c r="DW42" s="160">
        <v>-645.5</v>
      </c>
    </row>
    <row r="43" spans="1:127" ht="92">
      <c r="A43" s="137" t="s">
        <v>168</v>
      </c>
      <c r="B43" s="143" t="s">
        <v>168</v>
      </c>
      <c r="C43" s="87" t="s">
        <v>937</v>
      </c>
      <c r="D43" t="s">
        <v>764</v>
      </c>
      <c r="AA43" s="407" t="str">
        <v>SaldOp</v>
      </c>
      <c r="AC43" s="406" t="s">
        <v>1619</v>
      </c>
      <c r="DU43" s="891">
        <v>45860</v>
      </c>
      <c r="DV43" s="988">
        <v>300</v>
      </c>
      <c r="DW43" s="983">
        <v>-602.54999999999995</v>
      </c>
    </row>
    <row r="44" spans="1:127">
      <c r="A44" s="137" t="s">
        <v>657</v>
      </c>
      <c r="B44" s="143" t="s">
        <v>765</v>
      </c>
      <c r="C44" s="87" t="s">
        <v>938</v>
      </c>
      <c r="D44" t="s">
        <v>766</v>
      </c>
      <c r="AA44" s="407" t="str">
        <v>SinceClose</v>
      </c>
      <c r="DU44" s="891">
        <v>45874</v>
      </c>
      <c r="DV44" s="120">
        <v>500</v>
      </c>
      <c r="DW44" s="160">
        <v>-599.29999999999995</v>
      </c>
    </row>
    <row r="45" spans="1:127">
      <c r="A45" s="85" t="s">
        <v>645</v>
      </c>
      <c r="B45" s="143" t="s">
        <v>767</v>
      </c>
      <c r="C45" t="s">
        <v>685</v>
      </c>
      <c r="D45" t="s">
        <v>768</v>
      </c>
      <c r="AA45" s="407" t="str">
        <v>PreDay</v>
      </c>
      <c r="AC45" t="s">
        <v>1620</v>
      </c>
      <c r="DU45" s="891">
        <v>45888</v>
      </c>
      <c r="DV45" s="988">
        <v>500</v>
      </c>
      <c r="DW45" s="983">
        <v>636.70000000000005</v>
      </c>
    </row>
    <row r="46" spans="1:127" ht="92">
      <c r="A46" s="85" t="s">
        <v>658</v>
      </c>
      <c r="B46" s="143" t="s">
        <v>769</v>
      </c>
      <c r="AA46" s="407" t="str">
        <v>Gravity</v>
      </c>
      <c r="AC46" s="406" t="s">
        <v>1621</v>
      </c>
      <c r="DU46" s="891">
        <v>45895</v>
      </c>
      <c r="DV46" s="120">
        <v>500</v>
      </c>
      <c r="DW46" s="160">
        <v>646.20000000000005</v>
      </c>
    </row>
    <row r="47" spans="1:127">
      <c r="A47" s="124" t="s">
        <v>941</v>
      </c>
      <c r="B47" s="143" t="s">
        <v>770</v>
      </c>
      <c r="C47" s="87" t="s">
        <v>728</v>
      </c>
      <c r="AA47" s="407" t="str">
        <v>Refill1</v>
      </c>
      <c r="AC47" t="s">
        <v>1622</v>
      </c>
      <c r="DU47" s="136">
        <v>45902</v>
      </c>
      <c r="DV47" s="988">
        <v>500</v>
      </c>
      <c r="DW47" s="773">
        <v>-622.20000000000005</v>
      </c>
    </row>
    <row r="48" spans="1:127">
      <c r="A48" s="139" t="s">
        <v>157</v>
      </c>
      <c r="B48" s="143" t="s">
        <v>771</v>
      </c>
      <c r="C48" s="87" t="s">
        <v>729</v>
      </c>
      <c r="AA48" s="407" t="str">
        <v>Refill2</v>
      </c>
      <c r="AC48" t="s">
        <v>1623</v>
      </c>
      <c r="DU48" s="136">
        <v>45908</v>
      </c>
      <c r="DV48" s="120">
        <v>200</v>
      </c>
      <c r="DW48" s="773">
        <v>667.2</v>
      </c>
    </row>
    <row r="49" spans="1:29">
      <c r="A49" s="124" t="s">
        <v>165</v>
      </c>
      <c r="B49" s="143" t="s">
        <v>772</v>
      </c>
      <c r="C49" s="87" t="s">
        <v>731</v>
      </c>
      <c r="AA49" s="407" t="str">
        <v>Resale</v>
      </c>
      <c r="AC49" t="s">
        <v>1624</v>
      </c>
    </row>
    <row r="50" spans="1:29">
      <c r="A50" s="139" t="s">
        <v>157</v>
      </c>
      <c r="B50" s="143" t="s">
        <v>771</v>
      </c>
      <c r="C50" t="s">
        <v>730</v>
      </c>
      <c r="AA50" s="407" t="str">
        <v>Extran</v>
      </c>
      <c r="AC50" t="s">
        <v>1625</v>
      </c>
    </row>
    <row r="51" spans="1:29">
      <c r="A51" t="s">
        <v>648</v>
      </c>
      <c r="B51" s="143" t="s">
        <v>773</v>
      </c>
      <c r="C51" t="s">
        <v>732</v>
      </c>
      <c r="AA51" s="407" t="str">
        <v>Repulse</v>
      </c>
      <c r="AC51" t="s">
        <v>1626</v>
      </c>
    </row>
    <row r="52" spans="1:29">
      <c r="A52" s="87" t="s">
        <v>640</v>
      </c>
      <c r="B52" s="143" t="s">
        <v>640</v>
      </c>
      <c r="C52" t="s">
        <v>1078</v>
      </c>
      <c r="D52" t="s">
        <v>939</v>
      </c>
      <c r="AA52" s="407" t="str">
        <v>Ori_Sold</v>
      </c>
      <c r="AC52" t="s">
        <v>1627</v>
      </c>
    </row>
    <row r="53" spans="1:29">
      <c r="A53" s="140" t="s">
        <v>942</v>
      </c>
      <c r="B53" s="145" t="s">
        <v>175</v>
      </c>
      <c r="C53" s="159" t="str">
        <f>TabCalc[[#Headers],[Cost+Gain]]</f>
        <v>Cost+Gain</v>
      </c>
      <c r="D53" t="s">
        <v>1079</v>
      </c>
      <c r="AA53" s="407" t="str">
        <v>V/VA</v>
      </c>
      <c r="AC53" t="s">
        <v>1628</v>
      </c>
    </row>
    <row r="54" spans="1:29" ht="230">
      <c r="A54" s="87" t="s">
        <v>158</v>
      </c>
      <c r="B54" s="145" t="s">
        <v>158</v>
      </c>
      <c r="C54" s="159" t="str">
        <f>TabCalc[[#Headers],[S_Income]]</f>
        <v>S_Income</v>
      </c>
      <c r="AA54" s="407" t="str">
        <v>TimeEX</v>
      </c>
      <c r="AC54" s="406" t="s">
        <v>1629</v>
      </c>
    </row>
    <row r="55" spans="1:29" ht="92">
      <c r="A55" s="140" t="s">
        <v>159</v>
      </c>
      <c r="B55" s="145" t="s">
        <v>159</v>
      </c>
      <c r="C55" t="s">
        <v>940</v>
      </c>
      <c r="AA55" s="407" t="str">
        <v>Agiotage</v>
      </c>
      <c r="AC55" s="406" t="s">
        <v>1630</v>
      </c>
    </row>
    <row r="56" spans="1:29">
      <c r="A56" s="87" t="s">
        <v>1026</v>
      </c>
      <c r="B56" s="143" t="s">
        <v>1027</v>
      </c>
      <c r="C56" t="s">
        <v>1028</v>
      </c>
      <c r="D56" t="s">
        <v>1080</v>
      </c>
      <c r="AA56" s="407" t="str">
        <v>NoT_C</v>
      </c>
      <c r="AC56" t="s">
        <v>1631</v>
      </c>
    </row>
    <row r="57" spans="1:29">
      <c r="A57" t="s">
        <v>642</v>
      </c>
      <c r="B57" s="143" t="s">
        <v>774</v>
      </c>
      <c r="C57" t="s">
        <v>1029</v>
      </c>
      <c r="AA57" s="407" t="str">
        <v>NoT_GL</v>
      </c>
    </row>
    <row r="58" spans="1:29">
      <c r="A58" t="s">
        <v>643</v>
      </c>
      <c r="B58" s="143" t="s">
        <v>643</v>
      </c>
      <c r="C58" t="s">
        <v>1030</v>
      </c>
      <c r="D58" t="s">
        <v>775</v>
      </c>
      <c r="AA58" s="407" t="str">
        <v>GLStatus</v>
      </c>
      <c r="AC58" t="s">
        <v>1632</v>
      </c>
    </row>
    <row r="59" spans="1:29">
      <c r="B59" s="146" t="s">
        <v>644</v>
      </c>
      <c r="C59" t="s">
        <v>686</v>
      </c>
      <c r="D59" t="s">
        <v>769</v>
      </c>
      <c r="AA59" s="407" t="str">
        <v>AddBuys</v>
      </c>
      <c r="AC59" t="s">
        <v>1633</v>
      </c>
    </row>
    <row r="60" spans="1:29" ht="46">
      <c r="A60" t="s">
        <v>650</v>
      </c>
      <c r="B60" s="143" t="s">
        <v>175</v>
      </c>
      <c r="D60" t="s">
        <v>749</v>
      </c>
      <c r="AA60" s="407" t="str">
        <v>AddCash</v>
      </c>
      <c r="AC60" s="406" t="s">
        <v>1634</v>
      </c>
    </row>
    <row r="61" spans="1:29">
      <c r="B61" s="146" t="s">
        <v>158</v>
      </c>
      <c r="C61" t="s">
        <v>776</v>
      </c>
      <c r="AA61" s="407" t="str">
        <v>AddValue</v>
      </c>
      <c r="AC61" t="s">
        <v>1635</v>
      </c>
    </row>
    <row r="62" spans="1:29">
      <c r="B62" s="143" t="s">
        <v>777</v>
      </c>
      <c r="AA62" s="407" t="str">
        <v>Tot_Paid</v>
      </c>
    </row>
    <row r="63" spans="1:29" ht="115">
      <c r="B63" s="143" t="s">
        <v>778</v>
      </c>
      <c r="D63" t="s">
        <v>779</v>
      </c>
      <c r="AA63" s="407" t="str">
        <v>S_Income</v>
      </c>
      <c r="AC63" s="406" t="s">
        <v>1636</v>
      </c>
    </row>
    <row r="64" spans="1:29">
      <c r="A64" t="s">
        <v>164</v>
      </c>
      <c r="B64" s="143" t="s">
        <v>687</v>
      </c>
      <c r="C64" s="87" t="s">
        <v>687</v>
      </c>
      <c r="D64" t="s">
        <v>780</v>
      </c>
      <c r="AA64" s="407" t="str">
        <v>EfCost</v>
      </c>
    </row>
    <row r="65" spans="1:29">
      <c r="B65" s="143" t="s">
        <v>943</v>
      </c>
      <c r="C65" s="87" t="s">
        <v>943</v>
      </c>
      <c r="D65" t="s">
        <v>781</v>
      </c>
      <c r="AA65" s="407" t="str">
        <v>GL</v>
      </c>
    </row>
    <row r="66" spans="1:29">
      <c r="A66" s="138" t="s">
        <v>646</v>
      </c>
      <c r="B66" s="144" t="s">
        <v>646</v>
      </c>
      <c r="AA66" s="407" t="str">
        <v>Cost+Gain</v>
      </c>
    </row>
    <row r="67" spans="1:29">
      <c r="B67" s="144" t="s">
        <v>544</v>
      </c>
      <c r="C67" t="s">
        <v>690</v>
      </c>
      <c r="D67" t="s">
        <v>782</v>
      </c>
      <c r="AA67" s="407" t="str">
        <v>SB</v>
      </c>
    </row>
    <row r="68" spans="1:29">
      <c r="B68" s="143" t="s">
        <v>783</v>
      </c>
      <c r="C68" t="s">
        <v>691</v>
      </c>
      <c r="D68" t="s">
        <v>784</v>
      </c>
      <c r="AA68" s="407" t="str">
        <v>SABT</v>
      </c>
    </row>
    <row r="69" spans="1:29">
      <c r="B69" s="143" t="s">
        <v>647</v>
      </c>
      <c r="AA69" s="407" t="str">
        <v>SST</v>
      </c>
    </row>
    <row r="70" spans="1:29">
      <c r="B70" s="143" t="s">
        <v>166</v>
      </c>
      <c r="AA70" s="407" t="str">
        <v>BuyBound</v>
      </c>
    </row>
    <row r="71" spans="1:29">
      <c r="B71" s="143" t="s">
        <v>648</v>
      </c>
      <c r="C71" t="s">
        <v>688</v>
      </c>
      <c r="D71" t="s">
        <v>785</v>
      </c>
      <c r="AA71" s="407" t="str">
        <v>Pile?</v>
      </c>
    </row>
    <row r="72" spans="1:29">
      <c r="B72" s="143" t="s">
        <v>786</v>
      </c>
      <c r="C72" t="s">
        <v>692</v>
      </c>
      <c r="D72" t="s">
        <v>787</v>
      </c>
      <c r="AA72" s="407" t="str">
        <v>L-ExT</v>
      </c>
    </row>
    <row r="73" spans="1:29" ht="23" thickBot="1">
      <c r="B73" s="143" t="s">
        <v>176</v>
      </c>
      <c r="C73" t="s">
        <v>689</v>
      </c>
      <c r="D73" t="s">
        <v>737</v>
      </c>
      <c r="AA73" s="407" t="str">
        <v>CostReduct</v>
      </c>
      <c r="AC73" t="s">
        <v>1637</v>
      </c>
    </row>
    <row r="74" spans="1:29">
      <c r="A74" t="s">
        <v>1081</v>
      </c>
      <c r="B74" s="143" t="s">
        <v>649</v>
      </c>
      <c r="C74" s="212" t="s">
        <v>1083</v>
      </c>
      <c r="D74" t="s">
        <v>1082</v>
      </c>
      <c r="AA74" s="407" t="str">
        <v>L_I1</v>
      </c>
    </row>
    <row r="75" spans="1:29" ht="23" thickBot="1">
      <c r="B75" s="141"/>
      <c r="C75" s="213" t="s">
        <v>1084</v>
      </c>
      <c r="AA75" s="407" t="str">
        <v>L_I2</v>
      </c>
    </row>
    <row r="76" spans="1:29">
      <c r="A76" t="s">
        <v>169</v>
      </c>
      <c r="B76" s="143" t="s">
        <v>788</v>
      </c>
      <c r="C76" s="87" t="s">
        <v>1043</v>
      </c>
      <c r="D76" s="171" t="s">
        <v>956</v>
      </c>
      <c r="AA76" s="407" t="str">
        <v>L_TD</v>
      </c>
    </row>
    <row r="77" spans="1:29">
      <c r="B77" s="143" t="s">
        <v>789</v>
      </c>
      <c r="C77" s="87" t="s">
        <v>1044</v>
      </c>
      <c r="D77" s="171" t="s">
        <v>956</v>
      </c>
      <c r="AA77" s="407" t="str">
        <v>TradeType</v>
      </c>
    </row>
    <row r="78" spans="1:29">
      <c r="A78" t="s">
        <v>170</v>
      </c>
      <c r="B78" s="143" t="s">
        <v>790</v>
      </c>
      <c r="C78" s="87" t="s">
        <v>1045</v>
      </c>
      <c r="D78" s="171" t="s">
        <v>956</v>
      </c>
      <c r="AA78" s="407" t="str">
        <v>L_T#</v>
      </c>
    </row>
    <row r="79" spans="1:29">
      <c r="B79" s="143" t="s">
        <v>791</v>
      </c>
      <c r="C79" s="87" t="s">
        <v>1046</v>
      </c>
      <c r="D79" s="171" t="s">
        <v>956</v>
      </c>
      <c r="AA79" s="407" t="str">
        <v>L_TP</v>
      </c>
    </row>
    <row r="80" spans="1:29">
      <c r="A80" t="s">
        <v>171</v>
      </c>
      <c r="B80" s="143" t="s">
        <v>792</v>
      </c>
      <c r="C80" s="87" t="s">
        <v>1039</v>
      </c>
      <c r="D80" s="171" t="s">
        <v>956</v>
      </c>
      <c r="AA80" s="407" t="str">
        <v>Resale(ME)</v>
      </c>
    </row>
    <row r="81" spans="1:146">
      <c r="B81" s="143" t="s">
        <v>793</v>
      </c>
      <c r="C81" s="87" t="s">
        <v>1038</v>
      </c>
      <c r="D81" s="171" t="s">
        <v>956</v>
      </c>
      <c r="AA81" s="407" t="str">
        <v>Min_SD</v>
      </c>
    </row>
    <row r="82" spans="1:146" ht="115">
      <c r="A82" t="s">
        <v>172</v>
      </c>
      <c r="B82" s="143" t="s">
        <v>794</v>
      </c>
      <c r="C82" s="87" t="s">
        <v>1042</v>
      </c>
      <c r="D82" s="171" t="s">
        <v>956</v>
      </c>
      <c r="AA82" s="407" t="str">
        <v>Min_Sn</v>
      </c>
      <c r="AC82" s="406" t="s">
        <v>1638</v>
      </c>
    </row>
    <row r="83" spans="1:146">
      <c r="B83" s="143" t="s">
        <v>795</v>
      </c>
      <c r="C83" s="87" t="s">
        <v>1041</v>
      </c>
      <c r="D83" s="171" t="s">
        <v>956</v>
      </c>
      <c r="AA83" s="407" t="str">
        <v>Min_Sp</v>
      </c>
    </row>
    <row r="84" spans="1:146" ht="115">
      <c r="B84" s="143" t="s">
        <v>636</v>
      </c>
      <c r="C84" t="s">
        <v>722</v>
      </c>
      <c r="D84" t="s">
        <v>796</v>
      </c>
      <c r="AA84" s="407" t="str">
        <v>Max_SD</v>
      </c>
      <c r="AC84" s="406" t="s">
        <v>1639</v>
      </c>
    </row>
    <row r="85" spans="1:146">
      <c r="B85" s="143" t="s">
        <v>637</v>
      </c>
      <c r="C85" t="s">
        <v>723</v>
      </c>
      <c r="D85" t="s">
        <v>796</v>
      </c>
      <c r="AA85" s="407" t="str">
        <v>Max_Sn</v>
      </c>
      <c r="DI85" t="s">
        <v>2449</v>
      </c>
      <c r="DJ85" s="136">
        <v>40544</v>
      </c>
      <c r="DK85" s="988">
        <v>500</v>
      </c>
      <c r="DL85" s="983">
        <v>-896.1</v>
      </c>
      <c r="DN85" t="s">
        <v>2447</v>
      </c>
      <c r="DO85" s="577">
        <v>500</v>
      </c>
      <c r="DP85" s="160">
        <v>-599.29999999999995</v>
      </c>
      <c r="DR85" t="s">
        <v>2448</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2450</v>
      </c>
      <c r="ED85" s="577">
        <v>500</v>
      </c>
      <c r="EE85" s="160">
        <v>-599.29999999999995</v>
      </c>
      <c r="EF85" s="11" t="s">
        <v>2452</v>
      </c>
      <c r="EG85" s="984">
        <v>-599.29999999999995</v>
      </c>
      <c r="EH85" s="985">
        <v>500</v>
      </c>
      <c r="EI85" s="11" t="s">
        <v>2451</v>
      </c>
      <c r="EJ85" s="136">
        <v>45874</v>
      </c>
      <c r="EK85" s="988">
        <v>500</v>
      </c>
      <c r="EL85" s="983">
        <v>-599.29999999999995</v>
      </c>
      <c r="EN85" s="136" cm="1">
        <f t="array" ref="EN85:EP122">_xlfn.SORTBY(DJ85:DL122, DJ85:DJ122,-1)</f>
        <v>45908</v>
      </c>
      <c r="EO85" s="988">
        <v>200</v>
      </c>
      <c r="EP85" s="983">
        <v>667.2</v>
      </c>
    </row>
    <row r="86" spans="1:146">
      <c r="B86" s="143" t="s">
        <v>638</v>
      </c>
      <c r="C86" t="s">
        <v>724</v>
      </c>
      <c r="D86" t="s">
        <v>797</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639</v>
      </c>
      <c r="C87" t="s">
        <v>721</v>
      </c>
      <c r="D87" t="s">
        <v>797</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798</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799</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800</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801</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802</v>
      </c>
      <c r="C93" t="s">
        <v>695</v>
      </c>
      <c r="D93" t="s">
        <v>701</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803</v>
      </c>
      <c r="C94" t="s">
        <v>699</v>
      </c>
      <c r="D94" t="s">
        <v>804</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805</v>
      </c>
      <c r="C95" t="s">
        <v>700</v>
      </c>
      <c r="D95" t="s">
        <v>806</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807</v>
      </c>
      <c r="C96" t="s">
        <v>702</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808</v>
      </c>
      <c r="C97" t="s">
        <v>703</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809</v>
      </c>
      <c r="C98" t="s">
        <v>697</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810</v>
      </c>
      <c r="C99" t="s">
        <v>698</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661</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811</v>
      </c>
      <c r="C101" t="s">
        <v>704</v>
      </c>
      <c r="D101" t="s">
        <v>812</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813</v>
      </c>
      <c r="C102" t="s">
        <v>705</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814</v>
      </c>
      <c r="C103" t="s">
        <v>706</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815</v>
      </c>
      <c r="C104" t="s">
        <v>707</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713</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708</v>
      </c>
      <c r="D106" t="s">
        <v>816</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817</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818</v>
      </c>
      <c r="C108" t="s">
        <v>710</v>
      </c>
      <c r="D108" t="s">
        <v>819</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711</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820</v>
      </c>
      <c r="C110" t="s">
        <v>709</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821</v>
      </c>
      <c r="C111" t="s">
        <v>712</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822</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823</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824</v>
      </c>
      <c r="C114" t="s">
        <v>714</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825</v>
      </c>
      <c r="C115" t="s">
        <v>715</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826</v>
      </c>
      <c r="C116" t="s">
        <v>716</v>
      </c>
      <c r="D116" t="s">
        <v>827</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828</v>
      </c>
      <c r="C117" t="s">
        <v>717</v>
      </c>
      <c r="D117" t="s">
        <v>829</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830</v>
      </c>
      <c r="C118" t="s">
        <v>718</v>
      </c>
      <c r="D118" t="s">
        <v>831</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720</v>
      </c>
      <c r="D119" t="s">
        <v>832</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833</v>
      </c>
      <c r="C120" t="s">
        <v>1016</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834</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835</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836</v>
      </c>
    </row>
    <row r="124" spans="1:146">
      <c r="B124" s="148" t="s">
        <v>837</v>
      </c>
    </row>
    <row r="126" spans="1:146">
      <c r="A126" t="s">
        <v>1648</v>
      </c>
    </row>
    <row r="127" spans="1:146">
      <c r="A127" s="443" t="s">
        <v>1649</v>
      </c>
      <c r="B127" s="443"/>
    </row>
    <row r="128" spans="1:146">
      <c r="A128" t="s">
        <v>2476</v>
      </c>
      <c r="B128" t="s">
        <v>2475</v>
      </c>
    </row>
    <row r="131" spans="1:2">
      <c r="A131" t="s">
        <v>2554</v>
      </c>
    </row>
    <row r="132" spans="1:2">
      <c r="B132" t="s">
        <v>2555</v>
      </c>
    </row>
    <row r="133" spans="1:2">
      <c r="B133" t="s">
        <v>2558</v>
      </c>
    </row>
    <row r="134" spans="1:2">
      <c r="B134" t="s">
        <v>2569</v>
      </c>
    </row>
    <row r="135" spans="1:2">
      <c r="B135" t="s">
        <v>2570</v>
      </c>
    </row>
    <row r="136" spans="1:2">
      <c r="B136" t="s">
        <v>2907</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696</v>
      </c>
    </row>
    <row r="2" spans="1:10">
      <c r="A2" t="s">
        <v>187</v>
      </c>
      <c r="B2" t="s">
        <v>660</v>
      </c>
      <c r="C2" t="s">
        <v>194</v>
      </c>
      <c r="D2" t="s">
        <v>701</v>
      </c>
      <c r="E2" t="s">
        <v>177</v>
      </c>
      <c r="F2" t="s">
        <v>693</v>
      </c>
      <c r="G2" t="s">
        <v>1303</v>
      </c>
      <c r="H2" t="s">
        <v>1304</v>
      </c>
      <c r="I2" t="s">
        <v>1305</v>
      </c>
    </row>
    <row r="3" spans="1:10">
      <c r="A3" t="str">
        <f ca="1">TabCalc[[#This Row],[Ticker]]</f>
        <v>AAPL</v>
      </c>
      <c r="B3">
        <f>_xlfn.RANK.EQ(DataShift!AU105,DataShift!AB105:AU105)</f>
        <v>10</v>
      </c>
      <c r="C3">
        <f>_xlfn.RANK.EQ(DataShift!Y704,DataShift!F704:Y704)</f>
        <v>15</v>
      </c>
      <c r="D3">
        <f>_xlfn.RANK.EQ(DataShift!AU605,DataShift!AB605:AU605)</f>
        <v>8</v>
      </c>
      <c r="G3">
        <f>_xlfn.RANK.EQ(DataShift!Y205,DataShift!F205:Y205)</f>
        <v>10</v>
      </c>
      <c r="H3">
        <f>_xlfn.RANK.AVG(DataShift!Y205,DataShift!F205:Y205)</f>
        <v>10</v>
      </c>
      <c r="I3" s="88">
        <f>_xlfn.PERCENTRANK.INC(DataShift!F205:Y205,DataShift!Y205)</f>
        <v>0.52600000000000002</v>
      </c>
      <c r="J3" s="88"/>
    </row>
    <row r="4" spans="1:10">
      <c r="A4" t="str">
        <f ca="1">TabCalc[[#This Row],[Ticker]]</f>
        <v>ADEA</v>
      </c>
      <c r="B4">
        <f>_xlfn.RANK.EQ(DataShift!AU106,DataShift!AB106:AU106)</f>
        <v>8</v>
      </c>
      <c r="C4">
        <f>_xlfn.RANK.EQ(DataShift!Y705,DataShift!F705:Y705)</f>
        <v>12</v>
      </c>
      <c r="D4">
        <f>_xlfn.RANK.EQ(DataShift!AU606,DataShift!AB606:AU606)</f>
        <v>20</v>
      </c>
      <c r="G4">
        <f>_xlfn.RANK.EQ(DataShift!Y206,DataShift!F206:Y206)</f>
        <v>4</v>
      </c>
      <c r="H4">
        <f>_xlfn.RANK.AVG(DataShift!Y206,DataShift!F206:Y206)</f>
        <v>4</v>
      </c>
      <c r="I4" s="88">
        <f>_xlfn.PERCENTRANK.INC(DataShift!F206:Y206,DataShift!Y206)</f>
        <v>0.84199999999999997</v>
      </c>
    </row>
    <row r="5" spans="1:10">
      <c r="A5" t="str">
        <f ca="1">TabCalc[[#This Row],[Ticker]]</f>
        <v>AET</v>
      </c>
      <c r="B5">
        <f>_xlfn.RANK.EQ(DataShift!AU107,DataShift!AB107:AU107)</f>
        <v>11</v>
      </c>
      <c r="C5">
        <f>_xlfn.RANK.EQ(DataShift!Y706,DataShift!F706:Y706)</f>
        <v>17</v>
      </c>
      <c r="D5">
        <f>_xlfn.RANK.EQ(DataShift!AU607,DataShift!AB607:AU607)</f>
        <v>7</v>
      </c>
      <c r="G5">
        <f>_xlfn.RANK.EQ(DataShift!Y207,DataShift!F207:Y207)</f>
        <v>12</v>
      </c>
      <c r="H5">
        <f>_xlfn.RANK.AVG(DataShift!Y207,DataShift!F207:Y207)</f>
        <v>13</v>
      </c>
      <c r="I5" s="88">
        <f>_xlfn.PERCENTRANK.INC(DataShift!F207:Y207,DataShift!Y207)</f>
        <v>0.315</v>
      </c>
    </row>
    <row r="6" spans="1:10">
      <c r="A6" t="str">
        <f ca="1">TabCalc[[#This Row],[Ticker]]</f>
        <v>AMZN</v>
      </c>
      <c r="B6">
        <f>_xlfn.RANK.EQ(DataShift!AU108,DataShift!AB108:AU108)</f>
        <v>10</v>
      </c>
      <c r="C6">
        <f>_xlfn.RANK.EQ(DataShift!Y707,DataShift!F707:Y707)</f>
        <v>13</v>
      </c>
      <c r="D6">
        <f>_xlfn.RANK.EQ(DataShift!AU608,DataShift!AB608:AU608)</f>
        <v>10</v>
      </c>
      <c r="G6">
        <f>_xlfn.RANK.EQ(DataShift!Y208,DataShift!F208:Y208)</f>
        <v>11</v>
      </c>
      <c r="H6">
        <f>_xlfn.RANK.AVG(DataShift!Y208,DataShift!F208:Y208)</f>
        <v>11</v>
      </c>
      <c r="I6" s="88">
        <f>_xlfn.PERCENTRANK.INC(DataShift!F208:Y208,DataShift!Y208)</f>
        <v>0.47299999999999998</v>
      </c>
    </row>
    <row r="7" spans="1:10">
      <c r="A7" t="str">
        <f ca="1">TabCalc[[#This Row],[Ticker]]</f>
        <v>ALDNE</v>
      </c>
      <c r="B7">
        <f>_xlfn.RANK.EQ(DataShift!AU109,DataShift!AB109:AU109)</f>
        <v>7</v>
      </c>
      <c r="C7">
        <f>_xlfn.RANK.EQ(DataShift!Y708,DataShift!F708:Y708)</f>
        <v>20</v>
      </c>
      <c r="D7">
        <f>_xlfn.RANK.EQ(DataShift!AU609,DataShift!AB609:AU609)</f>
        <v>1</v>
      </c>
      <c r="G7">
        <f>_xlfn.RANK.EQ(DataShift!Y209,DataShift!F209:Y209)</f>
        <v>20</v>
      </c>
      <c r="H7">
        <f>_xlfn.RANK.AVG(DataShift!Y209,DataShift!F209:Y209)</f>
        <v>20</v>
      </c>
      <c r="I7" s="88">
        <f>_xlfn.PERCENTRANK.INC(DataShift!F209:Y209,DataShift!Y209)</f>
        <v>0</v>
      </c>
    </row>
    <row r="8" spans="1:10">
      <c r="A8" t="str">
        <f ca="1">TabCalc[[#This Row],[Ticker]]</f>
        <v>ASML</v>
      </c>
      <c r="B8">
        <f>_xlfn.RANK.EQ(DataShift!AU110,DataShift!AB110:AU110)</f>
        <v>9</v>
      </c>
      <c r="C8">
        <f>_xlfn.RANK.EQ(DataShift!Y709,DataShift!F709:Y709)</f>
        <v>9</v>
      </c>
      <c r="D8">
        <f>_xlfn.RANK.EQ(DataShift!AU610,DataShift!AB610:AU610)</f>
        <v>11</v>
      </c>
      <c r="G8">
        <f>_xlfn.RANK.EQ(DataShift!Y210,DataShift!F210:Y210)</f>
        <v>7</v>
      </c>
      <c r="H8">
        <f>_xlfn.RANK.AVG(DataShift!Y210,DataShift!F210:Y210)</f>
        <v>7</v>
      </c>
      <c r="I8" s="88">
        <f>_xlfn.PERCENTRANK.INC(DataShift!F210:Y210,DataShift!Y210)</f>
        <v>0.68400000000000005</v>
      </c>
    </row>
    <row r="9" spans="1:10" hidden="1">
      <c r="A9" t="str">
        <f ca="1">TabCalc[[#This Row],[Ticker]]</f>
        <v>AVGO</v>
      </c>
      <c r="B9">
        <f>_xlfn.RANK.EQ(DataShift!AU112,DataShift!AB112:AU112)</f>
        <v>4</v>
      </c>
      <c r="C9">
        <f>_xlfn.RANK.EQ(DataShift!Y711,DataShift!F711:Y711)</f>
        <v>18</v>
      </c>
      <c r="D9">
        <f>_xlfn.RANK.EQ(DataShift!AU612,DataShift!AB612:AU612)</f>
        <v>6</v>
      </c>
      <c r="G9">
        <f>_xlfn.RANK.EQ(DataShift!Y212,DataShift!F212:Y212)</f>
        <v>10</v>
      </c>
      <c r="H9">
        <f>_xlfn.RANK.AVG(DataShift!Y212,DataShift!F212:Y212)</f>
        <v>10</v>
      </c>
      <c r="I9" s="88">
        <f>_xlfn.PERCENTRANK.INC(DataShift!F212:Y212,DataShift!Y212)</f>
        <v>0.52600000000000002</v>
      </c>
    </row>
    <row r="10" spans="1:10" hidden="1">
      <c r="A10" t="str">
        <f ca="1">TabCalc[[#This Row],[Ticker]]</f>
        <v>AZN</v>
      </c>
      <c r="B10">
        <f>_xlfn.RANK.EQ(DataShift!AU113,DataShift!AB113:AU113)</f>
        <v>8</v>
      </c>
      <c r="C10">
        <f>_xlfn.RANK.EQ(DataShift!Y712,DataShift!F712:Y712)</f>
        <v>2</v>
      </c>
      <c r="D10">
        <f>_xlfn.RANK.EQ(DataShift!AU613,DataShift!AB613:AU613)</f>
        <v>12</v>
      </c>
      <c r="G10">
        <f>_xlfn.RANK.EQ(DataShift!Y213,DataShift!F213:Y213)</f>
        <v>5</v>
      </c>
      <c r="H10">
        <f>_xlfn.RANK.AVG(DataShift!Y213,DataShift!F213:Y213)</f>
        <v>5.5</v>
      </c>
      <c r="I10" s="88">
        <f>_xlfn.PERCENTRANK.INC(DataShift!F213:Y213,DataShift!Y213)</f>
        <v>0.73599999999999999</v>
      </c>
    </row>
    <row r="11" spans="1:10" hidden="1">
      <c r="A11" t="str">
        <f ca="1">TabCalc[[#This Row],[Ticker]]</f>
        <v>BLDP</v>
      </c>
      <c r="B11">
        <f>_xlfn.RANK.EQ(DataShift!AU114,DataShift!AB114:AU114)</f>
        <v>1</v>
      </c>
      <c r="C11">
        <f>_xlfn.RANK.EQ(DataShift!Y713,DataShift!F713:Y713)</f>
        <v>2</v>
      </c>
      <c r="D11">
        <f>_xlfn.RANK.EQ(DataShift!AU614,DataShift!AB614:AU614)</f>
        <v>1</v>
      </c>
      <c r="G11">
        <f>_xlfn.RANK.EQ(DataShift!Y214,DataShift!F214:Y214)</f>
        <v>1</v>
      </c>
      <c r="H11">
        <f>_xlfn.RANK.AVG(DataShift!Y214,DataShift!F214:Y214)</f>
        <v>1</v>
      </c>
      <c r="I11" s="88">
        <f>_xlfn.PERCENTRANK.INC(DataShift!F214:Y214,DataShift!Y214)</f>
        <v>1</v>
      </c>
    </row>
    <row r="12" spans="1:10" hidden="1">
      <c r="A12" t="str">
        <f ca="1">TabCalc[[#This Row],[Ticker]]</f>
        <v>BMRA</v>
      </c>
      <c r="B12">
        <f>_xlfn.RANK.EQ(DataShift!AU115,DataShift!AB115:AU115)</f>
        <v>7</v>
      </c>
      <c r="C12">
        <f>_xlfn.RANK.EQ(DataShift!Y714,DataShift!F714:Y714)</f>
        <v>12</v>
      </c>
      <c r="D12">
        <f>_xlfn.RANK.EQ(DataShift!AU615,DataShift!AB615:AU615)</f>
        <v>20</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4</v>
      </c>
      <c r="C13">
        <f>_xlfn.RANK.EQ(DataShift!Y715,DataShift!F715:Y715)</f>
        <v>18</v>
      </c>
      <c r="D13">
        <f>_xlfn.RANK.EQ(DataShift!AU616,DataShift!AB616:AU616)</f>
        <v>12</v>
      </c>
      <c r="G13">
        <f>_xlfn.RANK.EQ(DataShift!Y216,DataShift!F216:Y216)</f>
        <v>3</v>
      </c>
      <c r="H13">
        <f>_xlfn.RANK.AVG(DataShift!Y216,DataShift!F216:Y216)</f>
        <v>3</v>
      </c>
      <c r="I13" s="88">
        <f>_xlfn.PERCENTRANK.INC(DataShift!F216:Y216,DataShift!Y216)</f>
        <v>0.89400000000000002</v>
      </c>
    </row>
    <row r="14" spans="1:10" hidden="1">
      <c r="A14" t="str">
        <f ca="1">TabCalc[[#This Row],[Ticker]]</f>
        <v>CSCO</v>
      </c>
      <c r="B14">
        <f>_xlfn.RANK.EQ(DataShift!AU117,DataShift!AB117:AU117)</f>
        <v>2</v>
      </c>
      <c r="C14">
        <f>_xlfn.RANK.EQ(DataShift!Y716,DataShift!F716:Y716)</f>
        <v>2</v>
      </c>
      <c r="D14">
        <f>_xlfn.RANK.EQ(DataShift!AU617,DataShift!AB617:AU617)</f>
        <v>20</v>
      </c>
      <c r="G14">
        <f>_xlfn.RANK.EQ(DataShift!Y217,DataShift!F217:Y217)</f>
        <v>1</v>
      </c>
      <c r="H14">
        <f>_xlfn.RANK.AVG(DataShift!Y217,DataShift!F217:Y217)</f>
        <v>1</v>
      </c>
      <c r="I14" s="88">
        <f>_xlfn.PERCENTRANK.INC(DataShift!F217:Y217,DataShift!Y217)</f>
        <v>1</v>
      </c>
    </row>
    <row r="15" spans="1:10" hidden="1">
      <c r="A15" t="str">
        <f ca="1">TabCalc[[#This Row],[Ticker]]</f>
        <v>CVS</v>
      </c>
      <c r="B15">
        <f>_xlfn.RANK.EQ(DataShift!AU118,DataShift!AB118:AU118)</f>
        <v>3</v>
      </c>
      <c r="C15">
        <f>_xlfn.RANK.EQ(DataShift!Y717,DataShift!F717:Y717)</f>
        <v>1</v>
      </c>
      <c r="D15">
        <f>_xlfn.RANK.EQ(DataShift!AU618,DataShift!AB618:AU618)</f>
        <v>3</v>
      </c>
      <c r="G15">
        <f>_xlfn.RANK.EQ(DataShift!Y218,DataShift!F218:Y218)</f>
        <v>16</v>
      </c>
      <c r="H15">
        <f>_xlfn.RANK.AVG(DataShift!Y218,DataShift!F218:Y218)</f>
        <v>16</v>
      </c>
      <c r="I15" s="88">
        <f>_xlfn.PERCENTRANK.INC(DataShift!F218:Y218,DataShift!Y218)</f>
        <v>0.21</v>
      </c>
    </row>
    <row r="16" spans="1:10" hidden="1">
      <c r="A16" t="str">
        <f ca="1">TabCalc[[#This Row],[Ticker]]</f>
        <v>DDD</v>
      </c>
      <c r="B16">
        <f>_xlfn.RANK.EQ(DataShift!AU119,DataShift!AB119:AU119)</f>
        <v>3</v>
      </c>
      <c r="C16">
        <f>_xlfn.RANK.EQ(DataShift!Y718,DataShift!F718:Y718)</f>
        <v>1</v>
      </c>
      <c r="D16">
        <f>_xlfn.RANK.EQ(DataShift!AU619,DataShift!AB619:AU619)</f>
        <v>20</v>
      </c>
      <c r="G16">
        <f>_xlfn.RANK.EQ(DataShift!Y219,DataShift!F219:Y219)</f>
        <v>1</v>
      </c>
      <c r="H16">
        <f>_xlfn.RANK.AVG(DataShift!Y219,DataShift!F219:Y219)</f>
        <v>1</v>
      </c>
      <c r="I16" s="88">
        <f>_xlfn.PERCENTRANK.INC(DataShift!F219:Y219,DataShift!Y219)</f>
        <v>1</v>
      </c>
    </row>
    <row r="17" spans="1:9" hidden="1">
      <c r="A17" t="str">
        <f ca="1">TabCalc[[#This Row],[Ticker]]</f>
        <v>DIS</v>
      </c>
      <c r="B17">
        <f>_xlfn.RANK.EQ(DataShift!AU120,DataShift!AB120:AU120)</f>
        <v>6</v>
      </c>
      <c r="C17">
        <f>_xlfn.RANK.EQ(DataShift!Y719,DataShift!F719:Y719)</f>
        <v>5</v>
      </c>
      <c r="D17">
        <f>_xlfn.RANK.EQ(DataShift!AU620,DataShift!AB620:AU620)</f>
        <v>4</v>
      </c>
      <c r="G17">
        <f>_xlfn.RANK.EQ(DataShift!Y220,DataShift!F220:Y220)</f>
        <v>19</v>
      </c>
      <c r="H17">
        <f>_xlfn.RANK.AVG(DataShift!Y220,DataShift!F220:Y220)</f>
        <v>19</v>
      </c>
      <c r="I17" s="88">
        <f>_xlfn.PERCENTRANK.INC(DataShift!F220:Y220,DataShift!Y220)</f>
        <v>5.1999999999999998E-2</v>
      </c>
    </row>
    <row r="18" spans="1:9" hidden="1">
      <c r="A18" t="str">
        <f ca="1">TabCalc[[#This Row],[Ticker]]</f>
        <v>DSY</v>
      </c>
      <c r="B18">
        <f>_xlfn.RANK.EQ(DataShift!AU121,DataShift!AB121:AU121)</f>
        <v>2</v>
      </c>
      <c r="C18">
        <f>_xlfn.RANK.EQ(DataShift!Y720,DataShift!F720:Y720)</f>
        <v>4</v>
      </c>
      <c r="D18">
        <f>_xlfn.RANK.EQ(DataShift!AU621,DataShift!AB621:AU621)</f>
        <v>18</v>
      </c>
      <c r="G18">
        <f>_xlfn.RANK.EQ(DataShift!Y221,DataShift!F221:Y221)</f>
        <v>7</v>
      </c>
      <c r="H18">
        <f>_xlfn.RANK.AVG(DataShift!Y221,DataShift!F221:Y221)</f>
        <v>7</v>
      </c>
      <c r="I18" s="88">
        <f>_xlfn.PERCENTRANK.INC(DataShift!F221:Y221,DataShift!Y221)</f>
        <v>0.68400000000000005</v>
      </c>
    </row>
    <row r="19" spans="1:9" hidden="1">
      <c r="A19" t="str">
        <f ca="1">TabCalc[[#This Row],[Ticker]]</f>
        <v>DVA</v>
      </c>
      <c r="B19">
        <f>_xlfn.RANK.EQ(DataShift!AU122,DataShift!AB122:AU122)</f>
        <v>4</v>
      </c>
      <c r="C19">
        <f>_xlfn.RANK.EQ(DataShift!Y721,DataShift!F721:Y721)</f>
        <v>10</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2</v>
      </c>
      <c r="C20">
        <f>_xlfn.RANK.EQ(DataShift!Y722,DataShift!F722:Y722)</f>
        <v>20</v>
      </c>
      <c r="D20">
        <f>_xlfn.RANK.EQ(DataShift!AU623,DataShift!AB623:AU623)</f>
        <v>1</v>
      </c>
      <c r="G20">
        <f>_xlfn.RANK.EQ(DataShift!Y223,DataShift!F223:Y223)</f>
        <v>20</v>
      </c>
      <c r="H20">
        <f>_xlfn.RANK.AVG(DataShift!Y223,DataShift!F223:Y223)</f>
        <v>20</v>
      </c>
      <c r="I20" s="88">
        <f>_xlfn.PERCENTRANK.INC(DataShift!F223:Y223,DataShift!Y223)</f>
        <v>0</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v>
      </c>
      <c r="C22">
        <f>_xlfn.RANK.EQ(DataShift!Y724,DataShift!F724:Y724)</f>
        <v>16</v>
      </c>
      <c r="D22">
        <f>_xlfn.RANK.EQ(DataShift!AU625,DataShift!AB625:AU625)</f>
        <v>20</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3</v>
      </c>
      <c r="C23">
        <f>_xlfn.RANK.EQ(DataShift!Y725,DataShift!F725:Y725)</f>
        <v>20</v>
      </c>
      <c r="D23">
        <f>_xlfn.RANK.EQ(DataShift!AU626,DataShift!AB626:AU626)</f>
        <v>19</v>
      </c>
      <c r="G23">
        <f>_xlfn.RANK.EQ(DataShift!Y226,DataShift!F226:Y226)</f>
        <v>2</v>
      </c>
      <c r="H23">
        <f>_xlfn.RANK.AVG(DataShift!Y226,DataShift!F226:Y226)</f>
        <v>2</v>
      </c>
      <c r="I23" s="88">
        <f>_xlfn.PERCENTRANK.INC(DataShift!F226:Y226,DataShift!Y226)</f>
        <v>0.94699999999999995</v>
      </c>
    </row>
    <row r="24" spans="1:9" hidden="1">
      <c r="A24" t="str">
        <f ca="1">TabCalc[[#This Row],[Ticker]]</f>
        <v>HPE</v>
      </c>
      <c r="B24">
        <f>_xlfn.RANK.EQ(DataShift!AU127,DataShift!AB127:AU127)</f>
        <v>9</v>
      </c>
      <c r="C24">
        <f>_xlfn.RANK.EQ(DataShift!Y726,DataShift!F726:Y726)</f>
        <v>7</v>
      </c>
      <c r="D24">
        <f>_xlfn.RANK.EQ(DataShift!AU627,DataShift!AB627:AU627)</f>
        <v>18</v>
      </c>
      <c r="G24">
        <f>_xlfn.RANK.EQ(DataShift!Y227,DataShift!F227:Y227)</f>
        <v>7</v>
      </c>
      <c r="H24">
        <f>_xlfn.RANK.AVG(DataShift!Y227,DataShift!F227:Y227)</f>
        <v>7</v>
      </c>
      <c r="I24" s="88">
        <f>_xlfn.PERCENTRANK.INC(DataShift!F227:Y227,DataShift!Y227)</f>
        <v>0.68400000000000005</v>
      </c>
    </row>
    <row r="25" spans="1:9" hidden="1">
      <c r="A25" t="str">
        <f ca="1">TabCalc[[#This Row],[Ticker]]</f>
        <v>HPQ</v>
      </c>
      <c r="B25">
        <f>_xlfn.RANK.EQ(DataShift!AU128,DataShift!AB128:AU128)</f>
        <v>8</v>
      </c>
      <c r="C25">
        <f>_xlfn.RANK.EQ(DataShift!Y727,DataShift!F727:Y727)</f>
        <v>1</v>
      </c>
      <c r="D25">
        <f>_xlfn.RANK.EQ(DataShift!AU628,DataShift!AB628:AU628)</f>
        <v>18</v>
      </c>
      <c r="G25">
        <f>_xlfn.RANK.EQ(DataShift!Y228,DataShift!F228:Y228)</f>
        <v>4</v>
      </c>
      <c r="H25">
        <f>_xlfn.RANK.AVG(DataShift!Y228,DataShift!F228:Y228)</f>
        <v>4</v>
      </c>
      <c r="I25" s="88">
        <f>_xlfn.PERCENTRANK.INC(DataShift!F228:Y228,DataShift!Y228)</f>
        <v>0.84199999999999997</v>
      </c>
    </row>
    <row r="26" spans="1:9" hidden="1">
      <c r="A26" t="str">
        <f ca="1">TabCalc[[#This Row],[Ticker]]</f>
        <v>IAG</v>
      </c>
      <c r="B26">
        <f>_xlfn.RANK.EQ(DataShift!AU129,DataShift!AB129:AU129)</f>
        <v>6</v>
      </c>
      <c r="C26">
        <f>_xlfn.RANK.EQ(DataShift!Y728,DataShift!F728:Y728)</f>
        <v>5</v>
      </c>
      <c r="D26">
        <f>_xlfn.RANK.EQ(DataShift!AU629,DataShift!AB629:AU629)</f>
        <v>5</v>
      </c>
      <c r="G26">
        <f>_xlfn.RANK.EQ(DataShift!Y229,DataShift!F229:Y229)</f>
        <v>19</v>
      </c>
      <c r="H26">
        <f>_xlfn.RANK.AVG(DataShift!Y229,DataShift!F229:Y229)</f>
        <v>19</v>
      </c>
      <c r="I26" s="88">
        <f>_xlfn.PERCENTRANK.INC(DataShift!F229:Y229,DataShift!Y229)</f>
        <v>5.1999999999999998E-2</v>
      </c>
    </row>
    <row r="27" spans="1:9" hidden="1">
      <c r="A27" t="str">
        <f ca="1">TabCalc[[#This Row],[Ticker]]</f>
        <v>KR</v>
      </c>
      <c r="B27">
        <f>_xlfn.RANK.EQ(DataShift!AU130,DataShift!AB130:AU130)</f>
        <v>9</v>
      </c>
      <c r="C27">
        <f>_xlfn.RANK.EQ(DataShift!Y729,DataShift!F729:Y729)</f>
        <v>13</v>
      </c>
      <c r="D27">
        <f>_xlfn.RANK.EQ(DataShift!AU630,DataShift!AB630:AU630)</f>
        <v>17</v>
      </c>
      <c r="G27">
        <f>_xlfn.RANK.EQ(DataShift!Y230,DataShift!F230:Y230)</f>
        <v>4</v>
      </c>
      <c r="H27">
        <f>_xlfn.RANK.AVG(DataShift!Y230,DataShift!F230:Y230)</f>
        <v>4</v>
      </c>
      <c r="I27" s="88">
        <f>_xlfn.PERCENTRANK.INC(DataShift!F230:Y230,DataShift!Y230)</f>
        <v>0.84199999999999997</v>
      </c>
    </row>
    <row r="28" spans="1:9" hidden="1">
      <c r="A28" t="str">
        <f ca="1">TabCalc[[#This Row],[Ticker]]</f>
        <v>LNSR</v>
      </c>
      <c r="B28">
        <f>_xlfn.RANK.EQ(DataShift!AU131,DataShift!AB131:AU131)</f>
        <v>9</v>
      </c>
      <c r="C28">
        <f>_xlfn.RANK.EQ(DataShift!Y730,DataShift!F730:Y730)</f>
        <v>13</v>
      </c>
      <c r="D28">
        <f>_xlfn.RANK.EQ(DataShift!AU631,DataShift!AB631:AU631)</f>
        <v>7</v>
      </c>
      <c r="G28">
        <f>_xlfn.RANK.EQ(DataShift!Y231,DataShift!F231:Y231)</f>
        <v>9</v>
      </c>
      <c r="H28">
        <f>_xlfn.RANK.AVG(DataShift!Y231,DataShift!F231:Y231)</f>
        <v>9</v>
      </c>
      <c r="I28" s="88">
        <f>_xlfn.PERCENTRANK.INC(DataShift!F231:Y231,DataShift!Y231)</f>
        <v>0.57799999999999996</v>
      </c>
    </row>
    <row r="29" spans="1:9" hidden="1">
      <c r="A29" t="str">
        <f ca="1">TabCalc[[#This Row],[Ticker]]</f>
        <v>LUMN</v>
      </c>
      <c r="B29">
        <f>_xlfn.RANK.EQ(DataShift!AU132,DataShift!AB132:AU132)</f>
        <v>6</v>
      </c>
      <c r="C29">
        <f>_xlfn.RANK.EQ(DataShift!Y731,DataShift!F731:Y731)</f>
        <v>8</v>
      </c>
      <c r="D29">
        <f>_xlfn.RANK.EQ(DataShift!AU632,DataShift!AB632:AU632)</f>
        <v>20</v>
      </c>
      <c r="G29">
        <f>_xlfn.RANK.EQ(DataShift!Y232,DataShift!F232:Y232)</f>
        <v>1</v>
      </c>
      <c r="H29">
        <f>_xlfn.RANK.AVG(DataShift!Y232,DataShift!F232:Y232)</f>
        <v>1</v>
      </c>
      <c r="I29" s="88">
        <f>_xlfn.PERCENTRANK.INC(DataShift!F232:Y232,DataShift!Y232)</f>
        <v>1</v>
      </c>
    </row>
    <row r="30" spans="1:9" hidden="1">
      <c r="A30" t="str">
        <f ca="1">TabCalc[[#This Row],[Ticker]]</f>
        <v>MRNA</v>
      </c>
      <c r="B30">
        <f>_xlfn.RANK.EQ(DataShift!AU133,DataShift!AB133:AU133)</f>
        <v>9</v>
      </c>
      <c r="C30">
        <f>_xlfn.RANK.EQ(DataShift!Y732,DataShift!F732:Y732)</f>
        <v>5</v>
      </c>
      <c r="D30">
        <f>_xlfn.RANK.EQ(DataShift!AU633,DataShift!AB633:AU633)</f>
        <v>7</v>
      </c>
      <c r="G30">
        <f>_xlfn.RANK.EQ(DataShift!Y233,DataShift!F233:Y233)</f>
        <v>14</v>
      </c>
      <c r="H30">
        <f>_xlfn.RANK.AVG(DataShift!Y233,DataShift!F233:Y233)</f>
        <v>14</v>
      </c>
      <c r="I30" s="88">
        <f>_xlfn.PERCENTRANK.INC(DataShift!F233:Y233,DataShift!Y233)</f>
        <v>0.315</v>
      </c>
    </row>
    <row r="31" spans="1:9" hidden="1">
      <c r="A31" t="str">
        <f ca="1">TabCalc[[#This Row],[Ticker]]</f>
        <v>MSFT</v>
      </c>
      <c r="B31">
        <f>_xlfn.RANK.EQ(DataShift!AU134,DataShift!AB134:AU134)</f>
        <v>5</v>
      </c>
      <c r="C31">
        <f>_xlfn.RANK.EQ(DataShift!Y733,DataShift!F733:Y733)</f>
        <v>13</v>
      </c>
      <c r="D31">
        <f>_xlfn.RANK.EQ(DataShift!AU634,DataShift!AB634:AU634)</f>
        <v>2</v>
      </c>
      <c r="G31">
        <f>_xlfn.RANK.EQ(DataShift!Y234,DataShift!F234:Y234)</f>
        <v>19</v>
      </c>
      <c r="H31">
        <f>_xlfn.RANK.AVG(DataShift!Y234,DataShift!F234:Y234)</f>
        <v>19</v>
      </c>
      <c r="I31" s="88">
        <f>_xlfn.PERCENTRANK.INC(DataShift!F234:Y234,DataShift!Y234)</f>
        <v>5.1999999999999998E-2</v>
      </c>
    </row>
    <row r="32" spans="1:9" hidden="1">
      <c r="A32" t="str">
        <f ca="1">TabCalc[[#This Row],[Ticker]]</f>
        <v>NEE</v>
      </c>
      <c r="B32">
        <f>_xlfn.RANK.EQ(DataShift!AU135,DataShift!AB135:AU135)</f>
        <v>2</v>
      </c>
      <c r="C32">
        <f>_xlfn.RANK.EQ(DataShift!Y734,DataShift!F734:Y734)</f>
        <v>1</v>
      </c>
      <c r="D32">
        <f>_xlfn.RANK.EQ(DataShift!AU635,DataShift!AB635:AU635)</f>
        <v>20</v>
      </c>
      <c r="G32">
        <f>_xlfn.RANK.EQ(DataShift!Y235,DataShift!F235:Y235)</f>
        <v>1</v>
      </c>
      <c r="H32">
        <f>_xlfn.RANK.AVG(DataShift!Y235,DataShift!F235:Y235)</f>
        <v>1</v>
      </c>
      <c r="I32" s="88">
        <f>_xlfn.PERCENTRANK.INC(DataShift!F235:Y235,DataShift!Y235)</f>
        <v>1</v>
      </c>
    </row>
    <row r="33" spans="1:9" hidden="1">
      <c r="A33" t="str">
        <f ca="1">TabCalc[[#This Row],[Ticker]]</f>
        <v>NEM</v>
      </c>
      <c r="B33">
        <f>_xlfn.RANK.EQ(DataShift!AU136,DataShift!AB136:AU136)</f>
        <v>6</v>
      </c>
      <c r="C33">
        <f>_xlfn.RANK.EQ(DataShift!Y735,DataShift!F735:Y735)</f>
        <v>4</v>
      </c>
      <c r="D33">
        <f>_xlfn.RANK.EQ(DataShift!AU636,DataShift!AB636:AU636)</f>
        <v>6</v>
      </c>
      <c r="G33">
        <f>_xlfn.RANK.EQ(DataShift!Y236,DataShift!F236:Y236)</f>
        <v>19</v>
      </c>
      <c r="H33">
        <f>_xlfn.RANK.AVG(DataShift!Y236,DataShift!F236:Y236)</f>
        <v>19</v>
      </c>
      <c r="I33" s="88">
        <f>_xlfn.PERCENTRANK.INC(DataShift!F236:Y236,DataShift!Y236)</f>
        <v>5.1999999999999998E-2</v>
      </c>
    </row>
    <row r="34" spans="1:9" hidden="1">
      <c r="A34" t="str">
        <f ca="1">TabCalc[[#This Row],[Ticker]]</f>
        <v>NFLX</v>
      </c>
      <c r="B34">
        <f>_xlfn.RANK.EQ(DataShift!AU137,DataShift!AB137:AU137)</f>
        <v>11</v>
      </c>
      <c r="C34">
        <f>_xlfn.RANK.EQ(DataShift!Y736,DataShift!F736:Y736)</f>
        <v>7</v>
      </c>
      <c r="D34">
        <f>_xlfn.RANK.EQ(DataShift!AU637,DataShift!AB637:AU637)</f>
        <v>7</v>
      </c>
      <c r="G34">
        <f>_xlfn.RANK.EQ(DataShift!Y237,DataShift!F237:Y237)</f>
        <v>19</v>
      </c>
      <c r="H34">
        <f>_xlfn.RANK.AVG(DataShift!Y237,DataShift!F237:Y237)</f>
        <v>19.5</v>
      </c>
      <c r="I34" s="88">
        <f>_xlfn.PERCENTRANK.INC(DataShift!F237:Y237,DataShift!Y237)</f>
        <v>0</v>
      </c>
    </row>
    <row r="35" spans="1:9" hidden="1">
      <c r="A35" t="str">
        <f ca="1">TabCalc[[#This Row],[Ticker]]</f>
        <v>NOTE</v>
      </c>
      <c r="B35">
        <f>_xlfn.RANK.EQ(DataShift!AU138,DataShift!AB138:AU138)</f>
        <v>4</v>
      </c>
      <c r="C35">
        <f>_xlfn.RANK.EQ(DataShift!Y737,DataShift!F737:Y737)</f>
        <v>5</v>
      </c>
      <c r="D35">
        <f>_xlfn.RANK.EQ(DataShift!AU638,DataShift!AB638:AU638)</f>
        <v>20</v>
      </c>
      <c r="G35">
        <f>_xlfn.RANK.EQ(DataShift!Y238,DataShift!F238:Y238)</f>
        <v>1</v>
      </c>
      <c r="H35">
        <f>_xlfn.RANK.AVG(DataShift!Y238,DataShift!F238:Y238)</f>
        <v>1</v>
      </c>
      <c r="I35" s="88">
        <f>_xlfn.PERCENTRANK.INC(DataShift!F238:Y238,DataShift!Y238)</f>
        <v>1</v>
      </c>
    </row>
    <row r="36" spans="1:9" hidden="1">
      <c r="A36" t="str">
        <f ca="1">TabCalc[[#This Row],[Ticker]]</f>
        <v>PAAS</v>
      </c>
      <c r="B36">
        <f>_xlfn.RANK.EQ(DataShift!AU139,DataShift!AB139:AU139)</f>
        <v>9</v>
      </c>
      <c r="C36">
        <f>_xlfn.RANK.EQ(DataShift!Y738,DataShift!F738:Y738)</f>
        <v>5</v>
      </c>
      <c r="D36">
        <f>_xlfn.RANK.EQ(DataShift!AU639,DataShift!AB639:AU639)</f>
        <v>20</v>
      </c>
      <c r="G36">
        <f>_xlfn.RANK.EQ(DataShift!Y239,DataShift!F239:Y239)</f>
        <v>1</v>
      </c>
      <c r="H36">
        <f>_xlfn.RANK.AVG(DataShift!Y239,DataShift!F239:Y239)</f>
        <v>1</v>
      </c>
      <c r="I36" s="88">
        <f>_xlfn.PERCENTRANK.INC(DataShift!F239:Y239,DataShift!Y239)</f>
        <v>1</v>
      </c>
    </row>
    <row r="37" spans="1:9" hidden="1">
      <c r="A37" t="str">
        <f ca="1">TabCalc[[#This Row],[Ticker]]</f>
        <v>PROF</v>
      </c>
      <c r="B37">
        <f>_xlfn.RANK.EQ(DataShift!AU140,DataShift!AB140:AU140)</f>
        <v>4</v>
      </c>
      <c r="C37">
        <f>_xlfn.RANK.EQ(DataShift!Y739,DataShift!F739:Y739)</f>
        <v>12</v>
      </c>
      <c r="D37">
        <f>_xlfn.RANK.EQ(DataShift!AU640,DataShift!AB640:AU640)</f>
        <v>20</v>
      </c>
      <c r="G37">
        <f>_xlfn.RANK.EQ(DataShift!Y240,DataShift!F240:Y240)</f>
        <v>1</v>
      </c>
      <c r="H37">
        <f>_xlfn.RANK.AVG(DataShift!Y240,DataShift!F240:Y240)</f>
        <v>1</v>
      </c>
      <c r="I37" s="88">
        <f>_xlfn.PERCENTRANK.INC(DataShift!F240:Y240,DataShift!Y240)</f>
        <v>1</v>
      </c>
    </row>
    <row r="38" spans="1:9" hidden="1">
      <c r="A38" t="str">
        <f ca="1">TabCalc[[#This Row],[Ticker]]</f>
        <v>POET</v>
      </c>
      <c r="B38">
        <f>_xlfn.RANK.EQ(DataShift!AU141,DataShift!AB141:AU141)</f>
        <v>18</v>
      </c>
      <c r="C38">
        <f>_xlfn.RANK.EQ(DataShift!Y740,DataShift!F740:Y740)</f>
        <v>18</v>
      </c>
      <c r="D38">
        <f>_xlfn.RANK.EQ(DataShift!AU641,DataShift!AB641:AU641)</f>
        <v>1</v>
      </c>
      <c r="G38">
        <f>_xlfn.RANK.EQ(DataShift!Y241,DataShift!F241:Y241)</f>
        <v>6</v>
      </c>
      <c r="H38">
        <f>_xlfn.RANK.AVG(DataShift!Y241,DataShift!F241:Y241)</f>
        <v>6</v>
      </c>
      <c r="I38" s="88">
        <f>_xlfn.PERCENTRANK.INC(DataShift!F241:Y241,DataShift!Y241)</f>
        <v>0.73599999999999999</v>
      </c>
    </row>
    <row r="39" spans="1:9" hidden="1">
      <c r="A39" t="str">
        <f ca="1">TabCalc[[#This Row],[Ticker]]</f>
        <v>PW</v>
      </c>
      <c r="B39">
        <f>_xlfn.RANK.EQ(DataShift!AU142,DataShift!AB142:AU142)</f>
        <v>13</v>
      </c>
      <c r="C39">
        <f>_xlfn.RANK.EQ(DataShift!Y741,DataShift!F741:Y741)</f>
        <v>11</v>
      </c>
      <c r="D39">
        <f>_xlfn.RANK.EQ(DataShift!AU642,DataShift!AB642:AU642)</f>
        <v>2</v>
      </c>
      <c r="G39">
        <f>_xlfn.RANK.EQ(DataShift!Y242,DataShift!F242:Y242)</f>
        <v>15</v>
      </c>
      <c r="H39">
        <f>_xlfn.RANK.AVG(DataShift!Y242,DataShift!F242:Y242)</f>
        <v>15</v>
      </c>
      <c r="I39" s="88">
        <f>_xlfn.PERCENTRANK.INC(DataShift!F242:Y242,DataShift!Y242)</f>
        <v>0.26300000000000001</v>
      </c>
    </row>
    <row r="40" spans="1:9" hidden="1">
      <c r="A40" t="str">
        <f ca="1">TabCalc[[#This Row],[Ticker]]</f>
        <v>RIGL</v>
      </c>
      <c r="B40">
        <f>_xlfn.RANK.EQ(DataShift!AU143,DataShift!AB143:AU143)</f>
        <v>6</v>
      </c>
      <c r="C40">
        <f>_xlfn.RANK.EQ(DataShift!Y742,DataShift!F742:Y742)</f>
        <v>14</v>
      </c>
      <c r="D40">
        <f>_xlfn.RANK.EQ(DataShift!AU643,DataShift!AB643:AU643)</f>
        <v>2</v>
      </c>
      <c r="G40">
        <f>_xlfn.RANK.EQ(DataShift!Y243,DataShift!F243:Y243)</f>
        <v>16</v>
      </c>
      <c r="H40">
        <f>_xlfn.RANK.AVG(DataShift!Y243,DataShift!F243:Y243)</f>
        <v>16</v>
      </c>
      <c r="I40" s="88">
        <f>_xlfn.PERCENTRANK.INC(DataShift!F243:Y243,DataShift!Y243)</f>
        <v>0.21</v>
      </c>
    </row>
    <row r="41" spans="1:9" hidden="1">
      <c r="A41" t="str">
        <f ca="1">TabCalc[[#This Row],[Ticker]]</f>
        <v>RWE</v>
      </c>
      <c r="B41">
        <f>_xlfn.RANK.EQ(DataShift!AU144,DataShift!AB144:AU144)</f>
        <v>2</v>
      </c>
      <c r="C41">
        <f>_xlfn.RANK.EQ(DataShift!Y743,DataShift!F743:Y743)</f>
        <v>17</v>
      </c>
      <c r="D41">
        <f>_xlfn.RANK.EQ(DataShift!AU644,DataShift!AB644:AU644)</f>
        <v>12</v>
      </c>
      <c r="G41">
        <f>_xlfn.RANK.EQ(DataShift!Y244,DataShift!F244:Y244)</f>
        <v>9</v>
      </c>
      <c r="H41">
        <f>_xlfn.RANK.AVG(DataShift!Y244,DataShift!F244:Y244)</f>
        <v>9</v>
      </c>
      <c r="I41" s="88">
        <f>_xlfn.PERCENTRANK.INC(DataShift!F244:Y244,DataShift!Y244)</f>
        <v>0.57799999999999996</v>
      </c>
    </row>
    <row r="42" spans="1:9" hidden="1">
      <c r="A42" t="str">
        <f ca="1">TabCalc[[#This Row],[Ticker]]</f>
        <v>SAP</v>
      </c>
      <c r="B42">
        <f>_xlfn.RANK.EQ(DataShift!AU145,DataShift!AB145:AU145)</f>
        <v>7</v>
      </c>
      <c r="C42">
        <f>_xlfn.RANK.EQ(DataShift!Y744,DataShift!F744:Y744)</f>
        <v>20</v>
      </c>
      <c r="D42">
        <f>_xlfn.RANK.EQ(DataShift!AU645,DataShift!AB645:AU645)</f>
        <v>1</v>
      </c>
      <c r="G42">
        <f>_xlfn.RANK.EQ(DataShift!Y245,DataShift!F245:Y245)</f>
        <v>11</v>
      </c>
      <c r="H42">
        <f>_xlfn.RANK.AVG(DataShift!Y245,DataShift!F245:Y245)</f>
        <v>11</v>
      </c>
      <c r="I42" s="88">
        <f>_xlfn.PERCENTRANK.INC(DataShift!F245:Y245,DataShift!Y245)</f>
        <v>0.47299999999999998</v>
      </c>
    </row>
    <row r="43" spans="1:9" hidden="1">
      <c r="A43" t="str">
        <f ca="1">TabCalc[[#This Row],[Ticker]]</f>
        <v>SHECY</v>
      </c>
      <c r="B43">
        <f>_xlfn.RANK.EQ(DataShift!AU146,DataShift!AB146:AU146)</f>
        <v>1</v>
      </c>
      <c r="C43">
        <f>_xlfn.RANK.EQ(DataShift!Y745,DataShift!F745:Y745)</f>
        <v>6</v>
      </c>
      <c r="D43">
        <f>_xlfn.RANK.EQ(DataShift!AU646,DataShift!AB646:AU646)</f>
        <v>19</v>
      </c>
      <c r="G43">
        <f>_xlfn.RANK.EQ(DataShift!Y246,DataShift!F246:Y246)</f>
        <v>4</v>
      </c>
      <c r="H43">
        <f>_xlfn.RANK.AVG(DataShift!Y246,DataShift!F246:Y246)</f>
        <v>4</v>
      </c>
      <c r="I43" s="88">
        <f>_xlfn.PERCENTRANK.INC(DataShift!F246:Y246,DataShift!Y246)</f>
        <v>0.84199999999999997</v>
      </c>
    </row>
    <row r="44" spans="1:9" hidden="1">
      <c r="A44" t="str">
        <f ca="1">TabCalc[[#This Row],[Ticker]]</f>
        <v>SSYS</v>
      </c>
      <c r="B44">
        <f>_xlfn.RANK.EQ(DataShift!AU147,DataShift!AB147:AU147)</f>
        <v>12</v>
      </c>
      <c r="C44">
        <f>_xlfn.RANK.EQ(DataShift!Y746,DataShift!F746:Y746)</f>
        <v>16</v>
      </c>
      <c r="D44">
        <f>_xlfn.RANK.EQ(DataShift!AU647,DataShift!AB647:AU647)</f>
        <v>15</v>
      </c>
      <c r="G44">
        <f>_xlfn.RANK.EQ(DataShift!Y247,DataShift!F247:Y247)</f>
        <v>6</v>
      </c>
      <c r="H44">
        <f>_xlfn.RANK.AVG(DataShift!Y247,DataShift!F247:Y247)</f>
        <v>6</v>
      </c>
      <c r="I44" s="88">
        <f>_xlfn.PERCENTRANK.INC(DataShift!F247:Y247,DataShift!Y247)</f>
        <v>0.73599999999999999</v>
      </c>
    </row>
    <row r="45" spans="1:9" hidden="1">
      <c r="A45" t="str">
        <f ca="1">TabCalc[[#This Row],[Ticker]]</f>
        <v>TSLA</v>
      </c>
      <c r="B45">
        <f>_xlfn.RANK.EQ(DataShift!AU148,DataShift!AB148:AU148)</f>
        <v>2</v>
      </c>
      <c r="C45">
        <f>_xlfn.RANK.EQ(DataShift!Y747,DataShift!F747:Y747)</f>
        <v>19</v>
      </c>
      <c r="D45">
        <f>_xlfn.RANK.EQ(DataShift!AU648,DataShift!AB648:AU648)</f>
        <v>19</v>
      </c>
      <c r="G45">
        <f>_xlfn.RANK.EQ(DataShift!Y248,DataShift!F248:Y248)</f>
        <v>2</v>
      </c>
      <c r="H45">
        <f>_xlfn.RANK.AVG(DataShift!Y248,DataShift!F248:Y248)</f>
        <v>2</v>
      </c>
      <c r="I45" s="88">
        <f>_xlfn.PERCENTRANK.INC(DataShift!F248:Y248,DataShift!Y248)</f>
        <v>0.94699999999999995</v>
      </c>
    </row>
    <row r="46" spans="1:9" hidden="1">
      <c r="A46" t="str">
        <f ca="1">TabCalc[[#This Row],[Ticker]]</f>
        <v>TSM</v>
      </c>
      <c r="B46">
        <f>_xlfn.RANK.EQ(DataShift!AU149,DataShift!AB149:AU149)</f>
        <v>16</v>
      </c>
      <c r="C46">
        <f>_xlfn.RANK.EQ(DataShift!Y748,DataShift!F748:Y748)</f>
        <v>17</v>
      </c>
      <c r="D46">
        <f>_xlfn.RANK.EQ(DataShift!AU649,DataShift!AB649:AU649)</f>
        <v>1</v>
      </c>
      <c r="G46">
        <f>_xlfn.RANK.EQ(DataShift!Y249,DataShift!F249:Y249)</f>
        <v>3</v>
      </c>
      <c r="H46">
        <f>_xlfn.RANK.AVG(DataShift!Y249,DataShift!F249:Y249)</f>
        <v>3</v>
      </c>
      <c r="I46" s="88">
        <f>_xlfn.PERCENTRANK.INC(DataShift!F249:Y249,DataShift!Y249)</f>
        <v>0.89400000000000002</v>
      </c>
    </row>
    <row r="47" spans="1:9" hidden="1">
      <c r="A47" t="str">
        <f ca="1">TabCalc[[#This Row],[Ticker]]</f>
        <v>UN0</v>
      </c>
      <c r="B47">
        <f>_xlfn.RANK.EQ(DataShift!AU150,DataShift!AB150:AU150)</f>
        <v>1</v>
      </c>
      <c r="C47">
        <f>_xlfn.RANK.EQ(DataShift!Y749,DataShift!F749:Y749)</f>
        <v>1</v>
      </c>
      <c r="D47">
        <f>_xlfn.RANK.EQ(DataShift!AU650,DataShift!AB650:AU650)</f>
        <v>20</v>
      </c>
      <c r="G47">
        <f>_xlfn.RANK.EQ(DataShift!Y250,DataShift!F250:Y250)</f>
        <v>1</v>
      </c>
      <c r="H47">
        <f>_xlfn.RANK.AVG(DataShift!Y250,DataShift!F250:Y250)</f>
        <v>1</v>
      </c>
      <c r="I47" s="88">
        <f>_xlfn.PERCENTRANK.INC(DataShift!F250:Y250,DataShift!Y250)</f>
        <v>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13</v>
      </c>
      <c r="C49">
        <f>_xlfn.RANK.EQ(DataShift!Y750,DataShift!F750:Y750)</f>
        <v>5</v>
      </c>
      <c r="D49">
        <f>_xlfn.RANK.EQ(DataShift!AU651,DataShift!AB651:AU651)</f>
        <v>20</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2</v>
      </c>
      <c r="C50">
        <f>_xlfn.RANK.EQ(DataShift!Y751,DataShift!F751:Y751)</f>
        <v>6</v>
      </c>
      <c r="D50">
        <f>_xlfn.RANK.EQ(DataShift!AU652,DataShift!AB652:AU652)</f>
        <v>15</v>
      </c>
      <c r="G50">
        <f>_xlfn.RANK.EQ(DataShift!Y252,DataShift!F252:Y252)</f>
        <v>3</v>
      </c>
      <c r="H50">
        <f>_xlfn.RANK.AVG(DataShift!Y252,DataShift!F252:Y252)</f>
        <v>4</v>
      </c>
      <c r="I50" s="88">
        <f>_xlfn.PERCENTRANK.INC(DataShift!F252:Y252,DataShift!Y252)</f>
        <v>0.78900000000000003</v>
      </c>
    </row>
    <row r="51" spans="1:9" hidden="1">
      <c r="A51" t="str">
        <f ca="1">TabCalc[[#This Row],[Ticker]]</f>
        <v>VTRS</v>
      </c>
      <c r="B51">
        <f>_xlfn.RANK.EQ(DataShift!AU153,DataShift!AB153:AU153)</f>
        <v>8</v>
      </c>
      <c r="C51">
        <f>_xlfn.RANK.EQ(DataShift!Y752,DataShift!F752:Y752)</f>
        <v>14</v>
      </c>
      <c r="D51">
        <f>_xlfn.RANK.EQ(DataShift!AU653,DataShift!AB653:AU653)</f>
        <v>19</v>
      </c>
      <c r="G51">
        <f>_xlfn.RANK.EQ(DataShift!Y253,DataShift!F253:Y253)</f>
        <v>2</v>
      </c>
      <c r="H51">
        <f>_xlfn.RANK.AVG(DataShift!Y253,DataShift!F253:Y253)</f>
        <v>2</v>
      </c>
      <c r="I51" s="88">
        <f>_xlfn.PERCENTRANK.INC(DataShift!F253:Y253,DataShift!Y253)</f>
        <v>0.94699999999999995</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6</v>
      </c>
      <c r="C53">
        <f>_xlfn.RANK.EQ(DataShift!Y754,DataShift!F754:Y754)</f>
        <v>14</v>
      </c>
      <c r="D53">
        <f>_xlfn.RANK.EQ(DataShift!AU655,DataShift!AB655:AU655)</f>
        <v>18</v>
      </c>
      <c r="G53">
        <f>_xlfn.RANK.EQ(DataShift!Y255,DataShift!F255:Y255)</f>
        <v>1</v>
      </c>
      <c r="H53">
        <f>_xlfn.RANK.AVG(DataShift!Y255,DataShift!F255:Y255)</f>
        <v>1</v>
      </c>
      <c r="I53" s="88">
        <f>_xlfn.PERCENTRANK.INC(DataShift!F255:Y255,DataShift!Y255)</f>
        <v>1</v>
      </c>
    </row>
    <row r="54" spans="1:9" hidden="1">
      <c r="A54" t="str">
        <f ca="1">TabCalc[[#This Row],[Ticker]]</f>
        <v>XPER</v>
      </c>
      <c r="B54">
        <f>_xlfn.RANK.EQ(DataShift!AU156,DataShift!AB156:AU156)</f>
        <v>10</v>
      </c>
      <c r="C54">
        <f>_xlfn.RANK.EQ(DataShift!Y755,DataShift!F755:Y755)</f>
        <v>14</v>
      </c>
      <c r="D54">
        <f>_xlfn.RANK.EQ(DataShift!AU656,DataShift!AB656:AU656)</f>
        <v>15</v>
      </c>
      <c r="G54">
        <f>_xlfn.RANK.EQ(DataShift!Y256,DataShift!F256:Y256)</f>
        <v>6</v>
      </c>
      <c r="H54">
        <f>_xlfn.RANK.AVG(DataShift!Y256,DataShift!F256:Y256)</f>
        <v>6</v>
      </c>
      <c r="I54" s="88">
        <f>_xlfn.PERCENTRANK.INC(DataShift!F256:Y256,DataShift!Y256)</f>
        <v>0.73599999999999999</v>
      </c>
    </row>
    <row r="55" spans="1:9" hidden="1">
      <c r="A55" t="str">
        <f ca="1">TabCalc[[#This Row],[Ticker]]</f>
        <v>MVEALDNE</v>
      </c>
      <c r="B55">
        <f>_xlfn.RANK.EQ(DataShift!AU157,DataShift!AB157:AU157)</f>
        <v>7</v>
      </c>
      <c r="C55">
        <f>_xlfn.RANK.EQ(DataShift!Y756,DataShift!F756:Y756)</f>
        <v>20</v>
      </c>
      <c r="D55">
        <f>_xlfn.RANK.EQ(DataShift!AU657,DataShift!AB657:AU657)</f>
        <v>1</v>
      </c>
      <c r="G55">
        <f>_xlfn.RANK.EQ(DataShift!Y257,DataShift!F257:Y257)</f>
        <v>20</v>
      </c>
      <c r="H55">
        <f>_xlfn.RANK.AVG(DataShift!Y257,DataShift!F257:Y257)</f>
        <v>20</v>
      </c>
      <c r="I55" s="88">
        <f>_xlfn.PERCENTRANK.INC(DataShift!F257:Y257,DataShift!Y257)</f>
        <v>0</v>
      </c>
    </row>
    <row r="56" spans="1:9" hidden="1">
      <c r="A56" t="str">
        <f ca="1">TabCalc[[#This Row],[Ticker]]</f>
        <v>MVEDDD</v>
      </c>
      <c r="B56">
        <f>_xlfn.RANK.EQ(DataShift!AU158,DataShift!AB158:AU158)</f>
        <v>3</v>
      </c>
      <c r="C56">
        <f>_xlfn.RANK.EQ(DataShift!Y757,DataShift!F757:Y757)</f>
        <v>1</v>
      </c>
      <c r="D56">
        <f>_xlfn.RANK.EQ(DataShift!AU658,DataShift!AB658:AU658)</f>
        <v>3</v>
      </c>
      <c r="G56">
        <f>_xlfn.RANK.EQ(DataShift!Y258,DataShift!F258:Y258)</f>
        <v>16</v>
      </c>
      <c r="H56">
        <f>_xlfn.RANK.AVG(DataShift!Y258,DataShift!F258:Y258)</f>
        <v>16</v>
      </c>
      <c r="I56" s="88">
        <f>_xlfn.PERCENTRANK.INC(DataShift!F258:Y258,DataShift!Y258)</f>
        <v>0.21</v>
      </c>
    </row>
    <row r="57" spans="1:9" hidden="1">
      <c r="A57" t="str">
        <f ca="1">TabCalc[[#This Row],[Ticker]]</f>
        <v>MVEDSY</v>
      </c>
      <c r="B57">
        <f>_xlfn.RANK.EQ(DataShift!AU159,DataShift!AB159:AU159)</f>
        <v>6</v>
      </c>
      <c r="C57">
        <f>_xlfn.RANK.EQ(DataShift!Y758,DataShift!F758:Y758)</f>
        <v>5</v>
      </c>
      <c r="D57">
        <f>_xlfn.RANK.EQ(DataShift!AU659,DataShift!AB659:AU659)</f>
        <v>4</v>
      </c>
      <c r="G57">
        <f>_xlfn.RANK.EQ(DataShift!Y259,DataShift!F259:Y259)</f>
        <v>19</v>
      </c>
      <c r="H57">
        <f>_xlfn.RANK.AVG(DataShift!Y259,DataShift!F259:Y259)</f>
        <v>19</v>
      </c>
      <c r="I57" s="88">
        <f>_xlfn.PERCENTRANK.INC(DataShift!F259:Y259,DataShift!Y259)</f>
        <v>5.1999999999999998E-2</v>
      </c>
    </row>
    <row r="58" spans="1:9" hidden="1">
      <c r="A58" t="str">
        <f ca="1">TabCalc[[#This Row],[Ticker]]</f>
        <v>MVEEOAN</v>
      </c>
      <c r="B58">
        <f>_xlfn.RANK.EQ(DataShift!AU160,DataShift!AB160:AU160)</f>
        <v>2</v>
      </c>
      <c r="C58">
        <f>_xlfn.RANK.EQ(DataShift!Y759,DataShift!F759:Y759)</f>
        <v>20</v>
      </c>
      <c r="D58">
        <f>_xlfn.RANK.EQ(DataShift!AU660,DataShift!AB660:AU660)</f>
        <v>1</v>
      </c>
      <c r="G58">
        <f>_xlfn.RANK.EQ(DataShift!Y260,DataShift!F260:Y260)</f>
        <v>20</v>
      </c>
      <c r="H58">
        <f>_xlfn.RANK.AVG(DataShift!Y260,DataShift!F260:Y260)</f>
        <v>20</v>
      </c>
      <c r="I58" s="88">
        <f>_xlfn.PERCENTRANK.INC(DataShift!F260:Y260,DataShift!Y260)</f>
        <v>0</v>
      </c>
    </row>
    <row r="59" spans="1:9" hidden="1">
      <c r="A59" t="str">
        <f ca="1">TabCalc[[#This Row],[Ticker]]</f>
        <v>MVEENI</v>
      </c>
      <c r="B59">
        <f>_xlfn.RANK.EQ(DataShift!AU161,DataShift!AB161:AU161)</f>
        <v>3</v>
      </c>
      <c r="C59">
        <f>_xlfn.RANK.EQ(DataShift!Y760,DataShift!F760:Y760)</f>
        <v>18</v>
      </c>
      <c r="D59">
        <f>_xlfn.RANK.EQ(DataShift!AU661,DataShift!AB661:AU661)</f>
        <v>1</v>
      </c>
      <c r="G59">
        <f>_xlfn.RANK.EQ(DataShift!Y261,DataShift!F261:Y261)</f>
        <v>20</v>
      </c>
      <c r="H59">
        <f>_xlfn.RANK.AVG(DataShift!Y261,DataShift!F261:Y261)</f>
        <v>20</v>
      </c>
      <c r="I59" s="88">
        <f>_xlfn.PERCENTRANK.INC(DataShift!F261:Y261,DataShift!Y261)</f>
        <v>0</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4</v>
      </c>
      <c r="C61">
        <f>_xlfn.RANK.EQ(DataShift!Y762,DataShift!F762:Y762)</f>
        <v>5</v>
      </c>
      <c r="D61">
        <f>_xlfn.RANK.EQ(DataShift!AU663,DataShift!AB663:AU663)</f>
        <v>20</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18</v>
      </c>
      <c r="C62">
        <f>_xlfn.RANK.EQ(DataShift!Y763,DataShift!F763:Y763)</f>
        <v>7</v>
      </c>
      <c r="D62">
        <f>_xlfn.RANK.EQ(DataShift!AU664,DataShift!AB664:AU664)</f>
        <v>3</v>
      </c>
      <c r="G62">
        <f>_xlfn.RANK.EQ(DataShift!Y264,DataShift!F264:Y264)</f>
        <v>15</v>
      </c>
      <c r="H62">
        <f>_xlfn.RANK.AVG(DataShift!Y264,DataShift!F264:Y264)</f>
        <v>15</v>
      </c>
      <c r="I62" s="88">
        <f>_xlfn.PERCENTRANK.INC(DataShift!F264:Y264,DataShift!Y264)</f>
        <v>0.26300000000000001</v>
      </c>
    </row>
    <row r="63" spans="1:9" hidden="1">
      <c r="A63" t="str">
        <f ca="1">TabCalc[[#This Row],[Ticker]]</f>
        <v>MVERWE</v>
      </c>
      <c r="B63">
        <f>_xlfn.RANK.EQ(DataShift!AU165,DataShift!AB165:AU165)</f>
        <v>6</v>
      </c>
      <c r="C63">
        <f>_xlfn.RANK.EQ(DataShift!Y764,DataShift!F764:Y764)</f>
        <v>14</v>
      </c>
      <c r="D63">
        <f>_xlfn.RANK.EQ(DataShift!AU665,DataShift!AB665:AU665)</f>
        <v>2</v>
      </c>
      <c r="G63">
        <f>_xlfn.RANK.EQ(DataShift!Y265,DataShift!F265:Y265)</f>
        <v>16</v>
      </c>
      <c r="H63">
        <f>_xlfn.RANK.AVG(DataShift!Y265,DataShift!F265:Y265)</f>
        <v>16</v>
      </c>
      <c r="I63" s="88">
        <f>_xlfn.PERCENTRANK.INC(DataShift!F265:Y265,DataShift!Y265)</f>
        <v>0.21</v>
      </c>
    </row>
    <row r="64" spans="1:9" hidden="1">
      <c r="A64" t="str">
        <f ca="1">TabCalc[[#This Row],[Ticker]]</f>
        <v>MVESAP</v>
      </c>
      <c r="B64">
        <f>_xlfn.RANK.EQ(DataShift!AU166,DataShift!AB166:AU166)</f>
        <v>2</v>
      </c>
      <c r="C64">
        <f>_xlfn.RANK.EQ(DataShift!Y765,DataShift!F765:Y765)</f>
        <v>17</v>
      </c>
      <c r="D64">
        <f>_xlfn.RANK.EQ(DataShift!AU666,DataShift!AB666:AU666)</f>
        <v>12</v>
      </c>
      <c r="G64">
        <f>_xlfn.RANK.EQ(DataShift!Y266,DataShift!F266:Y266)</f>
        <v>9</v>
      </c>
      <c r="H64">
        <f>_xlfn.RANK.AVG(DataShift!Y266,DataShift!F266:Y266)</f>
        <v>9</v>
      </c>
      <c r="I64" s="88">
        <f>_xlfn.PERCENTRANK.INC(DataShift!F266:Y266,DataShift!Y266)</f>
        <v>0.57799999999999996</v>
      </c>
    </row>
    <row r="65" spans="1:9" hidden="1">
      <c r="A65" t="str">
        <f ca="1">TabCalc[[#This Row],[Ticker]]</f>
        <v>MVEUN0</v>
      </c>
      <c r="B65">
        <f>_xlfn.RANK.EQ(DataShift!AU167,DataShift!AB167:AU167)</f>
        <v>16</v>
      </c>
      <c r="C65">
        <f>_xlfn.RANK.EQ(DataShift!Y766,DataShift!F766:Y766)</f>
        <v>17</v>
      </c>
      <c r="D65">
        <f>_xlfn.RANK.EQ(DataShift!AU667,DataShift!AB667:AU667)</f>
        <v>1</v>
      </c>
      <c r="G65">
        <f>_xlfn.RANK.EQ(DataShift!Y267,DataShift!F267:Y267)</f>
        <v>3</v>
      </c>
      <c r="H65">
        <f>_xlfn.RANK.AVG(DataShift!Y267,DataShift!F267:Y267)</f>
        <v>3</v>
      </c>
      <c r="I65" s="88">
        <f>_xlfn.PERCENTRANK.INC(DataShift!F267:Y267,DataShift!Y267)</f>
        <v>0.89400000000000002</v>
      </c>
    </row>
    <row r="66" spans="1:9" hidden="1">
      <c r="A66" t="str">
        <f ca="1">TabCalc[[#This Row],[Ticker]]</f>
        <v>SAFAAPL</v>
      </c>
      <c r="B66">
        <f>_xlfn.RANK.EQ(DataShift!AU168,DataShift!AB168:AU168)</f>
        <v>10</v>
      </c>
      <c r="C66">
        <f>_xlfn.RANK.EQ(DataShift!Y767,DataShift!F767:Y767)</f>
        <v>15</v>
      </c>
      <c r="D66">
        <f>_xlfn.RANK.EQ(DataShift!AU668,DataShift!AB668:AU668)</f>
        <v>8</v>
      </c>
      <c r="G66">
        <f>_xlfn.RANK.EQ(DataShift!Y268,DataShift!F268:Y268)</f>
        <v>10</v>
      </c>
      <c r="H66">
        <f>_xlfn.RANK.AVG(DataShift!Y268,DataShift!F268:Y268)</f>
        <v>10</v>
      </c>
      <c r="I66" s="88">
        <f>_xlfn.PERCENTRANK.INC(DataShift!F268:Y268,DataShift!Y268)</f>
        <v>0.52600000000000002</v>
      </c>
    </row>
    <row r="67" spans="1:9" hidden="1">
      <c r="A67" t="str">
        <f ca="1">TabCalc[[#This Row],[Ticker]]</f>
        <v>SAFAMZN</v>
      </c>
      <c r="B67">
        <f>_xlfn.RANK.EQ(DataShift!AU169,DataShift!AB169:AU169)</f>
        <v>10</v>
      </c>
      <c r="C67">
        <f>_xlfn.RANK.EQ(DataShift!Y768,DataShift!F768:Y768)</f>
        <v>13</v>
      </c>
      <c r="D67">
        <f>_xlfn.RANK.EQ(DataShift!AU669,DataShift!AB669:AU669)</f>
        <v>10</v>
      </c>
      <c r="G67">
        <f>_xlfn.RANK.EQ(DataShift!Y269,DataShift!F269:Y269)</f>
        <v>11</v>
      </c>
      <c r="H67">
        <f>_xlfn.RANK.AVG(DataShift!Y269,DataShift!F269:Y269)</f>
        <v>11</v>
      </c>
      <c r="I67" s="88">
        <f>_xlfn.PERCENTRANK.INC(DataShift!F269:Y269,DataShift!Y269)</f>
        <v>0.47299999999999998</v>
      </c>
    </row>
    <row r="68" spans="1:9" hidden="1">
      <c r="A68" t="str">
        <f ca="1">TabCalc[[#This Row],[Ticker]]</f>
        <v>SAFASML</v>
      </c>
      <c r="B68">
        <f>_xlfn.RANK.EQ(DataShift!AU170,DataShift!AB170:AU170)</f>
        <v>9</v>
      </c>
      <c r="C68">
        <f>_xlfn.RANK.EQ(DataShift!Y769,DataShift!F769:Y769)</f>
        <v>9</v>
      </c>
      <c r="D68">
        <f>_xlfn.RANK.EQ(DataShift!AU670,DataShift!AB670:AU670)</f>
        <v>11</v>
      </c>
      <c r="G68">
        <f>_xlfn.RANK.EQ(DataShift!Y270,DataShift!F270:Y270)</f>
        <v>7</v>
      </c>
      <c r="H68">
        <f>_xlfn.RANK.AVG(DataShift!Y270,DataShift!F270:Y270)</f>
        <v>7</v>
      </c>
      <c r="I68" s="88">
        <f>_xlfn.PERCENTRANK.INC(DataShift!F270:Y270,DataShift!Y270)</f>
        <v>0.68400000000000005</v>
      </c>
    </row>
    <row r="69" spans="1:9" hidden="1">
      <c r="A69" t="str">
        <f ca="1">TabCalc[[#This Row],[Ticker]]</f>
        <v>SAFDDD</v>
      </c>
      <c r="B69">
        <f>_xlfn.RANK.EQ(DataShift!AU171,DataShift!AB171:AU171)</f>
        <v>3</v>
      </c>
      <c r="C69">
        <f>_xlfn.RANK.EQ(DataShift!Y770,DataShift!F770:Y770)</f>
        <v>1</v>
      </c>
      <c r="D69">
        <f>_xlfn.RANK.EQ(DataShift!AU671,DataShift!AB671:AU671)</f>
        <v>3</v>
      </c>
      <c r="G69">
        <f>_xlfn.RANK.EQ(DataShift!Y271,DataShift!F271:Y271)</f>
        <v>16</v>
      </c>
      <c r="H69">
        <f>_xlfn.RANK.AVG(DataShift!Y271,DataShift!F271:Y271)</f>
        <v>16</v>
      </c>
      <c r="I69" s="88">
        <f>_xlfn.PERCENTRANK.INC(DataShift!F271:Y271,DataShift!Y271)</f>
        <v>0.21</v>
      </c>
    </row>
    <row r="70" spans="1:9" hidden="1">
      <c r="A70" t="str">
        <f ca="1">TabCalc[[#This Row],[Ticker]]</f>
        <v>SAFDIS</v>
      </c>
      <c r="B70">
        <f>_xlfn.RANK.EQ(DataShift!AU172,DataShift!AB172:AU172)</f>
        <v>3</v>
      </c>
      <c r="C70">
        <f>_xlfn.RANK.EQ(DataShift!Y771,DataShift!F771:Y771)</f>
        <v>1</v>
      </c>
      <c r="D70">
        <f>_xlfn.RANK.EQ(DataShift!AU672,DataShift!AB672:AU672)</f>
        <v>20</v>
      </c>
      <c r="G70">
        <f>_xlfn.RANK.EQ(DataShift!Y272,DataShift!F272:Y272)</f>
        <v>1</v>
      </c>
      <c r="H70">
        <f>_xlfn.RANK.AVG(DataShift!Y272,DataShift!F272:Y272)</f>
        <v>1</v>
      </c>
      <c r="I70" s="88">
        <f>_xlfn.PERCENTRANK.INC(DataShift!F272:Y272,DataShift!Y272)</f>
        <v>1</v>
      </c>
    </row>
    <row r="71" spans="1:9" hidden="1">
      <c r="A71" t="str">
        <f ca="1">TabCalc[[#This Row],[Ticker]]</f>
        <v>SAFGM</v>
      </c>
      <c r="B71">
        <f>_xlfn.RANK.EQ(DataShift!AU173,DataShift!AB173:AU173)</f>
        <v>2</v>
      </c>
      <c r="C71">
        <f>_xlfn.RANK.EQ(DataShift!Y772,DataShift!F772:Y772)</f>
        <v>16</v>
      </c>
      <c r="D71">
        <f>_xlfn.RANK.EQ(DataShift!AU673,DataShift!AB673:AU673)</f>
        <v>20</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8</v>
      </c>
      <c r="C72">
        <f>_xlfn.RANK.EQ(DataShift!Y773,DataShift!F773:Y773)</f>
        <v>1</v>
      </c>
      <c r="D72">
        <f>_xlfn.RANK.EQ(DataShift!AU674,DataShift!AB674:AU674)</f>
        <v>18</v>
      </c>
      <c r="G72">
        <f>_xlfn.RANK.EQ(DataShift!Y274,DataShift!F274:Y274)</f>
        <v>4</v>
      </c>
      <c r="H72">
        <f>_xlfn.RANK.AVG(DataShift!Y274,DataShift!F274:Y274)</f>
        <v>4</v>
      </c>
      <c r="I72" s="88">
        <f>_xlfn.PERCENTRANK.INC(DataShift!F274:Y274,DataShift!Y274)</f>
        <v>0.84199999999999997</v>
      </c>
    </row>
    <row r="73" spans="1:9" hidden="1">
      <c r="A73" t="str">
        <f ca="1">TabCalc[[#This Row],[Ticker]]</f>
        <v>SAFMRNA</v>
      </c>
      <c r="B73">
        <f>_xlfn.RANK.EQ(DataShift!AU175,DataShift!AB175:AU175)</f>
        <v>6</v>
      </c>
      <c r="C73">
        <f>_xlfn.RANK.EQ(DataShift!Y774,DataShift!F774:Y774)</f>
        <v>8</v>
      </c>
      <c r="D73">
        <f>_xlfn.RANK.EQ(DataShift!AU675,DataShift!AB675:AU675)</f>
        <v>20</v>
      </c>
      <c r="G73">
        <f>_xlfn.RANK.EQ(DataShift!Y275,DataShift!F275:Y275)</f>
        <v>1</v>
      </c>
      <c r="H73">
        <f>_xlfn.RANK.AVG(DataShift!Y275,DataShift!F275:Y275)</f>
        <v>1</v>
      </c>
      <c r="I73" s="88">
        <f>_xlfn.PERCENTRANK.INC(DataShift!F275:Y275,DataShift!Y275)</f>
        <v>1</v>
      </c>
    </row>
    <row r="74" spans="1:9" hidden="1">
      <c r="A74" t="str">
        <f ca="1">TabCalc[[#This Row],[Ticker]]</f>
        <v>BLNK</v>
      </c>
      <c r="B74">
        <f>_xlfn.RANK.EQ(DataShift!AU176,DataShift!AB176:AU176)</f>
        <v>2</v>
      </c>
      <c r="C74">
        <f>_xlfn.RANK.EQ(DataShift!Y775,DataShift!F775:Y775)</f>
        <v>17</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3</v>
      </c>
      <c r="C75">
        <f>_xlfn.RANK.EQ(DataShift!Y776,DataShift!F776:Y776)</f>
        <v>18</v>
      </c>
      <c r="D75">
        <f>_xlfn.RANK.EQ(DataShift!AU677,DataShift!AB677:AU677)</f>
        <v>1</v>
      </c>
      <c r="G75">
        <f>_xlfn.RANK.EQ(DataShift!Y277,DataShift!F277:Y277)</f>
        <v>20</v>
      </c>
      <c r="H75">
        <f>_xlfn.RANK.AVG(DataShift!Y277,DataShift!F277:Y277)</f>
        <v>20</v>
      </c>
      <c r="I75" s="88">
        <f>_xlfn.PERCENTRANK.INC(DataShift!F277:Y277,DataShift!Y277)</f>
        <v>0</v>
      </c>
    </row>
    <row r="76" spans="1:9" hidden="1">
      <c r="A76" t="str">
        <f ca="1">TabCalc[[#This Row],[Ticker]]</f>
        <v>EZJ</v>
      </c>
      <c r="B76">
        <f>_xlfn.RANK.EQ(DataShift!AU178,DataShift!AB178:AU178)</f>
        <v>12</v>
      </c>
      <c r="C76">
        <f>_xlfn.RANK.EQ(DataShift!Y777,DataShift!F777:Y777)</f>
        <v>3</v>
      </c>
      <c r="D76">
        <f>_xlfn.RANK.EQ(DataShift!AU678,DataShift!AB678:AU678)</f>
        <v>18</v>
      </c>
      <c r="G76">
        <f>_xlfn.RANK.EQ(DataShift!Y278,DataShift!F278:Y278)</f>
        <v>8</v>
      </c>
      <c r="H76">
        <f>_xlfn.RANK.AVG(DataShift!Y278,DataShift!F278:Y278)</f>
        <v>8</v>
      </c>
      <c r="I76" s="88">
        <f>_xlfn.PERCENTRANK.INC(DataShift!F278:Y278,DataShift!Y278)</f>
        <v>0.63100000000000001</v>
      </c>
    </row>
    <row r="77" spans="1:9" hidden="1">
      <c r="A77" t="str">
        <f ca="1">TabCalc[[#This Row],[Ticker]]</f>
        <v>F</v>
      </c>
      <c r="B77">
        <f>_xlfn.RANK.EQ(DataShift!AU179,DataShift!AB179:AU179)</f>
        <v>2</v>
      </c>
      <c r="C77">
        <f>_xlfn.RANK.EQ(DataShift!Y778,DataShift!F778:Y778)</f>
        <v>5</v>
      </c>
      <c r="D77">
        <f>_xlfn.RANK.EQ(DataShift!AU679,DataShift!AB679:AU679)</f>
        <v>20</v>
      </c>
      <c r="G77">
        <f>_xlfn.RANK.EQ(DataShift!Y279,DataShift!F279:Y279)</f>
        <v>1</v>
      </c>
      <c r="H77">
        <f>_xlfn.RANK.AVG(DataShift!Y279,DataShift!F279:Y279)</f>
        <v>1</v>
      </c>
      <c r="I77" s="88">
        <f>_xlfn.PERCENTRANK.INC(DataShift!F279:Y279,DataShift!Y279)</f>
        <v>1</v>
      </c>
    </row>
    <row r="78" spans="1:9" hidden="1">
      <c r="A78" t="str">
        <f ca="1">TabCalc[[#This Row],[Ticker]]</f>
        <v>GLE</v>
      </c>
      <c r="B78">
        <f>_xlfn.RANK.EQ(DataShift!AU180,DataShift!AB180:AU180)</f>
        <v>4</v>
      </c>
      <c r="C78">
        <f>_xlfn.RANK.EQ(DataShift!Y779,DataShift!F779:Y779)</f>
        <v>5</v>
      </c>
      <c r="D78">
        <f>_xlfn.RANK.EQ(DataShift!AU680,DataShift!AB680:AU680)</f>
        <v>20</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12</v>
      </c>
      <c r="C79">
        <f>_xlfn.RANK.EQ(DataShift!Y780,DataShift!F780:Y780)</f>
        <v>12</v>
      </c>
      <c r="D79">
        <f>_xlfn.RANK.EQ(DataShift!AU681,DataShift!AB681:AU681)</f>
        <v>20</v>
      </c>
      <c r="G79">
        <f>_xlfn.RANK.EQ(DataShift!Y281,DataShift!F281:Y281)</f>
        <v>1</v>
      </c>
      <c r="H79">
        <f>_xlfn.RANK.AVG(DataShift!Y281,DataShift!F281:Y281)</f>
        <v>1</v>
      </c>
      <c r="I79" s="88">
        <f>_xlfn.PERCENTRANK.INC(DataShift!F281:Y281,DataShift!Y281)</f>
        <v>1</v>
      </c>
    </row>
    <row r="80" spans="1:9" hidden="1">
      <c r="A80" t="str">
        <f ca="1">TabCalc[[#This Row],[Ticker]]</f>
        <v>GS</v>
      </c>
      <c r="B80">
        <f>_xlfn.RANK.EQ(DataShift!AU182,DataShift!AB182:AU182)</f>
        <v>1</v>
      </c>
      <c r="C80">
        <f>_xlfn.RANK.EQ(DataShift!Y781,DataShift!F781:Y781)</f>
        <v>2</v>
      </c>
      <c r="D80">
        <f>_xlfn.RANK.EQ(DataShift!AU682,DataShift!AB682:AU682)</f>
        <v>20</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1</v>
      </c>
      <c r="C81">
        <f>_xlfn.RANK.EQ(DataShift!Y782,DataShift!F782:Y782)</f>
        <v>3</v>
      </c>
      <c r="D81">
        <f>_xlfn.RANK.EQ(DataShift!AU683,DataShift!AB683:AU683)</f>
        <v>11</v>
      </c>
      <c r="G81">
        <f>_xlfn.RANK.EQ(DataShift!Y283,DataShift!F283:Y283)</f>
        <v>6</v>
      </c>
      <c r="H81">
        <f>_xlfn.RANK.AVG(DataShift!Y283,DataShift!F283:Y283)</f>
        <v>6</v>
      </c>
      <c r="I81" s="88">
        <f>_xlfn.PERCENTRANK.INC(DataShift!F283:Y283,DataShift!Y283)</f>
        <v>0.73599999999999999</v>
      </c>
    </row>
    <row r="82" spans="1:9" hidden="1">
      <c r="A82" t="str">
        <f ca="1">TabCalc[[#This Row],[Ticker]]</f>
        <v>LUV</v>
      </c>
      <c r="B82">
        <f>_xlfn.RANK.EQ(DataShift!AU184,DataShift!AB184:AU184)</f>
        <v>1</v>
      </c>
      <c r="C82">
        <f>_xlfn.RANK.EQ(DataShift!Y783,DataShift!F783:Y783)</f>
        <v>6</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1</v>
      </c>
      <c r="C83">
        <f>_xlfn.RANK.EQ(DataShift!Y784,DataShift!F784:Y784)</f>
        <v>1</v>
      </c>
      <c r="D83">
        <f>_xlfn.RANK.EQ(DataShift!AU685,DataShift!AB685:AU685)</f>
        <v>20</v>
      </c>
      <c r="G83">
        <f>_xlfn.RANK.EQ(DataShift!Y285,DataShift!F285:Y285)</f>
        <v>1</v>
      </c>
      <c r="H83">
        <f>_xlfn.RANK.AVG(DataShift!Y285,DataShift!F285:Y285)</f>
        <v>1</v>
      </c>
      <c r="I83" s="88">
        <f>_xlfn.PERCENTRANK.INC(DataShift!F285:Y285,DataShift!Y285)</f>
        <v>1</v>
      </c>
    </row>
    <row r="84" spans="1:9" hidden="1">
      <c r="A84" t="str">
        <f ca="1">TabCalc[[#This Row],[Ticker]]</f>
        <v>NVAX</v>
      </c>
      <c r="B84">
        <f>_xlfn.RANK.EQ(DataShift!AU186,DataShift!AB186:AU186)</f>
        <v>12</v>
      </c>
      <c r="C84">
        <f>_xlfn.RANK.EQ(DataShift!Y785,DataShift!F785:Y785)</f>
        <v>13</v>
      </c>
      <c r="D84">
        <f>_xlfn.RANK.EQ(DataShift!AU686,DataShift!AB686:AU686)</f>
        <v>6</v>
      </c>
      <c r="G84">
        <f>_xlfn.RANK.EQ(DataShift!Y286,DataShift!F286:Y286)</f>
        <v>15</v>
      </c>
      <c r="H84">
        <f>_xlfn.RANK.AVG(DataShift!Y286,DataShift!F286:Y286)</f>
        <v>15</v>
      </c>
      <c r="I84" s="88">
        <f>_xlfn.PERCENTRANK.INC(DataShift!F286:Y286,DataShift!Y286)</f>
        <v>0.26300000000000001</v>
      </c>
    </row>
    <row r="85" spans="1:9" hidden="1">
      <c r="A85" t="str">
        <f ca="1">TabCalc[[#This Row],[Ticker]]</f>
        <v>NVS</v>
      </c>
      <c r="B85">
        <f>_xlfn.RANK.EQ(DataShift!AU187,DataShift!AB187:AU187)</f>
        <v>2</v>
      </c>
      <c r="C85">
        <f>_xlfn.RANK.EQ(DataShift!Y786,DataShift!F786:Y786)</f>
        <v>7</v>
      </c>
      <c r="D85">
        <f>_xlfn.RANK.EQ(DataShift!AU687,DataShift!AB687:AU687)</f>
        <v>6</v>
      </c>
      <c r="G85">
        <f>_xlfn.RANK.EQ(DataShift!Y287,DataShift!F287:Y287)</f>
        <v>4</v>
      </c>
      <c r="H85">
        <f>_xlfn.RANK.AVG(DataShift!Y287,DataShift!F287:Y287)</f>
        <v>4</v>
      </c>
      <c r="I85" s="88">
        <f>_xlfn.PERCENTRANK.INC(DataShift!F287:Y287,DataShift!Y287)</f>
        <v>0.84199999999999997</v>
      </c>
    </row>
    <row r="86" spans="1:9" hidden="1">
      <c r="A86" t="str">
        <f ca="1">TabCalc[[#This Row],[Ticker]]</f>
        <v>ORA</v>
      </c>
      <c r="B86">
        <f>_xlfn.RANK.EQ(DataShift!AU188,DataShift!AB188:AU188)</f>
        <v>18</v>
      </c>
      <c r="C86">
        <f>_xlfn.RANK.EQ(DataShift!Y787,DataShift!F787:Y787)</f>
        <v>7</v>
      </c>
      <c r="D86">
        <f>_xlfn.RANK.EQ(DataShift!AU688,DataShift!AB688:AU688)</f>
        <v>3</v>
      </c>
      <c r="G86">
        <f>_xlfn.RANK.EQ(DataShift!Y288,DataShift!F288:Y288)</f>
        <v>15</v>
      </c>
      <c r="H86">
        <f>_xlfn.RANK.AVG(DataShift!Y288,DataShift!F288:Y288)</f>
        <v>15</v>
      </c>
      <c r="I86" s="88">
        <f>_xlfn.PERCENTRANK.INC(DataShift!F288:Y288,DataShift!Y288)</f>
        <v>0.26300000000000001</v>
      </c>
    </row>
    <row r="87" spans="1:9" hidden="1">
      <c r="A87" t="str">
        <f ca="1">TabCalc[[#This Row],[Ticker]]</f>
        <v>OXY</v>
      </c>
      <c r="B87">
        <f>_xlfn.RANK.EQ(DataShift!AU189,DataShift!AB189:AU189)</f>
        <v>3</v>
      </c>
      <c r="C87">
        <f>_xlfn.RANK.EQ(DataShift!Y788,DataShift!F788:Y788)</f>
        <v>19</v>
      </c>
      <c r="D87">
        <f>_xlfn.RANK.EQ(DataShift!AU689,DataShift!AB689:AU689)</f>
        <v>3</v>
      </c>
      <c r="G87">
        <f>_xlfn.RANK.EQ(DataShift!Y289,DataShift!F289:Y289)</f>
        <v>17</v>
      </c>
      <c r="H87">
        <f>_xlfn.RANK.AVG(DataShift!Y289,DataShift!F289:Y289)</f>
        <v>17</v>
      </c>
      <c r="I87" s="88">
        <f>_xlfn.PERCENTRANK.INC(DataShift!F289:Y289,DataShift!Y289)</f>
        <v>0.157</v>
      </c>
    </row>
    <row r="88" spans="1:9" hidden="1">
      <c r="A88" t="str">
        <f ca="1">TabCalc[[#This Row],[Ticker]]</f>
        <v>PFE</v>
      </c>
      <c r="B88">
        <f>_xlfn.RANK.EQ(DataShift!AU190,DataShift!AB190:AU190)</f>
        <v>10</v>
      </c>
      <c r="C88">
        <f>_xlfn.RANK.EQ(DataShift!Y789,DataShift!F789:Y789)</f>
        <v>10</v>
      </c>
      <c r="D88">
        <f>_xlfn.RANK.EQ(DataShift!AU690,DataShift!AB690:AU690)</f>
        <v>19</v>
      </c>
      <c r="G88">
        <f>_xlfn.RANK.EQ(DataShift!Y290,DataShift!F290:Y290)</f>
        <v>2</v>
      </c>
      <c r="H88">
        <f>_xlfn.RANK.AVG(DataShift!Y290,DataShift!F290:Y290)</f>
        <v>2</v>
      </c>
      <c r="I88" s="88">
        <f>_xlfn.PERCENTRANK.INC(DataShift!F290:Y290,DataShift!Y290)</f>
        <v>0.94699999999999995</v>
      </c>
    </row>
    <row r="89" spans="1:9" hidden="1">
      <c r="A89" t="str">
        <f ca="1">TabCalc[[#This Row],[Ticker]]</f>
        <v>RIG</v>
      </c>
      <c r="B89">
        <f>_xlfn.RANK.EQ(DataShift!AU191,DataShift!AB191:AU191)</f>
        <v>2</v>
      </c>
      <c r="C89">
        <f>_xlfn.RANK.EQ(DataShift!Y790,DataShift!F790:Y790)</f>
        <v>16</v>
      </c>
      <c r="D89">
        <f>_xlfn.RANK.EQ(DataShift!AU691,DataShift!AB691:AU691)</f>
        <v>8</v>
      </c>
      <c r="G89">
        <f>_xlfn.RANK.EQ(DataShift!Y291,DataShift!F291:Y291)</f>
        <v>11</v>
      </c>
      <c r="H89">
        <f>_xlfn.RANK.AVG(DataShift!Y291,DataShift!F291:Y291)</f>
        <v>11</v>
      </c>
      <c r="I89" s="88">
        <f>_xlfn.PERCENTRANK.INC(DataShift!F291:Y291,DataShift!Y291)</f>
        <v>0.47299999999999998</v>
      </c>
    </row>
    <row r="90" spans="1:9">
      <c r="A90" t="str">
        <f ca="1">TabCalc[[#This Row],[Ticker]]</f>
        <v>RRC</v>
      </c>
      <c r="B90">
        <f>_xlfn.RANK.EQ(DataShift!AU192,DataShift!AB192:AU192)</f>
        <v>3</v>
      </c>
      <c r="C90">
        <f>_xlfn.RANK.EQ(DataShift!Y791,DataShift!F791:Y791)</f>
        <v>19</v>
      </c>
      <c r="D90">
        <f>_xlfn.RANK.EQ(DataShift!AU692,DataShift!AB692:AU692)</f>
        <v>1</v>
      </c>
      <c r="G90">
        <f>_xlfn.RANK.EQ(DataShift!Y292,DataShift!F292:Y292)</f>
        <v>20</v>
      </c>
      <c r="H90">
        <f>_xlfn.RANK.AVG(DataShift!Y292,DataShift!F292:Y292)</f>
        <v>20</v>
      </c>
      <c r="I90" s="88">
        <f>_xlfn.PERCENTRANK.INC(DataShift!F292:Y292,DataShift!Y292)</f>
        <v>0</v>
      </c>
    </row>
    <row r="91" spans="1:9">
      <c r="A91" t="str">
        <f ca="1">TabCalc[[#This Row],[Ticker]]</f>
        <v>XYZ</v>
      </c>
      <c r="B91">
        <f>_xlfn.RANK.EQ(DataShift!AU193,DataShift!AB193:AU193)</f>
        <v>13</v>
      </c>
      <c r="C91">
        <f>_xlfn.RANK.EQ(DataShift!Y792,DataShift!F792:Y792)</f>
        <v>10</v>
      </c>
      <c r="D91">
        <f>_xlfn.RANK.EQ(DataShift!AU693,DataShift!AB693:AU693)</f>
        <v>14</v>
      </c>
      <c r="G91">
        <f>_xlfn.RANK.EQ(DataShift!Y293,DataShift!F293:Y293)</f>
        <v>8</v>
      </c>
      <c r="H91">
        <f>_xlfn.RANK.AVG(DataShift!Y293,DataShift!F293:Y293)</f>
        <v>8</v>
      </c>
      <c r="I91" s="88">
        <f>_xlfn.PERCENTRANK.INC(DataShift!F293:Y293,DataShift!Y293)</f>
        <v>0.63100000000000001</v>
      </c>
    </row>
    <row r="92" spans="1:9">
      <c r="A92" t="str">
        <f ca="1">TabCalc[[#This Row],[Ticker]]</f>
        <v>THC</v>
      </c>
      <c r="B92">
        <f>_xlfn.RANK.EQ(DataShift!AU194,DataShift!AB194:AU194)</f>
        <v>5</v>
      </c>
      <c r="C92">
        <f>_xlfn.RANK.EQ(DataShift!Y793,DataShift!F793:Y793)</f>
        <v>9</v>
      </c>
      <c r="D92">
        <f>_xlfn.RANK.EQ(DataShift!AU694,DataShift!AB694:AU694)</f>
        <v>6</v>
      </c>
      <c r="G92">
        <f>_xlfn.RANK.EQ(DataShift!Y294,DataShift!F294:Y294)</f>
        <v>14</v>
      </c>
      <c r="H92">
        <f>_xlfn.RANK.AVG(DataShift!Y294,DataShift!F294:Y294)</f>
        <v>14</v>
      </c>
      <c r="I92" s="88">
        <f>_xlfn.PERCENTRANK.INC(DataShift!F294:Y294,DataShift!Y294)</f>
        <v>0.315</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2</v>
      </c>
      <c r="C94">
        <f>_xlfn.RANK.EQ(DataShift!Y797,DataShift!F797:Y797)</f>
        <v>20</v>
      </c>
      <c r="D94">
        <f>_xlfn.RANK.EQ(DataShift!AU698,DataShift!AB698:AU698)</f>
        <v>1</v>
      </c>
      <c r="G94">
        <f>_xlfn.RANK.EQ(DataShift!Y298,DataShift!F298:Y298)</f>
        <v>20</v>
      </c>
      <c r="H94">
        <f>_xlfn.RANK.AVG(DataShift!Y298,DataShift!F298:Y298)</f>
        <v>20</v>
      </c>
      <c r="I94" s="88">
        <f>_xlfn.PERCENTRANK.INC(DataShift!F298:Y298,DataShift!Y298)</f>
        <v>0</v>
      </c>
    </row>
    <row r="95" spans="1:9">
      <c r="A95" t="str">
        <f ca="1">TabCalc[[#This Row],[Ticker]]</f>
        <v>JBASML</v>
      </c>
      <c r="B95">
        <f>_xlfn.RANK.EQ(DataShift!AU196,DataShift!AB196:AU196)</f>
        <v>2</v>
      </c>
      <c r="C95">
        <f>_xlfn.RANK.EQ(DataShift!Y795,DataShift!F795:Y795)</f>
        <v>6</v>
      </c>
      <c r="D95">
        <f>_xlfn.RANK.EQ(DataShift!AU696,DataShift!AB696:AU696)</f>
        <v>1</v>
      </c>
      <c r="G95">
        <f>_xlfn.RANK.EQ(DataShift!Y296,DataShift!F296:Y296)</f>
        <v>1</v>
      </c>
      <c r="H95">
        <f>_xlfn.RANK.AVG(DataShift!Y296,DataShift!F296:Y296)</f>
        <v>1</v>
      </c>
      <c r="I95" s="88">
        <f>_xlfn.PERCENTRANK.INC(DataShift!F296:Y296,DataShift!Y296)</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1783</v>
      </c>
      <c r="B1" t="s">
        <v>1784</v>
      </c>
      <c r="C1" t="s">
        <v>1785</v>
      </c>
      <c r="D1" t="s">
        <v>1786</v>
      </c>
      <c r="E1" t="s">
        <v>1787</v>
      </c>
    </row>
    <row r="2" spans="1:5">
      <c r="A2" t="s">
        <v>1788</v>
      </c>
      <c r="B2">
        <v>-54116.19</v>
      </c>
      <c r="C2">
        <v>1033766.19</v>
      </c>
      <c r="D2">
        <v>-5.2348577970034019E-2</v>
      </c>
      <c r="E2">
        <v>16000</v>
      </c>
    </row>
    <row r="3" spans="1:5">
      <c r="A3" t="s">
        <v>1788</v>
      </c>
      <c r="B3">
        <v>6124569.2999999989</v>
      </c>
      <c r="C3">
        <v>20995230.700000003</v>
      </c>
      <c r="D3">
        <v>0.29171240780888386</v>
      </c>
      <c r="E3">
        <v>490000</v>
      </c>
    </row>
    <row r="4" spans="1:5">
      <c r="A4" t="s">
        <v>1788</v>
      </c>
      <c r="B4">
        <v>99033.309999999969</v>
      </c>
      <c r="C4">
        <v>2329211.79</v>
      </c>
      <c r="D4">
        <v>4.2517949816834807E-2</v>
      </c>
      <c r="E4">
        <v>41990</v>
      </c>
    </row>
    <row r="5" spans="1:5">
      <c r="A5" t="s">
        <v>1788</v>
      </c>
      <c r="B5">
        <v>3081.0360000000001</v>
      </c>
      <c r="C5">
        <v>544768.66400000011</v>
      </c>
      <c r="D5">
        <v>5.6556777281888586E-3</v>
      </c>
      <c r="E5">
        <v>38000</v>
      </c>
    </row>
    <row r="6" spans="1:5">
      <c r="A6" t="s">
        <v>1788</v>
      </c>
      <c r="B6">
        <v>-34900</v>
      </c>
      <c r="C6">
        <v>453330</v>
      </c>
      <c r="D6">
        <v>-7.6985860190148456E-2</v>
      </c>
      <c r="E6">
        <v>36000</v>
      </c>
    </row>
    <row r="7" spans="1:5">
      <c r="A7" t="s">
        <v>1788</v>
      </c>
      <c r="B7">
        <v>59969.281259999952</v>
      </c>
      <c r="C7">
        <v>645297.84874000004</v>
      </c>
      <c r="D7">
        <v>9.2932715298981963E-2</v>
      </c>
      <c r="E7">
        <v>18680</v>
      </c>
    </row>
    <row r="8" spans="1:5">
      <c r="A8" t="s">
        <v>1788</v>
      </c>
      <c r="B8">
        <v>11510.414999999997</v>
      </c>
      <c r="C8">
        <v>104759.08499999999</v>
      </c>
      <c r="D8">
        <v>0.10987510057003647</v>
      </c>
      <c r="E8">
        <v>25000</v>
      </c>
    </row>
    <row r="9" spans="1:5">
      <c r="A9" t="s">
        <v>1788</v>
      </c>
      <c r="B9">
        <v>31603.5</v>
      </c>
      <c r="C9">
        <v>1785342.5</v>
      </c>
      <c r="D9">
        <v>1.7701645482589474E-2</v>
      </c>
      <c r="E9">
        <v>52000</v>
      </c>
    </row>
    <row r="10" spans="1:5">
      <c r="A10" t="s">
        <v>1788</v>
      </c>
      <c r="B10">
        <v>37333.049999999996</v>
      </c>
      <c r="C10">
        <v>394360.05000000005</v>
      </c>
      <c r="D10">
        <v>9.4667423842754839E-2</v>
      </c>
      <c r="E10">
        <v>37600</v>
      </c>
    </row>
    <row r="11" spans="1:5">
      <c r="A11" t="s">
        <v>1788</v>
      </c>
      <c r="B11">
        <v>31977.599564000029</v>
      </c>
      <c r="C11">
        <v>251380.26943599997</v>
      </c>
      <c r="D11">
        <v>0.12720807259752481</v>
      </c>
      <c r="E11">
        <v>21970</v>
      </c>
    </row>
    <row r="12" spans="1:5">
      <c r="A12" t="s">
        <v>1788</v>
      </c>
      <c r="B12">
        <v>46542.069999999978</v>
      </c>
      <c r="C12">
        <v>505010.93000000005</v>
      </c>
      <c r="D12">
        <v>9.2160520169335694E-2</v>
      </c>
      <c r="E12">
        <v>4800</v>
      </c>
    </row>
    <row r="13" spans="1:5">
      <c r="A13" t="s">
        <v>1788</v>
      </c>
      <c r="B13">
        <v>0</v>
      </c>
      <c r="C13">
        <v>0</v>
      </c>
    </row>
    <row r="14" spans="1:5">
      <c r="A14" t="s">
        <v>1788</v>
      </c>
      <c r="B14">
        <v>12535.499999999993</v>
      </c>
      <c r="C14">
        <v>109435</v>
      </c>
      <c r="D14">
        <v>0.11454744825695612</v>
      </c>
      <c r="E14">
        <v>25000</v>
      </c>
    </row>
    <row r="15" spans="1:5">
      <c r="A15" t="s">
        <v>1788</v>
      </c>
      <c r="B15">
        <v>46542.069999999978</v>
      </c>
      <c r="C15">
        <v>505010.93000000005</v>
      </c>
      <c r="D15">
        <v>9.2160520169335694E-2</v>
      </c>
      <c r="E15">
        <v>4800</v>
      </c>
    </row>
    <row r="16" spans="1:5">
      <c r="A16" t="s">
        <v>1788</v>
      </c>
      <c r="B16">
        <v>-161482.90000000002</v>
      </c>
      <c r="C16">
        <v>712651.9</v>
      </c>
      <c r="D16">
        <v>-0.22659435833960453</v>
      </c>
      <c r="E16">
        <v>7900</v>
      </c>
    </row>
    <row r="17" spans="1:5">
      <c r="A17" t="s">
        <v>1788</v>
      </c>
      <c r="B17">
        <v>-161482.90000000002</v>
      </c>
      <c r="C17">
        <v>712651.9</v>
      </c>
      <c r="D17">
        <v>-0.22659435833960453</v>
      </c>
      <c r="E17">
        <v>7900</v>
      </c>
    </row>
    <row r="18" spans="1:5">
      <c r="A18" t="s">
        <v>1788</v>
      </c>
      <c r="B18">
        <v>1077203.75</v>
      </c>
      <c r="C18">
        <v>3438571.25</v>
      </c>
      <c r="D18">
        <v>0.31327073708302539</v>
      </c>
      <c r="E18">
        <v>372250</v>
      </c>
    </row>
    <row r="19" spans="1:5">
      <c r="A19" t="s">
        <v>1788</v>
      </c>
      <c r="B19">
        <v>86742.999999999985</v>
      </c>
      <c r="C19">
        <v>484018.6</v>
      </c>
      <c r="D19">
        <v>0.17921418722338353</v>
      </c>
      <c r="E19">
        <v>1990</v>
      </c>
    </row>
    <row r="20" spans="1:5">
      <c r="A20" t="s">
        <v>1788</v>
      </c>
      <c r="B20">
        <v>27017.407999999967</v>
      </c>
      <c r="C20">
        <v>581307.59199999995</v>
      </c>
      <c r="D20">
        <v>4.6476957073700094E-2</v>
      </c>
      <c r="E20">
        <v>16300</v>
      </c>
    </row>
    <row r="21" spans="1:5">
      <c r="A21" t="s">
        <v>1788</v>
      </c>
      <c r="B21">
        <v>12112.487999999979</v>
      </c>
      <c r="C21">
        <v>313257.52</v>
      </c>
      <c r="D21">
        <v>3.8666232178560245E-2</v>
      </c>
      <c r="E21">
        <v>2840</v>
      </c>
    </row>
    <row r="22" spans="1:5">
      <c r="A22" t="s">
        <v>1788</v>
      </c>
      <c r="B22">
        <v>-136423.48999999996</v>
      </c>
      <c r="C22">
        <v>2295564.5</v>
      </c>
      <c r="D22">
        <v>-5.9429168729521635E-2</v>
      </c>
      <c r="E22">
        <v>2600</v>
      </c>
    </row>
    <row r="23" spans="1:5">
      <c r="A23" t="s">
        <v>1788</v>
      </c>
      <c r="B23">
        <v>122025.74800000005</v>
      </c>
      <c r="C23">
        <v>1563720.6</v>
      </c>
      <c r="D23">
        <v>7.8035518621421274E-2</v>
      </c>
      <c r="E23">
        <v>1906</v>
      </c>
    </row>
    <row r="24" spans="1:5">
      <c r="A24" t="s">
        <v>1788</v>
      </c>
      <c r="B24">
        <v>1277421.0260000001</v>
      </c>
      <c r="C24">
        <v>2246666.054</v>
      </c>
      <c r="D24">
        <v>0.56858518146284331</v>
      </c>
      <c r="E24">
        <v>5100</v>
      </c>
    </row>
    <row r="25" spans="1:5">
      <c r="A25" t="s">
        <v>1788</v>
      </c>
      <c r="B25">
        <v>37709740.100000001</v>
      </c>
      <c r="C25">
        <v>84249000</v>
      </c>
      <c r="D25">
        <v>0.44759866704649315</v>
      </c>
      <c r="E25">
        <v>540000</v>
      </c>
    </row>
    <row r="26" spans="1:5">
      <c r="A26" t="s">
        <v>1788</v>
      </c>
      <c r="B26">
        <v>404559</v>
      </c>
      <c r="C26">
        <v>408348</v>
      </c>
      <c r="D26">
        <v>0.99072114960768753</v>
      </c>
      <c r="E26">
        <v>3800</v>
      </c>
    </row>
    <row r="27" spans="1:5">
      <c r="A27" t="s">
        <v>1788</v>
      </c>
      <c r="B27">
        <v>31977.599564000029</v>
      </c>
      <c r="C27">
        <v>251380.26943599997</v>
      </c>
      <c r="D27">
        <v>0.12720807259752481</v>
      </c>
      <c r="E27">
        <v>21970</v>
      </c>
    </row>
    <row r="28" spans="1:5">
      <c r="A28" t="s">
        <v>1788</v>
      </c>
      <c r="B28">
        <v>6124569.2999999989</v>
      </c>
      <c r="C28">
        <v>20995230.700000003</v>
      </c>
      <c r="D28">
        <v>0.29171240780888386</v>
      </c>
      <c r="E28">
        <v>490000</v>
      </c>
    </row>
    <row r="29" spans="1:5">
      <c r="A29" t="s">
        <v>1788</v>
      </c>
      <c r="B29">
        <v>466731</v>
      </c>
      <c r="C29">
        <v>1605515</v>
      </c>
      <c r="D29">
        <v>0.29070485171424748</v>
      </c>
      <c r="E29">
        <v>11000</v>
      </c>
    </row>
    <row r="30" spans="1:5">
      <c r="A30" t="s">
        <v>1788</v>
      </c>
      <c r="B30">
        <v>12535.499999999993</v>
      </c>
      <c r="C30">
        <v>109435</v>
      </c>
      <c r="D30">
        <v>0.11454744825695612</v>
      </c>
      <c r="E30">
        <v>25000</v>
      </c>
    </row>
    <row r="31" spans="1:5">
      <c r="A31" t="s">
        <v>1788</v>
      </c>
      <c r="B31">
        <v>116352.39999999998</v>
      </c>
      <c r="C31">
        <v>408705.6</v>
      </c>
      <c r="D31">
        <v>0.28468511319639367</v>
      </c>
      <c r="E31">
        <v>6900</v>
      </c>
    </row>
    <row r="32" spans="1:5">
      <c r="A32" t="s">
        <v>1788</v>
      </c>
      <c r="B32">
        <v>127413.432</v>
      </c>
      <c r="C32">
        <v>376986.2</v>
      </c>
      <c r="D32">
        <v>0.33797903477633928</v>
      </c>
      <c r="E32">
        <v>25500</v>
      </c>
    </row>
    <row r="33" spans="1:5">
      <c r="A33" t="s">
        <v>1788</v>
      </c>
      <c r="B33">
        <v>26759.200000000026</v>
      </c>
      <c r="C33">
        <v>432997.8</v>
      </c>
      <c r="D33">
        <v>6.1799852100865242E-2</v>
      </c>
      <c r="E33">
        <v>14400</v>
      </c>
    </row>
    <row r="34" spans="1:5">
      <c r="A34" t="s">
        <v>1788</v>
      </c>
      <c r="B34">
        <v>-136423.48999999996</v>
      </c>
      <c r="C34">
        <v>2295564.5</v>
      </c>
      <c r="D34">
        <v>-5.9429168729521635E-2</v>
      </c>
      <c r="E34">
        <v>2600</v>
      </c>
    </row>
    <row r="35" spans="1:5">
      <c r="A35" t="s">
        <v>1788</v>
      </c>
      <c r="B35">
        <v>2315.5849999999973</v>
      </c>
      <c r="C35">
        <v>46914.3</v>
      </c>
      <c r="D35">
        <v>4.9357765116393025E-2</v>
      </c>
      <c r="E35">
        <v>19990</v>
      </c>
    </row>
    <row r="36" spans="1:5">
      <c r="A36" t="s">
        <v>1788</v>
      </c>
      <c r="B36">
        <v>-79659.5</v>
      </c>
      <c r="C36">
        <v>186809.5</v>
      </c>
      <c r="D36">
        <v>-0.42642103319156682</v>
      </c>
      <c r="E36">
        <v>7700</v>
      </c>
    </row>
    <row r="37" spans="1:5">
      <c r="A37" t="s">
        <v>1788</v>
      </c>
      <c r="B37">
        <v>-79659.5</v>
      </c>
      <c r="C37">
        <v>186809.5</v>
      </c>
      <c r="D37">
        <v>-0.42642103319156682</v>
      </c>
      <c r="E37">
        <v>7700</v>
      </c>
    </row>
    <row r="38" spans="1:5">
      <c r="A38" t="s">
        <v>1788</v>
      </c>
      <c r="B38">
        <v>-79659.5</v>
      </c>
      <c r="C38">
        <v>186809.5</v>
      </c>
      <c r="D38">
        <v>-0.42642103319156682</v>
      </c>
      <c r="E38">
        <v>7700</v>
      </c>
    </row>
    <row r="39" spans="1:5">
      <c r="A39" t="s">
        <v>1788</v>
      </c>
      <c r="B39">
        <v>-79659.5</v>
      </c>
      <c r="C39">
        <v>186809.5</v>
      </c>
      <c r="D39">
        <v>-0.42642103319156682</v>
      </c>
      <c r="E39">
        <v>7700</v>
      </c>
    </row>
    <row r="40" spans="1:5">
      <c r="A40" t="s">
        <v>1788</v>
      </c>
      <c r="B40">
        <v>108050.74999999999</v>
      </c>
      <c r="C40">
        <v>759795.95</v>
      </c>
      <c r="D40">
        <v>0.14221022104684816</v>
      </c>
      <c r="E40">
        <v>15990</v>
      </c>
    </row>
    <row r="41" spans="1:5">
      <c r="A41" t="s">
        <v>1788</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0"/>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846" t="str" cm="1">
        <f t="array" ref="B2">_xlfn.LET(_xlpm.Tick,[0]!IDTICKER,_xlfn.IFS(OR(LEFT(_xlpm.Tick,3)="SAF",LEFT(_xlpm.Tick,3)="MVE"),RIGHT(_xlpm.Tick, LEN(_xlpm.Tick)-3),LEFT(_xlpm.Tick,2)="JB",RIGHT(_xlpm.Tick, LEN(_xlpm.Tick)-2),TRUE,_xlpm.Tick))</f>
        <v>NEM</v>
      </c>
      <c r="K2" s="863" t="str">
        <f>TEXT(K3,"dd/mm/yyyy")</f>
        <v>01/01/2025</v>
      </c>
      <c r="L2" s="863" t="str">
        <f ca="1">TEXT(TODAY(),"dd/mm/yyyy")</f>
        <v>11/12/2025</v>
      </c>
      <c r="M2" s="864" t="s">
        <v>2285</v>
      </c>
    </row>
    <row r="3" spans="2:130" ht="23" thickBot="1">
      <c r="B3" s="1847"/>
      <c r="C3" s="865"/>
      <c r="D3" s="865"/>
      <c r="E3" s="1152">
        <v>5.0000000000000001E-3</v>
      </c>
      <c r="I3" s="957" t="s">
        <v>2405</v>
      </c>
      <c r="J3" s="880" t="str">
        <f>B2</f>
        <v>NEM</v>
      </c>
      <c r="K3" s="1116">
        <v>45658</v>
      </c>
      <c r="L3" s="1116">
        <f ca="1">TODAY()</f>
        <v>46002</v>
      </c>
      <c r="M3" s="864">
        <f ca="1">MATCH(MAX(J5:J212),J5:J212,0)</f>
        <v>208</v>
      </c>
    </row>
    <row r="4" spans="2:130">
      <c r="B4" s="87" t="s">
        <v>156</v>
      </c>
      <c r="C4" s="87" t="s">
        <v>2286</v>
      </c>
      <c r="D4" s="87" t="s">
        <v>195</v>
      </c>
      <c r="E4" s="292" t="s">
        <v>2549</v>
      </c>
      <c r="F4" s="292"/>
      <c r="G4" s="292" t="s">
        <v>2548</v>
      </c>
      <c r="H4" s="863">
        <f ca="1">COUNTIF(H5:H212,"=ZZ")</f>
        <v>10</v>
      </c>
      <c r="I4" s="957" t="s">
        <v>2406</v>
      </c>
      <c r="J4" s="87" t="str" cm="1">
        <f t="array" aca="1" ref="J4:K240"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46001</v>
      </c>
      <c r="C5" s="87" vm="2">
        <f ca="1"/>
        <v>94.4</v>
      </c>
      <c r="D5" s="1169">
        <f t="shared" ref="D5:D68" ca="1" si="0">IFERROR((C5-C6)/C6,0)</f>
        <v>3.2947178233606361E-3</v>
      </c>
      <c r="E5" s="292" t="str" cm="1">
        <f t="array" aca="1" ref="E5" ca="1">_xlfn.IFS(D5&gt;ZPercent,"U",D5&lt;=-ZPercent,"D",TRUE,"Z")</f>
        <v>Z</v>
      </c>
      <c r="F5" s="292" t="str">
        <f ca="1">_xlfn.CONCAT(E6,E5)</f>
        <v>UZ</v>
      </c>
      <c r="G5" s="292" t="str">
        <f ca="1">_xlfn.CONCAT(E7,E6,E5)</f>
        <v>DUZ</v>
      </c>
      <c r="H5" s="863" t="str">
        <f ca="1">IF(AND(E5="D",E6="Z"),"ZZ","")</f>
        <v/>
      </c>
      <c r="J5" s="87" vm="3">
        <f ca="1"/>
        <v>45659</v>
      </c>
      <c r="K5" s="87" vm="4">
        <f ca="1"/>
        <v>38.369999999999997</v>
      </c>
      <c r="N5" s="863" t="str">
        <f ca="1">IF(F5=[2]Sheet1!O3,"","dif")</f>
        <v>dif</v>
      </c>
    </row>
    <row r="6" spans="2:130" ht="22" customHeight="1">
      <c r="B6" s="87" vm="5">
        <f ca="1"/>
        <v>46000</v>
      </c>
      <c r="C6" s="87" vm="6">
        <f ca="1"/>
        <v>94.09</v>
      </c>
      <c r="D6" s="1169">
        <f t="shared" ca="1" si="0"/>
        <v>5.7191011235955096E-2</v>
      </c>
      <c r="E6" s="292" t="str" cm="1">
        <f t="array" aca="1" ref="E6" ca="1">_xlfn.IFS(D6&gt;ZPercent,"U",D6&lt;=-ZPercent,"D",TRUE,"Z")</f>
        <v>U</v>
      </c>
      <c r="F6" s="292" t="str">
        <f t="shared" ref="F6:F69" ca="1" si="1">_xlfn.CONCAT(E7,E6)</f>
        <v>DU</v>
      </c>
      <c r="G6" s="292" t="str">
        <f t="shared" ref="G6:G69" ca="1" si="2">_xlfn.CONCAT(E8,E7,E6)</f>
        <v>DDU</v>
      </c>
      <c r="H6" s="863" t="str">
        <f t="shared" ref="H6:H69" ca="1" si="3">IF(AND(E6="D",E7="Z"),"ZZ","")</f>
        <v/>
      </c>
      <c r="J6" s="87" vm="7">
        <f ca="1"/>
        <v>45660</v>
      </c>
      <c r="K6" s="87" vm="8">
        <f ca="1"/>
        <v>38.11</v>
      </c>
      <c r="N6" s="863" t="str">
        <f ca="1">IF(F6=[2]Sheet1!O4,"","dif")</f>
        <v>dif</v>
      </c>
    </row>
    <row r="7" spans="2:130" ht="22" customHeight="1">
      <c r="B7" s="87" vm="9">
        <f ca="1"/>
        <v>45999</v>
      </c>
      <c r="C7" s="87" vm="10">
        <f ca="1"/>
        <v>89</v>
      </c>
      <c r="D7" s="1169">
        <f t="shared" ca="1" si="0"/>
        <v>-8.4670231729055828E-3</v>
      </c>
      <c r="E7" s="292" t="str" cm="1">
        <f t="array" aca="1" ref="E7" ca="1">_xlfn.IFS(D7&gt;ZPercent,"U",D7&lt;=-ZPercent,"D",TRUE,"Z")</f>
        <v>D</v>
      </c>
      <c r="F7" s="292" t="str">
        <f t="shared" ca="1" si="1"/>
        <v>DD</v>
      </c>
      <c r="G7" s="292" t="str">
        <f t="shared" ca="1" si="2"/>
        <v>UDD</v>
      </c>
      <c r="H7" s="863" t="str">
        <f t="shared" ca="1" si="3"/>
        <v/>
      </c>
      <c r="J7" s="87" vm="11">
        <f ca="1"/>
        <v>45663</v>
      </c>
      <c r="K7" s="87" vm="12">
        <f ca="1"/>
        <v>37.79</v>
      </c>
      <c r="N7" s="863" t="str">
        <f ca="1">IF(F7=[2]Sheet1!O5,"","dif")</f>
        <v>dif</v>
      </c>
    </row>
    <row r="8" spans="2:130" ht="22" customHeight="1">
      <c r="B8" s="87" vm="13">
        <f ca="1"/>
        <v>45996</v>
      </c>
      <c r="C8" s="87" vm="14">
        <f ca="1"/>
        <v>89.76</v>
      </c>
      <c r="D8" s="1169">
        <f t="shared" ca="1" si="0"/>
        <v>-1.0582010582010514E-2</v>
      </c>
      <c r="E8" s="292" t="str" cm="1">
        <f t="array" aca="1" ref="E8" ca="1">_xlfn.IFS(D8&gt;ZPercent,"U",D8&lt;=-ZPercent,"D",TRUE,"Z")</f>
        <v>D</v>
      </c>
      <c r="F8" s="292" t="str">
        <f t="shared" ca="1" si="1"/>
        <v>UD</v>
      </c>
      <c r="G8" s="292" t="str">
        <f t="shared" ca="1" si="2"/>
        <v>DUD</v>
      </c>
      <c r="H8" s="863" t="str">
        <f t="shared" ca="1" si="3"/>
        <v/>
      </c>
      <c r="J8" s="87" vm="15">
        <f ca="1"/>
        <v>45664</v>
      </c>
      <c r="K8" s="87" vm="16">
        <f ca="1"/>
        <v>38.159999999999997</v>
      </c>
      <c r="N8" s="863" t="str">
        <f ca="1">IF(F8=[2]Sheet1!O6,"","dif")</f>
        <v>dif</v>
      </c>
    </row>
    <row r="9" spans="2:130">
      <c r="B9" s="87" vm="17">
        <f ca="1"/>
        <v>45995</v>
      </c>
      <c r="C9" s="87" vm="18">
        <f ca="1"/>
        <v>90.72</v>
      </c>
      <c r="D9" s="1169">
        <f t="shared" ca="1" si="0"/>
        <v>1.193530395984376E-2</v>
      </c>
      <c r="E9" s="292" t="str" cm="1">
        <f t="array" aca="1" ref="E9" ca="1">_xlfn.IFS(D9&gt;ZPercent,"U",D9&lt;=-ZPercent,"D",TRUE,"Z")</f>
        <v>U</v>
      </c>
      <c r="F9" s="292" t="str">
        <f t="shared" ca="1" si="1"/>
        <v>DU</v>
      </c>
      <c r="G9" s="292" t="str">
        <f t="shared" ca="1" si="2"/>
        <v>DDU</v>
      </c>
      <c r="H9" s="863" t="str">
        <f t="shared" ca="1" si="3"/>
        <v/>
      </c>
      <c r="J9" s="87" vm="19">
        <f ca="1"/>
        <v>45665</v>
      </c>
      <c r="K9" s="87" vm="20">
        <f ca="1"/>
        <v>39.130000000000003</v>
      </c>
      <c r="N9" s="863" t="str">
        <f ca="1">IF(F9=[2]Sheet1!O7,"","dif")</f>
        <v/>
      </c>
      <c r="S9" s="863" t="str" cm="1">
        <f t="array" aca="1" ref="S9:AV9" ca="1">TRANSPOSE(R10:R39)</f>
        <v>DUZ</v>
      </c>
      <c r="T9" s="863" t="str">
        <f ca="1"/>
        <v>DDU</v>
      </c>
      <c r="U9" s="863" t="str">
        <f ca="1"/>
        <v>UDD</v>
      </c>
      <c r="V9" s="863" t="str">
        <f ca="1"/>
        <v>DUD</v>
      </c>
      <c r="W9" s="863" t="str">
        <f ca="1"/>
        <v>ZUD</v>
      </c>
      <c r="X9" s="863" t="str">
        <f ca="1"/>
        <v>UZU</v>
      </c>
      <c r="Y9" s="863" t="str">
        <f ca="1"/>
        <v>ZUZ</v>
      </c>
      <c r="Z9" s="863" t="str">
        <f ca="1"/>
        <v>UUZ</v>
      </c>
      <c r="AA9" s="863" t="str">
        <f ca="1"/>
        <v>DUU</v>
      </c>
      <c r="AB9" s="863" t="str">
        <f ca="1"/>
        <v>UDU</v>
      </c>
      <c r="AC9" s="863" t="str">
        <f ca="1"/>
        <v>DDD</v>
      </c>
      <c r="AD9" s="863" t="str">
        <f ca="1"/>
        <v>UUD</v>
      </c>
      <c r="AE9" s="863" t="str">
        <f ca="1"/>
        <v>UUU</v>
      </c>
      <c r="AF9" s="863" t="str">
        <f ca="1"/>
        <v>ZUU</v>
      </c>
      <c r="AG9" s="863" t="str">
        <f ca="1"/>
        <v>DZU</v>
      </c>
      <c r="AH9" s="863" t="str">
        <f ca="1"/>
        <v>UDZ</v>
      </c>
      <c r="AI9" s="863" t="str">
        <f ca="1"/>
        <v>ZZU</v>
      </c>
      <c r="AJ9" s="863" t="str">
        <f ca="1"/>
        <v>ZZZ</v>
      </c>
      <c r="AK9" s="863" t="str">
        <f ca="1"/>
        <v>DZZ</v>
      </c>
      <c r="AL9" s="863" t="str">
        <f ca="1"/>
        <v>ZDU</v>
      </c>
      <c r="AM9" s="863" t="str">
        <f ca="1"/>
        <v>UZD</v>
      </c>
      <c r="AN9" s="863" t="str">
        <f ca="1"/>
        <v>ZDZ</v>
      </c>
      <c r="AO9" s="863" t="str">
        <f ca="1"/>
        <v>ZZD</v>
      </c>
      <c r="AP9" s="863" t="str">
        <f ca="1"/>
        <v>UZZ</v>
      </c>
      <c r="AQ9" s="863" t="str">
        <f ca="1"/>
        <v>ZDD</v>
      </c>
      <c r="AR9" s="863" t="str">
        <f ca="1"/>
        <v>DZD</v>
      </c>
      <c r="AS9" s="863">
        <f ca="1"/>
        <v>0</v>
      </c>
      <c r="AT9" s="863">
        <f ca="1"/>
        <v>0</v>
      </c>
      <c r="AU9" s="863">
        <f ca="1"/>
        <v>0</v>
      </c>
      <c r="AV9" s="863">
        <f ca="1"/>
        <v>0</v>
      </c>
      <c r="CS9" s="863" t="str" cm="1">
        <f t="array" aca="1" ref="CS9:DZ9" ca="1">TRANSPOSE(R10:R43)</f>
        <v>DUZ</v>
      </c>
      <c r="CT9" s="863" t="str">
        <f ca="1"/>
        <v>DDU</v>
      </c>
      <c r="CU9" s="863" t="str">
        <f ca="1"/>
        <v>UDD</v>
      </c>
      <c r="CV9" s="863" t="str">
        <f ca="1"/>
        <v>DUD</v>
      </c>
      <c r="CW9" s="863" t="str">
        <f ca="1"/>
        <v>ZUD</v>
      </c>
      <c r="CX9" s="863" t="str">
        <f ca="1"/>
        <v>UZU</v>
      </c>
      <c r="CY9" s="863" t="str">
        <f ca="1"/>
        <v>ZUZ</v>
      </c>
      <c r="CZ9" s="863" t="str">
        <f ca="1"/>
        <v>UUZ</v>
      </c>
      <c r="DA9" s="863" t="str">
        <f ca="1"/>
        <v>DUU</v>
      </c>
      <c r="DB9" s="863" t="str">
        <f ca="1"/>
        <v>UDU</v>
      </c>
      <c r="DC9" s="863" t="str">
        <f ca="1"/>
        <v>DDD</v>
      </c>
      <c r="DD9" s="863" t="str">
        <f ca="1"/>
        <v>UUD</v>
      </c>
      <c r="DE9" s="863" t="str">
        <f ca="1"/>
        <v>UUU</v>
      </c>
      <c r="DF9" s="863" t="str">
        <f ca="1"/>
        <v>ZUU</v>
      </c>
      <c r="DG9" s="863" t="str">
        <f ca="1"/>
        <v>DZU</v>
      </c>
      <c r="DH9" s="863" t="str">
        <f ca="1"/>
        <v>UDZ</v>
      </c>
      <c r="DI9" s="863" t="str">
        <f ca="1"/>
        <v>ZZU</v>
      </c>
      <c r="DJ9" s="863" t="str">
        <f ca="1"/>
        <v>ZZZ</v>
      </c>
      <c r="DK9" s="863" t="str">
        <f ca="1"/>
        <v>DZZ</v>
      </c>
      <c r="DL9" s="863" t="str">
        <f ca="1"/>
        <v>ZDU</v>
      </c>
      <c r="DM9" s="863" t="str">
        <f ca="1"/>
        <v>UZD</v>
      </c>
      <c r="DN9" s="863" t="str">
        <f ca="1"/>
        <v>ZDZ</v>
      </c>
      <c r="DO9" s="863" t="str">
        <f ca="1"/>
        <v>ZZD</v>
      </c>
      <c r="DP9" s="863" t="str">
        <f ca="1"/>
        <v>UZZ</v>
      </c>
      <c r="DQ9" s="863" t="str">
        <f ca="1"/>
        <v>ZDD</v>
      </c>
      <c r="DR9" s="863" t="str">
        <f ca="1"/>
        <v>DZD</v>
      </c>
      <c r="DS9" s="863">
        <f ca="1"/>
        <v>0</v>
      </c>
      <c r="DT9" s="863">
        <f ca="1"/>
        <v>0</v>
      </c>
      <c r="DU9" s="863">
        <f ca="1"/>
        <v>0</v>
      </c>
      <c r="DV9" s="863">
        <f ca="1"/>
        <v>0</v>
      </c>
      <c r="DW9" s="863">
        <f ca="1"/>
        <v>0</v>
      </c>
      <c r="DX9" s="863">
        <f ca="1"/>
        <v>0</v>
      </c>
      <c r="DY9" s="863" t="str">
        <f ca="1"/>
        <v>Min</v>
      </c>
      <c r="DZ9" s="1153">
        <f ca="1"/>
        <v>1.6393442622950821E-2</v>
      </c>
    </row>
    <row r="10" spans="2:130">
      <c r="B10" s="87" vm="21">
        <f ca="1"/>
        <v>45994</v>
      </c>
      <c r="C10" s="87" vm="22">
        <f ca="1"/>
        <v>89.65</v>
      </c>
      <c r="D10" s="1169">
        <f t="shared" ca="1" si="0"/>
        <v>-9.1732979664013951E-3</v>
      </c>
      <c r="E10" s="292" t="str" cm="1">
        <f t="array" aca="1" ref="E10" ca="1">_xlfn.IFS(D10&gt;ZPercent,"U",D10&lt;=-ZPercent,"D",TRUE,"Z")</f>
        <v>D</v>
      </c>
      <c r="F10" s="292" t="str">
        <f t="shared" ca="1" si="1"/>
        <v>DD</v>
      </c>
      <c r="G10" s="292" t="str">
        <f t="shared" ca="1" si="2"/>
        <v>UDD</v>
      </c>
      <c r="H10" s="863" t="str">
        <f t="shared" ca="1" si="3"/>
        <v/>
      </c>
      <c r="J10" s="87" vm="23">
        <f ca="1"/>
        <v>45667</v>
      </c>
      <c r="K10" s="87" vm="24">
        <f ca="1"/>
        <v>39.1</v>
      </c>
      <c r="N10" s="863" t="str">
        <f ca="1">IF(F10=[2]Sheet1!O8,"","dif")</f>
        <v/>
      </c>
      <c r="R10" s="863" t="str" cm="1">
        <f t="array" aca="1" ref="R10:R35" ca="1">_xlfn.UNIQUE(G5:G157)</f>
        <v>DUZ</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0</v>
      </c>
      <c r="W10" s="863" cm="1">
        <f t="array" aca="1" ref="W10" ca="1">SUM( ($G$7:$G$212=$R10) * ($G$6:$G$211=W$9) )</f>
        <v>0</v>
      </c>
      <c r="X10" s="863" cm="1">
        <f t="array" aca="1" ref="X10" ca="1">SUM( ($G$7:$G$212=$R10) * ($G$6:$G$211=X$9) )</f>
        <v>5</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0</v>
      </c>
      <c r="AF10" s="863" cm="1">
        <f t="array" aca="1" ref="AF10" ca="1">SUM( ($G$7:$G$212=$R10) * ($G$6:$G$211=AF$9) )</f>
        <v>0</v>
      </c>
      <c r="AG10" s="863" cm="1">
        <f t="array" aca="1" ref="AG10" ca="1">SUM( ($G$7:$G$212=$R10) * ($G$6:$G$211=AG$9) )</f>
        <v>0</v>
      </c>
      <c r="AH10" s="863" cm="1">
        <f t="array" aca="1" ref="AH10" ca="1">SUM( ($G$7:$G$212=$R10) * ($G$6:$G$211=AH$9) )</f>
        <v>0</v>
      </c>
      <c r="AI10" s="863" cm="1">
        <f t="array" aca="1" ref="AI10" ca="1">SUM( ($G$7:$G$212=$R10) * ($G$6:$G$211=AI$9) )</f>
        <v>0</v>
      </c>
      <c r="AJ10" s="863" cm="1">
        <f t="array" aca="1" ref="AJ10" ca="1">SUM( ($G$7:$G$212=$R10) * ($G$6:$G$211=AJ$9) )</f>
        <v>0</v>
      </c>
      <c r="AK10" s="863" cm="1">
        <f t="array" aca="1" ref="AK10" ca="1">SUM( ($G$7:$G$212=$R10) * ($G$6:$G$211=AK$9) )</f>
        <v>0</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2" ca="1">_xlfn.UNIQUE(G$5:G$25)</f>
        <v>DUZ</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0</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5">
        <f ca="1"/>
        <v>45993</v>
      </c>
      <c r="C11" s="87" vm="26">
        <f ca="1"/>
        <v>90.48</v>
      </c>
      <c r="D11" s="1169">
        <f t="shared" ca="1" si="0"/>
        <v>-1.4701078079059069E-2</v>
      </c>
      <c r="E11" s="292" t="str" cm="1">
        <f t="array" aca="1" ref="E11" ca="1">_xlfn.IFS(D11&gt;ZPercent,"U",D11&lt;=-ZPercent,"D",TRUE,"Z")</f>
        <v>D</v>
      </c>
      <c r="F11" s="292" t="str">
        <f t="shared" ca="1" si="1"/>
        <v>UD</v>
      </c>
      <c r="G11" s="292" t="str">
        <f t="shared" ca="1" si="2"/>
        <v>ZUD</v>
      </c>
      <c r="H11" s="863" t="str">
        <f t="shared" ca="1" si="3"/>
        <v/>
      </c>
      <c r="J11" s="87" vm="27">
        <f ca="1"/>
        <v>45670</v>
      </c>
      <c r="K11" s="87" vm="28">
        <f ca="1"/>
        <v>39.17</v>
      </c>
      <c r="N11" s="863" t="str">
        <f ca="1">IF(F11=[2]Sheet1!O9,"","dif")</f>
        <v/>
      </c>
      <c r="R11" s="863" t="str">
        <f ca="1"/>
        <v>DDU</v>
      </c>
      <c r="S11" s="863" cm="1">
        <f t="array" aca="1" ref="S11" ca="1">SUM( ($G$7:$G$212=$R11) * ($G$6:$G$211=S$9) )</f>
        <v>3</v>
      </c>
      <c r="T11" s="863" cm="1">
        <f t="array" aca="1" ref="T11" ca="1">SUM( ($G$7:$G$212=$R11) * ($G$6:$G$211=T$9) )</f>
        <v>0</v>
      </c>
      <c r="U11" s="863" cm="1">
        <f t="array" aca="1" ref="U11" ca="1">SUM( ($G$7:$G$212=$R11) * ($G$6:$G$211=U$9) )</f>
        <v>0</v>
      </c>
      <c r="V11" s="863" cm="1">
        <f t="array" aca="1" ref="V11" ca="1">SUM( ($G$7:$G$212=$R11) * ($G$6:$G$211=V$9) )</f>
        <v>7</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1</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0</v>
      </c>
      <c r="AF11" s="863" cm="1">
        <f t="array" aca="1" ref="AF11" ca="1">SUM( ($G$7:$G$212=$R11) * ($G$6:$G$211=AF$9) )</f>
        <v>0</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0</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DDU</v>
      </c>
      <c r="CS11" s="863" cm="1">
        <f t="array" aca="1" ref="CS11" ca="1">SUM( ($G$7:$G$25=$R11) * ($G$6:$G$24=CS$9) )</f>
        <v>0</v>
      </c>
      <c r="CT11" s="863" cm="1">
        <f t="array" aca="1" ref="CT11" ca="1">SUM( ($G$7:$G$25=$R11) * ($G$6:$G$24=CT$9) )</f>
        <v>0</v>
      </c>
      <c r="CU11" s="863" cm="1">
        <f t="array" aca="1" ref="CU11" ca="1">SUM( ($G$7:$G$25=$R11) * ($G$6:$G$24=CU$9) )</f>
        <v>0</v>
      </c>
      <c r="CV11" s="863" cm="1">
        <f t="array" aca="1" ref="CV11" ca="1">SUM( ($G$7:$G$25=$R11) * ($G$6:$G$24=CV$9) )</f>
        <v>2</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9">
        <f ca="1"/>
        <v>45992</v>
      </c>
      <c r="C12" s="87" vm="30">
        <f ca="1"/>
        <v>91.83</v>
      </c>
      <c r="D12" s="1169">
        <f t="shared" ca="1" si="0"/>
        <v>1.2123884051581553E-2</v>
      </c>
      <c r="E12" s="292" t="str" cm="1">
        <f t="array" aca="1" ref="E12" ca="1">_xlfn.IFS(D12&gt;ZPercent,"U",D12&lt;=-ZPercent,"D",TRUE,"Z")</f>
        <v>U</v>
      </c>
      <c r="F12" s="292" t="str">
        <f t="shared" ca="1" si="1"/>
        <v>ZU</v>
      </c>
      <c r="G12" s="292" t="str">
        <f t="shared" ca="1" si="2"/>
        <v>UZU</v>
      </c>
      <c r="H12" s="863" t="str">
        <f t="shared" ca="1" si="3"/>
        <v/>
      </c>
      <c r="J12" s="87" vm="31">
        <f ca="1"/>
        <v>45671</v>
      </c>
      <c r="K12" s="87" vm="32">
        <f ca="1"/>
        <v>40.159999999999997</v>
      </c>
      <c r="N12" s="863" t="str">
        <f ca="1">IF(F12=[2]Sheet1!O10,"","dif")</f>
        <v/>
      </c>
      <c r="R12" s="863" t="str">
        <f ca="1"/>
        <v>UDD</v>
      </c>
      <c r="S12" s="863" cm="1">
        <f t="array" aca="1" ref="S12" ca="1">SUM( ($G$7:$G$212=$R12) * ($G$6:$G$211=S$9) )</f>
        <v>0</v>
      </c>
      <c r="T12" s="863" cm="1">
        <f t="array" aca="1" ref="T12" ca="1">SUM( ($G$7:$G$212=$R12) * ($G$6:$G$211=T$9) )</f>
        <v>6</v>
      </c>
      <c r="U12" s="863" cm="1">
        <f t="array" aca="1" ref="U12" ca="1">SUM( ($G$7:$G$212=$R12) * ($G$6:$G$211=U$9) )</f>
        <v>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0</v>
      </c>
      <c r="AA12" s="863" cm="1">
        <f t="array" aca="1" ref="AA12" ca="1">SUM( ($G$7:$G$212=$R12) * ($G$6:$G$211=AA$9) )</f>
        <v>0</v>
      </c>
      <c r="AB12" s="863" cm="1">
        <f t="array" aca="1" ref="AB12" ca="1">SUM( ($G$7:$G$212=$R12) * ($G$6:$G$211=AB$9) )</f>
        <v>0</v>
      </c>
      <c r="AC12" s="863" cm="1">
        <f t="array" aca="1" ref="AC12" ca="1">SUM( ($G$7:$G$212=$R12) * ($G$6:$G$211=AC$9) )</f>
        <v>3</v>
      </c>
      <c r="AD12" s="863" cm="1">
        <f t="array" aca="1" ref="AD12" ca="1">SUM( ($G$7:$G$212=$R12) * ($G$6:$G$211=AD$9) )</f>
        <v>0</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UDD</v>
      </c>
      <c r="CS12" s="863" cm="1">
        <f t="array" aca="1" ref="CS12" ca="1">SUM( ($G$7:$G$25=$R12) * ($G$6:$G$24=CS$9) )</f>
        <v>0</v>
      </c>
      <c r="CT12" s="863" cm="1">
        <f t="array" aca="1" ref="CT12" ca="1">SUM( ($G$7:$G$25=$R12) * ($G$6:$G$24=CT$9) )</f>
        <v>2</v>
      </c>
      <c r="CU12" s="863" cm="1">
        <f t="array" aca="1" ref="CU12" ca="1">SUM( ($G$7:$G$25=$R12) * ($G$6:$G$24=CU$9) )</f>
        <v>0</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0</v>
      </c>
      <c r="DB12" s="863" cm="1">
        <f t="array" aca="1" ref="DB12" ca="1">SUM( ($G$7:$G$25=$R12) * ($G$6:$G$24=DB$9) )</f>
        <v>0</v>
      </c>
      <c r="DC12" s="863" cm="1">
        <f t="array" aca="1" ref="DC12" ca="1">SUM( ($G$7:$G$25=$R12) * ($G$6:$G$24=DC$9) )</f>
        <v>1</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3">
        <f ca="1"/>
        <v>45989</v>
      </c>
      <c r="C13" s="87" vm="34">
        <f ca="1"/>
        <v>90.73</v>
      </c>
      <c r="D13" s="1169">
        <f t="shared" ca="1" si="0"/>
        <v>2.3199292973929294E-3</v>
      </c>
      <c r="E13" s="292" t="str" cm="1">
        <f t="array" aca="1" ref="E13" ca="1">_xlfn.IFS(D13&gt;ZPercent,"U",D13&lt;=-ZPercent,"D",TRUE,"Z")</f>
        <v>Z</v>
      </c>
      <c r="F13" s="292" t="str">
        <f t="shared" ca="1" si="1"/>
        <v>UZ</v>
      </c>
      <c r="G13" s="292" t="str">
        <f t="shared" ca="1" si="2"/>
        <v>ZUZ</v>
      </c>
      <c r="H13" s="863" t="str">
        <f t="shared" ca="1" si="3"/>
        <v/>
      </c>
      <c r="J13" s="87" vm="35">
        <f ca="1"/>
        <v>45672</v>
      </c>
      <c r="K13" s="87" vm="36">
        <f ca="1"/>
        <v>41.37</v>
      </c>
      <c r="N13" s="863" t="str">
        <f ca="1">IF(F13=[2]Sheet1!O11,"","dif")</f>
        <v>dif</v>
      </c>
      <c r="R13" s="863" t="str">
        <f ca="1"/>
        <v>DUD</v>
      </c>
      <c r="S13" s="863" cm="1">
        <f t="array" aca="1" ref="S13" ca="1">SUM( ($G$7:$G$212=$R13) * ($G$6:$G$211=S$9) )</f>
        <v>0</v>
      </c>
      <c r="T13" s="863" cm="1">
        <f t="array" aca="1" ref="T13" ca="1">SUM( ($G$7:$G$212=$R13) * ($G$6:$G$211=T$9) )</f>
        <v>0</v>
      </c>
      <c r="U13" s="863" cm="1">
        <f t="array" aca="1" ref="U13" ca="1">SUM( ($G$7:$G$212=$R13) * ($G$6:$G$211=U$9) )</f>
        <v>2</v>
      </c>
      <c r="V13" s="863" cm="1">
        <f t="array" aca="1" ref="V13" ca="1">SUM( ($G$7:$G$212=$R13) * ($G$6:$G$211=V$9) )</f>
        <v>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0</v>
      </c>
      <c r="AB13" s="863" cm="1">
        <f t="array" aca="1" ref="AB13" ca="1">SUM( ($G$7:$G$212=$R13) * ($G$6:$G$211=AB$9) )</f>
        <v>5</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6</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DUD</v>
      </c>
      <c r="CS13" s="863" cm="1">
        <f t="array" aca="1" ref="CS13" ca="1">SUM( ($G$7:$G$25=$R13) * ($G$6:$G$24=CS$9) )</f>
        <v>0</v>
      </c>
      <c r="CT13" s="863" cm="1">
        <f t="array" aca="1" ref="CT13" ca="1">SUM( ($G$7:$G$25=$R13) * ($G$6:$G$24=CT$9) )</f>
        <v>0</v>
      </c>
      <c r="CU13" s="863" cm="1">
        <f t="array" aca="1" ref="CU13" ca="1">SUM( ($G$7:$G$25=$R13) * ($G$6:$G$24=CU$9) )</f>
        <v>1</v>
      </c>
      <c r="CV13" s="863" cm="1">
        <f t="array" aca="1" ref="CV13" ca="1">SUM( ($G$7:$G$25=$R13) * ($G$6:$G$24=CV$9) )</f>
        <v>0</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1</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7">
        <f ca="1"/>
        <v>45987</v>
      </c>
      <c r="C14" s="87" vm="38">
        <f ca="1"/>
        <v>90.52</v>
      </c>
      <c r="D14" s="1169">
        <f t="shared" ca="1" si="0"/>
        <v>4.9263938796800744E-2</v>
      </c>
      <c r="E14" s="292" t="str" cm="1">
        <f t="array" aca="1" ref="E14" ca="1">_xlfn.IFS(D14&gt;ZPercent,"U",D14&lt;=-ZPercent,"D",TRUE,"Z")</f>
        <v>U</v>
      </c>
      <c r="F14" s="292" t="str">
        <f t="shared" ca="1" si="1"/>
        <v>ZU</v>
      </c>
      <c r="G14" s="292" t="str">
        <f t="shared" ca="1" si="2"/>
        <v>UZU</v>
      </c>
      <c r="H14" s="863" t="str">
        <f t="shared" ca="1" si="3"/>
        <v/>
      </c>
      <c r="J14" s="87" vm="39">
        <f ca="1"/>
        <v>45673</v>
      </c>
      <c r="K14" s="87" vm="40">
        <f ca="1"/>
        <v>41.65</v>
      </c>
      <c r="N14" s="863" t="str">
        <f ca="1">IF(F14=[2]Sheet1!O12,"","dif")</f>
        <v>dif</v>
      </c>
      <c r="R14" s="863" t="str">
        <f ca="1"/>
        <v>ZUD</v>
      </c>
      <c r="S14" s="863" cm="1">
        <f t="array" aca="1" ref="S14" ca="1">SUM( ($G$7:$G$212=$R14) * ($G$6:$G$211=S$9) )</f>
        <v>0</v>
      </c>
      <c r="T14" s="863" cm="1">
        <f t="array" aca="1" ref="T14" ca="1">SUM( ($G$7:$G$212=$R14) * ($G$6:$G$211=T$9) )</f>
        <v>0</v>
      </c>
      <c r="U14" s="863" cm="1">
        <f t="array" aca="1" ref="U14" ca="1">SUM( ($G$7:$G$212=$R14) * ($G$6:$G$211=U$9) )</f>
        <v>3</v>
      </c>
      <c r="V14" s="863" cm="1">
        <f t="array" aca="1" ref="V14" ca="1">SUM( ($G$7:$G$212=$R14) * ($G$6:$G$211=V$9) )</f>
        <v>0</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4</v>
      </c>
      <c r="AC14" s="863" cm="1">
        <f t="array" aca="1" ref="AC14" ca="1">SUM( ($G$7:$G$212=$R14) * ($G$6:$G$211=AC$9) )</f>
        <v>0</v>
      </c>
      <c r="AD14" s="863" cm="1">
        <f t="array" aca="1" ref="AD14" ca="1">SUM( ($G$7:$G$212=$R14) * ($G$6:$G$211=AD$9) )</f>
        <v>0</v>
      </c>
      <c r="AE14" s="863" cm="1">
        <f t="array" aca="1" ref="AE14" ca="1">SUM( ($G$7:$G$212=$R14) * ($G$6:$G$211=AE$9) )</f>
        <v>0</v>
      </c>
      <c r="AF14" s="863" cm="1">
        <f t="array" aca="1" ref="AF14" ca="1">SUM( ($G$7:$G$212=$R14) * ($G$6:$G$211=AF$9) )</f>
        <v>0</v>
      </c>
      <c r="AG14" s="863" cm="1">
        <f t="array" aca="1" ref="AG14" ca="1">SUM( ($G$7:$G$212=$R14) * ($G$6:$G$211=AG$9) )</f>
        <v>0</v>
      </c>
      <c r="AH14" s="863" cm="1">
        <f t="array" aca="1" ref="AH14" ca="1">SUM( ($G$7:$G$212=$R14) * ($G$6:$G$211=AH$9) )</f>
        <v>5</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0</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ZUD</v>
      </c>
      <c r="CS14" s="863" cm="1">
        <f t="array" aca="1" ref="CS14" ca="1">SUM( ($G$7:$G$25=$R14) * ($G$6:$G$24=CS$9) )</f>
        <v>0</v>
      </c>
      <c r="CT14" s="863" cm="1">
        <f t="array" aca="1" ref="CT14" ca="1">SUM( ($G$7:$G$25=$R14) * ($G$6:$G$24=CT$9) )</f>
        <v>0</v>
      </c>
      <c r="CU14" s="863" cm="1">
        <f t="array" aca="1" ref="CU14" ca="1">SUM( ($G$7:$G$25=$R14) * ($G$6:$G$24=CU$9) )</f>
        <v>1</v>
      </c>
      <c r="CV14" s="863" cm="1">
        <f t="array" aca="1" ref="CV14" ca="1">SUM( ($G$7:$G$25=$R14) * ($G$6:$G$24=CV$9) )</f>
        <v>0</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41">
        <f ca="1"/>
        <v>45986</v>
      </c>
      <c r="C15" s="87" vm="42">
        <f ca="1"/>
        <v>86.27</v>
      </c>
      <c r="D15" s="1169">
        <f t="shared" ca="1" si="0"/>
        <v>-3.0047382410725194E-3</v>
      </c>
      <c r="E15" s="292" t="str" cm="1">
        <f t="array" aca="1" ref="E15" ca="1">_xlfn.IFS(D15&gt;ZPercent,"U",D15&lt;=-ZPercent,"D",TRUE,"Z")</f>
        <v>Z</v>
      </c>
      <c r="F15" s="292" t="str">
        <f t="shared" ca="1" si="1"/>
        <v>UZ</v>
      </c>
      <c r="G15" s="292" t="str">
        <f t="shared" ca="1" si="2"/>
        <v>UUZ</v>
      </c>
      <c r="H15" s="863" t="str">
        <f t="shared" ca="1" si="3"/>
        <v/>
      </c>
      <c r="J15" s="87" vm="43">
        <f ca="1"/>
        <v>45674</v>
      </c>
      <c r="K15" s="87" vm="44">
        <f ca="1"/>
        <v>41.67</v>
      </c>
      <c r="N15" s="863" t="str">
        <f ca="1">IF(F15=[2]Sheet1!O13,"","dif")</f>
        <v>dif</v>
      </c>
      <c r="R15" s="863" t="str">
        <f ca="1"/>
        <v>UZU</v>
      </c>
      <c r="S15" s="863" cm="1">
        <f t="array" aca="1" ref="S15" ca="1">SUM( ($G$7:$G$212=$R15) * ($G$6:$G$211=S$9) )</f>
        <v>0</v>
      </c>
      <c r="T15" s="863" cm="1">
        <f t="array" aca="1" ref="T15" ca="1">SUM( ($G$7:$G$212=$R15) * ($G$6:$G$211=T$9) )</f>
        <v>0</v>
      </c>
      <c r="U15" s="863" cm="1">
        <f t="array" aca="1" ref="U15" ca="1">SUM( ($G$7:$G$212=$R15) * ($G$6:$G$211=U$9) )</f>
        <v>0</v>
      </c>
      <c r="V15" s="863" cm="1">
        <f t="array" aca="1" ref="V15" ca="1">SUM( ($G$7:$G$212=$R15) * ($G$6:$G$211=V$9) )</f>
        <v>0</v>
      </c>
      <c r="W15" s="863" cm="1">
        <f t="array" aca="1" ref="W15" ca="1">SUM( ($G$7:$G$212=$R15) * ($G$6:$G$211=W$9) )</f>
        <v>6</v>
      </c>
      <c r="X15" s="863" cm="1">
        <f t="array" aca="1" ref="X15" ca="1">SUM( ($G$7:$G$212=$R15) * ($G$6:$G$211=X$9) )</f>
        <v>0</v>
      </c>
      <c r="Y15" s="863" cm="1">
        <f t="array" aca="1" ref="Y15" ca="1">SUM( ($G$7:$G$212=$R15) * ($G$6:$G$211=Y$9) )</f>
        <v>3</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3</v>
      </c>
      <c r="AG15" s="863" cm="1">
        <f t="array" aca="1" ref="AG15" ca="1">SUM( ($G$7:$G$212=$R15) * ($G$6:$G$211=AG$9) )</f>
        <v>0</v>
      </c>
      <c r="AH15" s="863" cm="1">
        <f t="array" aca="1" ref="AH15" ca="1">SUM( ($G$7:$G$212=$R15) * ($G$6:$G$211=AH$9) )</f>
        <v>0</v>
      </c>
      <c r="AI15" s="863" cm="1">
        <f t="array" aca="1" ref="AI15" ca="1">SUM( ($G$7:$G$212=$R15) * ($G$6:$G$211=AI$9) )</f>
        <v>0</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UZU</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0</v>
      </c>
      <c r="CW15" s="863" cm="1">
        <f t="array" aca="1" ref="CW15" ca="1">SUM( ($G$7:$G$25=$R15) * ($G$6:$G$24=CW$9) )</f>
        <v>1</v>
      </c>
      <c r="CX15" s="863" cm="1">
        <f t="array" aca="1" ref="CX15" ca="1">SUM( ($G$7:$G$25=$R15) * ($G$6:$G$24=CX$9) )</f>
        <v>0</v>
      </c>
      <c r="CY15" s="863" cm="1">
        <f t="array" aca="1" ref="CY15" ca="1">SUM( ($G$7:$G$25=$R15) * ($G$6:$G$24=CY$9) )</f>
        <v>1</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5">
        <f ca="1"/>
        <v>45985</v>
      </c>
      <c r="C16" s="87" vm="46">
        <f ca="1"/>
        <v>86.53</v>
      </c>
      <c r="D16" s="1169">
        <f t="shared" ca="1" si="0"/>
        <v>3.6411546292969298E-2</v>
      </c>
      <c r="E16" s="292" t="str" cm="1">
        <f t="array" aca="1" ref="E16" ca="1">_xlfn.IFS(D16&gt;ZPercent,"U",D16&lt;=-ZPercent,"D",TRUE,"Z")</f>
        <v>U</v>
      </c>
      <c r="F16" s="292" t="str">
        <f t="shared" ca="1" si="1"/>
        <v>UU</v>
      </c>
      <c r="G16" s="292" t="str">
        <f t="shared" ca="1" si="2"/>
        <v>DUU</v>
      </c>
      <c r="H16" s="863" t="str">
        <f t="shared" ca="1" si="3"/>
        <v/>
      </c>
      <c r="J16" s="87" vm="47">
        <f ca="1"/>
        <v>45678</v>
      </c>
      <c r="K16" s="87" vm="48">
        <f ca="1"/>
        <v>42.35</v>
      </c>
      <c r="N16" s="863" t="str">
        <f ca="1">IF(F16=[2]Sheet1!O14,"","dif")</f>
        <v/>
      </c>
      <c r="R16" s="863" t="str">
        <f ca="1"/>
        <v>ZUZ</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0</v>
      </c>
      <c r="X16" s="863" cm="1">
        <f t="array" aca="1" ref="X16" ca="1">SUM( ($G$7:$G$212=$R16) * ($G$6:$G$211=X$9) )</f>
        <v>2</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0</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1</v>
      </c>
      <c r="AN16" s="863" cm="1">
        <f t="array" aca="1" ref="AN16" ca="1">SUM( ($G$7:$G$212=$R16) * ($G$6:$G$211=AN$9) )</f>
        <v>0</v>
      </c>
      <c r="AO16" s="863" cm="1">
        <f t="array" aca="1" ref="AO16" ca="1">SUM( ($G$7:$G$212=$R16) * ($G$6:$G$211=AO$9) )</f>
        <v>0</v>
      </c>
      <c r="AP16" s="863" cm="1">
        <f t="array" aca="1" ref="AP16" ca="1">SUM( ($G$7:$G$212=$R16) * ($G$6:$G$211=AP$9) )</f>
        <v>3</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ZUZ</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9">
        <f ca="1"/>
        <v>45982</v>
      </c>
      <c r="C17" s="87" vm="50">
        <f ca="1"/>
        <v>83.49</v>
      </c>
      <c r="D17" s="1169">
        <f t="shared" ca="1" si="0"/>
        <v>1.817073170731701E-2</v>
      </c>
      <c r="E17" s="292" t="str" cm="1">
        <f t="array" aca="1" ref="E17" ca="1">_xlfn.IFS(D17&gt;ZPercent,"U",D17&lt;=-ZPercent,"D",TRUE,"Z")</f>
        <v>U</v>
      </c>
      <c r="F17" s="292" t="str">
        <f t="shared" ca="1" si="1"/>
        <v>DU</v>
      </c>
      <c r="G17" s="292" t="str">
        <f t="shared" ca="1" si="2"/>
        <v>UDU</v>
      </c>
      <c r="H17" s="863" t="str">
        <f t="shared" ca="1" si="3"/>
        <v/>
      </c>
      <c r="J17" s="87" vm="51">
        <f ca="1"/>
        <v>45679</v>
      </c>
      <c r="K17" s="87" vm="52">
        <f ca="1"/>
        <v>41.68</v>
      </c>
      <c r="N17" s="863" t="str">
        <f ca="1">IF(F17=[2]Sheet1!O15,"","dif")</f>
        <v>dif</v>
      </c>
      <c r="R17" s="863" t="str">
        <f ca="1"/>
        <v>UUZ</v>
      </c>
      <c r="S17" s="863" cm="1">
        <f t="array" aca="1" ref="S17" ca="1">SUM( ($G$7:$G$212=$R17) * ($G$6:$G$211=S$9) )</f>
        <v>0</v>
      </c>
      <c r="T17" s="863" cm="1">
        <f t="array" aca="1" ref="T17" ca="1">SUM( ($G$7:$G$212=$R17) * ($G$6:$G$211=T$9) )</f>
        <v>0</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5</v>
      </c>
      <c r="Y17" s="863" cm="1">
        <f t="array" aca="1" ref="Y17" ca="1">SUM( ($G$7:$G$212=$R17) * ($G$6:$G$211=Y$9) )</f>
        <v>0</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0</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0</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5</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UUZ</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1</v>
      </c>
      <c r="CY17" s="863" cm="1">
        <f t="array" aca="1" ref="CY17" ca="1">SUM( ($G$7:$G$25=$R17) * ($G$6:$G$24=CY$9) )</f>
        <v>0</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3">
        <f ca="1"/>
        <v>45981</v>
      </c>
      <c r="C18" s="87" vm="54">
        <f ca="1"/>
        <v>82</v>
      </c>
      <c r="D18" s="1169">
        <f t="shared" ca="1" si="0"/>
        <v>-6.2964232659124722E-2</v>
      </c>
      <c r="E18" s="292" t="str" cm="1">
        <f t="array" aca="1" ref="E18" ca="1">_xlfn.IFS(D18&gt;ZPercent,"U",D18&lt;=-ZPercent,"D",TRUE,"Z")</f>
        <v>D</v>
      </c>
      <c r="F18" s="292" t="str">
        <f t="shared" ca="1" si="1"/>
        <v>UD</v>
      </c>
      <c r="G18" s="292" t="str">
        <f t="shared" ca="1" si="2"/>
        <v>DUD</v>
      </c>
      <c r="H18" s="863" t="str">
        <f t="shared" ca="1" si="3"/>
        <v/>
      </c>
      <c r="J18" s="87" vm="55">
        <f ca="1"/>
        <v>45680</v>
      </c>
      <c r="K18" s="87" vm="56">
        <f ca="1"/>
        <v>41.95</v>
      </c>
      <c r="N18" s="863" t="str">
        <f ca="1">IF(F18=[2]Sheet1!O16,"","dif")</f>
        <v>dif</v>
      </c>
      <c r="R18" s="863" t="str">
        <f ca="1"/>
        <v>DUU</v>
      </c>
      <c r="S18" s="863" cm="1">
        <f t="array" aca="1" ref="S18" ca="1">SUM( ($G$7:$G$212=$R18) * ($G$6:$G$211=S$9) )</f>
        <v>0</v>
      </c>
      <c r="T18" s="863" cm="1">
        <f t="array" aca="1" ref="T18" ca="1">SUM( ($G$7:$G$212=$R18) * ($G$6:$G$211=T$9) )</f>
        <v>0</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1</v>
      </c>
      <c r="AA18" s="863" cm="1">
        <f t="array" aca="1" ref="AA18" ca="1">SUM( ($G$7:$G$212=$R18) * ($G$6:$G$211=AA$9) )</f>
        <v>0</v>
      </c>
      <c r="AB18" s="863" cm="1">
        <f t="array" aca="1" ref="AB18" ca="1">SUM( ($G$7:$G$212=$R18) * ($G$6:$G$211=AB$9) )</f>
        <v>0</v>
      </c>
      <c r="AC18" s="863" cm="1">
        <f t="array" aca="1" ref="AC18" ca="1">SUM( ($G$7:$G$212=$R18) * ($G$6:$G$211=AC$9) )</f>
        <v>0</v>
      </c>
      <c r="AD18" s="863" cm="1">
        <f t="array" aca="1" ref="AD18" ca="1">SUM( ($G$7:$G$212=$R18) * ($G$6:$G$211=AD$9) )</f>
        <v>1</v>
      </c>
      <c r="AE18" s="863" cm="1">
        <f t="array" aca="1" ref="AE18" ca="1">SUM( ($G$7:$G$212=$R18) * ($G$6:$G$211=AE$9) )</f>
        <v>6</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0</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DUU</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1</v>
      </c>
      <c r="DA18" s="863" cm="1">
        <f t="array" aca="1" ref="DA18" ca="1">SUM( ($G$7:$G$25=$R18) * ($G$6:$G$24=DA$9) )</f>
        <v>0</v>
      </c>
      <c r="DB18" s="863" cm="1">
        <f t="array" aca="1" ref="DB18" ca="1">SUM( ($G$7:$G$25=$R18) * ($G$6:$G$24=DB$9) )</f>
        <v>0</v>
      </c>
      <c r="DC18" s="863" cm="1">
        <f t="array" aca="1" ref="DC18" ca="1">SUM( ($G$7:$G$25=$R18) * ($G$6:$G$24=DC$9) )</f>
        <v>0</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7">
        <f ca="1"/>
        <v>45980</v>
      </c>
      <c r="C19" s="87" vm="58">
        <f ca="1"/>
        <v>87.51</v>
      </c>
      <c r="D19" s="1169">
        <f t="shared" ca="1" si="0"/>
        <v>1.0508083140877724E-2</v>
      </c>
      <c r="E19" s="292" t="str" cm="1">
        <f t="array" aca="1" ref="E19" ca="1">_xlfn.IFS(D19&gt;ZPercent,"U",D19&lt;=-ZPercent,"D",TRUE,"Z")</f>
        <v>U</v>
      </c>
      <c r="F19" s="292" t="str">
        <f t="shared" ca="1" si="1"/>
        <v>DU</v>
      </c>
      <c r="G19" s="292" t="str">
        <f t="shared" ca="1" si="2"/>
        <v>DDU</v>
      </c>
      <c r="H19" s="863" t="str">
        <f t="shared" ca="1" si="3"/>
        <v/>
      </c>
      <c r="J19" s="87" vm="59">
        <f ca="1"/>
        <v>45681</v>
      </c>
      <c r="K19" s="87" vm="60">
        <f ca="1"/>
        <v>42.04</v>
      </c>
      <c r="N19" s="863" t="str">
        <f ca="1">IF(F19=[2]Sheet1!O17,"","dif")</f>
        <v>dif</v>
      </c>
      <c r="R19" s="863" t="str">
        <f ca="1"/>
        <v>UDU</v>
      </c>
      <c r="S19" s="863" cm="1">
        <f t="array" aca="1" ref="S19" ca="1">SUM( ($G$7:$G$212=$R19) * ($G$6:$G$211=S$9) )</f>
        <v>0</v>
      </c>
      <c r="T19" s="863" cm="1">
        <f t="array" aca="1" ref="T19" ca="1">SUM( ($G$7:$G$212=$R19) * ($G$6:$G$211=T$9) )</f>
        <v>0</v>
      </c>
      <c r="U19" s="863" cm="1">
        <f t="array" aca="1" ref="U19" ca="1">SUM( ($G$7:$G$212=$R19) * ($G$6:$G$211=U$9) )</f>
        <v>0</v>
      </c>
      <c r="V19" s="863" cm="1">
        <f t="array" aca="1" ref="V19" ca="1">SUM( ($G$7:$G$212=$R19) * ($G$6:$G$211=V$9) )</f>
        <v>6</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5</v>
      </c>
      <c r="AB19" s="863" cm="1">
        <f t="array" aca="1" ref="AB19" ca="1">SUM( ($G$7:$G$212=$R19) * ($G$6:$G$211=AB$9) )</f>
        <v>0</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0</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UDU</v>
      </c>
      <c r="CS19" s="863" cm="1">
        <f t="array" aca="1" ref="CS19" ca="1">SUM( ($G$7:$G$25=$R19) * ($G$6:$G$24=CS$9) )</f>
        <v>0</v>
      </c>
      <c r="CT19" s="863" cm="1">
        <f t="array" aca="1" ref="CT19" ca="1">SUM( ($G$7:$G$25=$R19) * ($G$6:$G$24=CT$9) )</f>
        <v>0</v>
      </c>
      <c r="CU19" s="863" cm="1">
        <f t="array" aca="1" ref="CU19" ca="1">SUM( ($G$7:$G$25=$R19) * ($G$6:$G$24=CU$9) )</f>
        <v>0</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1</v>
      </c>
      <c r="DB19" s="863" cm="1">
        <f t="array" aca="1" ref="DB19" ca="1">SUM( ($G$7:$G$25=$R19) * ($G$6:$G$24=DB$9) )</f>
        <v>0</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61">
        <f ca="1"/>
        <v>45979</v>
      </c>
      <c r="C20" s="87" vm="62">
        <f ca="1"/>
        <v>86.6</v>
      </c>
      <c r="D20" s="1169">
        <f t="shared" ca="1" si="0"/>
        <v>-5.6263635319785173E-3</v>
      </c>
      <c r="E20" s="292" t="str" cm="1">
        <f t="array" aca="1" ref="E20" ca="1">_xlfn.IFS(D20&gt;ZPercent,"U",D20&lt;=-ZPercent,"D",TRUE,"Z")</f>
        <v>D</v>
      </c>
      <c r="F20" s="292" t="str">
        <f t="shared" ca="1" si="1"/>
        <v>DD</v>
      </c>
      <c r="G20" s="292" t="str">
        <f t="shared" ca="1" si="2"/>
        <v>DDD</v>
      </c>
      <c r="H20" s="863" t="str">
        <f t="shared" ca="1" si="3"/>
        <v/>
      </c>
      <c r="J20" s="87" vm="63">
        <f ca="1"/>
        <v>45684</v>
      </c>
      <c r="K20" s="87" vm="64">
        <f ca="1"/>
        <v>41.57</v>
      </c>
      <c r="N20" s="863" t="str">
        <f ca="1">IF(F20=[2]Sheet1!O18,"","dif")</f>
        <v>dif</v>
      </c>
      <c r="R20" s="863" t="str">
        <f ca="1"/>
        <v>DDD</v>
      </c>
      <c r="S20" s="863" cm="1">
        <f t="array" aca="1" ref="S20" ca="1">SUM( ($G$7:$G$212=$R20) * ($G$6:$G$211=S$9) )</f>
        <v>0</v>
      </c>
      <c r="T20" s="863" cm="1">
        <f t="array" aca="1" ref="T20" ca="1">SUM( ($G$7:$G$212=$R20) * ($G$6:$G$211=T$9) )</f>
        <v>3</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0</v>
      </c>
      <c r="AB20" s="863" cm="1">
        <f t="array" aca="1" ref="AB20" ca="1">SUM( ($G$7:$G$212=$R20) * ($G$6:$G$211=AB$9) )</f>
        <v>0</v>
      </c>
      <c r="AC20" s="863" cm="1">
        <f t="array" aca="1" ref="AC20" ca="1">SUM( ($G$7:$G$212=$R20) * ($G$6:$G$211=AC$9) )</f>
        <v>1</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0</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0</v>
      </c>
      <c r="AM20" s="863" cm="1">
        <f t="array" aca="1" ref="AM20" ca="1">SUM( ($G$7:$G$212=$R20) * ($G$6:$G$211=AM$9) )</f>
        <v>0</v>
      </c>
      <c r="AN20" s="863" cm="1">
        <f t="array" aca="1" ref="AN20" ca="1">SUM( ($G$7:$G$212=$R20) * ($G$6:$G$211=AN$9) )</f>
        <v>0</v>
      </c>
      <c r="AO20" s="863" cm="1">
        <f t="array" aca="1" ref="AO20" ca="1">SUM( ($G$7:$G$212=$R20) * ($G$6:$G$211=AO$9) )</f>
        <v>0</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DDD</v>
      </c>
      <c r="CS20" s="863" cm="1">
        <f t="array" aca="1" ref="CS20" ca="1">SUM( ($G$7:$G$25=$R20) * ($G$6:$G$24=CS$9) )</f>
        <v>0</v>
      </c>
      <c r="CT20" s="863" cm="1">
        <f t="array" aca="1" ref="CT20" ca="1">SUM( ($G$7:$G$25=$R20) * ($G$6:$G$24=CT$9) )</f>
        <v>1</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0</v>
      </c>
      <c r="DC20" s="863" cm="1">
        <f t="array" aca="1" ref="DC20" ca="1">SUM( ($G$7:$G$25=$R20) * ($G$6:$G$24=DC$9) )</f>
        <v>1</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5">
        <f ca="1"/>
        <v>45978</v>
      </c>
      <c r="C21" s="87" vm="66">
        <f ca="1"/>
        <v>87.09</v>
      </c>
      <c r="D21" s="1169">
        <f t="shared" ca="1" si="0"/>
        <v>-8.0865603644646213E-3</v>
      </c>
      <c r="E21" s="292" t="str" cm="1">
        <f t="array" aca="1" ref="E21" ca="1">_xlfn.IFS(D21&gt;ZPercent,"U",D21&lt;=-ZPercent,"D",TRUE,"Z")</f>
        <v>D</v>
      </c>
      <c r="F21" s="292" t="str">
        <f t="shared" ca="1" si="1"/>
        <v>DD</v>
      </c>
      <c r="G21" s="292" t="str">
        <f t="shared" ca="1" si="2"/>
        <v>DDD</v>
      </c>
      <c r="H21" s="863" t="str">
        <f t="shared" ca="1" si="3"/>
        <v/>
      </c>
      <c r="J21" s="87" vm="67">
        <f ca="1"/>
        <v>45685</v>
      </c>
      <c r="K21" s="87" vm="68">
        <f ca="1"/>
        <v>41.35</v>
      </c>
      <c r="N21" s="863" t="str">
        <f ca="1">IF(F21=[2]Sheet1!O19,"","dif")</f>
        <v/>
      </c>
      <c r="R21" s="863" t="str">
        <f ca="1"/>
        <v>UUD</v>
      </c>
      <c r="S21" s="863" cm="1">
        <f t="array" aca="1" ref="S21" ca="1">SUM( ($G$7:$G$212=$R21) * ($G$6:$G$211=S$9) )</f>
        <v>0</v>
      </c>
      <c r="T21" s="863" cm="1">
        <f t="array" aca="1" ref="T21" ca="1">SUM( ($G$7:$G$212=$R21) * ($G$6:$G$211=T$9) )</f>
        <v>0</v>
      </c>
      <c r="U21" s="863" cm="1">
        <f t="array" aca="1" ref="U21" ca="1">SUM( ($G$7:$G$212=$R21) * ($G$6:$G$211=U$9) )</f>
        <v>4</v>
      </c>
      <c r="V21" s="863" cm="1">
        <f t="array" aca="1" ref="V21" ca="1">SUM( ($G$7:$G$212=$R21) * ($G$6:$G$211=V$9) )</f>
        <v>0</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2</v>
      </c>
      <c r="AC21" s="863" cm="1">
        <f t="array" aca="1" ref="AC21" ca="1">SUM( ($G$7:$G$212=$R21) * ($G$6:$G$211=AC$9) )</f>
        <v>0</v>
      </c>
      <c r="AD21" s="863" cm="1">
        <f t="array" aca="1" ref="AD21" ca="1">SUM( ($G$7:$G$212=$R21) * ($G$6:$G$211=AD$9) )</f>
        <v>0</v>
      </c>
      <c r="AE21" s="863" cm="1">
        <f t="array" aca="1" ref="AE21" ca="1">SUM( ($G$7:$G$212=$R21) * ($G$6:$G$211=AE$9) )</f>
        <v>0</v>
      </c>
      <c r="AF21" s="863" cm="1">
        <f t="array" aca="1" ref="AF21" ca="1">SUM( ($G$7:$G$212=$R21) * ($G$6:$G$211=AF$9) )</f>
        <v>0</v>
      </c>
      <c r="AG21" s="863" cm="1">
        <f t="array" aca="1" ref="AG21" ca="1">SUM( ($G$7:$G$212=$R21) * ($G$6:$G$211=AG$9) )</f>
        <v>0</v>
      </c>
      <c r="AH21" s="863" cm="1">
        <f t="array" aca="1" ref="AH21" ca="1">SUM( ($G$7:$G$212=$R21) * ($G$6:$G$211=AH$9) )</f>
        <v>2</v>
      </c>
      <c r="AI21" s="863" cm="1">
        <f t="array" aca="1" ref="AI21" ca="1">SUM( ($G$7:$G$212=$R21) * ($G$6:$G$211=AI$9) )</f>
        <v>0</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0</v>
      </c>
      <c r="AS21" s="863" cm="1">
        <f t="array" aca="1" ref="AS21" ca="1">SUM( ($G$7:$G$212=$R21) * ($G$6:$G$211=AS$9) )</f>
        <v>0</v>
      </c>
      <c r="AT21" s="863" cm="1">
        <f t="array" aca="1" ref="AT21" ca="1">SUM( ($G$7:$G$212=$R21) * ($G$6:$G$211=AT$9) )</f>
        <v>0</v>
      </c>
      <c r="AU21" s="863" cm="1">
        <f t="array" aca="1" ref="AU21" ca="1">SUM( ($G$7:$G$212=$R21) * ($G$6:$G$211=AU$9) )</f>
        <v>0</v>
      </c>
      <c r="CR21" s="863" t="str">
        <f ca="1"/>
        <v>UUD</v>
      </c>
      <c r="CS21" s="863" cm="1">
        <f t="array" aca="1" ref="CS21" ca="1">SUM( ($G$7:$G$25=$R21) * ($G$6:$G$24=CS$9) )</f>
        <v>0</v>
      </c>
      <c r="CT21" s="863" cm="1">
        <f t="array" aca="1" ref="CT21" ca="1">SUM( ($G$7:$G$25=$R21) * ($G$6:$G$24=CT$9) )</f>
        <v>0</v>
      </c>
      <c r="CU21" s="863" cm="1">
        <f t="array" aca="1" ref="CU21" ca="1">SUM( ($G$7:$G$25=$R21) * ($G$6:$G$24=CU$9) )</f>
        <v>1</v>
      </c>
      <c r="CV21" s="863" cm="1">
        <f t="array" aca="1" ref="CV21" ca="1">SUM( ($G$7:$G$25=$R21) * ($G$6:$G$24=CV$9) )</f>
        <v>0</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0</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9">
        <f ca="1"/>
        <v>45975</v>
      </c>
      <c r="C22" s="87" vm="70">
        <f ca="1"/>
        <v>87.8</v>
      </c>
      <c r="D22" s="1169">
        <f t="shared" ca="1" si="0"/>
        <v>-2.1399910833704877E-2</v>
      </c>
      <c r="E22" s="292" t="str" cm="1">
        <f t="array" aca="1" ref="E22" ca="1">_xlfn.IFS(D22&gt;ZPercent,"U",D22&lt;=-ZPercent,"D",TRUE,"Z")</f>
        <v>D</v>
      </c>
      <c r="F22" s="292" t="str">
        <f t="shared" ca="1" si="1"/>
        <v>DD</v>
      </c>
      <c r="G22" s="292" t="str">
        <f t="shared" ca="1" si="2"/>
        <v>UDD</v>
      </c>
      <c r="H22" s="863" t="str">
        <f t="shared" ca="1" si="3"/>
        <v/>
      </c>
      <c r="J22" s="87" vm="71">
        <f ca="1"/>
        <v>45686</v>
      </c>
      <c r="K22" s="87" vm="72">
        <f ca="1"/>
        <v>41.59</v>
      </c>
      <c r="N22" s="863" t="str">
        <f ca="1">IF(F22=[2]Sheet1!O20,"","dif")</f>
        <v/>
      </c>
      <c r="R22" s="863" t="str">
        <f ca="1"/>
        <v>UUU</v>
      </c>
      <c r="S22" s="863" cm="1">
        <f t="array" aca="1" ref="S22" ca="1">SUM( ($G$7:$G$212=$R22) * ($G$6:$G$211=S$9) )</f>
        <v>0</v>
      </c>
      <c r="T22" s="863" cm="1">
        <f t="array" aca="1" ref="T22" ca="1">SUM( ($G$7:$G$212=$R22) * ($G$6:$G$211=T$9) )</f>
        <v>0</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7</v>
      </c>
      <c r="AA22" s="863" cm="1">
        <f t="array" aca="1" ref="AA22" ca="1">SUM( ($G$7:$G$212=$R22) * ($G$6:$G$211=AA$9) )</f>
        <v>0</v>
      </c>
      <c r="AB22" s="863" cm="1">
        <f t="array" aca="1" ref="AB22" ca="1">SUM( ($G$7:$G$212=$R22) * ($G$6:$G$211=AB$9) )</f>
        <v>0</v>
      </c>
      <c r="AC22" s="863" cm="1">
        <f t="array" aca="1" ref="AC22" ca="1">SUM( ($G$7:$G$212=$R22) * ($G$6:$G$211=AC$9) )</f>
        <v>0</v>
      </c>
      <c r="AD22" s="863" cm="1">
        <f t="array" aca="1" ref="AD22" ca="1">SUM( ($G$7:$G$212=$R22) * ($G$6:$G$211=AD$9) )</f>
        <v>5</v>
      </c>
      <c r="AE22" s="863" cm="1">
        <f t="array" aca="1" ref="AE22" ca="1">SUM( ($G$7:$G$212=$R22) * ($G$6:$G$211=AE$9) )</f>
        <v>10</v>
      </c>
      <c r="AF22" s="863" cm="1">
        <f t="array" aca="1" ref="AF22" ca="1">SUM( ($G$7:$G$212=$R22) * ($G$6:$G$211=AF$9) )</f>
        <v>0</v>
      </c>
      <c r="AG22" s="863" cm="1">
        <f t="array" aca="1" ref="AG22" ca="1">SUM( ($G$7:$G$212=$R22) * ($G$6:$G$211=AG$9) )</f>
        <v>0</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0</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0</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c r="CR22" s="863" t="str">
        <f ca="1"/>
        <v>UUU</v>
      </c>
    </row>
    <row r="23" spans="2:119">
      <c r="B23" s="87" vm="73">
        <f ca="1"/>
        <v>45974</v>
      </c>
      <c r="C23" s="87" vm="74">
        <f ca="1"/>
        <v>89.72</v>
      </c>
      <c r="D23" s="1169">
        <f t="shared" ca="1" si="0"/>
        <v>-3.5994412807564144E-2</v>
      </c>
      <c r="E23" s="292" t="str" cm="1">
        <f t="array" aca="1" ref="E23" ca="1">_xlfn.IFS(D23&gt;ZPercent,"U",D23&lt;=-ZPercent,"D",TRUE,"Z")</f>
        <v>D</v>
      </c>
      <c r="F23" s="292" t="str">
        <f t="shared" ca="1" si="1"/>
        <v>UD</v>
      </c>
      <c r="G23" s="292" t="str">
        <f t="shared" ca="1" si="2"/>
        <v>UUD</v>
      </c>
      <c r="H23" s="863" t="str">
        <f t="shared" ca="1" si="3"/>
        <v/>
      </c>
      <c r="J23" s="87" vm="75">
        <f ca="1"/>
        <v>45687</v>
      </c>
      <c r="K23" s="87" vm="76">
        <f ca="1"/>
        <v>43.09</v>
      </c>
      <c r="N23" s="863" t="str">
        <f ca="1">IF(F23=[2]Sheet1!O21,"","dif")</f>
        <v>dif</v>
      </c>
      <c r="R23" s="863" t="str">
        <f ca="1"/>
        <v>ZUU</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0</v>
      </c>
      <c r="X23" s="863" cm="1">
        <f t="array" aca="1" ref="X23" ca="1">SUM( ($G$7:$G$212=$R23) * ($G$6:$G$211=X$9) )</f>
        <v>0</v>
      </c>
      <c r="Y23" s="863" cm="1">
        <f t="array" aca="1" ref="Y23" ca="1">SUM( ($G$7:$G$212=$R23) * ($G$6:$G$211=Y$9) )</f>
        <v>0</v>
      </c>
      <c r="Z23" s="863" cm="1">
        <f t="array" aca="1" ref="Z23" ca="1">SUM( ($G$7:$G$212=$R23) * ($G$6:$G$211=Z$9) )</f>
        <v>2</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2</v>
      </c>
      <c r="AE23" s="863" cm="1">
        <f t="array" aca="1" ref="AE23" ca="1">SUM( ($G$7:$G$212=$R23) * ($G$6:$G$211=AE$9) )</f>
        <v>6</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0</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row>
    <row r="24" spans="2:119">
      <c r="B24" s="87" vm="77">
        <f ca="1"/>
        <v>45973</v>
      </c>
      <c r="C24" s="87" vm="78">
        <f ca="1"/>
        <v>93.07</v>
      </c>
      <c r="D24" s="1169">
        <f t="shared" ca="1" si="0"/>
        <v>3.4685936631461814E-2</v>
      </c>
      <c r="E24" s="292" t="str" cm="1">
        <f t="array" aca="1" ref="E24" ca="1">_xlfn.IFS(D24&gt;ZPercent,"U",D24&lt;=-ZPercent,"D",TRUE,"Z")</f>
        <v>U</v>
      </c>
      <c r="F24" s="292" t="str">
        <f t="shared" ca="1" si="1"/>
        <v>UU</v>
      </c>
      <c r="G24" s="292" t="str">
        <f t="shared" ca="1" si="2"/>
        <v>UUU</v>
      </c>
      <c r="H24" s="863" t="str">
        <f t="shared" ca="1" si="3"/>
        <v/>
      </c>
      <c r="J24" s="87" vm="79">
        <f ca="1"/>
        <v>45688</v>
      </c>
      <c r="K24" s="87" vm="80">
        <f ca="1"/>
        <v>42.72</v>
      </c>
      <c r="N24" s="863" t="str">
        <f ca="1">IF(F24=[2]Sheet1!O22,"","dif")</f>
        <v>dif</v>
      </c>
      <c r="R24" s="863" t="str">
        <f ca="1"/>
        <v>DZU</v>
      </c>
      <c r="S24" s="863" cm="1">
        <f t="array" aca="1" ref="S24" ca="1">SUM( ($G$7:$G$212=$R24) * ($G$6:$G$211=S$9) )</f>
        <v>0</v>
      </c>
      <c r="T24" s="863" cm="1">
        <f t="array" aca="1" ref="T24" ca="1">SUM( ($G$7:$G$212=$R24) * ($G$6:$G$211=T$9) )</f>
        <v>0</v>
      </c>
      <c r="U24" s="863" cm="1">
        <f t="array" aca="1" ref="U24" ca="1">SUM( ($G$7:$G$212=$R24) * ($G$6:$G$211=U$9) )</f>
        <v>0</v>
      </c>
      <c r="V24" s="863" cm="1">
        <f t="array" aca="1" ref="V24" ca="1">SUM( ($G$7:$G$212=$R24) * ($G$6:$G$211=V$9) )</f>
        <v>0</v>
      </c>
      <c r="W24" s="863" cm="1">
        <f t="array" aca="1" ref="W24" ca="1">SUM( ($G$7:$G$212=$R24) * ($G$6:$G$211=W$9) )</f>
        <v>2</v>
      </c>
      <c r="X24" s="863" cm="1">
        <f t="array" aca="1" ref="X24" ca="1">SUM( ($G$7:$G$212=$R24) * ($G$6:$G$211=X$9) )</f>
        <v>0</v>
      </c>
      <c r="Y24" s="863" cm="1">
        <f t="array" aca="1" ref="Y24" ca="1">SUM( ($G$7:$G$212=$R24) * ($G$6:$G$211=Y$9) )</f>
        <v>3</v>
      </c>
      <c r="Z24" s="863" cm="1">
        <f t="array" aca="1" ref="Z24" ca="1">SUM( ($G$7:$G$212=$R24) * ($G$6:$G$211=Z$9) )</f>
        <v>0</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6</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0</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row>
    <row r="25" spans="2:119" ht="21" customHeight="1">
      <c r="B25" s="87" vm="81">
        <f ca="1"/>
        <v>45972</v>
      </c>
      <c r="C25" s="87" vm="82">
        <f ca="1"/>
        <v>89.95</v>
      </c>
      <c r="D25" s="1169">
        <f t="shared" ca="1" si="0"/>
        <v>1.9147971901200971E-2</v>
      </c>
      <c r="E25" s="292" t="str" cm="1">
        <f t="array" aca="1" ref="E25" ca="1">_xlfn.IFS(D25&gt;ZPercent,"U",D25&lt;=-ZPercent,"D",TRUE,"Z")</f>
        <v>U</v>
      </c>
      <c r="F25" s="292" t="str">
        <f t="shared" ca="1" si="1"/>
        <v>UU</v>
      </c>
      <c r="G25" s="292" t="str">
        <f t="shared" ca="1" si="2"/>
        <v>UUU</v>
      </c>
      <c r="H25" s="863" t="str">
        <f t="shared" ca="1" si="3"/>
        <v/>
      </c>
      <c r="J25" s="87" vm="83">
        <f ca="1"/>
        <v>45691</v>
      </c>
      <c r="K25" s="87" vm="84">
        <f ca="1"/>
        <v>43.12</v>
      </c>
      <c r="N25" s="863" t="str">
        <f ca="1">IF(F25=[2]Sheet1!O23,"","dif")</f>
        <v>dif</v>
      </c>
      <c r="R25" s="863" t="str">
        <f ca="1"/>
        <v>UDZ</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0</v>
      </c>
      <c r="AC25" s="863" cm="1">
        <f t="array" aca="1" ref="AC25" ca="1">SUM( ($G$7:$G$212=$R25) * ($G$6:$G$211=AC$9) )</f>
        <v>0</v>
      </c>
      <c r="AD25" s="863" cm="1">
        <f t="array" aca="1" ref="AD25" ca="1">SUM( ($G$7:$G$212=$R25) * ($G$6:$G$211=AD$9) )</f>
        <v>0</v>
      </c>
      <c r="AE25" s="863" cm="1">
        <f t="array" aca="1" ref="AE25" ca="1">SUM( ($G$7:$G$212=$R25) * ($G$6:$G$211=AE$9) )</f>
        <v>0</v>
      </c>
      <c r="AF25" s="863" cm="1">
        <f t="array" aca="1" ref="AF25" ca="1">SUM( ($G$7:$G$212=$R25) * ($G$6:$G$211=AF$9) )</f>
        <v>0</v>
      </c>
      <c r="AG25" s="863" cm="1">
        <f t="array" aca="1" ref="AG25" ca="1">SUM( ($G$7:$G$212=$R25) * ($G$6:$G$211=AG$9) )</f>
        <v>8</v>
      </c>
      <c r="AH25" s="863" cm="1">
        <f t="array" aca="1" ref="AH25" ca="1">SUM( ($G$7:$G$212=$R25) * ($G$6:$G$211=AH$9) )</f>
        <v>0</v>
      </c>
      <c r="AI25" s="863" cm="1">
        <f t="array" aca="1" ref="AI25" ca="1">SUM( ($G$7:$G$212=$R25) * ($G$6:$G$211=AI$9) )</f>
        <v>0</v>
      </c>
      <c r="AJ25" s="863" cm="1">
        <f t="array" aca="1" ref="AJ25" ca="1">SUM( ($G$7:$G$212=$R25) * ($G$6:$G$211=AJ$9) )</f>
        <v>0</v>
      </c>
      <c r="AK25" s="863" cm="1">
        <f t="array" aca="1" ref="AK25" ca="1">SUM( ($G$7:$G$212=$R25) * ($G$6:$G$211=AK$9) )</f>
        <v>2</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0</v>
      </c>
      <c r="AR25" s="863" cm="1">
        <f t="array" aca="1" ref="AR25" ca="1">SUM( ($G$7:$G$212=$R25) * ($G$6:$G$211=AR$9) )</f>
        <v>3</v>
      </c>
      <c r="AS25" s="863" cm="1">
        <f t="array" aca="1" ref="AS25" ca="1">SUM( ($G$7:$G$212=$R25) * ($G$6:$G$211=AS$9) )</f>
        <v>0</v>
      </c>
      <c r="AT25" s="863" cm="1">
        <f t="array" aca="1" ref="AT25" ca="1">SUM( ($G$7:$G$212=$R25) * ($G$6:$G$211=AT$9) )</f>
        <v>0</v>
      </c>
      <c r="AU25" s="863" cm="1">
        <f t="array" aca="1" ref="AU25" ca="1">SUM( ($G$7:$G$212=$R25) * ($G$6:$G$211=AU$9) )</f>
        <v>0</v>
      </c>
    </row>
    <row r="26" spans="2:119" ht="21" customHeight="1">
      <c r="B26" s="87" vm="85">
        <f ca="1"/>
        <v>45971</v>
      </c>
      <c r="C26" s="87" vm="86">
        <f ca="1"/>
        <v>88.26</v>
      </c>
      <c r="D26" s="1169">
        <f t="shared" ca="1" si="0"/>
        <v>5.8400287804293134E-2</v>
      </c>
      <c r="E26" s="292" t="str" cm="1">
        <f t="array" aca="1" ref="E26" ca="1">_xlfn.IFS(D26&gt;ZPercent,"U",D26&lt;=-ZPercent,"D",TRUE,"Z")</f>
        <v>U</v>
      </c>
      <c r="F26" s="292" t="str">
        <f t="shared" ca="1" si="1"/>
        <v>UU</v>
      </c>
      <c r="G26" s="292" t="str">
        <f t="shared" ca="1" si="2"/>
        <v>UUU</v>
      </c>
      <c r="H26" s="863" t="str">
        <f t="shared" ca="1" si="3"/>
        <v/>
      </c>
      <c r="J26" s="87" vm="87">
        <f ca="1"/>
        <v>45692</v>
      </c>
      <c r="K26" s="87" vm="88">
        <f ca="1"/>
        <v>43.35</v>
      </c>
      <c r="N26" s="863" t="str">
        <f ca="1">IF(F26=[2]Sheet1!O24,"","dif")</f>
        <v>dif</v>
      </c>
      <c r="R26" s="863" t="str">
        <f ca="1"/>
        <v>ZZU</v>
      </c>
      <c r="S26" s="863" cm="1">
        <f t="array" aca="1" ref="S26" ca="1">SUM( ($G$7:$G$212=$R26) * ($G$6:$G$211=S$9) )</f>
        <v>0</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4</v>
      </c>
      <c r="X26" s="863" cm="1">
        <f t="array" aca="1" ref="X26" ca="1">SUM( ($G$7:$G$212=$R26) * ($G$6:$G$211=X$9) )</f>
        <v>0</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0</v>
      </c>
      <c r="AE26" s="863" cm="1">
        <f t="array" aca="1" ref="AE26" ca="1">SUM( ($G$7:$G$212=$R26) * ($G$6:$G$211=AE$9) )</f>
        <v>0</v>
      </c>
      <c r="AF26" s="863" cm="1">
        <f t="array" aca="1" ref="AF26" ca="1">SUM( ($G$7:$G$212=$R26) * ($G$6:$G$211=AF$9) )</f>
        <v>1</v>
      </c>
      <c r="AG26" s="863" cm="1">
        <f t="array" aca="1" ref="AG26" ca="1">SUM( ($G$7:$G$212=$R26) * ($G$6:$G$211=AG$9) )</f>
        <v>0</v>
      </c>
      <c r="AH26" s="863" cm="1">
        <f t="array" aca="1" ref="AH26" ca="1">SUM( ($G$7:$G$212=$R26) * ($G$6:$G$211=AH$9) )</f>
        <v>0</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c r="B27" s="87" vm="89">
        <f ca="1"/>
        <v>45968</v>
      </c>
      <c r="C27" s="87" vm="90">
        <f ca="1"/>
        <v>83.39</v>
      </c>
      <c r="D27" s="1169">
        <f t="shared" ca="1" si="0"/>
        <v>1.0420453168544765E-2</v>
      </c>
      <c r="E27" s="292" t="str" cm="1">
        <f t="array" aca="1" ref="E27" ca="1">_xlfn.IFS(D27&gt;ZPercent,"U",D27&lt;=-ZPercent,"D",TRUE,"Z")</f>
        <v>U</v>
      </c>
      <c r="F27" s="292" t="str">
        <f t="shared" ca="1" si="1"/>
        <v>UU</v>
      </c>
      <c r="G27" s="292" t="str">
        <f t="shared" ca="1" si="2"/>
        <v>UUU</v>
      </c>
      <c r="H27" s="863" t="str">
        <f t="shared" ca="1" si="3"/>
        <v/>
      </c>
      <c r="J27" s="87" vm="91">
        <f ca="1"/>
        <v>45693</v>
      </c>
      <c r="K27" s="87" vm="92">
        <f ca="1"/>
        <v>44.96</v>
      </c>
      <c r="N27" s="863" t="str">
        <f ca="1">IF(F27=[2]Sheet1!O25,"","dif")</f>
        <v>dif</v>
      </c>
      <c r="R27" s="863" t="str">
        <f ca="1"/>
        <v>ZZZ</v>
      </c>
      <c r="S27" s="863" cm="1">
        <f t="array" aca="1" ref="S27" ca="1">SUM( ($G$7:$G$212=$R27) * ($G$6:$G$211=S$9) )</f>
        <v>0</v>
      </c>
      <c r="T27" s="863" cm="1">
        <f t="array" aca="1" ref="T27" ca="1">SUM( ($G$7:$G$212=$R27) * ($G$6:$G$211=T$9) )</f>
        <v>0</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0</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0</v>
      </c>
      <c r="AD27" s="863" cm="1">
        <f t="array" aca="1" ref="AD27" ca="1">SUM( ($G$7:$G$212=$R27) * ($G$6:$G$211=AD$9) )</f>
        <v>0</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1</v>
      </c>
      <c r="AJ27" s="863" cm="1">
        <f t="array" aca="1" ref="AJ27" ca="1">SUM( ($G$7:$G$212=$R27) * ($G$6:$G$211=AJ$9) )</f>
        <v>1</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0</v>
      </c>
      <c r="AO27" s="863" cm="1">
        <f t="array" aca="1" ref="AO27" ca="1">SUM( ($G$7:$G$212=$R27) * ($G$6:$G$211=AO$9) )</f>
        <v>1</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93">
        <f ca="1"/>
        <v>45967</v>
      </c>
      <c r="C28" s="87" vm="94">
        <f ca="1"/>
        <v>82.53</v>
      </c>
      <c r="D28" s="1169">
        <f t="shared" ca="1" si="0"/>
        <v>1.1025358324145605E-2</v>
      </c>
      <c r="E28" s="292" t="str" cm="1">
        <f t="array" aca="1" ref="E28" ca="1">_xlfn.IFS(D28&gt;ZPercent,"U",D28&lt;=-ZPercent,"D",TRUE,"Z")</f>
        <v>U</v>
      </c>
      <c r="F28" s="292" t="str">
        <f t="shared" ca="1" si="1"/>
        <v>UU</v>
      </c>
      <c r="G28" s="292" t="str">
        <f t="shared" ca="1" si="2"/>
        <v>DUU</v>
      </c>
      <c r="H28" s="863" t="str">
        <f t="shared" ca="1" si="3"/>
        <v/>
      </c>
      <c r="J28" s="87" vm="95">
        <f ca="1"/>
        <v>45694</v>
      </c>
      <c r="K28" s="87" vm="96">
        <f ca="1"/>
        <v>44.88</v>
      </c>
      <c r="N28" s="863" t="str">
        <f ca="1">IF(F28=[2]Sheet1!O26,"","dif")</f>
        <v>dif</v>
      </c>
      <c r="R28" s="863" t="str">
        <f ca="1"/>
        <v>DZZ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0</v>
      </c>
      <c r="AH28" s="863" cm="1">
        <f t="array" aca="1" ref="AH28" ca="1">SUM( ($G$7:$G$212=$R28) * ($G$6:$G$211=AH$9) )</f>
        <v>0</v>
      </c>
      <c r="AI28" s="863" cm="1">
        <f t="array" aca="1" ref="AI28" ca="1">SUM( ($G$7:$G$212=$R28) * ($G$6:$G$211=AI$9) )</f>
        <v>1</v>
      </c>
      <c r="AJ28" s="863" cm="1">
        <f t="array" aca="1" ref="AJ28" ca="1">SUM( ($G$7:$G$212=$R28) * ($G$6:$G$211=AJ$9) )</f>
        <v>1</v>
      </c>
      <c r="AK28" s="863" cm="1">
        <f t="array" aca="1" ref="AK28" ca="1">SUM( ($G$7:$G$212=$R28) * ($G$6:$G$211=AK$9) )</f>
        <v>0</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0</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7">
        <f ca="1"/>
        <v>45966</v>
      </c>
      <c r="C29" s="87" vm="98">
        <f ca="1"/>
        <v>81.63</v>
      </c>
      <c r="D29" s="1169">
        <f t="shared" ca="1" si="0"/>
        <v>3.4600760456273631E-2</v>
      </c>
      <c r="E29" s="292" t="str" cm="1">
        <f t="array" aca="1" ref="E29" ca="1">_xlfn.IFS(D29&gt;ZPercent,"U",D29&lt;=-ZPercent,"D",TRUE,"Z")</f>
        <v>U</v>
      </c>
      <c r="F29" s="292" t="str">
        <f t="shared" ca="1" si="1"/>
        <v>DU</v>
      </c>
      <c r="G29" s="292" t="str">
        <f t="shared" ca="1" si="2"/>
        <v>UDU</v>
      </c>
      <c r="H29" s="863" t="str">
        <f t="shared" ca="1" si="3"/>
        <v/>
      </c>
      <c r="J29" s="87" vm="99">
        <f ca="1"/>
        <v>45695</v>
      </c>
      <c r="K29" s="87" vm="100">
        <f ca="1"/>
        <v>44.84</v>
      </c>
      <c r="N29" s="863" t="str">
        <f ca="1">IF(F29=[2]Sheet1!O27,"","dif")</f>
        <v/>
      </c>
      <c r="R29" s="863" t="str">
        <f ca="1"/>
        <v>ZDU</v>
      </c>
      <c r="S29" s="863" cm="1">
        <f t="array" aca="1" ref="S29" ca="1">SUM( ($G$7:$G$212=$R29) * ($G$6:$G$211=S$9) )</f>
        <v>2</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0</v>
      </c>
      <c r="AA29" s="863" cm="1">
        <f t="array" aca="1" ref="AA29" ca="1">SUM( ($G$7:$G$212=$R29) * ($G$6:$G$211=AA$9) )</f>
        <v>2</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0</v>
      </c>
      <c r="AK29" s="863" cm="1">
        <f t="array" aca="1" ref="AK29" ca="1">SUM( ($G$7:$G$212=$R29) * ($G$6:$G$211=AK$9) )</f>
        <v>0</v>
      </c>
      <c r="AL29" s="863" cm="1">
        <f t="array" aca="1" ref="AL29" ca="1">SUM( ($G$7:$G$212=$R29) * ($G$6:$G$211=AL$9) )</f>
        <v>0</v>
      </c>
      <c r="AM29" s="863" cm="1">
        <f t="array" aca="1" ref="AM29" ca="1">SUM( ($G$7:$G$212=$R29) * ($G$6:$G$211=AM$9) )</f>
        <v>0</v>
      </c>
      <c r="AN29" s="863" cm="1">
        <f t="array" aca="1" ref="AN29" ca="1">SUM( ($G$7:$G$212=$R29) * ($G$6:$G$211=AN$9) )</f>
        <v>0</v>
      </c>
      <c r="AO29" s="863" cm="1">
        <f t="array" aca="1" ref="AO29" ca="1">SUM( ($G$7:$G$212=$R29) * ($G$6:$G$211=AO$9) )</f>
        <v>0</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101">
        <f ca="1"/>
        <v>45965</v>
      </c>
      <c r="C30" s="87" vm="102">
        <f ca="1"/>
        <v>78.900000000000006</v>
      </c>
      <c r="D30" s="1169">
        <f t="shared" ca="1" si="0"/>
        <v>-3.3325165400637083E-2</v>
      </c>
      <c r="E30" s="292" t="str" cm="1">
        <f t="array" aca="1" ref="E30" ca="1">_xlfn.IFS(D30&gt;ZPercent,"U",D30&lt;=-ZPercent,"D",TRUE,"Z")</f>
        <v>D</v>
      </c>
      <c r="F30" s="292" t="str">
        <f t="shared" ca="1" si="1"/>
        <v>UD</v>
      </c>
      <c r="G30" s="292" t="str">
        <f t="shared" ca="1" si="2"/>
        <v>DUD</v>
      </c>
      <c r="H30" s="863" t="str">
        <f t="shared" ca="1" si="3"/>
        <v/>
      </c>
      <c r="J30" s="87" vm="103">
        <f ca="1"/>
        <v>45698</v>
      </c>
      <c r="K30" s="87" vm="104">
        <f ca="1"/>
        <v>46.46</v>
      </c>
      <c r="N30" s="863" t="str">
        <f ca="1">IF(F30=[2]Sheet1!O28,"","dif")</f>
        <v>dif</v>
      </c>
      <c r="R30" s="863" t="str">
        <f ca="1"/>
        <v>UZD</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0</v>
      </c>
      <c r="AG30" s="863" cm="1">
        <f t="array" aca="1" ref="AG30" ca="1">SUM( ($G$7:$G$212=$R30) * ($G$6:$G$211=AG$9) )</f>
        <v>0</v>
      </c>
      <c r="AH30" s="863" cm="1">
        <f t="array" aca="1" ref="AH30" ca="1">SUM( ($G$7:$G$212=$R30) * ($G$6:$G$211=AH$9) )</f>
        <v>0</v>
      </c>
      <c r="AI30" s="863" cm="1">
        <f t="array" aca="1" ref="AI30" ca="1">SUM( ($G$7:$G$212=$R30) * ($G$6:$G$211=AI$9) )</f>
        <v>0</v>
      </c>
      <c r="AJ30" s="863" cm="1">
        <f t="array" aca="1" ref="AJ30" ca="1">SUM( ($G$7:$G$212=$R30) * ($G$6:$G$211=AJ$9) )</f>
        <v>0</v>
      </c>
      <c r="AK30" s="863" cm="1">
        <f t="array" aca="1" ref="AK30" ca="1">SUM( ($G$7:$G$212=$R30) * ($G$6:$G$211=AK$9) )</f>
        <v>0</v>
      </c>
      <c r="AL30" s="863" cm="1">
        <f t="array" aca="1" ref="AL30" ca="1">SUM( ($G$7:$G$212=$R30) * ($G$6:$G$211=AL$9) )</f>
        <v>1</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c r="B31" s="87" vm="105">
        <f ca="1"/>
        <v>45964</v>
      </c>
      <c r="C31" s="87" vm="106">
        <f ca="1"/>
        <v>81.62</v>
      </c>
      <c r="D31" s="1169">
        <f t="shared" ca="1" si="0"/>
        <v>8.0276645671236956E-3</v>
      </c>
      <c r="E31" s="292" t="str" cm="1">
        <f t="array" aca="1" ref="E31" ca="1">_xlfn.IFS(D31&gt;ZPercent,"U",D31&lt;=-ZPercent,"D",TRUE,"Z")</f>
        <v>U</v>
      </c>
      <c r="F31" s="292" t="str">
        <f t="shared" ca="1" si="1"/>
        <v>DU</v>
      </c>
      <c r="G31" s="292" t="str">
        <f t="shared" ca="1" si="2"/>
        <v>UDU</v>
      </c>
      <c r="H31" s="863" t="str">
        <f t="shared" ca="1" si="3"/>
        <v/>
      </c>
      <c r="J31" s="87" vm="107">
        <f ca="1"/>
        <v>45699</v>
      </c>
      <c r="K31" s="87" vm="108">
        <f ca="1"/>
        <v>45.49</v>
      </c>
      <c r="N31" s="863" t="str">
        <f ca="1">IF(F31=[2]Sheet1!O29,"","dif")</f>
        <v>dif</v>
      </c>
      <c r="R31" s="863" t="str">
        <f ca="1"/>
        <v>ZDZ</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2</v>
      </c>
      <c r="AH31" s="863" cm="1">
        <f t="array" aca="1" ref="AH31" ca="1">SUM( ($G$7:$G$212=$R31) * ($G$6:$G$211=AH$9) )</f>
        <v>0</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0</v>
      </c>
      <c r="AM31" s="863" cm="1">
        <f t="array" aca="1" ref="AM31" ca="1">SUM( ($G$7:$G$212=$R31) * ($G$6:$G$211=AM$9) )</f>
        <v>0</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0</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9">
        <f ca="1"/>
        <v>45961</v>
      </c>
      <c r="C32" s="87" vm="110">
        <f ca="1"/>
        <v>80.97</v>
      </c>
      <c r="D32" s="1169">
        <f t="shared" ca="1" si="0"/>
        <v>-1.6279917385493906E-2</v>
      </c>
      <c r="E32" s="292" t="str" cm="1">
        <f t="array" aca="1" ref="E32" ca="1">_xlfn.IFS(D32&gt;ZPercent,"U",D32&lt;=-ZPercent,"D",TRUE,"Z")</f>
        <v>D</v>
      </c>
      <c r="F32" s="292" t="str">
        <f t="shared" ca="1" si="1"/>
        <v>UD</v>
      </c>
      <c r="G32" s="292" t="str">
        <f t="shared" ca="1" si="2"/>
        <v>ZUD</v>
      </c>
      <c r="H32" s="863" t="str">
        <f t="shared" ca="1" si="3"/>
        <v/>
      </c>
      <c r="J32" s="87" vm="111">
        <f ca="1"/>
        <v>45700</v>
      </c>
      <c r="K32" s="87" vm="112">
        <f ca="1"/>
        <v>46.81</v>
      </c>
      <c r="N32" s="863" t="str">
        <f ca="1">IF(F32=[2]Sheet1!O30,"","dif")</f>
        <v>dif</v>
      </c>
      <c r="R32" s="863" t="str">
        <f ca="1"/>
        <v>ZZD</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0</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2</v>
      </c>
      <c r="AM32" s="863" cm="1">
        <f t="array" aca="1" ref="AM32" ca="1">SUM( ($G$7:$G$212=$R32) * ($G$6:$G$211=AM$9) )</f>
        <v>0</v>
      </c>
      <c r="AN32" s="863" cm="1">
        <f t="array" aca="1" ref="AN32" ca="1">SUM( ($G$7:$G$212=$R32) * ($G$6:$G$211=AN$9) )</f>
        <v>1</v>
      </c>
      <c r="AO32" s="863" cm="1">
        <f t="array" aca="1" ref="AO32" ca="1">SUM( ($G$7:$G$212=$R32) * ($G$6:$G$211=AO$9) )</f>
        <v>0</v>
      </c>
      <c r="AP32" s="863" cm="1">
        <f t="array" aca="1" ref="AP32" ca="1">SUM( ($G$7:$G$212=$R32) * ($G$6:$G$211=AP$9) )</f>
        <v>0</v>
      </c>
      <c r="AQ32" s="863" cm="1">
        <f t="array" aca="1" ref="AQ32" ca="1">SUM( ($G$7:$G$212=$R32) * ($G$6:$G$211=AQ$9) )</f>
        <v>2</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c r="B33" s="87" vm="113">
        <f ca="1"/>
        <v>45960</v>
      </c>
      <c r="C33" s="87" vm="114">
        <f ca="1"/>
        <v>82.31</v>
      </c>
      <c r="D33" s="1169">
        <f t="shared" ca="1" si="0"/>
        <v>3.3136688841471078E-2</v>
      </c>
      <c r="E33" s="292" t="str" cm="1">
        <f t="array" aca="1" ref="E33" ca="1">_xlfn.IFS(D33&gt;ZPercent,"U",D33&lt;=-ZPercent,"D",TRUE,"Z")</f>
        <v>U</v>
      </c>
      <c r="F33" s="292" t="str">
        <f t="shared" ca="1" si="1"/>
        <v>ZU</v>
      </c>
      <c r="G33" s="292" t="str">
        <f t="shared" ca="1" si="2"/>
        <v>UZU</v>
      </c>
      <c r="H33" s="863" t="str">
        <f t="shared" ca="1" si="3"/>
        <v/>
      </c>
      <c r="J33" s="87" vm="115">
        <f ca="1"/>
        <v>45701</v>
      </c>
      <c r="K33" s="87" vm="116">
        <f ca="1"/>
        <v>47.75</v>
      </c>
      <c r="N33" s="863" t="str">
        <f ca="1">IF(F33=[2]Sheet1!O31,"","dif")</f>
        <v>dif</v>
      </c>
      <c r="R33" s="863" t="str">
        <f ca="1"/>
        <v>UZZ</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0</v>
      </c>
      <c r="X33" s="863" cm="1">
        <f t="array" aca="1" ref="X33" ca="1">SUM( ($G$7:$G$212=$R33) * ($G$6:$G$211=X$9) )</f>
        <v>0</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0</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3</v>
      </c>
      <c r="AJ33" s="863" cm="1">
        <f t="array" aca="1" ref="AJ33" ca="1">SUM( ($G$7:$G$212=$R33) * ($G$6:$G$211=AJ$9) )</f>
        <v>1</v>
      </c>
      <c r="AK33" s="863" cm="1">
        <f t="array" aca="1" ref="AK33" ca="1">SUM( ($G$7:$G$212=$R33) * ($G$6:$G$211=AK$9) )</f>
        <v>0</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4</v>
      </c>
      <c r="AP33" s="863" cm="1">
        <f t="array" aca="1" ref="AP33" ca="1">SUM( ($G$7:$G$212=$R33) * ($G$6:$G$211=AP$9) )</f>
        <v>0</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17">
        <f ca="1"/>
        <v>45959</v>
      </c>
      <c r="C34" s="87" vm="118">
        <f ca="1"/>
        <v>79.67</v>
      </c>
      <c r="D34" s="1169">
        <f t="shared" ca="1" si="0"/>
        <v>4.1593143433324717E-3</v>
      </c>
      <c r="E34" s="292" t="str" cm="1">
        <f t="array" aca="1" ref="E34" ca="1">_xlfn.IFS(D34&gt;ZPercent,"U",D34&lt;=-ZPercent,"D",TRUE,"Z")</f>
        <v>Z</v>
      </c>
      <c r="F34" s="292" t="str">
        <f t="shared" ca="1" si="1"/>
        <v>UZ</v>
      </c>
      <c r="G34" s="292" t="str">
        <f t="shared" ca="1" si="2"/>
        <v>DUZ</v>
      </c>
      <c r="H34" s="863" t="str">
        <f t="shared" ca="1" si="3"/>
        <v/>
      </c>
      <c r="J34" s="87" vm="119">
        <f ca="1"/>
        <v>45702</v>
      </c>
      <c r="K34" s="87" vm="120">
        <f ca="1"/>
        <v>46.54</v>
      </c>
      <c r="N34" s="863" t="str">
        <f ca="1">IF(F34=[2]Sheet1!O32,"","dif")</f>
        <v>dif</v>
      </c>
      <c r="R34" s="863" t="str">
        <f ca="1"/>
        <v>ZDD</v>
      </c>
      <c r="S34" s="863" cm="1">
        <f t="array" aca="1" ref="S34" ca="1">SUM( ($G$7:$G$212=$R34) * ($G$6:$G$211=S$9) )</f>
        <v>0</v>
      </c>
      <c r="T34" s="863" cm="1">
        <f t="array" aca="1" ref="T34" ca="1">SUM( ($G$7:$G$212=$R34) * ($G$6:$G$211=T$9) )</f>
        <v>3</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0</v>
      </c>
      <c r="AC34" s="863" cm="1">
        <f t="array" aca="1" ref="AC34" ca="1">SUM( ($G$7:$G$212=$R34) * ($G$6:$G$211=AC$9) )</f>
        <v>1</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0</v>
      </c>
      <c r="AH34" s="863" cm="1">
        <f t="array" aca="1" ref="AH34" ca="1">SUM( ($G$7:$G$212=$R34) * ($G$6:$G$211=AH$9) )</f>
        <v>0</v>
      </c>
      <c r="AI34" s="863" cm="1">
        <f t="array" aca="1" ref="AI34" ca="1">SUM( ($G$7:$G$212=$R34) * ($G$6:$G$211=AI$9) )</f>
        <v>0</v>
      </c>
      <c r="AJ34" s="863" cm="1">
        <f t="array" aca="1" ref="AJ34" ca="1">SUM( ($G$7:$G$212=$R34) * ($G$6:$G$211=AJ$9) )</f>
        <v>0</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0</v>
      </c>
      <c r="AO34" s="863" cm="1">
        <f t="array" aca="1" ref="AO34" ca="1">SUM( ($G$7:$G$212=$R34) * ($G$6:$G$211=AO$9) )</f>
        <v>0</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21">
        <f ca="1"/>
        <v>45958</v>
      </c>
      <c r="C35" s="87" vm="122">
        <f ca="1"/>
        <v>79.34</v>
      </c>
      <c r="D35" s="1169">
        <f t="shared" ca="1" si="0"/>
        <v>9.0296324558057743E-3</v>
      </c>
      <c r="E35" s="292" t="str" cm="1">
        <f t="array" aca="1" ref="E35" ca="1">_xlfn.IFS(D35&gt;ZPercent,"U",D35&lt;=-ZPercent,"D",TRUE,"Z")</f>
        <v>U</v>
      </c>
      <c r="F35" s="292" t="str">
        <f t="shared" ca="1" si="1"/>
        <v>DU</v>
      </c>
      <c r="G35" s="292" t="str">
        <f t="shared" ca="1" si="2"/>
        <v>DDU</v>
      </c>
      <c r="H35" s="863" t="str">
        <f t="shared" ca="1" si="3"/>
        <v/>
      </c>
      <c r="J35" s="87" vm="123">
        <f ca="1"/>
        <v>45706</v>
      </c>
      <c r="K35" s="87" vm="124">
        <f ca="1"/>
        <v>47.51</v>
      </c>
      <c r="N35" s="863" t="str">
        <f ca="1">IF(F35=[2]Sheet1!O33,"","dif")</f>
        <v>dif</v>
      </c>
      <c r="R35" s="863" t="str">
        <f ca="1"/>
        <v>DZD</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0</v>
      </c>
      <c r="AD35" s="863" cm="1">
        <f t="array" aca="1" ref="AD35" ca="1">SUM( ($G$7:$G$212=$R35) * ($G$6:$G$211=AD$9) )</f>
        <v>0</v>
      </c>
      <c r="AE35" s="863" cm="1">
        <f t="array" aca="1" ref="AE35" ca="1">SUM( ($G$7:$G$212=$R35) * ($G$6:$G$211=AE$9) )</f>
        <v>0</v>
      </c>
      <c r="AF35" s="863" cm="1">
        <f t="array" aca="1" ref="AF35" ca="1">SUM( ($G$7:$G$212=$R35) * ($G$6:$G$211=AF$9) )</f>
        <v>0</v>
      </c>
      <c r="AG35" s="863" cm="1">
        <f t="array" aca="1" ref="AG35" ca="1">SUM( ($G$7:$G$212=$R35) * ($G$6:$G$211=AG$9) )</f>
        <v>0</v>
      </c>
      <c r="AH35" s="863" cm="1">
        <f t="array" aca="1" ref="AH35" ca="1">SUM( ($G$7:$G$212=$R35) * ($G$6:$G$211=AH$9) )</f>
        <v>0</v>
      </c>
      <c r="AI35" s="863" cm="1">
        <f t="array" aca="1" ref="AI35" ca="1">SUM( ($G$7:$G$212=$R35) * ($G$6:$G$211=AI$9) )</f>
        <v>0</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1</v>
      </c>
      <c r="AO35" s="863" cm="1">
        <f t="array" aca="1" ref="AO35" ca="1">SUM( ($G$7:$G$212=$R35) * ($G$6:$G$211=AO$9) )</f>
        <v>0</v>
      </c>
      <c r="AP35" s="863" cm="1">
        <f t="array" aca="1" ref="AP35" ca="1">SUM( ($G$7:$G$212=$R35) * ($G$6:$G$211=AP$9) )</f>
        <v>0</v>
      </c>
      <c r="AQ35" s="863" cm="1">
        <f t="array" aca="1" ref="AQ35" ca="1">SUM( ($G$7:$G$212=$R35) * ($G$6:$G$211=AQ$9) )</f>
        <v>2</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c r="B36" s="87" vm="125">
        <f ca="1"/>
        <v>45957</v>
      </c>
      <c r="C36" s="87" vm="126">
        <f ca="1"/>
        <v>78.63</v>
      </c>
      <c r="D36" s="1169">
        <f t="shared" ca="1" si="0"/>
        <v>-5.6854983807124969E-2</v>
      </c>
      <c r="E36" s="292" t="str" cm="1">
        <f t="array" aca="1" ref="E36" ca="1">_xlfn.IFS(D36&gt;ZPercent,"U",D36&lt;=-ZPercent,"D",TRUE,"Z")</f>
        <v>D</v>
      </c>
      <c r="F36" s="292" t="str">
        <f t="shared" ca="1" si="1"/>
        <v>DD</v>
      </c>
      <c r="G36" s="292" t="str">
        <f t="shared" ca="1" si="2"/>
        <v>UDD</v>
      </c>
      <c r="H36" s="863" t="str">
        <f t="shared" ca="1" si="3"/>
        <v/>
      </c>
      <c r="J36" s="87" vm="127">
        <f ca="1"/>
        <v>45707</v>
      </c>
      <c r="K36" s="87" vm="128">
        <f ca="1"/>
        <v>47.41</v>
      </c>
      <c r="N36" s="863" t="str">
        <f ca="1">IF(F36=[2]Sheet1!O34,"","dif")</f>
        <v>dif</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0</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0</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c r="B37" s="87" vm="129">
        <f ca="1"/>
        <v>45954</v>
      </c>
      <c r="C37" s="87" vm="130">
        <f ca="1"/>
        <v>83.37</v>
      </c>
      <c r="D37" s="1169">
        <f t="shared" ca="1" si="0"/>
        <v>-6.2310201327184705E-2</v>
      </c>
      <c r="E37" s="292" t="str" cm="1">
        <f t="array" aca="1" ref="E37" ca="1">_xlfn.IFS(D37&gt;ZPercent,"U",D37&lt;=-ZPercent,"D",TRUE,"Z")</f>
        <v>D</v>
      </c>
      <c r="F37" s="292" t="str">
        <f t="shared" ca="1" si="1"/>
        <v>UD</v>
      </c>
      <c r="G37" s="292" t="str">
        <f t="shared" ca="1" si="2"/>
        <v>UUD</v>
      </c>
      <c r="H37" s="863" t="str">
        <f t="shared" ca="1" si="3"/>
        <v/>
      </c>
      <c r="J37" s="87" vm="131">
        <f ca="1"/>
        <v>45708</v>
      </c>
      <c r="K37" s="87" vm="132">
        <f ca="1"/>
        <v>48.09</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33">
        <f ca="1"/>
        <v>45953</v>
      </c>
      <c r="C38" s="87" vm="134">
        <f ca="1"/>
        <v>88.91</v>
      </c>
      <c r="D38" s="1169">
        <f t="shared" ca="1" si="0"/>
        <v>2.1836570509136781E-2</v>
      </c>
      <c r="E38" s="292" t="str" cm="1">
        <f t="array" aca="1" ref="E38" ca="1">_xlfn.IFS(D38&gt;ZPercent,"U",D38&lt;=-ZPercent,"D",TRUE,"Z")</f>
        <v>U</v>
      </c>
      <c r="F38" s="292" t="str">
        <f t="shared" ca="1" si="1"/>
        <v>UU</v>
      </c>
      <c r="G38" s="292" t="str">
        <f t="shared" ca="1" si="2"/>
        <v>DUU</v>
      </c>
      <c r="H38" s="863" t="str">
        <f t="shared" ca="1" si="3"/>
        <v/>
      </c>
      <c r="J38" s="87" vm="135">
        <f ca="1"/>
        <v>45709</v>
      </c>
      <c r="K38" s="87" vm="136">
        <f ca="1"/>
        <v>45.33</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37">
        <f ca="1"/>
        <v>45952</v>
      </c>
      <c r="C39" s="87" vm="138">
        <f ca="1"/>
        <v>87.01</v>
      </c>
      <c r="D39" s="1169">
        <f t="shared" ca="1" si="0"/>
        <v>7.9935125115849388E-3</v>
      </c>
      <c r="E39" s="292" t="str" cm="1">
        <f t="array" aca="1" ref="E39" ca="1">_xlfn.IFS(D39&gt;ZPercent,"U",D39&lt;=-ZPercent,"D",TRUE,"Z")</f>
        <v>U</v>
      </c>
      <c r="F39" s="292" t="str">
        <f t="shared" ca="1" si="1"/>
        <v>DU</v>
      </c>
      <c r="G39" s="292" t="str">
        <f t="shared" ca="1" si="2"/>
        <v>UDU</v>
      </c>
      <c r="H39" s="863" t="str">
        <f t="shared" ca="1" si="3"/>
        <v/>
      </c>
      <c r="J39" s="87" vm="139">
        <f ca="1"/>
        <v>45712</v>
      </c>
      <c r="K39" s="87" vm="140">
        <f ca="1"/>
        <v>44.04</v>
      </c>
      <c r="N39" s="863" t="str">
        <f ca="1">IF(F39=[2]Sheet1!O37,"","dif")</f>
        <v>dif</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41">
        <f ca="1"/>
        <v>45951</v>
      </c>
      <c r="C40" s="87" vm="142">
        <f ca="1"/>
        <v>86.32</v>
      </c>
      <c r="D40" s="1169">
        <f t="shared" ca="1" si="0"/>
        <v>-9.0315101696701525E-2</v>
      </c>
      <c r="E40" s="292" t="str" cm="1">
        <f t="array" aca="1" ref="E40" ca="1">_xlfn.IFS(D40&gt;ZPercent,"U",D40&lt;=-ZPercent,"D",TRUE,"Z")</f>
        <v>D</v>
      </c>
      <c r="F40" s="292" t="str">
        <f t="shared" ca="1" si="1"/>
        <v>UD</v>
      </c>
      <c r="G40" s="292" t="str">
        <f t="shared" ca="1" si="2"/>
        <v>DUD</v>
      </c>
      <c r="H40" s="863" t="str">
        <f t="shared" ca="1" si="3"/>
        <v/>
      </c>
      <c r="J40" s="87" vm="143">
        <f ca="1"/>
        <v>45713</v>
      </c>
      <c r="K40" s="87" vm="144">
        <f ca="1"/>
        <v>42.93</v>
      </c>
      <c r="N40" s="863" t="str">
        <f ca="1">IF(F40=[2]Sheet1!O38,"","dif")</f>
        <v/>
      </c>
    </row>
    <row r="41" spans="2:130" ht="23" thickBot="1">
      <c r="B41" s="87" vm="145">
        <f ca="1"/>
        <v>45950</v>
      </c>
      <c r="C41" s="87" vm="146">
        <f ca="1"/>
        <v>94.89</v>
      </c>
      <c r="D41" s="1169">
        <f t="shared" ca="1" si="0"/>
        <v>4.5389445852153848E-2</v>
      </c>
      <c r="E41" s="292" t="str" cm="1">
        <f t="array" aca="1" ref="E41" ca="1">_xlfn.IFS(D41&gt;ZPercent,"U",D41&lt;=-ZPercent,"D",TRUE,"Z")</f>
        <v>U</v>
      </c>
      <c r="F41" s="292" t="str">
        <f t="shared" ca="1" si="1"/>
        <v>DU</v>
      </c>
      <c r="G41" s="292" t="str">
        <f t="shared" ca="1" si="2"/>
        <v>UDU</v>
      </c>
      <c r="H41" s="863" t="str">
        <f t="shared" ca="1" si="3"/>
        <v/>
      </c>
      <c r="J41" s="87" vm="147">
        <f ca="1"/>
        <v>45714</v>
      </c>
      <c r="K41" s="87" vm="148">
        <f ca="1"/>
        <v>43.58</v>
      </c>
      <c r="N41" s="863" t="str">
        <f ca="1">IF(F41=[2]Sheet1!O39,"","dif")</f>
        <v/>
      </c>
      <c r="Q41" s="913" t="s">
        <v>2551</v>
      </c>
    </row>
    <row r="42" spans="2:130" ht="23" thickBot="1">
      <c r="B42" s="87" vm="149">
        <f ca="1"/>
        <v>45947</v>
      </c>
      <c r="C42" s="87" vm="150">
        <f ca="1"/>
        <v>90.77</v>
      </c>
      <c r="D42" s="1169">
        <f t="shared" ca="1" si="0"/>
        <v>-7.632034191513179E-2</v>
      </c>
      <c r="E42" s="292" t="str" cm="1">
        <f t="array" aca="1" ref="E42" ca="1">_xlfn.IFS(D42&gt;ZPercent,"U",D42&lt;=-ZPercent,"D",TRUE,"Z")</f>
        <v>D</v>
      </c>
      <c r="F42" s="292" t="str">
        <f t="shared" ca="1" si="1"/>
        <v>UD</v>
      </c>
      <c r="G42" s="292" t="str">
        <f t="shared" ca="1" si="2"/>
        <v>UUD</v>
      </c>
      <c r="H42" s="863" t="str">
        <f t="shared" ca="1" si="3"/>
        <v/>
      </c>
      <c r="J42" s="87" vm="151">
        <f ca="1"/>
        <v>45715</v>
      </c>
      <c r="K42" s="87" vm="152">
        <f ca="1"/>
        <v>42.12</v>
      </c>
      <c r="N42" s="863" t="str">
        <f ca="1">IF(F42=[2]Sheet1!O40,"","dif")</f>
        <v>dif</v>
      </c>
      <c r="P42" s="880" t="str">
        <f>J3</f>
        <v>NEM</v>
      </c>
      <c r="Q42" s="880" t="str">
        <f ca="1">LastMark3</f>
        <v>DUZ</v>
      </c>
      <c r="R42" s="1158" t="s">
        <v>1655</v>
      </c>
      <c r="S42" s="1159" t="s">
        <v>1656</v>
      </c>
      <c r="CQ42" s="913" t="s">
        <v>2551</v>
      </c>
    </row>
    <row r="43" spans="2:130" ht="23" thickBot="1">
      <c r="B43" s="87" vm="153">
        <f ca="1"/>
        <v>45946</v>
      </c>
      <c r="C43" s="87" vm="154">
        <f ca="1"/>
        <v>98.27</v>
      </c>
      <c r="D43" s="1169">
        <f t="shared" ca="1" si="0"/>
        <v>5.0117546484291495E-2</v>
      </c>
      <c r="E43" s="292" t="str" cm="1">
        <f t="array" aca="1" ref="E43" ca="1">_xlfn.IFS(D43&gt;ZPercent,"U",D43&lt;=-ZPercent,"D",TRUE,"Z")</f>
        <v>U</v>
      </c>
      <c r="F43" s="292" t="str">
        <f t="shared" ca="1" si="1"/>
        <v>UU</v>
      </c>
      <c r="G43" s="292" t="str">
        <f t="shared" ca="1" si="2"/>
        <v>UUU</v>
      </c>
      <c r="H43" s="863" t="str">
        <f t="shared" ca="1" si="3"/>
        <v/>
      </c>
      <c r="J43" s="87" vm="155">
        <f ca="1"/>
        <v>45716</v>
      </c>
      <c r="K43" s="87" vm="156">
        <f ca="1"/>
        <v>42.84</v>
      </c>
      <c r="N43" s="863" t="str">
        <f ca="1">IF(F43=[2]Sheet1!O41,"","dif")</f>
        <v>dif</v>
      </c>
      <c r="P43" s="913" t="s">
        <v>2579</v>
      </c>
      <c r="Q43" s="1248" t="str">
        <f ca="1">RIGHT(Q42,2)&amp;"U"</f>
        <v>UZU</v>
      </c>
      <c r="R43" s="1156">
        <f ca="1">IFERROR(_xlfn.MINIFS(S48:AT75, S48:AT75, "&gt;0", S48:AT75, "&lt;1"), "")</f>
        <v>1.6393442622950821E-2</v>
      </c>
      <c r="S43" s="1157">
        <f ca="1">IFERROR(_xlfn.MAXIFS(S48:AT75, S48:AT75, "&gt;0", S48:AT75, "&lt;1"), "")</f>
        <v>0.4375</v>
      </c>
      <c r="CP43" s="880" t="str">
        <f>B2</f>
        <v>NEM</v>
      </c>
      <c r="CQ43" s="880" t="str">
        <f ca="1">LastMark3</f>
        <v>DUZ</v>
      </c>
      <c r="CR43" s="1158" t="s">
        <v>1655</v>
      </c>
      <c r="CS43" s="1159" t="s">
        <v>1656</v>
      </c>
    </row>
    <row r="44" spans="2:130" ht="23" thickBot="1">
      <c r="B44" s="87" vm="157">
        <f ca="1"/>
        <v>45945</v>
      </c>
      <c r="C44" s="87" vm="158">
        <f ca="1"/>
        <v>93.58</v>
      </c>
      <c r="D44" s="1169">
        <f t="shared" ca="1" si="0"/>
        <v>3.3576319858625935E-2</v>
      </c>
      <c r="E44" s="292" t="str" cm="1">
        <f t="array" aca="1" ref="E44" ca="1">_xlfn.IFS(D44&gt;ZPercent,"U",D44&lt;=-ZPercent,"D",TRUE,"Z")</f>
        <v>U</v>
      </c>
      <c r="F44" s="292" t="str">
        <f t="shared" ca="1" si="1"/>
        <v>UU</v>
      </c>
      <c r="G44" s="292" t="str">
        <f t="shared" ca="1" si="2"/>
        <v>UUU</v>
      </c>
      <c r="H44" s="863" t="str">
        <f t="shared" ca="1" si="3"/>
        <v/>
      </c>
      <c r="J44" s="87" vm="159">
        <f ca="1"/>
        <v>45719</v>
      </c>
      <c r="K44" s="87" vm="160">
        <f ca="1"/>
        <v>42.36</v>
      </c>
      <c r="N44" s="863" t="str">
        <f ca="1">IF(F44=[2]Sheet1!O42,"","dif")</f>
        <v>dif</v>
      </c>
      <c r="O44" s="1161"/>
      <c r="P44" s="1247" t="str">
        <f ca="1">IF(UpPercent=0,"No "&amp;RIGHT(NewMark,2)&amp;"U","Up")</f>
        <v>Up</v>
      </c>
      <c r="Q44" s="1254">
        <f ca="1">MAX(P48:P74)</f>
        <v>1</v>
      </c>
      <c r="CP44" s="913" t="s">
        <v>2579</v>
      </c>
      <c r="CQ44" s="1248" t="str">
        <f ca="1">RIGHT(CQ43,2)&amp;"U"</f>
        <v>UZU</v>
      </c>
      <c r="CR44" s="1156">
        <f ca="1">IFERROR(_xlfn.MINIFS(CS48:DT75, CS48:DT75, "&gt;0", CS48:DT75, "&lt;1"), "")</f>
        <v>1.7543859649122806E-2</v>
      </c>
      <c r="CS44" s="1157">
        <f ca="1">IFERROR(_xlfn.MAXIFS(CS48:DT75, CS48:DT75, "&gt;0", CS48:DT75, "&lt;1"), "")</f>
        <v>0.125</v>
      </c>
    </row>
    <row r="45" spans="2:130" ht="24" thickTop="1" thickBot="1">
      <c r="B45" s="87" vm="161">
        <f ca="1"/>
        <v>45944</v>
      </c>
      <c r="C45" s="87" vm="162">
        <f ca="1"/>
        <v>90.54</v>
      </c>
      <c r="D45" s="1169">
        <f t="shared" ca="1" si="0"/>
        <v>1.2751677852348998E-2</v>
      </c>
      <c r="E45" s="292" t="str" cm="1">
        <f t="array" aca="1" ref="E45" ca="1">_xlfn.IFS(D45&gt;ZPercent,"U",D45&lt;=-ZPercent,"D",TRUE,"Z")</f>
        <v>U</v>
      </c>
      <c r="F45" s="292" t="str">
        <f t="shared" ca="1" si="1"/>
        <v>UU</v>
      </c>
      <c r="G45" s="292" t="str">
        <f t="shared" ca="1" si="2"/>
        <v>ZUU</v>
      </c>
      <c r="H45" s="863" t="str">
        <f t="shared" ca="1" si="3"/>
        <v/>
      </c>
      <c r="J45" s="87" vm="163">
        <f ca="1"/>
        <v>45720</v>
      </c>
      <c r="K45" s="87" vm="164">
        <f ca="1"/>
        <v>42.51</v>
      </c>
      <c r="N45" s="863" t="str">
        <f ca="1">IF(F45=[2]Sheet1!O43,"","dif")</f>
        <v/>
      </c>
      <c r="O45" s="1161"/>
      <c r="CP45" s="1247" t="str">
        <f ca="1">IF(CQ45=0,"No "&amp;RIGHT(CQ43,2)&amp;"U","Up")</f>
        <v>No UZU</v>
      </c>
      <c r="CQ45" s="1254">
        <f ca="1">MAX(CP48:CP74)</f>
        <v>0</v>
      </c>
    </row>
    <row r="46" spans="2:130" ht="24" thickTop="1" thickBot="1">
      <c r="B46" s="87" vm="165">
        <f ca="1"/>
        <v>45943</v>
      </c>
      <c r="C46" s="87" vm="166">
        <f ca="1"/>
        <v>89.4</v>
      </c>
      <c r="D46" s="1169">
        <f t="shared" ca="1" si="0"/>
        <v>5.0035236081747772E-2</v>
      </c>
      <c r="E46" s="292" t="str" cm="1">
        <f t="array" aca="1" ref="E46" ca="1">_xlfn.IFS(D46&gt;ZPercent,"U",D46&lt;=-ZPercent,"D",TRUE,"Z")</f>
        <v>U</v>
      </c>
      <c r="F46" s="292" t="str">
        <f t="shared" ca="1" si="1"/>
        <v>ZU</v>
      </c>
      <c r="G46" s="292" t="str">
        <f t="shared" ca="1" si="2"/>
        <v>DZU</v>
      </c>
      <c r="H46" s="863" t="str">
        <f t="shared" ca="1" si="3"/>
        <v/>
      </c>
      <c r="J46" s="87" vm="167">
        <f ca="1"/>
        <v>45721</v>
      </c>
      <c r="K46" s="87" vm="168">
        <f ca="1"/>
        <v>43.85</v>
      </c>
      <c r="N46" s="863" t="str">
        <f ca="1">IF(F46=[2]Sheet1!O44,"","dif")</f>
        <v>dif</v>
      </c>
      <c r="O46" s="1161"/>
    </row>
    <row r="47" spans="2:130" ht="23" thickBot="1">
      <c r="B47" s="87" vm="169">
        <f ca="1"/>
        <v>45940</v>
      </c>
      <c r="C47" s="87" vm="170">
        <f ca="1"/>
        <v>85.14</v>
      </c>
      <c r="D47" s="1169">
        <f t="shared" ca="1" si="0"/>
        <v>-8.2149982396424346E-4</v>
      </c>
      <c r="E47" s="292" t="str" cm="1">
        <f t="array" aca="1" ref="E47" ca="1">_xlfn.IFS(D47&gt;ZPercent,"U",D47&lt;=-ZPercent,"D",TRUE,"Z")</f>
        <v>Z</v>
      </c>
      <c r="F47" s="292" t="str">
        <f t="shared" ca="1" si="1"/>
        <v>DZ</v>
      </c>
      <c r="G47" s="292" t="str">
        <f t="shared" ca="1" si="2"/>
        <v>UDZ</v>
      </c>
      <c r="H47" s="863" t="str">
        <f t="shared" ca="1" si="3"/>
        <v/>
      </c>
      <c r="J47" s="87" vm="171">
        <f ca="1"/>
        <v>45722</v>
      </c>
      <c r="K47" s="87" vm="172">
        <f ca="1"/>
        <v>43.92</v>
      </c>
      <c r="N47" s="863" t="str">
        <f ca="1">IF(F47=[2]Sheet1!O45,"","dif")</f>
        <v>dif</v>
      </c>
      <c r="O47" s="1161"/>
      <c r="Q47" s="1261">
        <f ca="1">SUM(Q48:Q75)</f>
        <v>965</v>
      </c>
      <c r="R47" s="1258">
        <f ca="1">ROWS(_xlfn.UNIQUE(G5:G157))</f>
        <v>26</v>
      </c>
      <c r="S47" s="1196" t="str">
        <f t="shared" ref="S47:AR47" ca="1" si="4">S9</f>
        <v>DUZ</v>
      </c>
      <c r="T47" s="1176" t="str">
        <f t="shared" ca="1" si="4"/>
        <v>DDU</v>
      </c>
      <c r="U47" s="1176" t="str">
        <f t="shared" ca="1" si="4"/>
        <v>UDD</v>
      </c>
      <c r="V47" s="1176" t="str">
        <f t="shared" ca="1" si="4"/>
        <v>DUD</v>
      </c>
      <c r="W47" s="1176" t="str">
        <f t="shared" ca="1" si="4"/>
        <v>ZUD</v>
      </c>
      <c r="X47" s="1176" t="str">
        <f t="shared" ca="1" si="4"/>
        <v>UZU</v>
      </c>
      <c r="Y47" s="1176" t="str">
        <f t="shared" ca="1" si="4"/>
        <v>ZUZ</v>
      </c>
      <c r="Z47" s="1176" t="str">
        <f t="shared" ca="1" si="4"/>
        <v>UUZ</v>
      </c>
      <c r="AA47" s="1176" t="str">
        <f t="shared" ca="1" si="4"/>
        <v>DUU</v>
      </c>
      <c r="AB47" s="1176" t="str">
        <f t="shared" ca="1" si="4"/>
        <v>UDU</v>
      </c>
      <c r="AC47" s="1176" t="str">
        <f t="shared" ca="1" si="4"/>
        <v>DDD</v>
      </c>
      <c r="AD47" s="1176" t="str">
        <f t="shared" ca="1" si="4"/>
        <v>UUD</v>
      </c>
      <c r="AE47" s="1176" t="str">
        <f t="shared" ca="1" si="4"/>
        <v>UUU</v>
      </c>
      <c r="AF47" s="1176" t="str">
        <f t="shared" ca="1" si="4"/>
        <v>ZUU</v>
      </c>
      <c r="AG47" s="1176" t="str">
        <f t="shared" ca="1" si="4"/>
        <v>DZU</v>
      </c>
      <c r="AH47" s="1176" t="str">
        <f t="shared" ca="1" si="4"/>
        <v>UDZ</v>
      </c>
      <c r="AI47" s="1176" t="str">
        <f t="shared" ca="1" si="4"/>
        <v>ZZU</v>
      </c>
      <c r="AJ47" s="1176" t="str">
        <f t="shared" ca="1" si="4"/>
        <v>ZZZ</v>
      </c>
      <c r="AK47" s="1176" t="str">
        <f t="shared" ca="1" si="4"/>
        <v>DZZ</v>
      </c>
      <c r="AL47" s="1176" t="str">
        <f t="shared" ca="1" si="4"/>
        <v>ZDU</v>
      </c>
      <c r="AM47" s="1176" t="str">
        <f t="shared" ca="1" si="4"/>
        <v>UZD</v>
      </c>
      <c r="AN47" s="1176" t="str">
        <f t="shared" ca="1" si="4"/>
        <v>ZDZ</v>
      </c>
      <c r="AO47" s="1176" t="str">
        <f t="shared" ca="1" si="4"/>
        <v>ZZD</v>
      </c>
      <c r="AP47" s="1176" t="str">
        <f t="shared" ca="1" si="4"/>
        <v>UZZ</v>
      </c>
      <c r="AQ47" s="1176" t="str">
        <f t="shared" ca="1" si="4"/>
        <v>ZDD</v>
      </c>
      <c r="AR47" s="1176" t="str">
        <f t="shared" ca="1" si="4"/>
        <v>DZD</v>
      </c>
      <c r="AS47" s="1176"/>
      <c r="AT47" s="1176"/>
      <c r="AU47" s="1176"/>
      <c r="AV47" s="1176"/>
      <c r="AW47" s="1176"/>
      <c r="AX47" s="1176"/>
      <c r="CP47" s="1264" t="s">
        <v>2582</v>
      </c>
      <c r="CQ47" s="1160">
        <f ca="1">SUM(CQ48:CQ75)</f>
        <v>85</v>
      </c>
      <c r="CR47" s="1125">
        <f ca="1">ROWS(_xlfn.UNIQUE(AH9:AH153))</f>
        <v>16</v>
      </c>
      <c r="CS47" s="1176" t="str">
        <f ca="1">CS9</f>
        <v>DUZ</v>
      </c>
      <c r="CT47" s="1176" t="str">
        <f t="shared" ref="CT47:DZ47" ca="1" si="5">CT9</f>
        <v>DDU</v>
      </c>
      <c r="CU47" s="1176" t="str">
        <f t="shared" ca="1" si="5"/>
        <v>UDD</v>
      </c>
      <c r="CV47" s="1176" t="str">
        <f t="shared" ca="1" si="5"/>
        <v>DUD</v>
      </c>
      <c r="CW47" s="1176" t="str">
        <f t="shared" ca="1" si="5"/>
        <v>ZUD</v>
      </c>
      <c r="CX47" s="1176" t="str">
        <f t="shared" ca="1" si="5"/>
        <v>UZU</v>
      </c>
      <c r="CY47" s="1176" t="str">
        <f t="shared" ca="1" si="5"/>
        <v>ZUZ</v>
      </c>
      <c r="CZ47" s="1176" t="str">
        <f t="shared" ca="1" si="5"/>
        <v>UUZ</v>
      </c>
      <c r="DA47" s="1176" t="str">
        <f t="shared" ca="1" si="5"/>
        <v>DUU</v>
      </c>
      <c r="DB47" s="1176" t="str">
        <f t="shared" ca="1" si="5"/>
        <v>UDU</v>
      </c>
      <c r="DC47" s="1176" t="str">
        <f t="shared" ca="1" si="5"/>
        <v>DDD</v>
      </c>
      <c r="DD47" s="1176" t="str">
        <f t="shared" ca="1" si="5"/>
        <v>UUD</v>
      </c>
      <c r="DE47" s="1176" t="str">
        <f t="shared" ca="1" si="5"/>
        <v>UUU</v>
      </c>
      <c r="DF47" s="1176" t="str">
        <f t="shared" ca="1" si="5"/>
        <v>ZUU</v>
      </c>
      <c r="DG47" s="1176" t="str">
        <f t="shared" ca="1" si="5"/>
        <v>DZU</v>
      </c>
      <c r="DH47" s="1176" t="str">
        <f t="shared" ca="1" si="5"/>
        <v>UDZ</v>
      </c>
      <c r="DI47" s="1176" t="str">
        <f t="shared" ca="1" si="5"/>
        <v>ZZU</v>
      </c>
      <c r="DJ47" s="1176" t="str">
        <f t="shared" ca="1" si="5"/>
        <v>ZZZ</v>
      </c>
      <c r="DK47" s="1176" t="str">
        <f t="shared" ca="1" si="5"/>
        <v>DZZ</v>
      </c>
      <c r="DL47" s="1176" t="str">
        <f t="shared" ca="1" si="5"/>
        <v>ZDU</v>
      </c>
      <c r="DM47" s="1176" t="str">
        <f t="shared" ca="1" si="5"/>
        <v>UZD</v>
      </c>
      <c r="DN47" s="1176" t="str">
        <f t="shared" ca="1" si="5"/>
        <v>ZDZ</v>
      </c>
      <c r="DO47" s="1176" t="str">
        <f t="shared" ca="1" si="5"/>
        <v>ZZD</v>
      </c>
      <c r="DP47" s="1176" t="str">
        <f t="shared" ca="1" si="5"/>
        <v>UZZ</v>
      </c>
      <c r="DQ47" s="1176" t="str">
        <f t="shared" ca="1" si="5"/>
        <v>ZDD</v>
      </c>
      <c r="DR47" s="1176" t="str">
        <f t="shared" ca="1" si="5"/>
        <v>DZD</v>
      </c>
      <c r="DS47" s="1176">
        <f t="shared" ca="1" si="5"/>
        <v>0</v>
      </c>
      <c r="DT47" s="1176">
        <f t="shared" ca="1" si="5"/>
        <v>0</v>
      </c>
      <c r="DU47" s="1176">
        <f t="shared" ca="1" si="5"/>
        <v>0</v>
      </c>
      <c r="DV47" s="1176">
        <f t="shared" ca="1" si="5"/>
        <v>0</v>
      </c>
      <c r="DW47" s="1176">
        <f t="shared" ca="1" si="5"/>
        <v>0</v>
      </c>
      <c r="DX47" s="1176">
        <f t="shared" ca="1" si="5"/>
        <v>0</v>
      </c>
      <c r="DY47" s="1176" t="str">
        <f t="shared" ca="1" si="5"/>
        <v>Min</v>
      </c>
      <c r="DZ47" s="1339">
        <f t="shared" ca="1" si="5"/>
        <v>1.6393442622950821E-2</v>
      </c>
    </row>
    <row r="48" spans="2:130" ht="23" thickTop="1">
      <c r="B48" s="87" vm="173">
        <f ca="1"/>
        <v>45939</v>
      </c>
      <c r="C48" s="87" vm="174">
        <f ca="1"/>
        <v>85.21</v>
      </c>
      <c r="D48" s="1169">
        <f t="shared" ca="1" si="0"/>
        <v>-3.6085972850678869E-2</v>
      </c>
      <c r="E48" s="292" t="str" cm="1">
        <f t="array" aca="1" ref="E48" ca="1">_xlfn.IFS(D48&gt;ZPercent,"U",D48&lt;=-ZPercent,"D",TRUE,"Z")</f>
        <v>D</v>
      </c>
      <c r="F48" s="292" t="str">
        <f t="shared" ca="1" si="1"/>
        <v>UD</v>
      </c>
      <c r="G48" s="292" t="str">
        <f t="shared" ca="1" si="2"/>
        <v>DUD</v>
      </c>
      <c r="H48" s="863" t="str">
        <f t="shared" ca="1" si="3"/>
        <v/>
      </c>
      <c r="J48" s="87" vm="175">
        <f ca="1"/>
        <v>45723</v>
      </c>
      <c r="K48" s="87" vm="176">
        <f ca="1"/>
        <v>43.87</v>
      </c>
      <c r="N48" s="863" t="str">
        <f ca="1">IF(F48=[2]Sheet1!O46,"","dif")</f>
        <v>dif</v>
      </c>
      <c r="O48" s="1161"/>
      <c r="P48" s="1153" cm="1">
        <f t="array" aca="1" ref="P48" ca="1">IFERROR(INDEX($S48:$AT48,
       MATCH(TRUE,
             (($R48=Q42)*
              (RIGHT($S$47:$AT$47,3)=NewMUP)*
              ($S48:$AT48&gt;0))&gt;0,
       0)),0)</f>
        <v>1</v>
      </c>
      <c r="Q48" s="1246">
        <f ca="1">SUM(S10:INDEX(6:6, COLUMN($S10) +$R$47 - 1))</f>
        <v>5</v>
      </c>
      <c r="R48" s="1192" t="str">
        <f t="shared" ref="R48:R73" ca="1" si="6">R10</f>
        <v>DUZ</v>
      </c>
      <c r="S48" s="1184">
        <f t="shared" ref="S48:AS48" ca="1" si="7">IF(S10=0,0,S10/$Q48)</f>
        <v>0</v>
      </c>
      <c r="T48" s="1170">
        <f t="shared" ca="1" si="7"/>
        <v>0</v>
      </c>
      <c r="U48" s="1170">
        <f t="shared" ca="1" si="7"/>
        <v>0</v>
      </c>
      <c r="V48" s="1170">
        <f t="shared" ca="1" si="7"/>
        <v>0</v>
      </c>
      <c r="W48" s="1170">
        <f t="shared" ca="1" si="7"/>
        <v>0</v>
      </c>
      <c r="X48" s="1170">
        <f t="shared" ca="1" si="7"/>
        <v>1</v>
      </c>
      <c r="Y48" s="1170">
        <f t="shared" ca="1" si="7"/>
        <v>0</v>
      </c>
      <c r="Z48" s="1170">
        <f t="shared" ca="1" si="7"/>
        <v>0</v>
      </c>
      <c r="AA48" s="1170">
        <f t="shared" ca="1" si="7"/>
        <v>0</v>
      </c>
      <c r="AB48" s="1170">
        <f t="shared" ca="1" si="7"/>
        <v>0</v>
      </c>
      <c r="AC48" s="1170">
        <f t="shared" ca="1" si="7"/>
        <v>0</v>
      </c>
      <c r="AD48" s="1170">
        <f t="shared" ca="1" si="7"/>
        <v>0</v>
      </c>
      <c r="AE48" s="1170">
        <f t="shared" ca="1" si="7"/>
        <v>0</v>
      </c>
      <c r="AF48" s="1170">
        <f t="shared" ca="1" si="7"/>
        <v>0</v>
      </c>
      <c r="AG48" s="1170">
        <f t="shared" ca="1" si="7"/>
        <v>0</v>
      </c>
      <c r="AH48" s="1170">
        <f t="shared" ca="1" si="7"/>
        <v>0</v>
      </c>
      <c r="AI48" s="1170">
        <f t="shared" ca="1" si="7"/>
        <v>0</v>
      </c>
      <c r="AJ48" s="1170">
        <f t="shared" ca="1" si="7"/>
        <v>0</v>
      </c>
      <c r="AK48" s="1170">
        <f t="shared" ca="1" si="7"/>
        <v>0</v>
      </c>
      <c r="AL48" s="1170">
        <f t="shared" ca="1" si="7"/>
        <v>0</v>
      </c>
      <c r="AM48" s="1170">
        <f t="shared" ca="1" si="7"/>
        <v>0</v>
      </c>
      <c r="AN48" s="1170">
        <f t="shared" ca="1" si="7"/>
        <v>0</v>
      </c>
      <c r="AO48" s="1170">
        <f t="shared" ca="1" si="7"/>
        <v>0</v>
      </c>
      <c r="AP48" s="1170">
        <f t="shared" ca="1" si="7"/>
        <v>0</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6">
        <f ca="1">SUM(CS10:INDEX(6:6, COLUMN($CS10) +$CR$47 - 1))</f>
        <v>0</v>
      </c>
      <c r="CR48" s="1162" t="str">
        <f t="shared" ref="CR48:CR64" ca="1" si="8">CR10</f>
        <v>DUZ</v>
      </c>
      <c r="CS48" s="1187">
        <f t="shared" ref="CS48:DW48" ca="1" si="9">IF(CS10=0,0,CS10/$Q48)</f>
        <v>0</v>
      </c>
      <c r="CT48" s="1187">
        <f t="shared" ca="1" si="9"/>
        <v>0</v>
      </c>
      <c r="CU48" s="1187">
        <f t="shared" ca="1" si="9"/>
        <v>0</v>
      </c>
      <c r="CV48" s="1187">
        <f t="shared" ca="1" si="9"/>
        <v>0</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77">
        <f ca="1"/>
        <v>45938</v>
      </c>
      <c r="C49" s="87" vm="178">
        <f ca="1"/>
        <v>88.4</v>
      </c>
      <c r="D49" s="1169">
        <f t="shared" ca="1" si="0"/>
        <v>1.6676250718803944E-2</v>
      </c>
      <c r="E49" s="292" t="str" cm="1">
        <f t="array" aca="1" ref="E49" ca="1">_xlfn.IFS(D49&gt;ZPercent,"U",D49&lt;=-ZPercent,"D",TRUE,"Z")</f>
        <v>U</v>
      </c>
      <c r="F49" s="292" t="str">
        <f t="shared" ca="1" si="1"/>
        <v>DU</v>
      </c>
      <c r="G49" s="292" t="str">
        <f t="shared" ca="1" si="2"/>
        <v>UDU</v>
      </c>
      <c r="H49" s="863" t="str">
        <f t="shared" ca="1" si="3"/>
        <v/>
      </c>
      <c r="J49" s="87" vm="179">
        <f ca="1"/>
        <v>45726</v>
      </c>
      <c r="K49" s="87" vm="180">
        <f ca="1"/>
        <v>42.37</v>
      </c>
      <c r="N49" s="863" t="str">
        <f ca="1">IF(F49=[2]Sheet1!O47,"","dif")</f>
        <v>dif</v>
      </c>
      <c r="O49" s="1161"/>
      <c r="P49" s="1153" cm="1">
        <f t="array" aca="1" ref="P49" ca="1">IFERROR(INDEX($S49:$AT49,
       MATCH(TRUE,
             (($R49=R42)*
              (RIGHT($S$47:$AT$47,3)=NewMUP)*
              ($S49:$AT49&gt;0))&gt;0,
       0)),0)</f>
        <v>0</v>
      </c>
      <c r="Q49" s="1246">
        <f ca="1">SUM(S11:INDEX(7:7, COLUMN($S11) +$R$47 - 1))</f>
        <v>16</v>
      </c>
      <c r="R49" s="1193" t="str">
        <f t="shared" ca="1" si="6"/>
        <v>DDU</v>
      </c>
      <c r="S49" s="1186">
        <f t="shared" ref="S49:AS49" ca="1" si="10">IF(S11=0,0,S11/$Q49)</f>
        <v>0.1875</v>
      </c>
      <c r="T49" s="1187">
        <f t="shared" ca="1" si="10"/>
        <v>0</v>
      </c>
      <c r="U49" s="1187">
        <f t="shared" ca="1" si="10"/>
        <v>0</v>
      </c>
      <c r="V49" s="1187">
        <f t="shared" ca="1" si="10"/>
        <v>0.4375</v>
      </c>
      <c r="W49" s="1187">
        <f t="shared" ca="1" si="10"/>
        <v>0</v>
      </c>
      <c r="X49" s="1187">
        <f t="shared" ca="1" si="10"/>
        <v>0</v>
      </c>
      <c r="Y49" s="1187">
        <f t="shared" ca="1" si="10"/>
        <v>0</v>
      </c>
      <c r="Z49" s="1187">
        <f t="shared" ca="1" si="10"/>
        <v>0</v>
      </c>
      <c r="AA49" s="1187">
        <f t="shared" ca="1" si="10"/>
        <v>6.25E-2</v>
      </c>
      <c r="AB49" s="1187">
        <f t="shared" ca="1" si="10"/>
        <v>0</v>
      </c>
      <c r="AC49" s="1187">
        <f t="shared" ca="1" si="10"/>
        <v>0</v>
      </c>
      <c r="AD49" s="1187">
        <f t="shared" ca="1" si="10"/>
        <v>0</v>
      </c>
      <c r="AE49" s="1187">
        <f t="shared" ca="1" si="10"/>
        <v>0</v>
      </c>
      <c r="AF49" s="1187">
        <f t="shared" ca="1" si="10"/>
        <v>0</v>
      </c>
      <c r="AG49" s="1187">
        <f t="shared" ca="1" si="10"/>
        <v>0</v>
      </c>
      <c r="AH49" s="1187">
        <f t="shared" ca="1" si="10"/>
        <v>0</v>
      </c>
      <c r="AI49" s="1187">
        <f t="shared" ca="1" si="10"/>
        <v>0</v>
      </c>
      <c r="AJ49" s="1187">
        <f t="shared" ca="1" si="10"/>
        <v>0</v>
      </c>
      <c r="AK49" s="1187">
        <f t="shared" ca="1" si="10"/>
        <v>0</v>
      </c>
      <c r="AL49" s="1187">
        <f t="shared" ca="1" si="10"/>
        <v>0</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6">
        <f ca="1">SUM(CS11:INDEX(7:7, COLUMN($CS11) +$CR$47 - 1))</f>
        <v>2</v>
      </c>
      <c r="CR49" s="1162" t="str">
        <f t="shared" ca="1" si="8"/>
        <v>DDU</v>
      </c>
      <c r="CS49" s="1187">
        <f t="shared" ref="CS49:DW49" ca="1" si="12">IF(CS11=0,0,CS11/$Q49)</f>
        <v>0</v>
      </c>
      <c r="CT49" s="1187">
        <f t="shared" ca="1" si="12"/>
        <v>0</v>
      </c>
      <c r="CU49" s="1187">
        <f t="shared" ca="1" si="12"/>
        <v>0</v>
      </c>
      <c r="CV49" s="1187">
        <f t="shared" ca="1" si="12"/>
        <v>0.125</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81">
        <f ca="1"/>
        <v>45937</v>
      </c>
      <c r="C50" s="87" vm="182">
        <f ca="1"/>
        <v>86.95</v>
      </c>
      <c r="D50" s="1169">
        <f t="shared" ca="1" si="0"/>
        <v>-1.7625127104282028E-2</v>
      </c>
      <c r="E50" s="292" t="str" cm="1">
        <f t="array" aca="1" ref="E50" ca="1">_xlfn.IFS(D50&gt;ZPercent,"U",D50&lt;=-ZPercent,"D",TRUE,"Z")</f>
        <v>D</v>
      </c>
      <c r="F50" s="292" t="str">
        <f t="shared" ca="1" si="1"/>
        <v>UD</v>
      </c>
      <c r="G50" s="292" t="str">
        <f t="shared" ca="1" si="2"/>
        <v>ZUD</v>
      </c>
      <c r="H50" s="863" t="str">
        <f t="shared" ca="1" si="3"/>
        <v/>
      </c>
      <c r="J50" s="87" vm="183">
        <f ca="1"/>
        <v>45727</v>
      </c>
      <c r="K50" s="87" vm="184">
        <f ca="1"/>
        <v>43.42</v>
      </c>
      <c r="N50" s="863" t="str">
        <f ca="1">IF(F50=[2]Sheet1!O48,"","dif")</f>
        <v>dif</v>
      </c>
      <c r="O50" s="1161"/>
      <c r="P50" s="1153" cm="1">
        <f t="array" aca="1" ref="P50" ca="1">IFERROR(INDEX($S50:$AT50,
       MATCH(TRUE,
             (($R50=R43)*
              (RIGHT($S$47:$AT$47,3)=NewMUP)*
              ($S50:$AT50&gt;0))&gt;0,
       0)),0)</f>
        <v>0</v>
      </c>
      <c r="Q50" s="1246">
        <f ca="1">SUM(S12:INDEX(8:8, COLUMN($S12) +$R$47 - 1))</f>
        <v>25</v>
      </c>
      <c r="R50" s="1193" t="str">
        <f t="shared" ca="1" si="6"/>
        <v>UDD</v>
      </c>
      <c r="S50" s="1186">
        <f t="shared" ref="S50:AS50" ca="1" si="13">IF(S12=0,0,S12/$Q50)</f>
        <v>0</v>
      </c>
      <c r="T50" s="1187">
        <f t="shared" ca="1" si="13"/>
        <v>0.24</v>
      </c>
      <c r="U50" s="1187">
        <f t="shared" ca="1" si="13"/>
        <v>0</v>
      </c>
      <c r="V50" s="1187">
        <f t="shared" ca="1" si="13"/>
        <v>0</v>
      </c>
      <c r="W50" s="1187">
        <f t="shared" ca="1" si="13"/>
        <v>0</v>
      </c>
      <c r="X50" s="1187">
        <f t="shared" ca="1" si="13"/>
        <v>0</v>
      </c>
      <c r="Y50" s="1187">
        <f t="shared" ca="1" si="13"/>
        <v>0</v>
      </c>
      <c r="Z50" s="1187">
        <f t="shared" ca="1" si="13"/>
        <v>0</v>
      </c>
      <c r="AA50" s="1187">
        <f t="shared" ca="1" si="13"/>
        <v>0</v>
      </c>
      <c r="AB50" s="1187">
        <f t="shared" ca="1" si="13"/>
        <v>0</v>
      </c>
      <c r="AC50" s="1187">
        <f t="shared" ca="1" si="13"/>
        <v>0.12</v>
      </c>
      <c r="AD50" s="1187">
        <f t="shared" ca="1" si="13"/>
        <v>0</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6">
        <f ca="1">SUM(CS12:INDEX(8:8, COLUMN($CS12) +$CR$47 - 1))</f>
        <v>5</v>
      </c>
      <c r="CR50" s="1162" t="str">
        <f t="shared" ca="1" si="8"/>
        <v>UDD</v>
      </c>
      <c r="CS50" s="1187">
        <f t="shared" ref="CS50:DW50" ca="1" si="14">IF(CS12=0,0,CS12/$Q50)</f>
        <v>0</v>
      </c>
      <c r="CT50" s="1187">
        <f t="shared" ca="1" si="14"/>
        <v>0.08</v>
      </c>
      <c r="CU50" s="1187">
        <f t="shared" ca="1" si="14"/>
        <v>0</v>
      </c>
      <c r="CV50" s="1187">
        <f t="shared" ca="1" si="14"/>
        <v>0</v>
      </c>
      <c r="CW50" s="1187">
        <f t="shared" ca="1" si="14"/>
        <v>0</v>
      </c>
      <c r="CX50" s="1187">
        <f t="shared" ca="1" si="14"/>
        <v>0</v>
      </c>
      <c r="CY50" s="1187">
        <f t="shared" ca="1" si="14"/>
        <v>0</v>
      </c>
      <c r="CZ50" s="1187">
        <f t="shared" ca="1" si="14"/>
        <v>0</v>
      </c>
      <c r="DA50" s="1187">
        <f t="shared" ca="1" si="14"/>
        <v>0</v>
      </c>
      <c r="DB50" s="1187">
        <f t="shared" ca="1" si="14"/>
        <v>0</v>
      </c>
      <c r="DC50" s="1187">
        <f t="shared" ca="1" si="14"/>
        <v>0.04</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85">
        <f ca="1"/>
        <v>45936</v>
      </c>
      <c r="C51" s="87" vm="186">
        <f ca="1"/>
        <v>88.51</v>
      </c>
      <c r="D51" s="1169">
        <f t="shared" ca="1" si="0"/>
        <v>1.89960856550772E-2</v>
      </c>
      <c r="E51" s="292" t="str" cm="1">
        <f t="array" aca="1" ref="E51" ca="1">_xlfn.IFS(D51&gt;ZPercent,"U",D51&lt;=-ZPercent,"D",TRUE,"Z")</f>
        <v>U</v>
      </c>
      <c r="F51" s="292" t="str">
        <f t="shared" ca="1" si="1"/>
        <v>ZU</v>
      </c>
      <c r="G51" s="292" t="str">
        <f t="shared" ca="1" si="2"/>
        <v>UZU</v>
      </c>
      <c r="H51" s="863" t="str">
        <f t="shared" ca="1" si="3"/>
        <v/>
      </c>
      <c r="J51" s="87" vm="187">
        <f ca="1"/>
        <v>45728</v>
      </c>
      <c r="K51" s="87" vm="188">
        <f ca="1"/>
        <v>43.63</v>
      </c>
      <c r="N51" s="863" t="str">
        <f ca="1">IF(F51=[2]Sheet1!O49,"","dif")</f>
        <v>dif</v>
      </c>
      <c r="O51" s="1161"/>
      <c r="P51" s="1153" cm="1">
        <f t="array" aca="1" ref="P51" ca="1">IFERROR(INDEX($S51:$AT51,
       MATCH(TRUE,
             (($R51=Q47)*
              (RIGHT($S$47:$AT$47,3)=NewMUP)*
              ($S51:$AT51&gt;0))&gt;0,
       0)),0)</f>
        <v>0</v>
      </c>
      <c r="Q51" s="1246">
        <f ca="1">SUM(S13:INDEX(9:9, COLUMN($S13) +$R$47 - 1))</f>
        <v>38</v>
      </c>
      <c r="R51" s="1193" t="str">
        <f t="shared" ca="1" si="6"/>
        <v>DUD</v>
      </c>
      <c r="S51" s="1186">
        <f t="shared" ref="S51:AS51" ca="1" si="15">IF(S13=0,0,S13/$Q51)</f>
        <v>0</v>
      </c>
      <c r="T51" s="1187">
        <f t="shared" ca="1" si="15"/>
        <v>0</v>
      </c>
      <c r="U51" s="1187">
        <f t="shared" ca="1" si="15"/>
        <v>5.2631578947368418E-2</v>
      </c>
      <c r="V51" s="1187">
        <f t="shared" ca="1" si="15"/>
        <v>0</v>
      </c>
      <c r="W51" s="1187">
        <f t="shared" ca="1" si="15"/>
        <v>0</v>
      </c>
      <c r="X51" s="1187">
        <f t="shared" ca="1" si="15"/>
        <v>0</v>
      </c>
      <c r="Y51" s="1187">
        <f t="shared" ca="1" si="15"/>
        <v>0</v>
      </c>
      <c r="Z51" s="1187">
        <f t="shared" ca="1" si="15"/>
        <v>0</v>
      </c>
      <c r="AA51" s="1187">
        <f t="shared" ca="1" si="15"/>
        <v>0</v>
      </c>
      <c r="AB51" s="1187">
        <f t="shared" ca="1" si="15"/>
        <v>0.13157894736842105</v>
      </c>
      <c r="AC51" s="1187">
        <f t="shared" ca="1" si="15"/>
        <v>0</v>
      </c>
      <c r="AD51" s="1187">
        <f t="shared" ca="1" si="15"/>
        <v>0</v>
      </c>
      <c r="AE51" s="1187">
        <f t="shared" ca="1" si="15"/>
        <v>0</v>
      </c>
      <c r="AF51" s="1187">
        <f t="shared" ca="1" si="15"/>
        <v>0</v>
      </c>
      <c r="AG51" s="1187">
        <f t="shared" ca="1" si="15"/>
        <v>0</v>
      </c>
      <c r="AH51" s="1187">
        <f t="shared" ca="1" si="15"/>
        <v>0.15789473684210525</v>
      </c>
      <c r="AI51" s="1187">
        <f t="shared" ca="1" si="15"/>
        <v>0</v>
      </c>
      <c r="AJ51" s="1187">
        <f t="shared" ca="1" si="15"/>
        <v>0</v>
      </c>
      <c r="AK51" s="1187">
        <f t="shared" ca="1" si="15"/>
        <v>0</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6">
        <f ca="1">SUM(CS13:INDEX(9:9, COLUMN($CS13) +$CR$47 - 1))</f>
        <v>7</v>
      </c>
      <c r="CR51" s="1162" t="str">
        <f t="shared" ca="1" si="8"/>
        <v>DUD</v>
      </c>
      <c r="CS51" s="1187">
        <f t="shared" ref="CS51:DW51" ca="1" si="16">IF(CS13=0,0,CS13/$Q51)</f>
        <v>0</v>
      </c>
      <c r="CT51" s="1187">
        <f t="shared" ca="1" si="16"/>
        <v>0</v>
      </c>
      <c r="CU51" s="1187">
        <f t="shared" ca="1" si="16"/>
        <v>2.6315789473684209E-2</v>
      </c>
      <c r="CV51" s="1187">
        <f t="shared" ca="1" si="16"/>
        <v>0</v>
      </c>
      <c r="CW51" s="1187">
        <f t="shared" ca="1" si="16"/>
        <v>0</v>
      </c>
      <c r="CX51" s="1187">
        <f t="shared" ca="1" si="16"/>
        <v>0</v>
      </c>
      <c r="CY51" s="1187">
        <f t="shared" ca="1" si="16"/>
        <v>0</v>
      </c>
      <c r="CZ51" s="1187">
        <f t="shared" ca="1" si="16"/>
        <v>0</v>
      </c>
      <c r="DA51" s="1187">
        <f t="shared" ca="1" si="16"/>
        <v>0</v>
      </c>
      <c r="DB51" s="1187">
        <f t="shared" ca="1" si="16"/>
        <v>2.6315789473684209E-2</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89">
        <f ca="1"/>
        <v>45933</v>
      </c>
      <c r="C52" s="87" vm="190">
        <f ca="1"/>
        <v>86.86</v>
      </c>
      <c r="D52" s="1169">
        <f t="shared" ca="1" si="0"/>
        <v>4.9751243781093668E-3</v>
      </c>
      <c r="E52" s="292" t="str" cm="1">
        <f t="array" aca="1" ref="E52" ca="1">_xlfn.IFS(D52&gt;ZPercent,"U",D52&lt;=-ZPercent,"D",TRUE,"Z")</f>
        <v>Z</v>
      </c>
      <c r="F52" s="292" t="str">
        <f t="shared" ca="1" si="1"/>
        <v>UZ</v>
      </c>
      <c r="G52" s="292" t="str">
        <f t="shared" ca="1" si="2"/>
        <v>UUZ</v>
      </c>
      <c r="H52" s="863" t="str">
        <f t="shared" ca="1" si="3"/>
        <v/>
      </c>
      <c r="J52" s="87" vm="191">
        <f ca="1"/>
        <v>45729</v>
      </c>
      <c r="K52" s="87" vm="192">
        <f ca="1"/>
        <v>45.65</v>
      </c>
      <c r="N52" s="863" t="str">
        <f ca="1">IF(F52=[2]Sheet1!O50,"","dif")</f>
        <v>dif</v>
      </c>
      <c r="O52" s="1161"/>
      <c r="P52" s="1153" cm="1">
        <f t="array" aca="1" ref="P52" ca="1">IFERROR(INDEX($S52:$AT52,
       MATCH(TRUE,
             (($R52=Q48)*
              (RIGHT($S$47:$AT$47,3)=NewMUP)*
              ($S52:$AT52&gt;0))&gt;0,
       0)),0)</f>
        <v>0</v>
      </c>
      <c r="Q52" s="1246">
        <f ca="1">SUM(S14:INDEX(10:10, COLUMN($S14) +$R$47 - 1))</f>
        <v>50</v>
      </c>
      <c r="R52" s="1193" t="str">
        <f t="shared" ca="1" si="6"/>
        <v>ZUD</v>
      </c>
      <c r="S52" s="1186">
        <f t="shared" ref="S52:AS52" ca="1" si="17">IF(S14=0,0,S14/$Q52)</f>
        <v>0</v>
      </c>
      <c r="T52" s="1187">
        <f t="shared" ca="1" si="17"/>
        <v>0</v>
      </c>
      <c r="U52" s="1187">
        <f t="shared" ca="1" si="17"/>
        <v>0.06</v>
      </c>
      <c r="V52" s="1187">
        <f t="shared" ca="1" si="17"/>
        <v>0</v>
      </c>
      <c r="W52" s="1187">
        <f t="shared" ca="1" si="17"/>
        <v>0</v>
      </c>
      <c r="X52" s="1187">
        <f t="shared" ca="1" si="17"/>
        <v>0</v>
      </c>
      <c r="Y52" s="1187">
        <f t="shared" ca="1" si="17"/>
        <v>0</v>
      </c>
      <c r="Z52" s="1187">
        <f t="shared" ca="1" si="17"/>
        <v>0</v>
      </c>
      <c r="AA52" s="1187">
        <f t="shared" ca="1" si="17"/>
        <v>0</v>
      </c>
      <c r="AB52" s="1187">
        <f t="shared" ca="1" si="17"/>
        <v>0.08</v>
      </c>
      <c r="AC52" s="1187">
        <f t="shared" ca="1" si="17"/>
        <v>0</v>
      </c>
      <c r="AD52" s="1187">
        <f t="shared" ca="1" si="17"/>
        <v>0</v>
      </c>
      <c r="AE52" s="1187">
        <f t="shared" ca="1" si="17"/>
        <v>0</v>
      </c>
      <c r="AF52" s="1187">
        <f t="shared" ca="1" si="17"/>
        <v>0</v>
      </c>
      <c r="AG52" s="1187">
        <f t="shared" ca="1" si="17"/>
        <v>0</v>
      </c>
      <c r="AH52" s="1187">
        <f t="shared" ca="1" si="17"/>
        <v>0.1</v>
      </c>
      <c r="AI52" s="1187">
        <f t="shared" ca="1" si="17"/>
        <v>0</v>
      </c>
      <c r="AJ52" s="1187">
        <f t="shared" ca="1" si="17"/>
        <v>0</v>
      </c>
      <c r="AK52" s="1187">
        <f t="shared" ca="1" si="17"/>
        <v>0</v>
      </c>
      <c r="AL52" s="1187">
        <f t="shared" ca="1" si="17"/>
        <v>0</v>
      </c>
      <c r="AM52" s="1187">
        <f t="shared" ca="1" si="17"/>
        <v>0</v>
      </c>
      <c r="AN52" s="1187">
        <f t="shared" ca="1" si="17"/>
        <v>0</v>
      </c>
      <c r="AO52" s="1187">
        <f t="shared" ca="1" si="17"/>
        <v>0</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6">
        <f ca="1">SUM(CS14:INDEX(10:10, COLUMN($CS14) +$CR$47 - 1))</f>
        <v>8</v>
      </c>
      <c r="CR52" s="1162" t="str">
        <f t="shared" ca="1" si="8"/>
        <v>ZUD</v>
      </c>
      <c r="CS52" s="1187">
        <f t="shared" ref="CS52:DW52" ca="1" si="18">IF(CS14=0,0,CS14/$Q52)</f>
        <v>0</v>
      </c>
      <c r="CT52" s="1187">
        <f t="shared" ca="1" si="18"/>
        <v>0</v>
      </c>
      <c r="CU52" s="1187">
        <f t="shared" ca="1" si="18"/>
        <v>0.02</v>
      </c>
      <c r="CV52" s="1187">
        <f t="shared" ca="1" si="18"/>
        <v>0</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93">
        <f ca="1"/>
        <v>45932</v>
      </c>
      <c r="C53" s="87" vm="194">
        <f ca="1"/>
        <v>86.43</v>
      </c>
      <c r="D53" s="1169">
        <f t="shared" ca="1" si="0"/>
        <v>5.5846422338569398E-3</v>
      </c>
      <c r="E53" s="292" t="str" cm="1">
        <f t="array" aca="1" ref="E53" ca="1">_xlfn.IFS(D53&gt;ZPercent,"U",D53&lt;=-ZPercent,"D",TRUE,"Z")</f>
        <v>U</v>
      </c>
      <c r="F53" s="292" t="str">
        <f t="shared" ca="1" si="1"/>
        <v>UU</v>
      </c>
      <c r="G53" s="292" t="str">
        <f t="shared" ca="1" si="2"/>
        <v>ZUU</v>
      </c>
      <c r="H53" s="863" t="str">
        <f t="shared" ca="1" si="3"/>
        <v/>
      </c>
      <c r="J53" s="87" vm="195">
        <f ca="1"/>
        <v>45730</v>
      </c>
      <c r="K53" s="87" vm="196">
        <f ca="1"/>
        <v>46.24</v>
      </c>
      <c r="N53" s="863" t="str">
        <f ca="1">IF(F53=[2]Sheet1!O51,"","dif")</f>
        <v>dif</v>
      </c>
      <c r="O53" s="1161"/>
      <c r="P53" s="1153" cm="1">
        <f t="array" aca="1" ref="P53" ca="1">IFERROR(INDEX($S53:$AT53,
       MATCH(TRUE,
             (($R53=Q49)*
              (RIGHT($S$47:$AT$47,3)=NewMUP)*
              ($S53:$AT53&gt;0))&gt;0,
       0)),0)</f>
        <v>0</v>
      </c>
      <c r="Q53" s="1246">
        <f ca="1">SUM(S15:INDEX(11:11, COLUMN($S15) +$R$47 - 1))</f>
        <v>57</v>
      </c>
      <c r="R53" s="1193" t="str">
        <f t="shared" ca="1" si="6"/>
        <v>UZU</v>
      </c>
      <c r="S53" s="1186">
        <f t="shared" ref="S53:AS53" ca="1" si="19">IF(S15=0,0,S15/$Q53)</f>
        <v>0</v>
      </c>
      <c r="T53" s="1187">
        <f t="shared" ca="1" si="19"/>
        <v>0</v>
      </c>
      <c r="U53" s="1187">
        <f t="shared" ca="1" si="19"/>
        <v>0</v>
      </c>
      <c r="V53" s="1187">
        <f t="shared" ca="1" si="19"/>
        <v>0</v>
      </c>
      <c r="W53" s="1187">
        <f t="shared" ca="1" si="19"/>
        <v>0.10526315789473684</v>
      </c>
      <c r="X53" s="1187">
        <f t="shared" ca="1" si="19"/>
        <v>0</v>
      </c>
      <c r="Y53" s="1187">
        <f t="shared" ca="1" si="19"/>
        <v>5.2631578947368418E-2</v>
      </c>
      <c r="Z53" s="1187">
        <f t="shared" ca="1" si="19"/>
        <v>0</v>
      </c>
      <c r="AA53" s="1187">
        <f t="shared" ca="1" si="19"/>
        <v>0</v>
      </c>
      <c r="AB53" s="1187">
        <f t="shared" ca="1" si="19"/>
        <v>0</v>
      </c>
      <c r="AC53" s="1187">
        <f t="shared" ca="1" si="19"/>
        <v>0</v>
      </c>
      <c r="AD53" s="1187">
        <f t="shared" ca="1" si="19"/>
        <v>0</v>
      </c>
      <c r="AE53" s="1187">
        <f t="shared" ca="1" si="19"/>
        <v>0</v>
      </c>
      <c r="AF53" s="1187">
        <f t="shared" ca="1" si="19"/>
        <v>5.2631578947368418E-2</v>
      </c>
      <c r="AG53" s="1187">
        <f t="shared" ca="1" si="19"/>
        <v>0</v>
      </c>
      <c r="AH53" s="1187">
        <f t="shared" ca="1" si="19"/>
        <v>0</v>
      </c>
      <c r="AI53" s="1187">
        <f t="shared" ca="1" si="19"/>
        <v>0</v>
      </c>
      <c r="AJ53" s="1187">
        <f t="shared" ca="1" si="19"/>
        <v>0</v>
      </c>
      <c r="AK53" s="1187">
        <f t="shared" ca="1" si="19"/>
        <v>0</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6">
        <f ca="1">SUM(CS15:INDEX(11:11, COLUMN($CS15) +$CR$47 - 1))</f>
        <v>10</v>
      </c>
      <c r="CR53" s="1162" t="str">
        <f t="shared" ca="1" si="8"/>
        <v>UZU</v>
      </c>
      <c r="CS53" s="1187">
        <f t="shared" ref="CS53:DW53" ca="1" si="20">IF(CS15=0,0,CS15/$Q53)</f>
        <v>0</v>
      </c>
      <c r="CT53" s="1187">
        <f t="shared" ca="1" si="20"/>
        <v>0</v>
      </c>
      <c r="CU53" s="1187">
        <f t="shared" ca="1" si="20"/>
        <v>0</v>
      </c>
      <c r="CV53" s="1187">
        <f t="shared" ca="1" si="20"/>
        <v>0</v>
      </c>
      <c r="CW53" s="1187">
        <f t="shared" ca="1" si="20"/>
        <v>1.7543859649122806E-2</v>
      </c>
      <c r="CX53" s="1187">
        <f t="shared" ca="1" si="20"/>
        <v>0</v>
      </c>
      <c r="CY53" s="1187">
        <f t="shared" ca="1" si="20"/>
        <v>1.7543859649122806E-2</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97">
        <f ca="1"/>
        <v>45931</v>
      </c>
      <c r="C54" s="87" vm="198">
        <f ca="1"/>
        <v>85.95</v>
      </c>
      <c r="D54" s="1169">
        <f t="shared" ca="1" si="0"/>
        <v>1.9452022298659714E-2</v>
      </c>
      <c r="E54" s="292" t="str" cm="1">
        <f t="array" aca="1" ref="E54" ca="1">_xlfn.IFS(D54&gt;ZPercent,"U",D54&lt;=-ZPercent,"D",TRUE,"Z")</f>
        <v>U</v>
      </c>
      <c r="F54" s="292" t="str">
        <f t="shared" ca="1" si="1"/>
        <v>ZU</v>
      </c>
      <c r="G54" s="292" t="str">
        <f t="shared" ca="1" si="2"/>
        <v>DZU</v>
      </c>
      <c r="H54" s="863" t="str">
        <f t="shared" ca="1" si="3"/>
        <v/>
      </c>
      <c r="J54" s="87" vm="199">
        <f ca="1"/>
        <v>45733</v>
      </c>
      <c r="K54" s="87" vm="200">
        <f ca="1"/>
        <v>47.52</v>
      </c>
      <c r="N54" s="863" t="str">
        <f ca="1">IF(F54=[2]Sheet1!O52,"","dif")</f>
        <v>dif</v>
      </c>
      <c r="O54" s="1161"/>
      <c r="P54" s="1153" cm="1">
        <f t="array" aca="1" ref="P54" ca="1">IFERROR(INDEX($S54:$AT54,
       MATCH(TRUE,
             (($R54=Q50)*
              (RIGHT($S$47:$AT$47,3)=NewMUP)*
              ($S54:$AT54&gt;0))&gt;0,
       0)),0)</f>
        <v>0</v>
      </c>
      <c r="Q54" s="1246">
        <f ca="1">SUM(S16:INDEX(12:12, COLUMN($S16) +$R$47 - 1))</f>
        <v>52</v>
      </c>
      <c r="R54" s="1193" t="str">
        <f t="shared" ca="1" si="6"/>
        <v>ZUZ</v>
      </c>
      <c r="S54" s="1186">
        <f t="shared" ref="S54:AS54" ca="1" si="21">IF(S16=0,0,S16/$Q54)</f>
        <v>0</v>
      </c>
      <c r="T54" s="1187">
        <f t="shared" ca="1" si="21"/>
        <v>0</v>
      </c>
      <c r="U54" s="1187">
        <f t="shared" ca="1" si="21"/>
        <v>0</v>
      </c>
      <c r="V54" s="1187">
        <f t="shared" ca="1" si="21"/>
        <v>0</v>
      </c>
      <c r="W54" s="1187">
        <f t="shared" ca="1" si="21"/>
        <v>0</v>
      </c>
      <c r="X54" s="1187">
        <f t="shared" ca="1" si="21"/>
        <v>3.8461538461538464E-2</v>
      </c>
      <c r="Y54" s="1187">
        <f t="shared" ca="1" si="21"/>
        <v>0</v>
      </c>
      <c r="Z54" s="1187">
        <f t="shared" ca="1" si="21"/>
        <v>0</v>
      </c>
      <c r="AA54" s="1187">
        <f t="shared" ca="1" si="21"/>
        <v>0</v>
      </c>
      <c r="AB54" s="1187">
        <f t="shared" ca="1" si="21"/>
        <v>0</v>
      </c>
      <c r="AC54" s="1187">
        <f t="shared" ca="1" si="21"/>
        <v>0</v>
      </c>
      <c r="AD54" s="1187">
        <f t="shared" ca="1" si="21"/>
        <v>0</v>
      </c>
      <c r="AE54" s="1187">
        <f t="shared" ca="1" si="21"/>
        <v>0</v>
      </c>
      <c r="AF54" s="1187">
        <f t="shared" ca="1" si="21"/>
        <v>0</v>
      </c>
      <c r="AG54" s="1187">
        <f t="shared" ca="1" si="21"/>
        <v>0</v>
      </c>
      <c r="AH54" s="1187">
        <f t="shared" ca="1" si="21"/>
        <v>0</v>
      </c>
      <c r="AI54" s="1187">
        <f t="shared" ca="1" si="21"/>
        <v>0</v>
      </c>
      <c r="AJ54" s="1187">
        <f t="shared" ca="1" si="21"/>
        <v>0</v>
      </c>
      <c r="AK54" s="1187">
        <f t="shared" ca="1" si="21"/>
        <v>0</v>
      </c>
      <c r="AL54" s="1187">
        <f t="shared" ca="1" si="21"/>
        <v>0</v>
      </c>
      <c r="AM54" s="1187">
        <f t="shared" ca="1" si="21"/>
        <v>1.9230769230769232E-2</v>
      </c>
      <c r="AN54" s="1187">
        <f t="shared" ca="1" si="21"/>
        <v>0</v>
      </c>
      <c r="AO54" s="1187">
        <f t="shared" ca="1" si="21"/>
        <v>0</v>
      </c>
      <c r="AP54" s="1187">
        <f t="shared" ca="1" si="21"/>
        <v>5.7692307692307696E-2</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6">
        <f ca="1">SUM(CS16:INDEX(12:12, COLUMN($CS16) +$CR$47 - 1))</f>
        <v>9</v>
      </c>
      <c r="CR54" s="1162" t="str">
        <f t="shared" ca="1" si="8"/>
        <v>ZUZ</v>
      </c>
      <c r="CS54" s="1187">
        <f t="shared" ref="CS54:DW54" ca="1" si="22">IF(CS16=0,0,CS16/$Q54)</f>
        <v>0</v>
      </c>
      <c r="CT54" s="1187">
        <f t="shared" ca="1" si="22"/>
        <v>0</v>
      </c>
      <c r="CU54" s="1187">
        <f t="shared" ca="1" si="22"/>
        <v>0</v>
      </c>
      <c r="CV54" s="1187">
        <f t="shared" ca="1" si="22"/>
        <v>0</v>
      </c>
      <c r="CW54" s="1187">
        <f t="shared" ca="1" si="22"/>
        <v>0</v>
      </c>
      <c r="CX54" s="1187">
        <f t="shared" ca="1" si="22"/>
        <v>1.9230769230769232E-2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201">
        <f ca="1"/>
        <v>45930</v>
      </c>
      <c r="C55" s="87" vm="202">
        <f ca="1"/>
        <v>84.31</v>
      </c>
      <c r="D55" s="1169">
        <f t="shared" ca="1" si="0"/>
        <v>-2.7206056304708301E-3</v>
      </c>
      <c r="E55" s="292" t="str" cm="1">
        <f t="array" aca="1" ref="E55" ca="1">_xlfn.IFS(D55&gt;ZPercent,"U",D55&lt;=-ZPercent,"D",TRUE,"Z")</f>
        <v>Z</v>
      </c>
      <c r="F55" s="292" t="str">
        <f t="shared" ca="1" si="1"/>
        <v>DZ</v>
      </c>
      <c r="G55" s="292" t="str">
        <f t="shared" ca="1" si="2"/>
        <v>UDZ</v>
      </c>
      <c r="H55" s="863" t="str">
        <f t="shared" ca="1" si="3"/>
        <v/>
      </c>
      <c r="J55" s="87" vm="203">
        <f ca="1"/>
        <v>45734</v>
      </c>
      <c r="K55" s="87" vm="204">
        <f ca="1"/>
        <v>47.81</v>
      </c>
      <c r="N55" s="863" t="str">
        <f ca="1">IF(F55=[2]Sheet1!O53,"","dif")</f>
        <v>dif</v>
      </c>
      <c r="O55" s="1161"/>
      <c r="P55" s="1153" cm="1">
        <f t="array" aca="1" ref="P55" ca="1">IFERROR(INDEX($S55:$AT55,
       MATCH(TRUE,
             (($R55=Q51)*
              (RIGHT($S$47:$AT$47,3)=NewMUP)*
              ($S55:$AT55&gt;0))&gt;0,
       0)),0)</f>
        <v>0</v>
      </c>
      <c r="Q55" s="1246">
        <f ca="1">SUM(S17:INDEX(13:13, COLUMN($S17) +$R$47 - 1))</f>
        <v>53</v>
      </c>
      <c r="R55" s="1193" t="str">
        <f t="shared" ca="1" si="6"/>
        <v>UUZ</v>
      </c>
      <c r="S55" s="1186">
        <f t="shared" ref="S55:AS55" ca="1" si="23">IF(S17=0,0,S17/$Q55)</f>
        <v>0</v>
      </c>
      <c r="T55" s="1187">
        <f t="shared" ca="1" si="23"/>
        <v>0</v>
      </c>
      <c r="U55" s="1187">
        <f t="shared" ca="1" si="23"/>
        <v>0</v>
      </c>
      <c r="V55" s="1187">
        <f t="shared" ca="1" si="23"/>
        <v>0</v>
      </c>
      <c r="W55" s="1187">
        <f t="shared" ca="1" si="23"/>
        <v>0</v>
      </c>
      <c r="X55" s="1187">
        <f t="shared" ca="1" si="23"/>
        <v>9.4339622641509441E-2</v>
      </c>
      <c r="Y55" s="1187">
        <f t="shared" ca="1" si="23"/>
        <v>0</v>
      </c>
      <c r="Z55" s="1187">
        <f t="shared" ca="1" si="23"/>
        <v>0</v>
      </c>
      <c r="AA55" s="1187">
        <f t="shared" ca="1" si="23"/>
        <v>0</v>
      </c>
      <c r="AB55" s="1187">
        <f t="shared" ca="1" si="23"/>
        <v>0</v>
      </c>
      <c r="AC55" s="1187">
        <f t="shared" ca="1" si="23"/>
        <v>0</v>
      </c>
      <c r="AD55" s="1187">
        <f t="shared" ca="1" si="23"/>
        <v>0</v>
      </c>
      <c r="AE55" s="1187">
        <f t="shared" ca="1" si="23"/>
        <v>0</v>
      </c>
      <c r="AF55" s="1187">
        <f t="shared" ca="1" si="23"/>
        <v>0</v>
      </c>
      <c r="AG55" s="1187">
        <f t="shared" ca="1" si="23"/>
        <v>0</v>
      </c>
      <c r="AH55" s="1187">
        <f t="shared" ca="1" si="23"/>
        <v>0</v>
      </c>
      <c r="AI55" s="1187">
        <f t="shared" ca="1" si="23"/>
        <v>0</v>
      </c>
      <c r="AJ55" s="1187">
        <f t="shared" ca="1" si="23"/>
        <v>0</v>
      </c>
      <c r="AK55" s="1187">
        <f t="shared" ca="1" si="23"/>
        <v>0</v>
      </c>
      <c r="AL55" s="1187">
        <f t="shared" ca="1" si="23"/>
        <v>0</v>
      </c>
      <c r="AM55" s="1187">
        <f t="shared" ca="1" si="23"/>
        <v>0</v>
      </c>
      <c r="AN55" s="1187">
        <f t="shared" ca="1" si="23"/>
        <v>0</v>
      </c>
      <c r="AO55" s="1187">
        <f t="shared" ca="1" si="23"/>
        <v>0</v>
      </c>
      <c r="AP55" s="1187">
        <f t="shared" ca="1" si="23"/>
        <v>9.4339622641509441E-2</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6">
        <f ca="1">SUM(CS17:INDEX(13:13, COLUMN($CS17) +$CR$47 - 1))</f>
        <v>7</v>
      </c>
      <c r="CR55" s="1162" t="str">
        <f t="shared" ca="1" si="8"/>
        <v>UUZ</v>
      </c>
      <c r="CS55" s="1187">
        <f t="shared" ref="CS55:DW55" ca="1" si="24">IF(CS17=0,0,CS17/$Q55)</f>
        <v>0</v>
      </c>
      <c r="CT55" s="1187">
        <f t="shared" ca="1" si="24"/>
        <v>0</v>
      </c>
      <c r="CU55" s="1187">
        <f t="shared" ca="1" si="24"/>
        <v>0</v>
      </c>
      <c r="CV55" s="1187">
        <f t="shared" ca="1" si="24"/>
        <v>0</v>
      </c>
      <c r="CW55" s="1187">
        <f t="shared" ca="1" si="24"/>
        <v>0</v>
      </c>
      <c r="CX55" s="1187">
        <f t="shared" ca="1" si="24"/>
        <v>1.8867924528301886E-2</v>
      </c>
      <c r="CY55" s="1187">
        <f t="shared" ca="1" si="24"/>
        <v>0</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205">
        <f ca="1"/>
        <v>45929</v>
      </c>
      <c r="C56" s="87" vm="206">
        <f ca="1"/>
        <v>84.54</v>
      </c>
      <c r="D56" s="1169">
        <f t="shared" ca="1" si="0"/>
        <v>-8.3284457478005128E-3</v>
      </c>
      <c r="E56" s="292" t="str" cm="1">
        <f t="array" aca="1" ref="E56" ca="1">_xlfn.IFS(D56&gt;ZPercent,"U",D56&lt;=-ZPercent,"D",TRUE,"Z")</f>
        <v>D</v>
      </c>
      <c r="F56" s="292" t="str">
        <f t="shared" ca="1" si="1"/>
        <v>UD</v>
      </c>
      <c r="G56" s="292" t="str">
        <f t="shared" ca="1" si="2"/>
        <v>ZUD</v>
      </c>
      <c r="H56" s="863" t="str">
        <f t="shared" ca="1" si="3"/>
        <v/>
      </c>
      <c r="J56" s="87" vm="207">
        <f ca="1"/>
        <v>45735</v>
      </c>
      <c r="K56" s="87" vm="208">
        <f ca="1"/>
        <v>47.99</v>
      </c>
      <c r="N56" s="863" t="str">
        <f ca="1">IF(F56=[2]Sheet1!O54,"","dif")</f>
        <v>dif</v>
      </c>
      <c r="O56" s="1161"/>
      <c r="P56" s="1153" cm="1">
        <f t="array" aca="1" ref="P56" ca="1">IFERROR(INDEX($S56:$AT56,
       MATCH(TRUE,
             (($R56=Q52)*
              (RIGHT($S$47:$AT$47,3)=NewMUP)*
              ($S56:$AT56&gt;0))&gt;0,
       0)),0)</f>
        <v>0</v>
      </c>
      <c r="Q56" s="1246">
        <f ca="1">SUM(S18:INDEX(14:14, COLUMN($S18) +$R$47 - 1))</f>
        <v>48</v>
      </c>
      <c r="R56" s="1193" t="str">
        <f t="shared" ca="1" si="6"/>
        <v>DUU</v>
      </c>
      <c r="S56" s="1186">
        <f t="shared" ref="S56:AS56" ca="1" si="25">IF(S18=0,0,S18/$Q56)</f>
        <v>0</v>
      </c>
      <c r="T56" s="1187">
        <f t="shared" ca="1" si="25"/>
        <v>0</v>
      </c>
      <c r="U56" s="1187">
        <f t="shared" ca="1" si="25"/>
        <v>0</v>
      </c>
      <c r="V56" s="1187">
        <f t="shared" ca="1" si="25"/>
        <v>0</v>
      </c>
      <c r="W56" s="1187">
        <f t="shared" ca="1" si="25"/>
        <v>0</v>
      </c>
      <c r="X56" s="1187">
        <f t="shared" ca="1" si="25"/>
        <v>0</v>
      </c>
      <c r="Y56" s="1187">
        <f t="shared" ca="1" si="25"/>
        <v>0</v>
      </c>
      <c r="Z56" s="1187">
        <f t="shared" ca="1" si="25"/>
        <v>2.0833333333333332E-2</v>
      </c>
      <c r="AA56" s="1187">
        <f t="shared" ca="1" si="25"/>
        <v>0</v>
      </c>
      <c r="AB56" s="1187">
        <f t="shared" ca="1" si="25"/>
        <v>0</v>
      </c>
      <c r="AC56" s="1187">
        <f t="shared" ca="1" si="25"/>
        <v>0</v>
      </c>
      <c r="AD56" s="1187">
        <f t="shared" ca="1" si="25"/>
        <v>2.0833333333333332E-2</v>
      </c>
      <c r="AE56" s="1187">
        <f t="shared" ca="1" si="25"/>
        <v>0.125</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6">
        <f ca="1">SUM(CS18:INDEX(14:14, COLUMN($CS18) +$CR$47 - 1))</f>
        <v>6</v>
      </c>
      <c r="CR56" s="1162" t="str">
        <f t="shared" ca="1" si="8"/>
        <v>DUU</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2.0833333333333332E-2</v>
      </c>
      <c r="DA56" s="1187">
        <f t="shared" ca="1" si="26"/>
        <v>0</v>
      </c>
      <c r="DB56" s="1187">
        <f t="shared" ca="1" si="26"/>
        <v>0</v>
      </c>
      <c r="DC56" s="1187">
        <f t="shared" ca="1" si="26"/>
        <v>0</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209">
        <f ca="1"/>
        <v>45926</v>
      </c>
      <c r="C57" s="87" vm="210">
        <f ca="1"/>
        <v>85.25</v>
      </c>
      <c r="D57" s="1169">
        <f t="shared" ca="1" si="0"/>
        <v>1.8883709812358054E-2</v>
      </c>
      <c r="E57" s="292" t="str" cm="1">
        <f t="array" aca="1" ref="E57" ca="1">_xlfn.IFS(D57&gt;ZPercent,"U",D57&lt;=-ZPercent,"D",TRUE,"Z")</f>
        <v>U</v>
      </c>
      <c r="F57" s="292" t="str">
        <f t="shared" ca="1" si="1"/>
        <v>ZU</v>
      </c>
      <c r="G57" s="292" t="str">
        <f t="shared" ca="1" si="2"/>
        <v>DZU</v>
      </c>
      <c r="H57" s="863" t="str">
        <f t="shared" ca="1" si="3"/>
        <v/>
      </c>
      <c r="J57" s="87" vm="211">
        <f ca="1"/>
        <v>45736</v>
      </c>
      <c r="K57" s="87" vm="212">
        <f ca="1"/>
        <v>47.76</v>
      </c>
      <c r="N57" s="863" t="str">
        <f ca="1">IF(F57=[2]Sheet1!O55,"","dif")</f>
        <v>dif</v>
      </c>
      <c r="O57" s="1161"/>
      <c r="P57" s="1153" cm="1">
        <f t="array" aca="1" ref="P57" ca="1">IFERROR(INDEX($S57:$AT57,
       MATCH(TRUE,
             (($R57=Q53)*
              (RIGHT($S$47:$AT$47,3)=NewMUP)*
              ($S57:$AT57&gt;0))&gt;0,
       0)),0)</f>
        <v>0</v>
      </c>
      <c r="Q57" s="1246">
        <f ca="1">SUM(S19:INDEX(15:15, COLUMN($S19) +$R$47 - 1))</f>
        <v>47</v>
      </c>
      <c r="R57" s="1193" t="str">
        <f t="shared" ca="1" si="6"/>
        <v>UDU</v>
      </c>
      <c r="S57" s="1186">
        <f t="shared" ref="S57:AS57" ca="1" si="27">IF(S19=0,0,S19/$Q57)</f>
        <v>0</v>
      </c>
      <c r="T57" s="1187">
        <f t="shared" ca="1" si="27"/>
        <v>0</v>
      </c>
      <c r="U57" s="1187">
        <f t="shared" ca="1" si="27"/>
        <v>0</v>
      </c>
      <c r="V57" s="1187">
        <f t="shared" ca="1" si="27"/>
        <v>0.1276595744680851</v>
      </c>
      <c r="W57" s="1187">
        <f t="shared" ca="1" si="27"/>
        <v>0</v>
      </c>
      <c r="X57" s="1187">
        <f t="shared" ca="1" si="27"/>
        <v>0</v>
      </c>
      <c r="Y57" s="1187">
        <f t="shared" ca="1" si="27"/>
        <v>0</v>
      </c>
      <c r="Z57" s="1187">
        <f t="shared" ca="1" si="27"/>
        <v>0</v>
      </c>
      <c r="AA57" s="1187">
        <f t="shared" ca="1" si="27"/>
        <v>0.10638297872340426</v>
      </c>
      <c r="AB57" s="1187">
        <f t="shared" ca="1" si="27"/>
        <v>0</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0</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6">
        <f ca="1">SUM(CS19:INDEX(15:15, COLUMN($CS19) +$CR$47 - 1))</f>
        <v>6</v>
      </c>
      <c r="CR57" s="1162" t="str">
        <f t="shared" ca="1" si="8"/>
        <v>UDU</v>
      </c>
      <c r="CS57" s="1187">
        <f t="shared" ref="CS57:DW57" ca="1" si="28">IF(CS19=0,0,CS19/$Q57)</f>
        <v>0</v>
      </c>
      <c r="CT57" s="1187">
        <f t="shared" ca="1" si="28"/>
        <v>0</v>
      </c>
      <c r="CU57" s="1187">
        <f t="shared" ca="1" si="28"/>
        <v>0</v>
      </c>
      <c r="CV57" s="1187">
        <f t="shared" ca="1" si="28"/>
        <v>0</v>
      </c>
      <c r="CW57" s="1187">
        <f t="shared" ca="1" si="28"/>
        <v>0</v>
      </c>
      <c r="CX57" s="1187">
        <f t="shared" ca="1" si="28"/>
        <v>0</v>
      </c>
      <c r="CY57" s="1187">
        <f t="shared" ca="1" si="28"/>
        <v>0</v>
      </c>
      <c r="CZ57" s="1187">
        <f t="shared" ca="1" si="28"/>
        <v>0</v>
      </c>
      <c r="DA57" s="1187">
        <f t="shared" ca="1" si="28"/>
        <v>2.1276595744680851E-2</v>
      </c>
      <c r="DB57" s="1187">
        <f t="shared" ca="1" si="28"/>
        <v>0</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213">
        <f ca="1"/>
        <v>45925</v>
      </c>
      <c r="C58" s="87" vm="214">
        <f ca="1"/>
        <v>83.67</v>
      </c>
      <c r="D58" s="1169">
        <f t="shared" ca="1" si="0"/>
        <v>2.3960704444711016E-3</v>
      </c>
      <c r="E58" s="292" t="str" cm="1">
        <f t="array" aca="1" ref="E58" ca="1">_xlfn.IFS(D58&gt;ZPercent,"U",D58&lt;=-ZPercent,"D",TRUE,"Z")</f>
        <v>Z</v>
      </c>
      <c r="F58" s="292" t="str">
        <f t="shared" ca="1" si="1"/>
        <v>DZ</v>
      </c>
      <c r="G58" s="292" t="str">
        <f t="shared" ca="1" si="2"/>
        <v>UDZ</v>
      </c>
      <c r="H58" s="863" t="str">
        <f t="shared" ca="1" si="3"/>
        <v/>
      </c>
      <c r="J58" s="87" vm="215">
        <f ca="1"/>
        <v>45737</v>
      </c>
      <c r="K58" s="87" vm="216">
        <f ca="1"/>
        <v>47.36</v>
      </c>
      <c r="N58" s="863" t="str">
        <f ca="1">IF(F58=[2]Sheet1!O56,"","dif")</f>
        <v>dif</v>
      </c>
      <c r="O58" s="1161"/>
      <c r="P58" s="1153" cm="1">
        <f t="array" aca="1" ref="P58" ca="1">IFERROR(INDEX($S58:$AT58,
       MATCH(TRUE,
             (($R58=Q54)*
              (RIGHT($S$47:$AT$47,3)=NewMUP)*
              ($S58:$AT58&gt;0))&gt;0,
       0)),0)</f>
        <v>0</v>
      </c>
      <c r="Q58" s="1246">
        <f ca="1">SUM(S20:INDEX(16:16, COLUMN($S20) +$R$47 - 1))</f>
        <v>39</v>
      </c>
      <c r="R58" s="1193" t="str">
        <f t="shared" ca="1" si="6"/>
        <v>DDD</v>
      </c>
      <c r="S58" s="1186">
        <f t="shared" ref="S58:AS58" ca="1" si="29">IF(S20=0,0,S20/$Q58)</f>
        <v>0</v>
      </c>
      <c r="T58" s="1187">
        <f t="shared" ca="1" si="29"/>
        <v>7.6923076923076927E-2</v>
      </c>
      <c r="U58" s="1187">
        <f t="shared" ca="1" si="29"/>
        <v>0</v>
      </c>
      <c r="V58" s="1187">
        <f t="shared" ca="1" si="29"/>
        <v>0</v>
      </c>
      <c r="W58" s="1187">
        <f t="shared" ca="1" si="29"/>
        <v>0</v>
      </c>
      <c r="X58" s="1187">
        <f t="shared" ca="1" si="29"/>
        <v>0</v>
      </c>
      <c r="Y58" s="1187">
        <f t="shared" ca="1" si="29"/>
        <v>0</v>
      </c>
      <c r="Z58" s="1187">
        <f t="shared" ca="1" si="29"/>
        <v>0</v>
      </c>
      <c r="AA58" s="1187">
        <f t="shared" ca="1" si="29"/>
        <v>0</v>
      </c>
      <c r="AB58" s="1187">
        <f t="shared" ca="1" si="29"/>
        <v>0</v>
      </c>
      <c r="AC58" s="1187">
        <f t="shared" ca="1" si="29"/>
        <v>2.564102564102564E-2</v>
      </c>
      <c r="AD58" s="1187">
        <f t="shared" ca="1" si="29"/>
        <v>0</v>
      </c>
      <c r="AE58" s="1187">
        <f t="shared" ca="1" si="29"/>
        <v>0</v>
      </c>
      <c r="AF58" s="1187">
        <f t="shared" ca="1" si="29"/>
        <v>0</v>
      </c>
      <c r="AG58" s="1187">
        <f t="shared" ca="1" si="29"/>
        <v>0</v>
      </c>
      <c r="AH58" s="1187">
        <f t="shared" ca="1" si="29"/>
        <v>0</v>
      </c>
      <c r="AI58" s="1187">
        <f t="shared" ca="1" si="29"/>
        <v>0</v>
      </c>
      <c r="AJ58" s="1187">
        <f t="shared" ca="1" si="29"/>
        <v>0</v>
      </c>
      <c r="AK58" s="1187">
        <f t="shared" ca="1" si="29"/>
        <v>0</v>
      </c>
      <c r="AL58" s="1187">
        <f t="shared" ca="1" si="29"/>
        <v>0</v>
      </c>
      <c r="AM58" s="1187">
        <f t="shared" ca="1" si="29"/>
        <v>0</v>
      </c>
      <c r="AN58" s="1187">
        <f t="shared" ca="1" si="29"/>
        <v>0</v>
      </c>
      <c r="AO58" s="1187">
        <f t="shared" ca="1" si="29"/>
        <v>0</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6">
        <f ca="1">SUM(CS20:INDEX(16:16, COLUMN($CS20) +$CR$47 - 1))</f>
        <v>6</v>
      </c>
      <c r="CR58" s="1162" t="str">
        <f t="shared" ca="1" si="8"/>
        <v>DDD</v>
      </c>
      <c r="CS58" s="1187">
        <f t="shared" ref="CS58:DW58" ca="1" si="30">IF(CS20=0,0,CS20/$Q58)</f>
        <v>0</v>
      </c>
      <c r="CT58" s="1187">
        <f t="shared" ca="1" si="30"/>
        <v>2.564102564102564E-2</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0</v>
      </c>
      <c r="DC58" s="1187">
        <f t="shared" ca="1" si="30"/>
        <v>2.564102564102564E-2</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17">
        <f ca="1"/>
        <v>45924</v>
      </c>
      <c r="C59" s="87" vm="218">
        <f ca="1"/>
        <v>83.47</v>
      </c>
      <c r="D59" s="1169">
        <f t="shared" ca="1" si="0"/>
        <v>-1.4172670367308408E-2</v>
      </c>
      <c r="E59" s="292" t="str" cm="1">
        <f t="array" aca="1" ref="E59" ca="1">_xlfn.IFS(D59&gt;ZPercent,"U",D59&lt;=-ZPercent,"D",TRUE,"Z")</f>
        <v>D</v>
      </c>
      <c r="F59" s="292" t="str">
        <f t="shared" ca="1" si="1"/>
        <v>UD</v>
      </c>
      <c r="G59" s="292" t="str">
        <f t="shared" ca="1" si="2"/>
        <v>UUD</v>
      </c>
      <c r="H59" s="863" t="str">
        <f t="shared" ca="1" si="3"/>
        <v/>
      </c>
      <c r="J59" s="87" vm="219">
        <f ca="1"/>
        <v>45740</v>
      </c>
      <c r="K59" s="87" vm="220">
        <f ca="1"/>
        <v>46.82</v>
      </c>
      <c r="N59" s="863" t="str">
        <f ca="1">IF(F59=[2]Sheet1!O57,"","dif")</f>
        <v/>
      </c>
      <c r="O59" s="1161"/>
      <c r="P59" s="1153" cm="1">
        <f t="array" aca="1" ref="P59" ca="1">IFERROR(INDEX($S59:$AT59,
       MATCH(TRUE,
             (($R59=Q55)*
              (RIGHT($S$47:$AT$47,3)=NewMUP)*
              ($S59:$AT59&gt;0))&gt;0,
       0)),0)</f>
        <v>0</v>
      </c>
      <c r="Q59" s="1246">
        <f ca="1">SUM(S21:INDEX(17:17, COLUMN($S21) +$R$47 - 1))</f>
        <v>41</v>
      </c>
      <c r="R59" s="1193" t="str">
        <f t="shared" ca="1" si="6"/>
        <v>UUD</v>
      </c>
      <c r="S59" s="1186">
        <f t="shared" ref="S59:AS59" ca="1" si="31">IF(S21=0,0,S21/$Q59)</f>
        <v>0</v>
      </c>
      <c r="T59" s="1187">
        <f t="shared" ca="1" si="31"/>
        <v>0</v>
      </c>
      <c r="U59" s="1187">
        <f t="shared" ca="1" si="31"/>
        <v>9.7560975609756101E-2</v>
      </c>
      <c r="V59" s="1187">
        <f t="shared" ca="1" si="31"/>
        <v>0</v>
      </c>
      <c r="W59" s="1187">
        <f t="shared" ca="1" si="31"/>
        <v>0</v>
      </c>
      <c r="X59" s="1187">
        <f t="shared" ca="1" si="31"/>
        <v>0</v>
      </c>
      <c r="Y59" s="1187">
        <f t="shared" ca="1" si="31"/>
        <v>0</v>
      </c>
      <c r="Z59" s="1187">
        <f t="shared" ca="1" si="31"/>
        <v>0</v>
      </c>
      <c r="AA59" s="1187">
        <f t="shared" ca="1" si="31"/>
        <v>0</v>
      </c>
      <c r="AB59" s="1187">
        <f t="shared" ca="1" si="31"/>
        <v>4.878048780487805E-2</v>
      </c>
      <c r="AC59" s="1187">
        <f t="shared" ca="1" si="31"/>
        <v>0</v>
      </c>
      <c r="AD59" s="1187">
        <f t="shared" ca="1" si="31"/>
        <v>0</v>
      </c>
      <c r="AE59" s="1187">
        <f t="shared" ca="1" si="31"/>
        <v>0</v>
      </c>
      <c r="AF59" s="1187">
        <f t="shared" ca="1" si="31"/>
        <v>0</v>
      </c>
      <c r="AG59" s="1187">
        <f t="shared" ca="1" si="31"/>
        <v>0</v>
      </c>
      <c r="AH59" s="1187">
        <f t="shared" ca="1" si="31"/>
        <v>4.878048780487805E-2</v>
      </c>
      <c r="AI59" s="1187">
        <f t="shared" ca="1" si="31"/>
        <v>0</v>
      </c>
      <c r="AJ59" s="1187">
        <f t="shared" ca="1" si="31"/>
        <v>0</v>
      </c>
      <c r="AK59" s="1187">
        <f t="shared" ca="1" si="31"/>
        <v>0</v>
      </c>
      <c r="AL59" s="1187">
        <f t="shared" ca="1" si="31"/>
        <v>0</v>
      </c>
      <c r="AM59" s="1187">
        <f t="shared" ca="1" si="31"/>
        <v>0</v>
      </c>
      <c r="AN59" s="1187">
        <f t="shared" ca="1" si="31"/>
        <v>0</v>
      </c>
      <c r="AO59" s="1187">
        <f t="shared" ca="1" si="31"/>
        <v>0</v>
      </c>
      <c r="AP59" s="1187">
        <f t="shared" ca="1" si="31"/>
        <v>0</v>
      </c>
      <c r="AQ59" s="1187">
        <f t="shared" ca="1" si="31"/>
        <v>0</v>
      </c>
      <c r="AR59" s="1187">
        <f t="shared" ca="1" si="31"/>
        <v>0</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6">
        <f ca="1">SUM(CS21:INDEX(17:17, COLUMN($CS21) +$CR$47 - 1))</f>
        <v>6</v>
      </c>
      <c r="CR59" s="1162" t="str">
        <f t="shared" ca="1" si="8"/>
        <v>UUD</v>
      </c>
      <c r="CS59" s="1187">
        <f t="shared" ref="CS59:DW59" ca="1" si="32">IF(CS21=0,0,CS21/$Q59)</f>
        <v>0</v>
      </c>
      <c r="CT59" s="1187">
        <f t="shared" ca="1" si="32"/>
        <v>0</v>
      </c>
      <c r="CU59" s="1187">
        <f t="shared" ca="1" si="32"/>
        <v>2.4390243902439025E-2</v>
      </c>
      <c r="CV59" s="1187">
        <f t="shared" ca="1" si="32"/>
        <v>0</v>
      </c>
      <c r="CW59" s="1187">
        <f t="shared" ca="1" si="32"/>
        <v>0</v>
      </c>
      <c r="CX59" s="1187">
        <f t="shared" ca="1" si="32"/>
        <v>0</v>
      </c>
      <c r="CY59" s="1187">
        <f t="shared" ca="1" si="32"/>
        <v>0</v>
      </c>
      <c r="CZ59" s="1187">
        <f t="shared" ca="1" si="32"/>
        <v>0</v>
      </c>
      <c r="DA59" s="1187">
        <f t="shared" ca="1" si="32"/>
        <v>0</v>
      </c>
      <c r="DB59" s="1187">
        <f t="shared" ca="1" si="32"/>
        <v>0</v>
      </c>
      <c r="DC59" s="1187">
        <f t="shared" ca="1" si="32"/>
        <v>0</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21">
        <f ca="1"/>
        <v>45923</v>
      </c>
      <c r="C60" s="87" vm="222">
        <f ca="1"/>
        <v>84.67</v>
      </c>
      <c r="D60" s="1169">
        <f t="shared" ca="1" si="0"/>
        <v>1.1347348303870077E-2</v>
      </c>
      <c r="E60" s="292" t="str" cm="1">
        <f t="array" aca="1" ref="E60" ca="1">_xlfn.IFS(D60&gt;ZPercent,"U",D60&lt;=-ZPercent,"D",TRUE,"Z")</f>
        <v>U</v>
      </c>
      <c r="F60" s="292" t="str">
        <f t="shared" ca="1" si="1"/>
        <v>UU</v>
      </c>
      <c r="G60" s="292" t="str">
        <f t="shared" ca="1" si="2"/>
        <v>UUU</v>
      </c>
      <c r="H60" s="863" t="str">
        <f t="shared" ca="1" si="3"/>
        <v/>
      </c>
      <c r="J60" s="87" vm="223">
        <f ca="1"/>
        <v>45741</v>
      </c>
      <c r="K60" s="87" vm="224">
        <f ca="1"/>
        <v>47.55</v>
      </c>
      <c r="N60" s="863" t="str">
        <f ca="1">IF(F60=[2]Sheet1!O58,"","dif")</f>
        <v>dif</v>
      </c>
      <c r="O60" s="1161"/>
      <c r="P60" s="1153" cm="1">
        <f t="array" aca="1" ref="P60" ca="1">IFERROR(INDEX($S60:$AT60,
       MATCH(TRUE,
             (($R60=Q56)*
              (RIGHT($S$47:$AT$47,3)=NewMUP)*
              ($S60:$AT60&gt;0))&gt;0,
       0)),0)</f>
        <v>0</v>
      </c>
      <c r="Q60" s="1246">
        <f ca="1">SUM(S22:INDEX(18:18, COLUMN($S22) +$R$47 - 1))</f>
        <v>53</v>
      </c>
      <c r="R60" s="1193" t="str">
        <f t="shared" ca="1" si="6"/>
        <v>UUU</v>
      </c>
      <c r="S60" s="1186">
        <f t="shared" ref="S60:AS60" ca="1" si="33">IF(S22=0,0,S22/$Q60)</f>
        <v>0</v>
      </c>
      <c r="T60" s="1187">
        <f t="shared" ca="1" si="33"/>
        <v>0</v>
      </c>
      <c r="U60" s="1187">
        <f t="shared" ca="1" si="33"/>
        <v>0</v>
      </c>
      <c r="V60" s="1187">
        <f t="shared" ca="1" si="33"/>
        <v>0</v>
      </c>
      <c r="W60" s="1187">
        <f t="shared" ca="1" si="33"/>
        <v>0</v>
      </c>
      <c r="X60" s="1187">
        <f t="shared" ca="1" si="33"/>
        <v>0</v>
      </c>
      <c r="Y60" s="1187">
        <f t="shared" ca="1" si="33"/>
        <v>0</v>
      </c>
      <c r="Z60" s="1187">
        <f t="shared" ca="1" si="33"/>
        <v>0.13207547169811321</v>
      </c>
      <c r="AA60" s="1187">
        <f t="shared" ca="1" si="33"/>
        <v>0</v>
      </c>
      <c r="AB60" s="1187">
        <f t="shared" ca="1" si="33"/>
        <v>0</v>
      </c>
      <c r="AC60" s="1187">
        <f t="shared" ca="1" si="33"/>
        <v>0</v>
      </c>
      <c r="AD60" s="1187">
        <f t="shared" ca="1" si="33"/>
        <v>9.4339622641509441E-2</v>
      </c>
      <c r="AE60" s="1187">
        <f t="shared" ca="1" si="33"/>
        <v>0.18867924528301888</v>
      </c>
      <c r="AF60" s="1187">
        <f t="shared" ca="1" si="33"/>
        <v>0</v>
      </c>
      <c r="AG60" s="1187">
        <f t="shared" ca="1" si="33"/>
        <v>0</v>
      </c>
      <c r="AH60" s="1187">
        <f t="shared" ca="1" si="33"/>
        <v>0</v>
      </c>
      <c r="AI60" s="1187">
        <f t="shared" ca="1" si="33"/>
        <v>0</v>
      </c>
      <c r="AJ60" s="1187">
        <f t="shared" ca="1" si="33"/>
        <v>0</v>
      </c>
      <c r="AK60" s="1187">
        <f t="shared" ca="1" si="33"/>
        <v>0</v>
      </c>
      <c r="AL60" s="1187">
        <f t="shared" ca="1" si="33"/>
        <v>0</v>
      </c>
      <c r="AM60" s="1187">
        <f t="shared" ca="1" si="33"/>
        <v>0</v>
      </c>
      <c r="AN60" s="1187">
        <f t="shared" ca="1" si="33"/>
        <v>0</v>
      </c>
      <c r="AO60" s="1187">
        <f t="shared" ca="1" si="33"/>
        <v>0</v>
      </c>
      <c r="AP60" s="1187">
        <f t="shared" ca="1" si="33"/>
        <v>0</v>
      </c>
      <c r="AQ60" s="1187">
        <f t="shared" ca="1" si="33"/>
        <v>0</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6">
        <f ca="1">SUM(CS22:INDEX(18:18, COLUMN($CS22) +$CR$47 - 1))</f>
        <v>5</v>
      </c>
      <c r="CR60" s="1162" t="str">
        <f t="shared" ca="1" si="8"/>
        <v>UUU</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25">
        <f ca="1"/>
        <v>45922</v>
      </c>
      <c r="C61" s="87" vm="226">
        <f ca="1"/>
        <v>83.72</v>
      </c>
      <c r="D61" s="1169">
        <f t="shared" ca="1" si="0"/>
        <v>2.4473813020068527E-2</v>
      </c>
      <c r="E61" s="292" t="str" cm="1">
        <f t="array" aca="1" ref="E61" ca="1">_xlfn.IFS(D61&gt;ZPercent,"U",D61&lt;=-ZPercent,"D",TRUE,"Z")</f>
        <v>U</v>
      </c>
      <c r="F61" s="292" t="str">
        <f t="shared" ca="1" si="1"/>
        <v>UU</v>
      </c>
      <c r="G61" s="292" t="str">
        <f t="shared" ca="1" si="2"/>
        <v>ZUU</v>
      </c>
      <c r="H61" s="863" t="str">
        <f t="shared" ca="1" si="3"/>
        <v/>
      </c>
      <c r="J61" s="87" vm="227">
        <f ca="1"/>
        <v>45742</v>
      </c>
      <c r="K61" s="87" vm="228">
        <f ca="1"/>
        <v>47.39</v>
      </c>
      <c r="N61" s="863" t="str">
        <f ca="1">IF(F61=[2]Sheet1!O59,"","dif")</f>
        <v>dif</v>
      </c>
      <c r="O61" s="1161"/>
      <c r="P61" s="1153" cm="1">
        <f t="array" aca="1" ref="P61" ca="1">IFERROR(INDEX($S61:$AT61,
       MATCH(TRUE,
             (($R61=Q57)*
              (RIGHT($S$47:$AT$47,3)=NewMUP)*
              ($S61:$AT61&gt;0))&gt;0,
       0)),0)</f>
        <v>0</v>
      </c>
      <c r="Q61" s="1246">
        <f ca="1">SUM(S23:INDEX(19:19, COLUMN($S23) +$R$47 - 1))</f>
        <v>55</v>
      </c>
      <c r="R61" s="1193" t="str">
        <f t="shared" ca="1" si="6"/>
        <v>ZUU</v>
      </c>
      <c r="S61" s="1186">
        <f t="shared" ref="S61:AS61" ca="1" si="35">IF(S23=0,0,S23/$Q61)</f>
        <v>0</v>
      </c>
      <c r="T61" s="1187">
        <f t="shared" ca="1" si="35"/>
        <v>0</v>
      </c>
      <c r="U61" s="1187">
        <f t="shared" ca="1" si="35"/>
        <v>0</v>
      </c>
      <c r="V61" s="1187">
        <f t="shared" ca="1" si="35"/>
        <v>0</v>
      </c>
      <c r="W61" s="1187">
        <f t="shared" ca="1" si="35"/>
        <v>0</v>
      </c>
      <c r="X61" s="1187">
        <f t="shared" ca="1" si="35"/>
        <v>0</v>
      </c>
      <c r="Y61" s="1187">
        <f t="shared" ca="1" si="35"/>
        <v>0</v>
      </c>
      <c r="Z61" s="1187">
        <f t="shared" ca="1" si="35"/>
        <v>3.6363636363636362E-2</v>
      </c>
      <c r="AA61" s="1187">
        <f t="shared" ca="1" si="35"/>
        <v>0</v>
      </c>
      <c r="AB61" s="1187">
        <f t="shared" ca="1" si="35"/>
        <v>0</v>
      </c>
      <c r="AC61" s="1187">
        <f t="shared" ca="1" si="35"/>
        <v>0</v>
      </c>
      <c r="AD61" s="1187">
        <f t="shared" ca="1" si="35"/>
        <v>3.6363636363636362E-2</v>
      </c>
      <c r="AE61" s="1187">
        <f t="shared" ca="1" si="35"/>
        <v>0.10909090909090909</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0</v>
      </c>
      <c r="AN61" s="1187">
        <f t="shared" ca="1" si="35"/>
        <v>0</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6">
        <f ca="1">SUM(CS23:INDEX(19:19, COLUMN($CS23) +$CR$47 - 1))</f>
        <v>4</v>
      </c>
      <c r="CR61" s="1162">
        <f t="shared" si="8"/>
        <v>0</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29">
        <f ca="1"/>
        <v>45919</v>
      </c>
      <c r="C62" s="87" vm="230">
        <f ca="1"/>
        <v>81.72</v>
      </c>
      <c r="D62" s="1169">
        <f t="shared" ca="1" si="0"/>
        <v>4.3411644535240115E-2</v>
      </c>
      <c r="E62" s="292" t="str" cm="1">
        <f t="array" aca="1" ref="E62" ca="1">_xlfn.IFS(D62&gt;ZPercent,"U",D62&lt;=-ZPercent,"D",TRUE,"Z")</f>
        <v>U</v>
      </c>
      <c r="F62" s="292" t="str">
        <f t="shared" ca="1" si="1"/>
        <v>ZU</v>
      </c>
      <c r="G62" s="292" t="str">
        <f t="shared" ca="1" si="2"/>
        <v>ZZU</v>
      </c>
      <c r="H62" s="863" t="str">
        <f t="shared" ca="1" si="3"/>
        <v/>
      </c>
      <c r="J62" s="87" vm="231">
        <f ca="1"/>
        <v>45743</v>
      </c>
      <c r="K62" s="87" vm="232">
        <f ca="1"/>
        <v>48.39</v>
      </c>
      <c r="N62" s="863" t="str">
        <f ca="1">IF(F62=[2]Sheet1!O60,"","dif")</f>
        <v>dif</v>
      </c>
      <c r="O62" s="1161"/>
      <c r="P62" s="1153" cm="1">
        <f t="array" aca="1" ref="P62" ca="1">IFERROR(INDEX($S62:$AT62,
       MATCH(TRUE,
             (($R62=Q58)*
              (RIGHT($S$47:$AT$47,3)=NewMUP)*
              ($S62:$AT62&gt;0))&gt;0,
       0)),0)</f>
        <v>0</v>
      </c>
      <c r="Q62" s="1246">
        <f ca="1">SUM(S24:INDEX(20:20, COLUMN($S24) +$R$47 - 1))</f>
        <v>55</v>
      </c>
      <c r="R62" s="1193" t="str">
        <f t="shared" ca="1" si="6"/>
        <v>DZU</v>
      </c>
      <c r="S62" s="1186">
        <f t="shared" ref="S62:AS62" ca="1" si="37">IF(S24=0,0,S24/$Q62)</f>
        <v>0</v>
      </c>
      <c r="T62" s="1187">
        <f t="shared" ca="1" si="37"/>
        <v>0</v>
      </c>
      <c r="U62" s="1187">
        <f t="shared" ca="1" si="37"/>
        <v>0</v>
      </c>
      <c r="V62" s="1187">
        <f t="shared" ca="1" si="37"/>
        <v>0</v>
      </c>
      <c r="W62" s="1187">
        <f t="shared" ca="1" si="37"/>
        <v>3.6363636363636362E-2</v>
      </c>
      <c r="X62" s="1187">
        <f t="shared" ca="1" si="37"/>
        <v>0</v>
      </c>
      <c r="Y62" s="1187">
        <f t="shared" ca="1" si="37"/>
        <v>5.4545454545454543E-2</v>
      </c>
      <c r="Z62" s="1187">
        <f t="shared" ca="1" si="37"/>
        <v>0</v>
      </c>
      <c r="AA62" s="1187">
        <f t="shared" ca="1" si="37"/>
        <v>0</v>
      </c>
      <c r="AB62" s="1187">
        <f t="shared" ca="1" si="37"/>
        <v>0</v>
      </c>
      <c r="AC62" s="1187">
        <f t="shared" ca="1" si="37"/>
        <v>0</v>
      </c>
      <c r="AD62" s="1187">
        <f t="shared" ca="1" si="37"/>
        <v>0</v>
      </c>
      <c r="AE62" s="1187">
        <f t="shared" ca="1" si="37"/>
        <v>0</v>
      </c>
      <c r="AF62" s="1187">
        <f t="shared" ca="1" si="37"/>
        <v>0.10909090909090909</v>
      </c>
      <c r="AG62" s="1187">
        <f t="shared" ca="1" si="37"/>
        <v>0</v>
      </c>
      <c r="AH62" s="1187">
        <f t="shared" ca="1" si="37"/>
        <v>0</v>
      </c>
      <c r="AI62" s="1187">
        <f t="shared" ca="1" si="37"/>
        <v>0</v>
      </c>
      <c r="AJ62" s="1187">
        <f t="shared" ca="1" si="37"/>
        <v>0</v>
      </c>
      <c r="AK62" s="1187">
        <f t="shared" ca="1" si="37"/>
        <v>0</v>
      </c>
      <c r="AL62" s="1187">
        <f t="shared" ca="1" si="37"/>
        <v>0</v>
      </c>
      <c r="AM62" s="1187">
        <f t="shared" ca="1" si="37"/>
        <v>0</v>
      </c>
      <c r="AN62" s="1187">
        <f t="shared" ca="1" si="37"/>
        <v>0</v>
      </c>
      <c r="AO62" s="1187">
        <f t="shared" ca="1" si="37"/>
        <v>0</v>
      </c>
      <c r="AP62" s="1187">
        <f t="shared" ca="1" si="37"/>
        <v>0</v>
      </c>
      <c r="AQ62" s="1187">
        <f t="shared" ca="1" si="37"/>
        <v>0</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6">
        <f ca="1">SUM(CS24:INDEX(20:20, COLUMN($CS24) +$CR$47 - 1))</f>
        <v>3</v>
      </c>
      <c r="CR62" s="1162">
        <f t="shared" si="8"/>
        <v>0</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33">
        <f ca="1"/>
        <v>45918</v>
      </c>
      <c r="C63" s="87" vm="234">
        <f ca="1"/>
        <v>78.319999999999993</v>
      </c>
      <c r="D63" s="1169">
        <f t="shared" ca="1" si="0"/>
        <v>-4.7019951709239361E-3</v>
      </c>
      <c r="E63" s="292" t="str" cm="1">
        <f t="array" aca="1" ref="E63" ca="1">_xlfn.IFS(D63&gt;ZPercent,"U",D63&lt;=-ZPercent,"D",TRUE,"Z")</f>
        <v>Z</v>
      </c>
      <c r="F63" s="292" t="str">
        <f t="shared" ca="1" si="1"/>
        <v>ZZ</v>
      </c>
      <c r="G63" s="292" t="str">
        <f t="shared" ca="1" si="2"/>
        <v>ZZZ</v>
      </c>
      <c r="H63" s="863" t="str">
        <f t="shared" ca="1" si="3"/>
        <v/>
      </c>
      <c r="J63" s="87" vm="235">
        <f ca="1"/>
        <v>45744</v>
      </c>
      <c r="K63" s="87" vm="236">
        <f ca="1"/>
        <v>48.08</v>
      </c>
      <c r="N63" s="863" t="str">
        <f ca="1">IF(F63=[2]Sheet1!O61,"","dif")</f>
        <v>dif</v>
      </c>
      <c r="O63" s="1161"/>
      <c r="P63" s="1153" cm="1">
        <f t="array" aca="1" ref="P63" ca="1">IFERROR(INDEX($S63:$AT63,
       MATCH(TRUE,
             (($R63=Q59)*
              (RIGHT($S$47:$AT$47,3)=NewMUP)*
              ($S63:$AT63&gt;0))&gt;0,
       0)),0)</f>
        <v>0</v>
      </c>
      <c r="Q63" s="1246">
        <f ca="1">SUM(S25:INDEX(21:21, COLUMN($S25) +$R$47 - 1))</f>
        <v>64</v>
      </c>
      <c r="R63" s="1193" t="str">
        <f t="shared" ca="1" si="6"/>
        <v>UDZ</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0</v>
      </c>
      <c r="AC63" s="1187">
        <f t="shared" ca="1" si="39"/>
        <v>0</v>
      </c>
      <c r="AD63" s="1187">
        <f t="shared" ca="1" si="39"/>
        <v>0</v>
      </c>
      <c r="AE63" s="1187">
        <f t="shared" ca="1" si="39"/>
        <v>0</v>
      </c>
      <c r="AF63" s="1187">
        <f t="shared" ca="1" si="39"/>
        <v>0</v>
      </c>
      <c r="AG63" s="1187">
        <f t="shared" ca="1" si="39"/>
        <v>0.125</v>
      </c>
      <c r="AH63" s="1187">
        <f t="shared" ca="1" si="39"/>
        <v>0</v>
      </c>
      <c r="AI63" s="1187">
        <f t="shared" ca="1" si="39"/>
        <v>0</v>
      </c>
      <c r="AJ63" s="1187">
        <f t="shared" ca="1" si="39"/>
        <v>0</v>
      </c>
      <c r="AK63" s="1187">
        <f t="shared" ca="1" si="39"/>
        <v>3.125E-2</v>
      </c>
      <c r="AL63" s="1187">
        <f t="shared" ca="1" si="39"/>
        <v>0</v>
      </c>
      <c r="AM63" s="1187">
        <f t="shared" ca="1" si="39"/>
        <v>0</v>
      </c>
      <c r="AN63" s="1187">
        <f t="shared" ca="1" si="39"/>
        <v>0</v>
      </c>
      <c r="AO63" s="1187">
        <f t="shared" ca="1" si="39"/>
        <v>0</v>
      </c>
      <c r="AP63" s="1187">
        <f t="shared" ca="1" si="39"/>
        <v>0</v>
      </c>
      <c r="AQ63" s="1187">
        <f t="shared" ca="1" si="39"/>
        <v>0</v>
      </c>
      <c r="AR63" s="1187">
        <f t="shared" ca="1" si="39"/>
        <v>4.6875E-2</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6">
        <f ca="1">SUM(CS25:INDEX(21:21, COLUMN($CS25) +$CR$47 - 1))</f>
        <v>1</v>
      </c>
      <c r="CR63" s="1162">
        <f t="shared" si="8"/>
        <v>0</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37">
        <f ca="1"/>
        <v>45917</v>
      </c>
      <c r="C64" s="87" vm="238">
        <f ca="1"/>
        <v>78.69</v>
      </c>
      <c r="D64" s="1169">
        <f t="shared" ca="1" si="0"/>
        <v>-4.176157934700055E-3</v>
      </c>
      <c r="E64" s="292" t="str" cm="1">
        <f t="array" aca="1" ref="E64" ca="1">_xlfn.IFS(D64&gt;ZPercent,"U",D64&lt;=-ZPercent,"D",TRUE,"Z")</f>
        <v>Z</v>
      </c>
      <c r="F64" s="292" t="str">
        <f t="shared" ca="1" si="1"/>
        <v>ZZ</v>
      </c>
      <c r="G64" s="292" t="str">
        <f t="shared" ca="1" si="2"/>
        <v>ZZZ</v>
      </c>
      <c r="H64" s="863" t="str">
        <f t="shared" ca="1" si="3"/>
        <v/>
      </c>
      <c r="J64" s="87" vm="239">
        <f ca="1"/>
        <v>45747</v>
      </c>
      <c r="K64" s="87" vm="240">
        <f ca="1"/>
        <v>48.28</v>
      </c>
      <c r="N64" s="863" t="str">
        <f ca="1">IF(F64=[2]Sheet1!O62,"","dif")</f>
        <v>dif</v>
      </c>
      <c r="O64" s="1161"/>
      <c r="P64" s="1153" cm="1">
        <f t="array" aca="1" ref="P64" ca="1">IFERROR(INDEX($S64:$AT64,
       MATCH(TRUE,
             (($R64=Q60)*
              (RIGHT($S$47:$AT$47,3)=NewMUP)*
              ($S64:$AT64&gt;0))&gt;0,
       0)),0)</f>
        <v>0</v>
      </c>
      <c r="Q64" s="1246">
        <f ca="1">SUM(S26:INDEX(22:22, COLUMN($S26) +$R$47 - 1))</f>
        <v>61</v>
      </c>
      <c r="R64" s="1193" t="str">
        <f t="shared" ca="1" si="6"/>
        <v>ZZU</v>
      </c>
      <c r="S64" s="1186">
        <f t="shared" ref="S64:AS64" ca="1" si="41">IF(S26=0,0,S26/$Q64)</f>
        <v>0</v>
      </c>
      <c r="T64" s="1187">
        <f t="shared" ca="1" si="41"/>
        <v>0</v>
      </c>
      <c r="U64" s="1187">
        <f t="shared" ca="1" si="41"/>
        <v>0</v>
      </c>
      <c r="V64" s="1187">
        <f t="shared" ca="1" si="41"/>
        <v>0</v>
      </c>
      <c r="W64" s="1187">
        <f t="shared" ca="1" si="41"/>
        <v>6.5573770491803282E-2</v>
      </c>
      <c r="X64" s="1187">
        <f t="shared" ca="1" si="41"/>
        <v>0</v>
      </c>
      <c r="Y64" s="1187">
        <f t="shared" ca="1" si="41"/>
        <v>0</v>
      </c>
      <c r="Z64" s="1187">
        <f t="shared" ca="1" si="41"/>
        <v>0</v>
      </c>
      <c r="AA64" s="1187">
        <f t="shared" ca="1" si="41"/>
        <v>0</v>
      </c>
      <c r="AB64" s="1187">
        <f t="shared" ca="1" si="41"/>
        <v>0</v>
      </c>
      <c r="AC64" s="1187">
        <f t="shared" ca="1" si="41"/>
        <v>0</v>
      </c>
      <c r="AD64" s="1187">
        <f t="shared" ca="1" si="41"/>
        <v>0</v>
      </c>
      <c r="AE64" s="1187">
        <f t="shared" ca="1" si="41"/>
        <v>0</v>
      </c>
      <c r="AF64" s="1187">
        <f t="shared" ca="1" si="41"/>
        <v>1.6393442622950821E-2</v>
      </c>
      <c r="AG64" s="1187">
        <f t="shared" ca="1" si="41"/>
        <v>0</v>
      </c>
      <c r="AH64" s="1187">
        <f t="shared" ca="1" si="41"/>
        <v>0</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6">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41">
        <f ca="1"/>
        <v>45916</v>
      </c>
      <c r="C65" s="87" vm="242">
        <f ca="1"/>
        <v>79.02</v>
      </c>
      <c r="D65" s="1169">
        <f t="shared" ca="1" si="0"/>
        <v>-4.2842741935484301E-3</v>
      </c>
      <c r="E65" s="292" t="str" cm="1">
        <f t="array" aca="1" ref="E65" ca="1">_xlfn.IFS(D65&gt;ZPercent,"U",D65&lt;=-ZPercent,"D",TRUE,"Z")</f>
        <v>Z</v>
      </c>
      <c r="F65" s="292" t="str">
        <f t="shared" ca="1" si="1"/>
        <v>ZZ</v>
      </c>
      <c r="G65" s="292" t="str">
        <f t="shared" ca="1" si="2"/>
        <v>DZZ</v>
      </c>
      <c r="H65" s="863" t="str">
        <f t="shared" ca="1" si="3"/>
        <v/>
      </c>
      <c r="J65" s="87" vm="243">
        <f ca="1"/>
        <v>45748</v>
      </c>
      <c r="K65" s="87" vm="244">
        <f ca="1"/>
        <v>48.29</v>
      </c>
      <c r="N65" s="863" t="str">
        <f ca="1">IF(F65=[2]Sheet1!O63,"","dif")</f>
        <v>dif</v>
      </c>
      <c r="O65" s="1161"/>
      <c r="P65" s="1153" cm="1">
        <f t="array" aca="1" ref="P65" ca="1">IFERROR(INDEX($S65:$AT65,
       MATCH(TRUE,
             (($R65=Q61)*
              (RIGHT($S$47:$AT$47,3)=NewMUP)*
              ($S65:$AT65&gt;0))&gt;0,
       0)),0)</f>
        <v>0</v>
      </c>
      <c r="Q65" s="1246">
        <f ca="1">SUM(S27:INDEX(23:23, COLUMN($S27) +$R$47 - 1))</f>
        <v>42</v>
      </c>
      <c r="R65" s="1193" t="str">
        <f t="shared" ca="1" si="6"/>
        <v>ZZZ</v>
      </c>
      <c r="S65" s="1186">
        <f t="shared" ref="S65:AS65" ca="1" si="43">IF(S27=0,0,S27/$Q65)</f>
        <v>0</v>
      </c>
      <c r="T65" s="1187">
        <f t="shared" ca="1" si="43"/>
        <v>0</v>
      </c>
      <c r="U65" s="1187">
        <f t="shared" ca="1" si="43"/>
        <v>0</v>
      </c>
      <c r="V65" s="1187">
        <f t="shared" ca="1" si="43"/>
        <v>0</v>
      </c>
      <c r="W65" s="1187">
        <f t="shared" ca="1" si="43"/>
        <v>0</v>
      </c>
      <c r="X65" s="1187">
        <f t="shared" ca="1" si="43"/>
        <v>0</v>
      </c>
      <c r="Y65" s="1187">
        <f t="shared" ca="1" si="43"/>
        <v>0</v>
      </c>
      <c r="Z65" s="1187">
        <f t="shared" ca="1" si="43"/>
        <v>0</v>
      </c>
      <c r="AA65" s="1187">
        <f t="shared" ca="1" si="43"/>
        <v>0</v>
      </c>
      <c r="AB65" s="1187">
        <f t="shared" ca="1" si="43"/>
        <v>0</v>
      </c>
      <c r="AC65" s="1187">
        <f t="shared" ca="1" si="43"/>
        <v>0</v>
      </c>
      <c r="AD65" s="1187">
        <f t="shared" ca="1" si="43"/>
        <v>0</v>
      </c>
      <c r="AE65" s="1187">
        <f t="shared" ca="1" si="43"/>
        <v>0</v>
      </c>
      <c r="AF65" s="1187">
        <f t="shared" ca="1" si="43"/>
        <v>0</v>
      </c>
      <c r="AG65" s="1187">
        <f t="shared" ca="1" si="43"/>
        <v>0</v>
      </c>
      <c r="AH65" s="1187">
        <f t="shared" ca="1" si="43"/>
        <v>0</v>
      </c>
      <c r="AI65" s="1187">
        <f t="shared" ca="1" si="43"/>
        <v>2.3809523809523808E-2</v>
      </c>
      <c r="AJ65" s="1187">
        <f t="shared" ca="1" si="43"/>
        <v>2.3809523809523808E-2</v>
      </c>
      <c r="AK65" s="1187">
        <f t="shared" ca="1" si="43"/>
        <v>0</v>
      </c>
      <c r="AL65" s="1187">
        <f t="shared" ca="1" si="43"/>
        <v>0</v>
      </c>
      <c r="AM65" s="1187">
        <f t="shared" ca="1" si="43"/>
        <v>0</v>
      </c>
      <c r="AN65" s="1187">
        <f t="shared" ca="1" si="43"/>
        <v>0</v>
      </c>
      <c r="AO65" s="1187">
        <f t="shared" ca="1" si="43"/>
        <v>2.3809523809523808E-2</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6">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45">
        <f ca="1"/>
        <v>45915</v>
      </c>
      <c r="C66" s="87" vm="246">
        <f ca="1"/>
        <v>79.36</v>
      </c>
      <c r="D66" s="1169">
        <f t="shared" ca="1" si="0"/>
        <v>1.3880126182965228E-3</v>
      </c>
      <c r="E66" s="292" t="str" cm="1">
        <f t="array" aca="1" ref="E66" ca="1">_xlfn.IFS(D66&gt;ZPercent,"U",D66&lt;=-ZPercent,"D",TRUE,"Z")</f>
        <v>Z</v>
      </c>
      <c r="F66" s="292" t="str">
        <f t="shared" ca="1" si="1"/>
        <v>DZ</v>
      </c>
      <c r="G66" s="292" t="str">
        <f t="shared" ca="1" si="2"/>
        <v>UDZ</v>
      </c>
      <c r="H66" s="863" t="str">
        <f t="shared" ca="1" si="3"/>
        <v/>
      </c>
      <c r="J66" s="87" vm="247">
        <f ca="1"/>
        <v>45749</v>
      </c>
      <c r="K66" s="87" vm="248">
        <f ca="1"/>
        <v>48.73</v>
      </c>
      <c r="N66" s="863" t="str">
        <f ca="1">IF(F66=[2]Sheet1!O64,"","dif")</f>
        <v>dif</v>
      </c>
      <c r="O66" s="1161"/>
      <c r="P66" s="1153" cm="1">
        <f t="array" aca="1" ref="P66" ca="1">IFERROR(INDEX($S66:$AT66,
       MATCH(TRUE,
             (($R66=Q62)*
              (RIGHT($S$47:$AT$47,3)=NewMUP)*
              ($S66:$AT66&gt;0))&gt;0,
       0)),0)</f>
        <v>0</v>
      </c>
      <c r="Q66" s="1246">
        <f ca="1">SUM(S28:INDEX(24:24, COLUMN($S28) +$R$47 - 1))</f>
        <v>34</v>
      </c>
      <c r="R66" s="1193" t="str">
        <f t="shared" ca="1" si="6"/>
        <v>DZZ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v>
      </c>
      <c r="AG66" s="1187">
        <f t="shared" ca="1" si="45"/>
        <v>0</v>
      </c>
      <c r="AH66" s="1187">
        <f t="shared" ca="1" si="45"/>
        <v>0</v>
      </c>
      <c r="AI66" s="1187">
        <f t="shared" ca="1" si="45"/>
        <v>2.9411764705882353E-2</v>
      </c>
      <c r="AJ66" s="1187">
        <f t="shared" ca="1" si="45"/>
        <v>2.9411764705882353E-2</v>
      </c>
      <c r="AK66" s="1187">
        <f t="shared" ca="1" si="45"/>
        <v>0</v>
      </c>
      <c r="AL66" s="1187">
        <f t="shared" ca="1" si="45"/>
        <v>0</v>
      </c>
      <c r="AM66" s="1187">
        <f t="shared" ca="1" si="45"/>
        <v>0</v>
      </c>
      <c r="AN66" s="1187">
        <f t="shared" ca="1" si="45"/>
        <v>0</v>
      </c>
      <c r="AO66" s="1187">
        <f t="shared" ca="1" si="45"/>
        <v>0</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6">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49">
        <f ca="1"/>
        <v>45912</v>
      </c>
      <c r="C67" s="87" vm="250">
        <f ca="1"/>
        <v>79.25</v>
      </c>
      <c r="D67" s="1169">
        <f t="shared" ca="1" si="0"/>
        <v>-5.0219711236661095E-3</v>
      </c>
      <c r="E67" s="292" t="str" cm="1">
        <f t="array" aca="1" ref="E67" ca="1">_xlfn.IFS(D67&gt;ZPercent,"U",D67&lt;=-ZPercent,"D",TRUE,"Z")</f>
        <v>D</v>
      </c>
      <c r="F67" s="292" t="str">
        <f t="shared" ca="1" si="1"/>
        <v>UD</v>
      </c>
      <c r="G67" s="292" t="str">
        <f t="shared" ca="1" si="2"/>
        <v>UUD</v>
      </c>
      <c r="H67" s="863" t="str">
        <f t="shared" ca="1" si="3"/>
        <v/>
      </c>
      <c r="J67" s="87" vm="251">
        <f ca="1"/>
        <v>45750</v>
      </c>
      <c r="K67" s="87" vm="252">
        <f ca="1"/>
        <v>48.33</v>
      </c>
      <c r="N67" s="863" t="str">
        <f ca="1">IF(F67=[2]Sheet1!O65,"","dif")</f>
        <v>dif</v>
      </c>
      <c r="O67" s="1161"/>
      <c r="P67" s="1153" cm="1">
        <f t="array" aca="1" ref="P67" ca="1">IFERROR(INDEX($S67:$AT67,
       MATCH(TRUE,
             (($R67=Q63)*
              (RIGHT($S$47:$AT$47,3)=NewMUP)*
              ($S67:$AT67&gt;0))&gt;0,
       0)),0)</f>
        <v>0</v>
      </c>
      <c r="Q67" s="1246">
        <f ca="1">SUM(S29:INDEX(25:25, COLUMN($S29) +$R$47 - 1))</f>
        <v>27</v>
      </c>
      <c r="R67" s="1193" t="str">
        <f t="shared" ca="1" si="6"/>
        <v>ZDU</v>
      </c>
      <c r="S67" s="1186">
        <f t="shared" ref="S67:AS67" ca="1" si="47">IF(S29=0,0,S29/$Q67)</f>
        <v>7.407407407407407E-2</v>
      </c>
      <c r="T67" s="1187">
        <f t="shared" ca="1" si="47"/>
        <v>0</v>
      </c>
      <c r="U67" s="1187">
        <f t="shared" ca="1" si="47"/>
        <v>0</v>
      </c>
      <c r="V67" s="1187">
        <f t="shared" ca="1" si="47"/>
        <v>0</v>
      </c>
      <c r="W67" s="1187">
        <f t="shared" ca="1" si="47"/>
        <v>0</v>
      </c>
      <c r="X67" s="1187">
        <f t="shared" ca="1" si="47"/>
        <v>0</v>
      </c>
      <c r="Y67" s="1187">
        <f t="shared" ca="1" si="47"/>
        <v>0</v>
      </c>
      <c r="Z67" s="1187">
        <f t="shared" ca="1" si="47"/>
        <v>0</v>
      </c>
      <c r="AA67" s="1187">
        <f t="shared" ca="1" si="47"/>
        <v>7.407407407407407E-2</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0</v>
      </c>
      <c r="AK67" s="1187">
        <f t="shared" ca="1" si="47"/>
        <v>0</v>
      </c>
      <c r="AL67" s="1187">
        <f t="shared" ca="1" si="47"/>
        <v>0</v>
      </c>
      <c r="AM67" s="1187">
        <f t="shared" ca="1" si="47"/>
        <v>0</v>
      </c>
      <c r="AN67" s="1187">
        <f t="shared" ca="1" si="47"/>
        <v>0</v>
      </c>
      <c r="AO67" s="1187">
        <f t="shared" ca="1" si="47"/>
        <v>0</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6">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53">
        <f ca="1"/>
        <v>45911</v>
      </c>
      <c r="C68" s="87" vm="254">
        <f ca="1"/>
        <v>79.650000000000006</v>
      </c>
      <c r="D68" s="1169">
        <f t="shared" ca="1" si="0"/>
        <v>1.5555272217263787E-2</v>
      </c>
      <c r="E68" s="292" t="str" cm="1">
        <f t="array" aca="1" ref="E68" ca="1">_xlfn.IFS(D68&gt;ZPercent,"U",D68&lt;=-ZPercent,"D",TRUE,"Z")</f>
        <v>U</v>
      </c>
      <c r="F68" s="292" t="str">
        <f t="shared" ca="1" si="1"/>
        <v>UU</v>
      </c>
      <c r="G68" s="292" t="str">
        <f t="shared" ca="1" si="2"/>
        <v>ZUU</v>
      </c>
      <c r="H68" s="863" t="str">
        <f t="shared" ca="1" si="3"/>
        <v/>
      </c>
      <c r="J68" s="87" vm="255">
        <f ca="1"/>
        <v>45751</v>
      </c>
      <c r="K68" s="87" vm="256">
        <f ca="1"/>
        <v>44.18</v>
      </c>
      <c r="N68" s="863" t="str">
        <f ca="1">IF(F68=[2]Sheet1!O66,"","dif")</f>
        <v>dif</v>
      </c>
      <c r="O68" s="1161"/>
      <c r="P68" s="1153" cm="1">
        <f t="array" aca="1" ref="P68" ca="1">IFERROR(INDEX($S68:$AT68,
       MATCH(TRUE,
             (($R68=Q64)*
              (RIGHT($S$47:$AT$47,3)=NewMUP)*
              ($S68:$AT68&gt;0))&gt;0,
       0)),0)</f>
        <v>0</v>
      </c>
      <c r="Q68" s="1246">
        <f ca="1">SUM(S30:INDEX(26:26, COLUMN($S30) +$R$47 - 1))</f>
        <v>15</v>
      </c>
      <c r="R68" s="1193" t="str">
        <f t="shared" ca="1" si="6"/>
        <v>UZD</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0</v>
      </c>
      <c r="AE68" s="1187">
        <f t="shared" ca="1" si="49"/>
        <v>0</v>
      </c>
      <c r="AF68" s="1187">
        <f t="shared" ca="1" si="49"/>
        <v>0</v>
      </c>
      <c r="AG68" s="1187">
        <f t="shared" ca="1" si="49"/>
        <v>0</v>
      </c>
      <c r="AH68" s="1187">
        <f t="shared" ca="1" si="49"/>
        <v>0</v>
      </c>
      <c r="AI68" s="1187">
        <f t="shared" ca="1" si="49"/>
        <v>0</v>
      </c>
      <c r="AJ68" s="1187">
        <f t="shared" ca="1" si="49"/>
        <v>0</v>
      </c>
      <c r="AK68" s="1187">
        <f t="shared" ca="1" si="49"/>
        <v>0</v>
      </c>
      <c r="AL68" s="1187">
        <f t="shared" ca="1" si="49"/>
        <v>6.6666666666666666E-2</v>
      </c>
      <c r="AM68" s="1187">
        <f t="shared" ca="1" si="49"/>
        <v>0</v>
      </c>
      <c r="AN68" s="1187">
        <f t="shared" ca="1" si="49"/>
        <v>0</v>
      </c>
      <c r="AO68" s="1187">
        <f t="shared" ca="1" si="49"/>
        <v>0</v>
      </c>
      <c r="AP68" s="1187">
        <f t="shared" ca="1" si="49"/>
        <v>0</v>
      </c>
      <c r="AQ68" s="1187">
        <f t="shared" ca="1" si="49"/>
        <v>0</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6">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57">
        <f ca="1"/>
        <v>45910</v>
      </c>
      <c r="C69" s="87" vm="258">
        <f ca="1"/>
        <v>78.430000000000007</v>
      </c>
      <c r="D69" s="1169">
        <f t="shared" ref="D69:D132" ca="1" si="51">IFERROR((C69-C70)/C70,0)</f>
        <v>3.3061116965226622E-2</v>
      </c>
      <c r="E69" s="292" t="str" cm="1">
        <f t="array" aca="1" ref="E69" ca="1">_xlfn.IFS(D69&gt;ZPercent,"U",D69&lt;=-ZPercent,"D",TRUE,"Z")</f>
        <v>U</v>
      </c>
      <c r="F69" s="292" t="str">
        <f t="shared" ca="1" si="1"/>
        <v>ZU</v>
      </c>
      <c r="G69" s="292" t="str">
        <f t="shared" ca="1" si="2"/>
        <v>DZU</v>
      </c>
      <c r="H69" s="863" t="str">
        <f t="shared" ca="1" si="3"/>
        <v/>
      </c>
      <c r="J69" s="87" vm="259">
        <f ca="1"/>
        <v>45754</v>
      </c>
      <c r="K69" s="87" vm="260">
        <f ca="1"/>
        <v>44.86</v>
      </c>
      <c r="N69" s="863" t="str">
        <f ca="1">IF(F69=[2]Sheet1!O67,"","dif")</f>
        <v>dif</v>
      </c>
      <c r="O69" s="1161"/>
      <c r="P69" s="1153" cm="1">
        <f t="array" aca="1" ref="P69" ca="1">IFERROR(INDEX($S69:$AT69,
       MATCH(TRUE,
             (($R69=Q65)*
              (RIGHT($S$47:$AT$47,3)=NewMUP)*
              ($S69:$AT69&gt;0))&gt;0,
       0)),0)</f>
        <v>0</v>
      </c>
      <c r="Q69" s="1246">
        <f ca="1">SUM(S31:INDEX(27:27, COLUMN($S31) +$R$47 - 1))</f>
        <v>12</v>
      </c>
      <c r="R69" s="1193" t="str">
        <f t="shared" ca="1" si="6"/>
        <v>ZDZ</v>
      </c>
      <c r="S69" s="1186">
        <f t="shared" ref="S69:AS69" ca="1" si="52">IF(S31=0,0,S31/$Q69)</f>
        <v>0</v>
      </c>
      <c r="T69" s="1187">
        <f t="shared" ca="1" si="52"/>
        <v>0</v>
      </c>
      <c r="U69" s="1187">
        <f t="shared" ca="1" si="52"/>
        <v>0</v>
      </c>
      <c r="V69" s="1187">
        <f t="shared" ca="1" si="52"/>
        <v>0</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0.16666666666666666</v>
      </c>
      <c r="AH69" s="1187">
        <f t="shared" ca="1" si="52"/>
        <v>0</v>
      </c>
      <c r="AI69" s="1187">
        <f t="shared" ca="1" si="52"/>
        <v>0</v>
      </c>
      <c r="AJ69" s="1187">
        <f t="shared" ca="1" si="52"/>
        <v>0</v>
      </c>
      <c r="AK69" s="1187">
        <f t="shared" ca="1" si="52"/>
        <v>0</v>
      </c>
      <c r="AL69" s="1187">
        <f t="shared" ca="1" si="52"/>
        <v>0</v>
      </c>
      <c r="AM69" s="1187">
        <f t="shared" ca="1" si="52"/>
        <v>0</v>
      </c>
      <c r="AN69" s="1187">
        <f t="shared" ca="1" si="52"/>
        <v>0</v>
      </c>
      <c r="AO69" s="1187">
        <f t="shared" ca="1" si="52"/>
        <v>0</v>
      </c>
      <c r="AP69" s="1187">
        <f t="shared" ca="1" si="52"/>
        <v>0</v>
      </c>
      <c r="AQ69" s="1187">
        <f t="shared" ca="1" si="52"/>
        <v>0</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6">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61">
        <f ca="1"/>
        <v>45909</v>
      </c>
      <c r="C70" s="87" vm="262">
        <f ca="1"/>
        <v>75.92</v>
      </c>
      <c r="D70" s="1169">
        <f t="shared" ca="1" si="51"/>
        <v>2.2442244224422669E-3</v>
      </c>
      <c r="E70" s="292" t="str" cm="1">
        <f t="array" aca="1" ref="E70" ca="1">_xlfn.IFS(D70&gt;ZPercent,"U",D70&lt;=-ZPercent,"D",TRUE,"Z")</f>
        <v>Z</v>
      </c>
      <c r="F70" s="292" t="str">
        <f t="shared" ref="F70:F133" ca="1" si="54">_xlfn.CONCAT(E71,E70)</f>
        <v>DZ</v>
      </c>
      <c r="G70" s="292" t="str">
        <f t="shared" ref="G70:G133" ca="1" si="55">_xlfn.CONCAT(E72,E71,E70)</f>
        <v>UDZ</v>
      </c>
      <c r="H70" s="863" t="str">
        <f t="shared" ref="H70:H133" ca="1" si="56">IF(AND(E70="D",E71="Z"),"ZZ","")</f>
        <v/>
      </c>
      <c r="J70" s="87" vm="263">
        <f ca="1"/>
        <v>45755</v>
      </c>
      <c r="K70" s="87" vm="92">
        <f ca="1"/>
        <v>44.96</v>
      </c>
      <c r="N70" s="863" t="str">
        <f ca="1">IF(F70=[2]Sheet1!O68,"","dif")</f>
        <v>dif</v>
      </c>
      <c r="O70" s="1161"/>
      <c r="P70" s="1153" cm="1">
        <f t="array" aca="1" ref="P70" ca="1">IFERROR(INDEX($S70:$AT70,
       MATCH(TRUE,
             (($R70=Q66)*
              (RIGHT($S$47:$AT$47,3)=NewMUP)*
              ($S70:$AT70&gt;0))&gt;0,
       0)),0)</f>
        <v>0</v>
      </c>
      <c r="Q70" s="1246">
        <f ca="1">SUM(S32:INDEX(28:28, COLUMN($S32) +$R$47 - 1))</f>
        <v>14</v>
      </c>
      <c r="R70" s="1193" t="str">
        <f t="shared" ca="1" si="6"/>
        <v>ZZD</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0</v>
      </c>
      <c r="AA70" s="1187">
        <f t="shared" ca="1" si="57"/>
        <v>0</v>
      </c>
      <c r="AB70" s="1187">
        <f t="shared" ca="1" si="57"/>
        <v>0</v>
      </c>
      <c r="AC70" s="1187">
        <f t="shared" ca="1" si="57"/>
        <v>0</v>
      </c>
      <c r="AD70" s="1187">
        <f t="shared" ca="1" si="57"/>
        <v>0</v>
      </c>
      <c r="AE70" s="1187">
        <f t="shared" ca="1" si="57"/>
        <v>0</v>
      </c>
      <c r="AF70" s="1187">
        <f t="shared" ca="1" si="57"/>
        <v>0</v>
      </c>
      <c r="AG70" s="1187">
        <f t="shared" ca="1" si="57"/>
        <v>0</v>
      </c>
      <c r="AH70" s="1187">
        <f t="shared" ca="1" si="57"/>
        <v>0</v>
      </c>
      <c r="AI70" s="1187">
        <f t="shared" ca="1" si="57"/>
        <v>0</v>
      </c>
      <c r="AJ70" s="1187">
        <f t="shared" ca="1" si="57"/>
        <v>0</v>
      </c>
      <c r="AK70" s="1187">
        <f t="shared" ca="1" si="57"/>
        <v>0</v>
      </c>
      <c r="AL70" s="1187">
        <f t="shared" ca="1" si="57"/>
        <v>0.14285714285714285</v>
      </c>
      <c r="AM70" s="1187">
        <f t="shared" ca="1" si="57"/>
        <v>0</v>
      </c>
      <c r="AN70" s="1187">
        <f t="shared" ca="1" si="57"/>
        <v>7.1428571428571425E-2</v>
      </c>
      <c r="AO70" s="1187">
        <f t="shared" ca="1" si="57"/>
        <v>0</v>
      </c>
      <c r="AP70" s="1187">
        <f t="shared" ca="1" si="57"/>
        <v>0</v>
      </c>
      <c r="AQ70" s="1187">
        <f t="shared" ca="1" si="57"/>
        <v>0.14285714285714285</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6">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64">
        <f ca="1"/>
        <v>45908</v>
      </c>
      <c r="C71" s="87" vm="265">
        <f ca="1"/>
        <v>75.75</v>
      </c>
      <c r="D71" s="1169">
        <f t="shared" ca="1" si="51"/>
        <v>-5.513981882630979E-3</v>
      </c>
      <c r="E71" s="292" t="str" cm="1">
        <f t="array" aca="1" ref="E71" ca="1">_xlfn.IFS(D71&gt;ZPercent,"U",D71&lt;=-ZPercent,"D",TRUE,"Z")</f>
        <v>D</v>
      </c>
      <c r="F71" s="292" t="str">
        <f t="shared" ca="1" si="54"/>
        <v>UD</v>
      </c>
      <c r="G71" s="292" t="str">
        <f t="shared" ca="1" si="55"/>
        <v>DUD</v>
      </c>
      <c r="H71" s="863" t="str">
        <f t="shared" ca="1" si="56"/>
        <v/>
      </c>
      <c r="J71" s="87" vm="266">
        <f ca="1"/>
        <v>45756</v>
      </c>
      <c r="K71" s="87" vm="267">
        <f ca="1"/>
        <v>48.75</v>
      </c>
      <c r="N71" s="863" t="str">
        <f ca="1">IF(F71=[2]Sheet1!O69,"","dif")</f>
        <v>dif</v>
      </c>
      <c r="P71" s="1153" cm="1">
        <f t="array" aca="1" ref="P71" ca="1">IFERROR(INDEX($S71:$AT71,
       MATCH(TRUE,
             (($R71=Q67)*
              (RIGHT($S$47:$AT$47,3)=NewMUP)*
              ($S71:$AT71&gt;0))&gt;0,
       0)),0)</f>
        <v>0</v>
      </c>
      <c r="Q71" s="1246">
        <f ca="1">SUM(S33:INDEX(29:29, COLUMN($S33) +$R$47 - 1))</f>
        <v>20</v>
      </c>
      <c r="R71" s="1193" t="str">
        <f t="shared" ca="1" si="6"/>
        <v>UZZ</v>
      </c>
      <c r="S71" s="1186">
        <f t="shared" ref="S71:AS71" ca="1" si="59">IF(S33=0,0,S33/$Q71)</f>
        <v>0</v>
      </c>
      <c r="T71" s="1187">
        <f t="shared" ca="1" si="59"/>
        <v>0</v>
      </c>
      <c r="U71" s="1187">
        <f t="shared" ca="1" si="59"/>
        <v>0</v>
      </c>
      <c r="V71" s="1187">
        <f t="shared" ca="1" si="59"/>
        <v>0</v>
      </c>
      <c r="W71" s="1187">
        <f t="shared" ca="1" si="59"/>
        <v>0</v>
      </c>
      <c r="X71" s="1187">
        <f t="shared" ca="1" si="59"/>
        <v>0</v>
      </c>
      <c r="Y71" s="1187">
        <f t="shared" ca="1" si="59"/>
        <v>0</v>
      </c>
      <c r="Z71" s="1187">
        <f t="shared" ca="1" si="59"/>
        <v>0</v>
      </c>
      <c r="AA71" s="1187">
        <f t="shared" ca="1" si="59"/>
        <v>0</v>
      </c>
      <c r="AB71" s="1187">
        <f t="shared" ca="1" si="59"/>
        <v>0</v>
      </c>
      <c r="AC71" s="1187">
        <f t="shared" ca="1" si="59"/>
        <v>0</v>
      </c>
      <c r="AD71" s="1187">
        <f t="shared" ca="1" si="59"/>
        <v>0</v>
      </c>
      <c r="AE71" s="1187">
        <f t="shared" ca="1" si="59"/>
        <v>0</v>
      </c>
      <c r="AF71" s="1187">
        <f t="shared" ca="1" si="59"/>
        <v>0</v>
      </c>
      <c r="AG71" s="1187">
        <f t="shared" ca="1" si="59"/>
        <v>0</v>
      </c>
      <c r="AH71" s="1187">
        <f t="shared" ca="1" si="59"/>
        <v>0</v>
      </c>
      <c r="AI71" s="1187">
        <f t="shared" ca="1" si="59"/>
        <v>0.15</v>
      </c>
      <c r="AJ71" s="1187">
        <f t="shared" ca="1" si="59"/>
        <v>0.05</v>
      </c>
      <c r="AK71" s="1187">
        <f t="shared" ca="1" si="59"/>
        <v>0</v>
      </c>
      <c r="AL71" s="1187">
        <f t="shared" ca="1" si="59"/>
        <v>0</v>
      </c>
      <c r="AM71" s="1187">
        <f t="shared" ca="1" si="59"/>
        <v>0</v>
      </c>
      <c r="AN71" s="1187">
        <f t="shared" ca="1" si="59"/>
        <v>0</v>
      </c>
      <c r="AO71" s="1187">
        <f t="shared" ca="1" si="59"/>
        <v>0.2</v>
      </c>
      <c r="AP71" s="1187">
        <f t="shared" ca="1" si="59"/>
        <v>0</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6">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68">
        <f ca="1"/>
        <v>45905</v>
      </c>
      <c r="C72" s="87" vm="269">
        <f ca="1"/>
        <v>76.17</v>
      </c>
      <c r="D72" s="1169">
        <f t="shared" ca="1" si="51"/>
        <v>1.7227564102564187E-2</v>
      </c>
      <c r="E72" s="292" t="str" cm="1">
        <f t="array" aca="1" ref="E72" ca="1">_xlfn.IFS(D72&gt;ZPercent,"U",D72&lt;=-ZPercent,"D",TRUE,"Z")</f>
        <v>U</v>
      </c>
      <c r="F72" s="292" t="str">
        <f t="shared" ca="1" si="54"/>
        <v>DU</v>
      </c>
      <c r="G72" s="292" t="str">
        <f t="shared" ca="1" si="55"/>
        <v>DDU</v>
      </c>
      <c r="H72" s="863" t="str">
        <f t="shared" ca="1" si="56"/>
        <v/>
      </c>
      <c r="J72" s="87" vm="270">
        <f ca="1"/>
        <v>45757</v>
      </c>
      <c r="K72" s="87" vm="271">
        <f ca="1"/>
        <v>50.94</v>
      </c>
      <c r="N72" s="863" t="str">
        <f ca="1">IF(F72=[2]Sheet1!O70,"","dif")</f>
        <v>dif</v>
      </c>
      <c r="P72" s="1153" cm="1">
        <f t="array" aca="1" ref="P72" ca="1">IFERROR(INDEX($S72:$AT72,
       MATCH(TRUE,
             (($R72=Q68)*
              (RIGHT($S$47:$AT$47,3)=NewMUP)*
              ($S72:$AT72&gt;0))&gt;0,
       0)),0)</f>
        <v>0</v>
      </c>
      <c r="Q72" s="1246">
        <f ca="1">SUM(S34:INDEX(30:30, COLUMN($S34) +$R$47 - 1))</f>
        <v>20</v>
      </c>
      <c r="R72" s="1193" t="str">
        <f t="shared" ca="1" si="6"/>
        <v>ZDD</v>
      </c>
      <c r="S72" s="1186">
        <f t="shared" ref="S72:AS72" ca="1" si="61">IF(S34=0,0,S34/$Q72)</f>
        <v>0</v>
      </c>
      <c r="T72" s="1187">
        <f t="shared" ca="1" si="61"/>
        <v>0.15</v>
      </c>
      <c r="U72" s="1187">
        <f t="shared" ca="1" si="61"/>
        <v>0</v>
      </c>
      <c r="V72" s="1187">
        <f t="shared" ca="1" si="61"/>
        <v>0</v>
      </c>
      <c r="W72" s="1187">
        <f t="shared" ca="1" si="61"/>
        <v>0</v>
      </c>
      <c r="X72" s="1187">
        <f t="shared" ca="1" si="61"/>
        <v>0</v>
      </c>
      <c r="Y72" s="1187">
        <f t="shared" ca="1" si="61"/>
        <v>0</v>
      </c>
      <c r="Z72" s="1187">
        <f t="shared" ca="1" si="61"/>
        <v>0</v>
      </c>
      <c r="AA72" s="1187">
        <f t="shared" ca="1" si="61"/>
        <v>0</v>
      </c>
      <c r="AB72" s="1187">
        <f t="shared" ca="1" si="61"/>
        <v>0</v>
      </c>
      <c r="AC72" s="1187">
        <f t="shared" ca="1" si="61"/>
        <v>0.05</v>
      </c>
      <c r="AD72" s="1187">
        <f t="shared" ca="1" si="61"/>
        <v>0</v>
      </c>
      <c r="AE72" s="1187">
        <f t="shared" ca="1" si="61"/>
        <v>0</v>
      </c>
      <c r="AF72" s="1187">
        <f t="shared" ca="1" si="61"/>
        <v>0</v>
      </c>
      <c r="AG72" s="1187">
        <f t="shared" ca="1" si="61"/>
        <v>0</v>
      </c>
      <c r="AH72" s="1187">
        <f t="shared" ca="1" si="61"/>
        <v>0</v>
      </c>
      <c r="AI72" s="1187">
        <f t="shared" ca="1" si="61"/>
        <v>0</v>
      </c>
      <c r="AJ72" s="1187">
        <f t="shared" ca="1" si="61"/>
        <v>0</v>
      </c>
      <c r="AK72" s="1187">
        <f t="shared" ca="1" si="61"/>
        <v>0</v>
      </c>
      <c r="AL72" s="1187">
        <f t="shared" ca="1" si="61"/>
        <v>0</v>
      </c>
      <c r="AM72" s="1187">
        <f t="shared" ca="1" si="61"/>
        <v>0</v>
      </c>
      <c r="AN72" s="1187">
        <f t="shared" ca="1" si="61"/>
        <v>0</v>
      </c>
      <c r="AO72" s="1187">
        <f t="shared" ca="1" si="61"/>
        <v>0</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6">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72">
        <f ca="1"/>
        <v>45904</v>
      </c>
      <c r="C73" s="87" vm="273">
        <f ca="1"/>
        <v>74.88</v>
      </c>
      <c r="D73" s="1169">
        <f t="shared" ca="1" si="51"/>
        <v>-7.159904534606288E-3</v>
      </c>
      <c r="E73" s="292" t="str" cm="1">
        <f t="array" aca="1" ref="E73" ca="1">_xlfn.IFS(D73&gt;ZPercent,"U",D73&lt;=-ZPercent,"D",TRUE,"Z")</f>
        <v>D</v>
      </c>
      <c r="F73" s="292" t="str">
        <f t="shared" ca="1" si="54"/>
        <v>DD</v>
      </c>
      <c r="G73" s="292" t="str">
        <f t="shared" ca="1" si="55"/>
        <v>UDD</v>
      </c>
      <c r="H73" s="863" t="str">
        <f t="shared" ca="1" si="56"/>
        <v/>
      </c>
      <c r="J73" s="87" vm="274">
        <f ca="1"/>
        <v>45758</v>
      </c>
      <c r="K73" s="87" vm="275">
        <f ca="1"/>
        <v>54.97</v>
      </c>
      <c r="N73" s="863" t="str">
        <f ca="1">IF(F73=[2]Sheet1!O71,"","dif")</f>
        <v>dif</v>
      </c>
      <c r="P73" s="1153" cm="1">
        <f t="array" aca="1" ref="P73" ca="1">IFERROR(INDEX($S73:$AT73,
       MATCH(TRUE,
             (($R73=Q69)*
              (RIGHT($S$47:$AT$47,3)=NewMUP)*
              ($S73:$AT73&gt;0))&gt;0,
       0)),0)</f>
        <v>0</v>
      </c>
      <c r="Q73" s="1246">
        <f ca="1">SUM(S35:INDEX(31:31, COLUMN($S35) +$R$47 - 1))</f>
        <v>22</v>
      </c>
      <c r="R73" s="1193" t="str">
        <f t="shared" ca="1" si="6"/>
        <v>DZD</v>
      </c>
      <c r="S73" s="1186">
        <f t="shared" ref="S73:AS73" ca="1" si="63">IF(S35=0,0,S35/$Q73)</f>
        <v>0</v>
      </c>
      <c r="T73" s="1187">
        <f t="shared" ca="1" si="63"/>
        <v>0</v>
      </c>
      <c r="U73" s="1187">
        <f t="shared" ca="1" si="63"/>
        <v>0</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0</v>
      </c>
      <c r="AD73" s="1187">
        <f t="shared" ca="1" si="63"/>
        <v>0</v>
      </c>
      <c r="AE73" s="1187">
        <f t="shared" ca="1" si="63"/>
        <v>0</v>
      </c>
      <c r="AF73" s="1187">
        <f t="shared" ca="1" si="63"/>
        <v>0</v>
      </c>
      <c r="AG73" s="1187">
        <f t="shared" ca="1" si="63"/>
        <v>0</v>
      </c>
      <c r="AH73" s="1187">
        <f t="shared" ca="1" si="63"/>
        <v>0</v>
      </c>
      <c r="AI73" s="1187">
        <f t="shared" ca="1" si="63"/>
        <v>0</v>
      </c>
      <c r="AJ73" s="1187">
        <f t="shared" ca="1" si="63"/>
        <v>0</v>
      </c>
      <c r="AK73" s="1187">
        <f t="shared" ca="1" si="63"/>
        <v>0</v>
      </c>
      <c r="AL73" s="1187">
        <f t="shared" ca="1" si="63"/>
        <v>0</v>
      </c>
      <c r="AM73" s="1187">
        <f t="shared" ca="1" si="63"/>
        <v>0</v>
      </c>
      <c r="AN73" s="1187">
        <f t="shared" ca="1" si="63"/>
        <v>4.5454545454545456E-2</v>
      </c>
      <c r="AO73" s="1187">
        <f t="shared" ca="1" si="63"/>
        <v>0</v>
      </c>
      <c r="AP73" s="1187">
        <f t="shared" ca="1" si="63"/>
        <v>0</v>
      </c>
      <c r="AQ73" s="1187">
        <f t="shared" ca="1" si="63"/>
        <v>9.0909090909090912E-2</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6">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76">
        <f ca="1"/>
        <v>45903</v>
      </c>
      <c r="C74" s="87" vm="277">
        <f ca="1"/>
        <v>75.42</v>
      </c>
      <c r="D74" s="1169">
        <f t="shared" ca="1" si="51"/>
        <v>-5.8001581861323193E-3</v>
      </c>
      <c r="E74" s="292" t="str" cm="1">
        <f t="array" aca="1" ref="E74" ca="1">_xlfn.IFS(D74&gt;ZPercent,"U",D74&lt;=-ZPercent,"D",TRUE,"Z")</f>
        <v>D</v>
      </c>
      <c r="F74" s="292" t="str">
        <f t="shared" ca="1" si="54"/>
        <v>UD</v>
      </c>
      <c r="G74" s="292" t="str">
        <f t="shared" ca="1" si="55"/>
        <v>UUD</v>
      </c>
      <c r="H74" s="863" t="str">
        <f t="shared" ca="1" si="56"/>
        <v/>
      </c>
      <c r="J74" s="87" vm="278">
        <f ca="1"/>
        <v>45761</v>
      </c>
      <c r="K74" s="87" vm="279">
        <f ca="1"/>
        <v>54.79</v>
      </c>
      <c r="N74" s="863" t="str">
        <f ca="1">IF(F74=[2]Sheet1!O72,"","dif")</f>
        <v>dif</v>
      </c>
      <c r="P74" s="1153" cm="1">
        <f t="array" aca="1" ref="P74" ca="1">IFERROR(INDEX($S74:$AT74,
       MATCH(TRUE,
             (($R74=Q70)*
              (RIGHT($S$47:$AT$47,3)=NewMUP)*
              ($S74:$AT74&gt;0))&gt;0,
       0)),0)</f>
        <v>0</v>
      </c>
      <c r="Q74" s="1246"/>
      <c r="R74" s="1193" t="s">
        <v>2590</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6">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80">
        <f ca="1"/>
        <v>45902</v>
      </c>
      <c r="C75" s="87" vm="281">
        <f ca="1"/>
        <v>75.86</v>
      </c>
      <c r="D75" s="1169">
        <f t="shared" ca="1" si="51"/>
        <v>1.9623655913978411E-2</v>
      </c>
      <c r="E75" s="292" t="str" cm="1">
        <f t="array" aca="1" ref="E75" ca="1">_xlfn.IFS(D75&gt;ZPercent,"U",D75&lt;=-ZPercent,"D",TRUE,"Z")</f>
        <v>U</v>
      </c>
      <c r="F75" s="292" t="str">
        <f t="shared" ca="1" si="54"/>
        <v>UU</v>
      </c>
      <c r="G75" s="292" t="str">
        <f t="shared" ca="1" si="55"/>
        <v>UUU</v>
      </c>
      <c r="H75" s="863" t="str">
        <f t="shared" ca="1" si="56"/>
        <v/>
      </c>
      <c r="J75" s="87" vm="282">
        <f ca="1"/>
        <v>45762</v>
      </c>
      <c r="K75" s="87" vm="283">
        <f ca="1"/>
        <v>54.58</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84">
        <f ca="1"/>
        <v>45898</v>
      </c>
      <c r="C76" s="87" vm="285">
        <f ca="1"/>
        <v>74.400000000000006</v>
      </c>
      <c r="D76" s="1169">
        <f t="shared" ca="1" si="51"/>
        <v>1.9597094696450691E-2</v>
      </c>
      <c r="E76" s="292" t="str" cm="1">
        <f t="array" aca="1" ref="E76" ca="1">_xlfn.IFS(D76&gt;ZPercent,"U",D76&lt;=-ZPercent,"D",TRUE,"Z")</f>
        <v>U</v>
      </c>
      <c r="F76" s="292" t="str">
        <f t="shared" ca="1" si="54"/>
        <v>UU</v>
      </c>
      <c r="G76" s="292" t="str">
        <f t="shared" ca="1" si="55"/>
        <v>ZUU</v>
      </c>
      <c r="H76" s="863" t="str">
        <f t="shared" ca="1" si="56"/>
        <v/>
      </c>
      <c r="J76" s="87" vm="286">
        <f ca="1"/>
        <v>45763</v>
      </c>
      <c r="K76" s="87" vm="287">
        <f ca="1"/>
        <v>55.95</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88">
        <f ca="1"/>
        <v>45897</v>
      </c>
      <c r="C77" s="87" vm="289">
        <f ca="1"/>
        <v>72.97</v>
      </c>
      <c r="D77" s="1169">
        <f t="shared" ca="1" si="51"/>
        <v>8.0121563751899202E-3</v>
      </c>
      <c r="E77" s="292" t="str" cm="1">
        <f t="array" aca="1" ref="E77" ca="1">_xlfn.IFS(D77&gt;ZPercent,"U",D77&lt;=-ZPercent,"D",TRUE,"Z")</f>
        <v>U</v>
      </c>
      <c r="F77" s="292" t="str">
        <f t="shared" ca="1" si="54"/>
        <v>ZU</v>
      </c>
      <c r="G77" s="292" t="str">
        <f t="shared" ca="1" si="55"/>
        <v>UZU</v>
      </c>
      <c r="H77" s="863" t="str">
        <f t="shared" ca="1" si="56"/>
        <v/>
      </c>
      <c r="J77" s="87" vm="290">
        <f ca="1"/>
        <v>45764</v>
      </c>
      <c r="K77" s="87" vm="291">
        <f ca="1"/>
        <v>55.08</v>
      </c>
      <c r="N77" s="863" t="str">
        <f ca="1">IF(F77=[2]Sheet1!O75,"","dif")</f>
        <v>dif</v>
      </c>
    </row>
    <row r="78" spans="2:128">
      <c r="B78" s="87" vm="292">
        <f ca="1"/>
        <v>45896</v>
      </c>
      <c r="C78" s="87" vm="293">
        <f ca="1"/>
        <v>72.39</v>
      </c>
      <c r="D78" s="1169">
        <f t="shared" ca="1" si="51"/>
        <v>-5.5225735192608377E-4</v>
      </c>
      <c r="E78" s="292" t="str" cm="1">
        <f t="array" aca="1" ref="E78" ca="1">_xlfn.IFS(D78&gt;ZPercent,"U",D78&lt;=-ZPercent,"D",TRUE,"Z")</f>
        <v>Z</v>
      </c>
      <c r="F78" s="292" t="str">
        <f t="shared" ca="1" si="54"/>
        <v>UZ</v>
      </c>
      <c r="G78" s="292" t="str">
        <f t="shared" ca="1" si="55"/>
        <v>ZUZ</v>
      </c>
      <c r="H78" s="863" t="str">
        <f t="shared" ca="1" si="56"/>
        <v/>
      </c>
      <c r="J78" s="87" vm="294">
        <f ca="1"/>
        <v>45768</v>
      </c>
      <c r="K78" s="87" vm="295">
        <f ca="1"/>
        <v>55.21</v>
      </c>
      <c r="N78" s="863" t="str">
        <f ca="1">IF(F78=[2]Sheet1!O76,"","dif")</f>
        <v>dif</v>
      </c>
    </row>
    <row r="79" spans="2:128">
      <c r="B79" s="87" vm="296">
        <f ca="1"/>
        <v>45895</v>
      </c>
      <c r="C79" s="87" vm="297">
        <f ca="1"/>
        <v>72.430000000000007</v>
      </c>
      <c r="D79" s="1169">
        <f t="shared" ca="1" si="51"/>
        <v>1.8706047819972049E-2</v>
      </c>
      <c r="E79" s="292" t="str" cm="1">
        <f t="array" aca="1" ref="E79" ca="1">_xlfn.IFS(D79&gt;ZPercent,"U",D79&lt;=-ZPercent,"D",TRUE,"Z")</f>
        <v>U</v>
      </c>
      <c r="F79" s="292" t="str">
        <f t="shared" ca="1" si="54"/>
        <v>ZU</v>
      </c>
      <c r="G79" s="292" t="str">
        <f t="shared" ca="1" si="55"/>
        <v>UZU</v>
      </c>
      <c r="H79" s="863" t="str">
        <f t="shared" ca="1" si="56"/>
        <v/>
      </c>
      <c r="J79" s="87" vm="298">
        <f ca="1"/>
        <v>45769</v>
      </c>
      <c r="K79" s="87" vm="299">
        <f ca="1"/>
        <v>54.54</v>
      </c>
      <c r="N79" s="863" t="str">
        <f ca="1">IF(F79=[2]Sheet1!O77,"","dif")</f>
        <v>dif</v>
      </c>
    </row>
    <row r="80" spans="2:128">
      <c r="B80" s="87" vm="300">
        <f ca="1"/>
        <v>45894</v>
      </c>
      <c r="C80" s="87" vm="301">
        <f ca="1"/>
        <v>71.099999999999994</v>
      </c>
      <c r="D80" s="1169">
        <f t="shared" ca="1" si="51"/>
        <v>4.662992793556568E-3</v>
      </c>
      <c r="E80" s="292" t="str" cm="1">
        <f t="array" aca="1" ref="E80" ca="1">_xlfn.IFS(D80&gt;ZPercent,"U",D80&lt;=-ZPercent,"D",TRUE,"Z")</f>
        <v>Z</v>
      </c>
      <c r="F80" s="292" t="str">
        <f t="shared" ca="1" si="54"/>
        <v>UZ</v>
      </c>
      <c r="G80" s="292" t="str">
        <f t="shared" ca="1" si="55"/>
        <v>UUZ</v>
      </c>
      <c r="H80" s="863" t="str">
        <f t="shared" ca="1" si="56"/>
        <v/>
      </c>
      <c r="J80" s="87" vm="302">
        <f ca="1"/>
        <v>45770</v>
      </c>
      <c r="K80" s="87" vm="303">
        <f ca="1"/>
        <v>53.15</v>
      </c>
      <c r="N80" s="863" t="str">
        <f ca="1">IF(F80=[2]Sheet1!O78,"","dif")</f>
        <v>dif</v>
      </c>
    </row>
    <row r="81" spans="2:96">
      <c r="B81" s="87" vm="304">
        <f ca="1"/>
        <v>45891</v>
      </c>
      <c r="C81" s="87" vm="305">
        <f ca="1"/>
        <v>70.77</v>
      </c>
      <c r="D81" s="1169">
        <f t="shared" ca="1" si="51"/>
        <v>9.7018119560563932E-3</v>
      </c>
      <c r="E81" s="292" t="str" cm="1">
        <f t="array" aca="1" ref="E81" ca="1">_xlfn.IFS(D81&gt;ZPercent,"U",D81&lt;=-ZPercent,"D",TRUE,"Z")</f>
        <v>U</v>
      </c>
      <c r="F81" s="292" t="str">
        <f t="shared" ca="1" si="54"/>
        <v>UU</v>
      </c>
      <c r="G81" s="292" t="str">
        <f t="shared" ca="1" si="55"/>
        <v>UUU</v>
      </c>
      <c r="H81" s="863" t="str">
        <f t="shared" ca="1" si="56"/>
        <v/>
      </c>
      <c r="J81" s="87" vm="306">
        <f ca="1"/>
        <v>45771</v>
      </c>
      <c r="K81" s="87" vm="307">
        <f ca="1"/>
        <v>55.7</v>
      </c>
      <c r="N81" s="863" t="str">
        <f ca="1">IF(F81=[2]Sheet1!O79,"","dif")</f>
        <v>dif</v>
      </c>
    </row>
    <row r="82" spans="2:96">
      <c r="B82" s="87" vm="308">
        <f ca="1"/>
        <v>45890</v>
      </c>
      <c r="C82" s="87" vm="309">
        <f ca="1"/>
        <v>70.09</v>
      </c>
      <c r="D82" s="1169">
        <f t="shared" ca="1" si="51"/>
        <v>1.5797101449275413E-2</v>
      </c>
      <c r="E82" s="292" t="str" cm="1">
        <f t="array" aca="1" ref="E82" ca="1">_xlfn.IFS(D82&gt;ZPercent,"U",D82&lt;=-ZPercent,"D",TRUE,"Z")</f>
        <v>U</v>
      </c>
      <c r="F82" s="292" t="str">
        <f t="shared" ca="1" si="54"/>
        <v>UU</v>
      </c>
      <c r="G82" s="292" t="str">
        <f t="shared" ca="1" si="55"/>
        <v>DUU</v>
      </c>
      <c r="H82" s="863" t="str">
        <f t="shared" ca="1" si="56"/>
        <v/>
      </c>
      <c r="J82" s="87" vm="310">
        <f ca="1"/>
        <v>45772</v>
      </c>
      <c r="K82" s="87" vm="311">
        <f ca="1"/>
        <v>53.94</v>
      </c>
      <c r="N82" s="863" t="str">
        <f ca="1">IF(F82=[2]Sheet1!O80,"","dif")</f>
        <v>dif</v>
      </c>
    </row>
    <row r="83" spans="2:96">
      <c r="B83" s="87" vm="312">
        <f ca="1"/>
        <v>45889</v>
      </c>
      <c r="C83" s="87" vm="313">
        <f ca="1"/>
        <v>69</v>
      </c>
      <c r="D83" s="1169">
        <f t="shared" ca="1" si="51"/>
        <v>2.404274265360648E-2</v>
      </c>
      <c r="E83" s="292" t="str" cm="1">
        <f t="array" aca="1" ref="E83" ca="1">_xlfn.IFS(D83&gt;ZPercent,"U",D83&lt;=-ZPercent,"D",TRUE,"Z")</f>
        <v>U</v>
      </c>
      <c r="F83" s="292" t="str">
        <f t="shared" ca="1" si="54"/>
        <v>DU</v>
      </c>
      <c r="G83" s="292" t="str">
        <f t="shared" ca="1" si="55"/>
        <v>ZDU</v>
      </c>
      <c r="H83" s="863" t="str">
        <f t="shared" ca="1" si="56"/>
        <v/>
      </c>
      <c r="J83" s="87" vm="314">
        <f ca="1"/>
        <v>45775</v>
      </c>
      <c r="K83" s="87" vm="315">
        <f ca="1"/>
        <v>54.07</v>
      </c>
      <c r="N83" s="863" t="str">
        <f ca="1">IF(F83=[2]Sheet1!O81,"","dif")</f>
        <v>dif</v>
      </c>
    </row>
    <row r="84" spans="2:96">
      <c r="B84" s="87" vm="316">
        <f ca="1"/>
        <v>45888</v>
      </c>
      <c r="C84" s="87" vm="317">
        <f ca="1"/>
        <v>67.38</v>
      </c>
      <c r="D84" s="1169">
        <f t="shared" ca="1" si="51"/>
        <v>-2.3478260869565282E-2</v>
      </c>
      <c r="E84" s="292" t="str" cm="1">
        <f t="array" aca="1" ref="E84" ca="1">_xlfn.IFS(D84&gt;ZPercent,"U",D84&lt;=-ZPercent,"D",TRUE,"Z")</f>
        <v>D</v>
      </c>
      <c r="F84" s="292" t="str">
        <f t="shared" ca="1" si="54"/>
        <v>ZD</v>
      </c>
      <c r="G84" s="292" t="str">
        <f t="shared" ca="1" si="55"/>
        <v>UZD</v>
      </c>
      <c r="H84" s="863" t="str">
        <f t="shared" ca="1" si="56"/>
        <v>ZZ</v>
      </c>
      <c r="J84" s="87" vm="318">
        <f ca="1"/>
        <v>45776</v>
      </c>
      <c r="K84" s="87" vm="319">
        <f ca="1"/>
        <v>52.96</v>
      </c>
      <c r="N84" s="863" t="str">
        <f ca="1">IF(F84=[2]Sheet1!O82,"","dif")</f>
        <v>dif</v>
      </c>
    </row>
    <row r="85" spans="2:96">
      <c r="B85" s="87" vm="320">
        <f ca="1"/>
        <v>45887</v>
      </c>
      <c r="C85" s="87" vm="313">
        <f ca="1"/>
        <v>69</v>
      </c>
      <c r="D85" s="1169">
        <f t="shared" ca="1" si="51"/>
        <v>-4.7598442232799406E-3</v>
      </c>
      <c r="E85" s="292" t="str" cm="1">
        <f t="array" aca="1" ref="E85" ca="1">_xlfn.IFS(D85&gt;ZPercent,"U",D85&lt;=-ZPercent,"D",TRUE,"Z")</f>
        <v>Z</v>
      </c>
      <c r="F85" s="292" t="str">
        <f t="shared" ca="1" si="54"/>
        <v>UZ</v>
      </c>
      <c r="G85" s="292" t="str">
        <f t="shared" ca="1" si="55"/>
        <v>ZUZ</v>
      </c>
      <c r="H85" s="863" t="str">
        <f t="shared" ca="1" si="56"/>
        <v/>
      </c>
      <c r="J85" s="87" vm="321">
        <f ca="1"/>
        <v>45777</v>
      </c>
      <c r="K85" s="87" vm="322">
        <f ca="1"/>
        <v>52.68</v>
      </c>
      <c r="N85" s="863" t="str">
        <f ca="1">IF(F85=[2]Sheet1!O83,"","dif")</f>
        <v>dif</v>
      </c>
    </row>
    <row r="86" spans="2:96" ht="23" thickBot="1">
      <c r="B86" s="87" vm="323">
        <f ca="1"/>
        <v>45884</v>
      </c>
      <c r="C86" s="87" vm="324">
        <f ca="1"/>
        <v>69.33</v>
      </c>
      <c r="D86" s="1169">
        <f t="shared" ca="1" si="51"/>
        <v>1.241238317757001E-2</v>
      </c>
      <c r="E86" s="292" t="str" cm="1">
        <f t="array" aca="1" ref="E86" ca="1">_xlfn.IFS(D86&gt;ZPercent,"U",D86&lt;=-ZPercent,"D",TRUE,"Z")</f>
        <v>U</v>
      </c>
      <c r="F86" s="292" t="str">
        <f t="shared" ca="1" si="54"/>
        <v>ZU</v>
      </c>
      <c r="G86" s="292" t="str">
        <f t="shared" ca="1" si="55"/>
        <v>DZU</v>
      </c>
      <c r="H86" s="863" t="str">
        <f t="shared" ca="1" si="56"/>
        <v/>
      </c>
      <c r="J86" s="87" vm="325">
        <f ca="1"/>
        <v>45778</v>
      </c>
      <c r="K86" s="87" vm="326">
        <f ca="1"/>
        <v>51.49</v>
      </c>
      <c r="N86" s="863" t="str">
        <f ca="1">IF(F86=[2]Sheet1!O84,"","dif")</f>
        <v>dif</v>
      </c>
    </row>
    <row r="87" spans="2:96" ht="23" thickBot="1">
      <c r="B87" s="87" vm="327">
        <f ca="1"/>
        <v>45883</v>
      </c>
      <c r="C87" s="87" vm="328">
        <f ca="1"/>
        <v>68.48</v>
      </c>
      <c r="D87" s="1169">
        <f t="shared" ca="1" si="51"/>
        <v>-1.1668611435238958E-3</v>
      </c>
      <c r="E87" s="292" t="str" cm="1">
        <f t="array" aca="1" ref="E87" ca="1">_xlfn.IFS(D87&gt;ZPercent,"U",D87&lt;=-ZPercent,"D",TRUE,"Z")</f>
        <v>Z</v>
      </c>
      <c r="F87" s="292" t="str">
        <f t="shared" ca="1" si="54"/>
        <v>DZ</v>
      </c>
      <c r="G87" s="292" t="str">
        <f t="shared" ca="1" si="55"/>
        <v>ZDZ</v>
      </c>
      <c r="H87" s="863" t="str">
        <f t="shared" ca="1" si="56"/>
        <v/>
      </c>
      <c r="J87" s="87" vm="329">
        <f ca="1"/>
        <v>45779</v>
      </c>
      <c r="K87" s="87" vm="330">
        <f ca="1"/>
        <v>51.53</v>
      </c>
      <c r="N87" s="863" t="str">
        <f ca="1">IF(F87=[2]Sheet1!O85,"","dif")</f>
        <v/>
      </c>
      <c r="V87" s="917" t="s">
        <v>2600</v>
      </c>
      <c r="X87" s="880" t="str">
        <f>J3</f>
        <v>NEM</v>
      </c>
      <c r="Y87" s="880" t="str">
        <f ca="1">LastMark2</f>
        <v>UZ</v>
      </c>
      <c r="Z87" s="864" t="s">
        <v>1655</v>
      </c>
      <c r="AA87" s="863" t="s">
        <v>1656</v>
      </c>
    </row>
    <row r="88" spans="2:96" ht="23" thickBot="1">
      <c r="B88" s="87" vm="331">
        <f ca="1"/>
        <v>45882</v>
      </c>
      <c r="C88" s="87" vm="332">
        <f ca="1"/>
        <v>68.56</v>
      </c>
      <c r="D88" s="1169">
        <f t="shared" ca="1" si="51"/>
        <v>-5.3677643986653782E-3</v>
      </c>
      <c r="E88" s="292" t="str" cm="1">
        <f t="array" aca="1" ref="E88" ca="1">_xlfn.IFS(D88&gt;ZPercent,"U",D88&lt;=-ZPercent,"D",TRUE,"Z")</f>
        <v>D</v>
      </c>
      <c r="F88" s="292" t="str">
        <f t="shared" ca="1" si="54"/>
        <v>ZD</v>
      </c>
      <c r="G88" s="292" t="str">
        <f t="shared" ca="1" si="55"/>
        <v>ZZD</v>
      </c>
      <c r="H88" s="863" t="str">
        <f t="shared" ca="1" si="56"/>
        <v>ZZ</v>
      </c>
      <c r="J88" s="87" vm="333">
        <f ca="1"/>
        <v>45782</v>
      </c>
      <c r="K88" s="87" vm="334">
        <f ca="1"/>
        <v>53.04</v>
      </c>
      <c r="N88" s="863" t="str">
        <f ca="1">IF(F88=[2]Sheet1!O86,"","dif")</f>
        <v>dif</v>
      </c>
      <c r="X88" s="863" t="s">
        <v>2578</v>
      </c>
      <c r="Y88" s="1249" t="str">
        <f ca="1">RIGHT(Y87,1)&amp;"U"</f>
        <v>ZU</v>
      </c>
      <c r="Z88" s="1154">
        <f ca="1">IFERROR(_xlfn.MINIFS(AE93:AM101, AE93:AM101, "&gt;0", AE93:AM101, "&lt;1"), "")</f>
        <v>4.7619047619047616E-2</v>
      </c>
      <c r="AA88" s="1155">
        <f ca="1">IFERROR(_xlfn.MAXIFS(AE93:AM101, AE93:AM101, "&gt;0", AE93:AM101, "&lt;1"), "")</f>
        <v>0.6875</v>
      </c>
      <c r="BA88" s="1340" t="str">
        <f>CG88</f>
        <v>NEM</v>
      </c>
      <c r="BB88" s="1341" t="str">
        <f ca="1">CH88</f>
        <v>UZ</v>
      </c>
      <c r="BU88" s="957" t="s">
        <v>2621</v>
      </c>
      <c r="CG88" s="880" t="str">
        <f>B2</f>
        <v>NEM</v>
      </c>
      <c r="CH88" s="880" t="str">
        <f ca="1">LastMark2</f>
        <v>UZ</v>
      </c>
      <c r="CI88" s="864" t="s">
        <v>1655</v>
      </c>
      <c r="CJ88" s="863" t="s">
        <v>1656</v>
      </c>
    </row>
    <row r="89" spans="2:96" ht="28" thickBot="1">
      <c r="B89" s="87" vm="335">
        <f ca="1"/>
        <v>45881</v>
      </c>
      <c r="C89" s="87" vm="336">
        <f ca="1"/>
        <v>68.930000000000007</v>
      </c>
      <c r="D89" s="1169">
        <f t="shared" ca="1" si="51"/>
        <v>8.7120662117035389E-4</v>
      </c>
      <c r="E89" s="292" t="str" cm="1">
        <f t="array" aca="1" ref="E89" ca="1">_xlfn.IFS(D89&gt;ZPercent,"U",D89&lt;=-ZPercent,"D",TRUE,"Z")</f>
        <v>Z</v>
      </c>
      <c r="F89" s="292" t="str">
        <f t="shared" ca="1" si="54"/>
        <v>ZZ</v>
      </c>
      <c r="G89" s="292" t="str">
        <f t="shared" ca="1" si="55"/>
        <v>ZZZ</v>
      </c>
      <c r="H89" s="863" t="str">
        <f t="shared" ca="1" si="56"/>
        <v/>
      </c>
      <c r="J89" s="87" vm="337">
        <f ca="1"/>
        <v>45783</v>
      </c>
      <c r="K89" s="87" vm="338">
        <f ca="1"/>
        <v>54.61</v>
      </c>
      <c r="N89" s="863" t="str">
        <f ca="1">IF(F89=[2]Sheet1!O87,"","dif")</f>
        <v>dif</v>
      </c>
      <c r="X89" s="1247" t="str">
        <f ca="1">IF(Y89=0,"No "&amp;Y88,"Up")</f>
        <v>Up</v>
      </c>
      <c r="Y89" s="1253">
        <f ca="1">MAX(AB93:AB101)</f>
        <v>0.5714285714285714</v>
      </c>
      <c r="AE89" s="1338" t="s">
        <v>2617</v>
      </c>
      <c r="AQ89" s="1338" t="s">
        <v>2580</v>
      </c>
      <c r="BD89" s="1338" t="s">
        <v>2616</v>
      </c>
      <c r="CG89" s="863" t="s">
        <v>2578</v>
      </c>
      <c r="CH89" s="1249" t="str">
        <f ca="1">RIGHT(CH88,1)&amp;"U"</f>
        <v>ZU</v>
      </c>
      <c r="CI89" s="1154">
        <f ca="1">IFERROR(_xlfn.MINIFS(CJ93:CR101, CJ93:CR101, "&gt;0", CJ93:CR101, "&lt;1"), "")</f>
        <v>0.25</v>
      </c>
      <c r="CJ89" s="1155">
        <f ca="1">IFERROR(_xlfn.MAXIFS(CJ93:CR101, CJ93:CR101, "&gt;0", CJ93:CR101, "&lt;1"), "")</f>
        <v>0.75</v>
      </c>
    </row>
    <row r="90" spans="2:96">
      <c r="B90" s="87" vm="339">
        <f ca="1"/>
        <v>45880</v>
      </c>
      <c r="C90" s="87" vm="340">
        <f ca="1"/>
        <v>68.87</v>
      </c>
      <c r="D90" s="1169">
        <f t="shared" ca="1" si="51"/>
        <v>-1.5946651203247234E-3</v>
      </c>
      <c r="E90" s="292" t="str" cm="1">
        <f t="array" aca="1" ref="E90" ca="1">_xlfn.IFS(D90&gt;ZPercent,"U",D90&lt;=-ZPercent,"D",TRUE,"Z")</f>
        <v>Z</v>
      </c>
      <c r="F90" s="292" t="str">
        <f t="shared" ca="1" si="54"/>
        <v>ZZ</v>
      </c>
      <c r="G90" s="292" t="str">
        <f t="shared" ca="1" si="55"/>
        <v>UZZ</v>
      </c>
      <c r="H90" s="863" t="str">
        <f t="shared" ca="1" si="56"/>
        <v/>
      </c>
      <c r="J90" s="87" vm="341">
        <f ca="1"/>
        <v>45784</v>
      </c>
      <c r="K90" s="87" vm="342">
        <f ca="1"/>
        <v>53.99</v>
      </c>
      <c r="N90" s="863" t="str">
        <f ca="1">IF(F90=[2]Sheet1!O88,"","dif")</f>
        <v>dif</v>
      </c>
      <c r="AE90" s="877">
        <f ca="1">MAX(AE92:AE100)</f>
        <v>0.25</v>
      </c>
      <c r="AF90" s="877">
        <f t="shared" ref="AF90:AM90" ca="1" si="70">MAX(AF92:AF100)</f>
        <v>0.66666666666666663</v>
      </c>
      <c r="AG90" s="877">
        <f t="shared" ca="1" si="70"/>
        <v>0.27777777777777779</v>
      </c>
      <c r="AH90" s="877">
        <f t="shared" ca="1" si="70"/>
        <v>0.5</v>
      </c>
      <c r="AI90" s="877">
        <f t="shared" ca="1" si="70"/>
        <v>0.6875</v>
      </c>
      <c r="AJ90" s="877">
        <f t="shared" ca="1" si="70"/>
        <v>0.55000000000000004</v>
      </c>
      <c r="AK90" s="877">
        <f t="shared" ca="1" si="70"/>
        <v>0.39393939393939392</v>
      </c>
      <c r="AL90" s="877">
        <f t="shared" ca="1" si="70"/>
        <v>0.38095238095238093</v>
      </c>
      <c r="AM90" s="877">
        <f t="shared" ca="1" si="70"/>
        <v>0.38461538461538464</v>
      </c>
      <c r="CG90" s="1247" t="str">
        <f ca="1">IF(CH90=0,"No "&amp;CH89,"Up")</f>
        <v>Up</v>
      </c>
      <c r="CH90" s="1253">
        <f ca="1">MAX(CG93:CG101)</f>
        <v>1</v>
      </c>
    </row>
    <row r="91" spans="2:96" ht="23" thickBot="1">
      <c r="B91" s="87" vm="343">
        <f ca="1"/>
        <v>45877</v>
      </c>
      <c r="C91" s="87" vm="344">
        <f ca="1"/>
        <v>68.98</v>
      </c>
      <c r="D91" s="1169">
        <f t="shared" ca="1" si="51"/>
        <v>-1.3030259157375012E-3</v>
      </c>
      <c r="E91" s="292" t="str" cm="1">
        <f t="array" aca="1" ref="E91" ca="1">_xlfn.IFS(D91&gt;ZPercent,"U",D91&lt;=-ZPercent,"D",TRUE,"Z")</f>
        <v>Z</v>
      </c>
      <c r="F91" s="292" t="str">
        <f t="shared" ca="1" si="54"/>
        <v>UZ</v>
      </c>
      <c r="G91" s="292" t="str">
        <f t="shared" ca="1" si="55"/>
        <v>UUZ</v>
      </c>
      <c r="H91" s="863" t="str">
        <f t="shared" ca="1" si="56"/>
        <v/>
      </c>
      <c r="J91" s="87" vm="345">
        <f ca="1"/>
        <v>45785</v>
      </c>
      <c r="K91" s="87" vm="346">
        <f ca="1"/>
        <v>52.83</v>
      </c>
      <c r="N91" s="863" t="str">
        <f ca="1">IF(F91=[2]Sheet1!O89,"","dif")</f>
        <v>dif</v>
      </c>
      <c r="AC91" s="864"/>
      <c r="AE91" s="863">
        <v>1</v>
      </c>
      <c r="AF91" s="863">
        <v>2</v>
      </c>
      <c r="AG91" s="863">
        <v>3</v>
      </c>
      <c r="AH91" s="863">
        <v>4</v>
      </c>
      <c r="AI91" s="863">
        <v>5</v>
      </c>
      <c r="AJ91" s="863">
        <v>6</v>
      </c>
      <c r="AK91" s="863">
        <v>7</v>
      </c>
      <c r="AL91" s="863">
        <v>8</v>
      </c>
      <c r="AM91" s="863">
        <v>9</v>
      </c>
      <c r="BD91" s="877">
        <f ca="1">SUM(BD93:BD101)</f>
        <v>0.99999999999999989</v>
      </c>
      <c r="BE91" s="877">
        <f t="shared" ref="BE91:BL91" ca="1" si="71">SUM(BE93:BE101)</f>
        <v>1</v>
      </c>
      <c r="BF91" s="877">
        <f t="shared" ca="1" si="71"/>
        <v>1</v>
      </c>
      <c r="BG91" s="877">
        <f t="shared" ca="1" si="71"/>
        <v>1.0000000000000002</v>
      </c>
      <c r="BH91" s="877">
        <f t="shared" ca="1" si="71"/>
        <v>1</v>
      </c>
      <c r="BI91" s="877">
        <f t="shared" ca="1" si="71"/>
        <v>1</v>
      </c>
      <c r="BJ91" s="877">
        <f t="shared" ca="1" si="71"/>
        <v>1</v>
      </c>
      <c r="BK91" s="877">
        <f t="shared" ca="1" si="71"/>
        <v>1</v>
      </c>
      <c r="BL91" s="877">
        <f t="shared" ca="1" si="71"/>
        <v>1</v>
      </c>
      <c r="BM91" s="877">
        <f ca="1">SUM(BD91:BL91)</f>
        <v>9</v>
      </c>
      <c r="CH91" s="864"/>
    </row>
    <row r="92" spans="2:96" ht="23" thickBot="1">
      <c r="B92" s="87" vm="347">
        <f ca="1"/>
        <v>45876</v>
      </c>
      <c r="C92" s="87" vm="348">
        <f ca="1"/>
        <v>69.069999999999993</v>
      </c>
      <c r="D92" s="1169">
        <f t="shared" ca="1" si="51"/>
        <v>1.6931684334511064E-2</v>
      </c>
      <c r="E92" s="292" t="str" cm="1">
        <f t="array" aca="1" ref="E92" ca="1">_xlfn.IFS(D92&gt;ZPercent,"U",D92&lt;=-ZPercent,"D",TRUE,"Z")</f>
        <v>U</v>
      </c>
      <c r="F92" s="292" t="str">
        <f t="shared" ca="1" si="54"/>
        <v>UU</v>
      </c>
      <c r="G92" s="292" t="str">
        <f t="shared" ca="1" si="55"/>
        <v>UUU</v>
      </c>
      <c r="H92" s="863" t="str">
        <f t="shared" ca="1" si="56"/>
        <v/>
      </c>
      <c r="J92" s="87" vm="349">
        <f ca="1"/>
        <v>45786</v>
      </c>
      <c r="K92" s="87" vm="350">
        <f ca="1"/>
        <v>53.98</v>
      </c>
      <c r="N92" s="863" t="str">
        <f ca="1">IF(F92=[2]Sheet1!O90,"","dif")</f>
        <v>dif</v>
      </c>
      <c r="Q92" s="863"/>
      <c r="R92" s="863">
        <v>1</v>
      </c>
      <c r="S92" s="863">
        <v>2</v>
      </c>
      <c r="T92" s="863">
        <v>3</v>
      </c>
      <c r="U92" s="863">
        <v>4</v>
      </c>
      <c r="V92" s="863">
        <v>5</v>
      </c>
      <c r="W92" s="863">
        <v>6</v>
      </c>
      <c r="X92" s="863">
        <v>7</v>
      </c>
      <c r="Y92" s="863">
        <v>8</v>
      </c>
      <c r="Z92" s="863">
        <v>9</v>
      </c>
      <c r="AC92" s="1250">
        <f ca="1">SUM(AC93:AC101)</f>
        <v>205</v>
      </c>
      <c r="AD92" s="1195">
        <f ca="1">ROWS(_xlfn.UNIQUE(F5:F157))</f>
        <v>9</v>
      </c>
      <c r="AE92" s="1183" t="str">
        <f t="shared" ref="AE92:AM92" ca="1" si="72">R93</f>
        <v>UZ</v>
      </c>
      <c r="AF92" s="1176" t="str">
        <f t="shared" ca="1" si="72"/>
        <v>DU</v>
      </c>
      <c r="AG92" s="1176" t="str">
        <f t="shared" ca="1" si="72"/>
        <v>DD</v>
      </c>
      <c r="AH92" s="1176" t="str">
        <f t="shared" ca="1" si="72"/>
        <v>UD</v>
      </c>
      <c r="AI92" s="1176" t="str">
        <f t="shared" ca="1" si="72"/>
        <v>ZU</v>
      </c>
      <c r="AJ92" s="1176" t="str">
        <f t="shared" ca="1" si="72"/>
        <v>UU</v>
      </c>
      <c r="AK92" s="1176" t="str">
        <f t="shared" ca="1" si="72"/>
        <v>DZ</v>
      </c>
      <c r="AL92" s="1176" t="str">
        <f t="shared" ca="1" si="72"/>
        <v>ZZ</v>
      </c>
      <c r="AM92" s="1177" t="str">
        <f t="shared" ca="1" si="72"/>
        <v>ZD</v>
      </c>
      <c r="AP92" s="1351"/>
      <c r="AQ92" s="1195"/>
      <c r="AR92" s="1183" t="str">
        <f t="shared" ref="AR92:AZ92" ca="1" si="73">AE92</f>
        <v>UZ</v>
      </c>
      <c r="AS92" s="1349" t="str">
        <f t="shared" ca="1" si="73"/>
        <v>DU</v>
      </c>
      <c r="AT92" s="1349" t="str">
        <f t="shared" ca="1" si="73"/>
        <v>DD</v>
      </c>
      <c r="AU92" s="1349" t="str">
        <f t="shared" ca="1" si="73"/>
        <v>UD</v>
      </c>
      <c r="AV92" s="1349" t="str">
        <f t="shared" ca="1" si="73"/>
        <v>ZU</v>
      </c>
      <c r="AW92" s="1349" t="str">
        <f t="shared" ca="1" si="73"/>
        <v>UU</v>
      </c>
      <c r="AX92" s="1349" t="str">
        <f t="shared" ca="1" si="73"/>
        <v>DZ</v>
      </c>
      <c r="AY92" s="1349" t="str">
        <f t="shared" ca="1" si="73"/>
        <v>ZZ</v>
      </c>
      <c r="AZ92" s="1350" t="str">
        <f t="shared" ca="1" si="73"/>
        <v>ZD</v>
      </c>
      <c r="BD92" s="863" t="s">
        <v>2597</v>
      </c>
      <c r="BE92" s="863" t="s">
        <v>2593</v>
      </c>
      <c r="BF92" s="863" t="s">
        <v>2595</v>
      </c>
      <c r="BG92" s="863" t="s">
        <v>2599</v>
      </c>
      <c r="BH92" s="863" t="s">
        <v>2591</v>
      </c>
      <c r="BI92" s="863" t="s">
        <v>2592</v>
      </c>
      <c r="BJ92" s="863" t="s">
        <v>2594</v>
      </c>
      <c r="BK92" s="863" t="s">
        <v>2598</v>
      </c>
      <c r="BL92" s="863" t="s">
        <v>2596</v>
      </c>
      <c r="BN92" s="1162" t="s">
        <v>2619</v>
      </c>
      <c r="BO92" s="1162" t="s">
        <v>2620</v>
      </c>
      <c r="BU92" s="1175">
        <f ca="1">COUNTA(BU93:BU101)</f>
        <v>6</v>
      </c>
      <c r="BV92" s="1183" t="str" cm="1">
        <f t="array" aca="1" ref="BV92:CA92" ca="1">TRANSPOSE(_xlfn.ANCHORARRAY(BU93))</f>
        <v>UZ</v>
      </c>
      <c r="BW92" s="1176" t="str">
        <f ca="1"/>
        <v>DU</v>
      </c>
      <c r="BX92" s="1176" t="str">
        <f ca="1"/>
        <v>DD</v>
      </c>
      <c r="BY92" s="1176" t="str">
        <f ca="1"/>
        <v>UD</v>
      </c>
      <c r="BZ92" s="1176" t="str">
        <f ca="1"/>
        <v>ZU</v>
      </c>
      <c r="CA92" s="1176" t="str">
        <f ca="1"/>
        <v>UU</v>
      </c>
      <c r="CB92" s="1176"/>
      <c r="CC92" s="1176"/>
      <c r="CD92" s="1177"/>
      <c r="CH92" s="1259">
        <f ca="1">SUM(CH93:CH101)</f>
        <v>19</v>
      </c>
      <c r="CI92" s="1260">
        <f ca="1">ROWS(_xlfn.UNIQUE(G66:G75))</f>
        <v>8</v>
      </c>
      <c r="CJ92" s="1183" t="str" cm="1">
        <f t="array" aca="1" ref="CJ92:CR92" ca="1">TRANSPOSE(CI93:CI101)</f>
        <v>UZ</v>
      </c>
      <c r="CK92" s="1176" t="str">
        <f ca="1"/>
        <v>DU</v>
      </c>
      <c r="CL92" s="1176" t="str">
        <f ca="1"/>
        <v>DD</v>
      </c>
      <c r="CM92" s="1176" t="str">
        <f ca="1"/>
        <v>UD</v>
      </c>
      <c r="CN92" s="1176" t="str">
        <f ca="1"/>
        <v>ZU</v>
      </c>
      <c r="CO92" s="1176" t="str">
        <f ca="1"/>
        <v>UU</v>
      </c>
      <c r="CP92" s="1176">
        <f ca="1"/>
        <v>0</v>
      </c>
      <c r="CQ92" s="1176">
        <f ca="1"/>
        <v>0</v>
      </c>
      <c r="CR92" s="1177">
        <f ca="1"/>
        <v>0</v>
      </c>
    </row>
    <row r="93" spans="2:96" ht="24" thickTop="1" thickBot="1">
      <c r="B93" s="87" vm="351">
        <f ca="1"/>
        <v>45875</v>
      </c>
      <c r="C93" s="87" vm="352">
        <f ca="1"/>
        <v>67.92</v>
      </c>
      <c r="D93" s="1169">
        <f t="shared" ca="1" si="51"/>
        <v>1.011302795954799E-2</v>
      </c>
      <c r="E93" s="292" t="str" cm="1">
        <f t="array" aca="1" ref="E93" ca="1">_xlfn.IFS(D93&gt;ZPercent,"U",D93&lt;=-ZPercent,"D",TRUE,"Z")</f>
        <v>U</v>
      </c>
      <c r="F93" s="292" t="str">
        <f t="shared" ca="1" si="54"/>
        <v>UU</v>
      </c>
      <c r="G93" s="292" t="str">
        <f t="shared" ca="1" si="55"/>
        <v>UUU</v>
      </c>
      <c r="H93" s="863" t="str">
        <f t="shared" ca="1" si="56"/>
        <v/>
      </c>
      <c r="J93" s="87" vm="353">
        <f ca="1"/>
        <v>45789</v>
      </c>
      <c r="K93" s="87" vm="354">
        <f ca="1"/>
        <v>50.78</v>
      </c>
      <c r="N93" s="863" t="str">
        <f ca="1">IF(F93=[2]Sheet1!O91,"","dif")</f>
        <v>dif</v>
      </c>
      <c r="Q93" s="1175">
        <f ca="1">ROWS(_xlfn.UNIQUE(G66:G75))</f>
        <v>8</v>
      </c>
      <c r="R93" s="1180" t="str" cm="1">
        <f t="array" aca="1" ref="R93:Z93" ca="1">TRANSPOSE(_xlfn.ANCHORARRAY(Q94))</f>
        <v>UZ</v>
      </c>
      <c r="S93" s="1181" t="str">
        <f ca="1"/>
        <v>DU</v>
      </c>
      <c r="T93" s="1181" t="str">
        <f ca="1"/>
        <v>DD</v>
      </c>
      <c r="U93" s="1181" t="str">
        <f ca="1"/>
        <v>UD</v>
      </c>
      <c r="V93" s="1181" t="str">
        <f ca="1"/>
        <v>ZU</v>
      </c>
      <c r="W93" s="1181" t="str">
        <f ca="1"/>
        <v>UU</v>
      </c>
      <c r="X93" s="1181" t="str">
        <f ca="1"/>
        <v>DZ</v>
      </c>
      <c r="Y93" s="1181" t="str">
        <f ca="1"/>
        <v>ZZ</v>
      </c>
      <c r="Z93" s="1182" t="str">
        <f ca="1"/>
        <v>ZD</v>
      </c>
      <c r="AB93" s="1153" cm="1">
        <f t="array" aca="1" ref="AB93" ca="1">IFERROR(INDEX($AE93:$AM93,
       MATCH(TRUE,
             (($AD93=Y$87)*
              ($AE$92:$AM$92=$Y$88)*
              ($AE93:$AM93&gt;0))&gt;0,
       0)),0)</f>
        <v>0.5714285714285714</v>
      </c>
      <c r="AC93" s="1246">
        <f t="shared" ref="AC93:AC101" ca="1" si="74">SUM(R94:Z94)</f>
        <v>21</v>
      </c>
      <c r="AD93" s="1178" t="str">
        <f t="shared" ref="AD93:AD101" ca="1" si="75">Q94</f>
        <v>UZ</v>
      </c>
      <c r="AE93" s="1184">
        <f t="shared" ref="AE93:AE101" ca="1" si="76">IF(R94=0,0,R94/$AC93)</f>
        <v>0</v>
      </c>
      <c r="AF93" s="1170">
        <f t="shared" ref="AF93:AF101" ca="1" si="77">IF(S94=0,0,S94/$AC93)</f>
        <v>0</v>
      </c>
      <c r="AG93" s="1170">
        <f t="shared" ref="AG93:AG101" ca="1" si="78">IF(T94=0,0,T94/$AC93)</f>
        <v>0</v>
      </c>
      <c r="AH93" s="1170">
        <f t="shared" ref="AH93:AH101" ca="1" si="79">IF(U94=0,0,U94/$AC93)</f>
        <v>0</v>
      </c>
      <c r="AI93" s="1170">
        <f t="shared" ref="AI93:AI101" ca="1" si="80">IF(V94=0,0,V94/$AC93)</f>
        <v>0.5714285714285714</v>
      </c>
      <c r="AJ93" s="1170">
        <f t="shared" ref="AJ93:AJ101" ca="1" si="81">IF(W94=0,0,W94/$AC93)</f>
        <v>0</v>
      </c>
      <c r="AK93" s="1170">
        <f t="shared" ref="AK93:AK101" ca="1" si="82">IF(X94=0,0,X94/$AC93)</f>
        <v>0</v>
      </c>
      <c r="AL93" s="1170">
        <f t="shared" ref="AL93:AL101" ca="1" si="83">IF(Y94=0,0,Y94/$AC93)</f>
        <v>0.38095238095238093</v>
      </c>
      <c r="AM93" s="1185">
        <f t="shared" ref="AM93:AM101" ca="1" si="84">IF(Z94=0,0,Z94/$AC93)</f>
        <v>4.7619047619047616E-2</v>
      </c>
      <c r="AP93" s="1246"/>
      <c r="AQ93" s="1193" t="str">
        <f t="shared" ref="AQ93:AQ101" ca="1" si="85">Q94</f>
        <v>UZ</v>
      </c>
      <c r="AR93" s="1184">
        <f ca="1">AE93/SUM(AE$93:AE$101)</f>
        <v>0</v>
      </c>
      <c r="AS93" s="1170">
        <f t="shared" ref="AS93:AS101" ca="1" si="86">AF93/SUM(AF$93:AF$101)</f>
        <v>0</v>
      </c>
      <c r="AT93" s="1170">
        <f t="shared" ref="AT93:AT101" ca="1" si="87">AG93/SUM(AG$93:AG$101)</f>
        <v>0</v>
      </c>
      <c r="AU93" s="1170">
        <f t="shared" ref="AU93:AU101" ca="1" si="88">AH93/SUM(AH$93:AH$101)</f>
        <v>0</v>
      </c>
      <c r="AV93" s="1170">
        <f t="shared" ref="AV93:AV101" ca="1" si="89">AI93/SUM(AI$93:AI$101)</f>
        <v>0.34768073547847889</v>
      </c>
      <c r="AW93" s="1170">
        <f t="shared" ref="AW93:AW101" ca="1" si="90">AJ93/SUM(AJ$93:AJ$101)</f>
        <v>0</v>
      </c>
      <c r="AX93" s="1170">
        <f t="shared" ref="AX93:AX101" ca="1" si="91">AK93/SUM(AK$93:AK$101)</f>
        <v>0</v>
      </c>
      <c r="AY93" s="1170">
        <f t="shared" ref="AY93:AY101" ca="1" si="92">AL93/SUM(AL$93:AL$101)</f>
        <v>0.51709136109384701</v>
      </c>
      <c r="AZ93" s="1185">
        <f t="shared" ref="AZ93:AZ101" ca="1" si="93">AM93/SUM(AM$93:AM$101)</f>
        <v>7.6837827853712584E-2</v>
      </c>
      <c r="BC93" s="863" t="str">
        <f t="shared" ref="BC93:BC101" ca="1" si="94">AD93</f>
        <v>UZ</v>
      </c>
      <c r="BD93" s="1184"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0" cm="1">
        <f t="array" aca="1" ref="BE93:BE101" ca="1">_xlfn.LET(
  _xlpm.P,  $AE$93:$AM$101,
  _xlpm.pi, $AE$102:$AM$102,
  _xlpm.states, $AE$92:$AM$92,
  _xlpm.j,  _xlfn.XMATCH(BE92, _xlpm.states),
  _xlpm.colj, _xlfn.TAKE(_xlfn.CHOOSECOLS(_xlpm.P, _xlpm.j), ROWS(_xlpm.P)),
  _xlpm.num, TRANSPOSE(_xlpm.pi) * _xlpm.colj,
  _xlpm.num / INDEX(_xlpm.pi, _xlpm.j)
)</f>
        <v>0.1118391895535817</v>
      </c>
      <c r="BF93" s="117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0" cm="1">
        <f t="array" aca="1" ref="BG93:BG101" ca="1">_xlfn.LET(
  _xlpm.P,  $AE$93:$AM$101,
  _xlpm.pi, $AE$102:$AM$102,
  _xlpm.states, $AE$92:$AM$92,
  _xlpm.j,  _xlfn.XMATCH(BG92, _xlpm.states),
  _xlpm.colj, _xlfn.TAKE(_xlfn.CHOOSECOLS(_xlpm.P, _xlpm.j), ROWS(_xlpm.P)),
  _xlpm.num, TRANSPOSE(_xlpm.pi) * _xlpm.colj,
  _xlpm.num / INDEX(_xlpm.pi, _xlpm.j)
)</f>
        <v>0.4312788010216913</v>
      </c>
      <c r="BH93" s="1170"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0"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0" cm="1">
        <f t="array" aca="1" ref="BJ93:BJ101" ca="1">_xlfn.LET(
  _xlpm.P,  $AE$93:$AM$101,
  _xlpm.pi, $AE$102:$AM$102,
  _xlpm.states, $AE$92:$AM$92,
  _xlpm.j,  _xlfn.XMATCH(BJ92, _xlpm.states),
  _xlpm.colj, _xlfn.TAKE(_xlfn.CHOOSECOLS(_xlpm.P, _xlpm.j), ROWS(_xlpm.P)),
  _xlpm.num, TRANSPOSE(_xlpm.pi) * _xlpm.colj,
  _xlpm.num / INDEX(_xlpm.pi, _xlpm.j)
)</f>
        <v>0.61719269459110027</v>
      </c>
      <c r="BK93" s="117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8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7">
        <f t="shared" ref="BM93:BM101" ca="1" si="95">SUM(BD93:BL93)</f>
        <v>1.1603106851663734</v>
      </c>
      <c r="BN93" s="1342">
        <f t="shared" ref="BN93:BN101" ca="1" si="96">IF(MarkCurr=BC93,_xlfn.XLOOKUP(MAX(BD93:BL93),BD93:BL93,BD93:BL93),"")</f>
        <v>0.61719269459110027</v>
      </c>
      <c r="BO93" s="1346">
        <f t="shared" ref="BO93:BO101" ca="1" si="97">MAX(INDEX(BD123:BL131,ROW()-ROW(BO$92),MATCH(RIGHT(MarkCurr,1)&amp;"U",$BD$92:$BL$92,0)))</f>
        <v>0</v>
      </c>
      <c r="BT93" s="1246">
        <f ca="1">SUM(BV93:CD93)</f>
        <v>2</v>
      </c>
      <c r="BU93" s="1178" t="str" cm="1">
        <f t="array" aca="1" ref="BU93:BU98" ca="1">_xlfn.UNIQUE(F$5:F$25)</f>
        <v>UZ</v>
      </c>
      <c r="BV93" s="878" cm="1">
        <f t="array" aca="1" ref="BV93" ca="1">SUM( ($F$7:$F$25=$Q94) * ($F$6:$F$24=BV$92) )</f>
        <v>0</v>
      </c>
      <c r="BW93" s="1262" cm="1">
        <f t="array" aca="1" ref="BW93" ca="1">SUM( ($F$7:$F$25=$Q94) * ($F$6:$F$24=BW$92) )</f>
        <v>0</v>
      </c>
      <c r="BX93" s="1262" cm="1">
        <f t="array" aca="1" ref="BX93" ca="1">SUM( ($F$7:$F$25=$Q94) * ($F$6:$F$24=BX$92) )</f>
        <v>0</v>
      </c>
      <c r="BY93" s="1262" cm="1">
        <f t="array" aca="1" ref="BY93" ca="1">SUM( ($F$7:$F$25=$Q94) * ($F$6:$F$24=BY$92) )</f>
        <v>0</v>
      </c>
      <c r="BZ93" s="1262" cm="1">
        <f t="array" aca="1" ref="BZ93" ca="1">SUM( ($F$7:$F$25=$Q94) * ($F$6:$F$24=BZ$92) )</f>
        <v>2</v>
      </c>
      <c r="CA93" s="1262" cm="1">
        <f t="array" aca="1" ref="CA93" ca="1">SUM( ($F$7:$F$25=$Q94) * ($F$6:$F$24=CA$92) )</f>
        <v>0</v>
      </c>
      <c r="CB93" s="1262" cm="1">
        <f t="array" aca="1" ref="CB93" ca="1">SUM( ($F$7:$F$25=$Q94) * ($F$6:$F$24=CB$92) )</f>
        <v>0</v>
      </c>
      <c r="CC93" s="1262" cm="1">
        <f t="array" aca="1" ref="CC93" ca="1">SUM( ($F$7:$F$25=$Q94) * ($F$6:$F$24=CC$92) )</f>
        <v>0</v>
      </c>
      <c r="CD93" s="1263" cm="1">
        <f t="array" aca="1" ref="CD93" ca="1">SUM( ($F$7:$F$25=$Q94) * ($F$6:$F$24=CD$92) )</f>
        <v>0</v>
      </c>
      <c r="CG93" s="1153" cm="1">
        <f t="array" aca="1" ref="CG93" ca="1">IFERROR(INDEX($CJ93:$CR93,
       MATCH(TRUE,
             (($CI93=CH$88)*
              (_xlfn.ANCHORARRAY($CJ$92)=$CH$89)*
              ($CJ93:$CR93&gt;0))&gt;0,
       0)),0)</f>
        <v>1</v>
      </c>
      <c r="CH93" s="1246">
        <f t="shared" ref="CH93:CH101" ca="1" si="98">SUM(BV93:CD93)</f>
        <v>2</v>
      </c>
      <c r="CI93" s="1162" t="str" cm="1">
        <f t="array" aca="1" ref="CI93:CI98" ca="1">_xlfn.UNIQUE(F$5:F$25)</f>
        <v>UZ</v>
      </c>
      <c r="CJ93" s="1184">
        <f t="shared" ref="CJ93:CJ101" ca="1" si="99">IF(BV93=0,0,BV93/$CH93)</f>
        <v>0</v>
      </c>
      <c r="CK93" s="1170">
        <f t="shared" ref="CK93:CK101" ca="1" si="100">IF(BW93=0,0,BW93/$CH93)</f>
        <v>0</v>
      </c>
      <c r="CL93" s="1170">
        <f t="shared" ref="CL93:CL101" ca="1" si="101">IF(BX93=0,0,BX93/$CH93)</f>
        <v>0</v>
      </c>
      <c r="CM93" s="1170">
        <f t="shared" ref="CM93:CM101" ca="1" si="102">IF(BY93=0,0,BY93/$CH93)</f>
        <v>0</v>
      </c>
      <c r="CN93" s="1170">
        <f t="shared" ref="CN93:CN101" ca="1" si="103">IF(BZ93=0,0,BZ93/$CH93)</f>
        <v>1</v>
      </c>
      <c r="CO93" s="1170">
        <f t="shared" ref="CO93:CO101" ca="1" si="104">IF(CA93=0,0,CA93/$CH93)</f>
        <v>0</v>
      </c>
      <c r="CP93" s="1170">
        <f t="shared" ref="CP93:CP101" ca="1" si="105">IF(CB93=0,0,CB93/$CH93)</f>
        <v>0</v>
      </c>
      <c r="CQ93" s="1170">
        <f t="shared" ref="CQ93:CQ101" ca="1" si="106">IF(CC93=0,0,CC93/$CH93)</f>
        <v>0</v>
      </c>
      <c r="CR93" s="1185">
        <f t="shared" ref="CR93:CR101" ca="1" si="107">IF(CD93=0,0,CD93/$CH93)</f>
        <v>0</v>
      </c>
    </row>
    <row r="94" spans="2:96" ht="23" thickTop="1">
      <c r="B94" s="87" vm="355">
        <f ca="1"/>
        <v>45874</v>
      </c>
      <c r="C94" s="87" vm="356">
        <f ca="1"/>
        <v>67.239999999999995</v>
      </c>
      <c r="D94" s="1169">
        <f t="shared" ca="1" si="51"/>
        <v>2.7820238459186689E-2</v>
      </c>
      <c r="E94" s="292" t="str" cm="1">
        <f t="array" aca="1" ref="E94" ca="1">_xlfn.IFS(D94&gt;ZPercent,"U",D94&lt;=-ZPercent,"D",TRUE,"Z")</f>
        <v>U</v>
      </c>
      <c r="F94" s="292" t="str">
        <f t="shared" ca="1" si="54"/>
        <v>UU</v>
      </c>
      <c r="G94" s="292" t="str">
        <f t="shared" ca="1" si="55"/>
        <v>UUU</v>
      </c>
      <c r="H94" s="863" t="str">
        <f t="shared" ca="1" si="56"/>
        <v/>
      </c>
      <c r="J94" s="87" vm="357">
        <f ca="1"/>
        <v>45790</v>
      </c>
      <c r="K94" s="87" vm="358">
        <f ca="1"/>
        <v>50.07</v>
      </c>
      <c r="N94" s="863" t="str">
        <f ca="1">IF(F94=[2]Sheet1!O92,"","dif")</f>
        <v>dif</v>
      </c>
      <c r="Q94" s="1178" t="str" cm="1">
        <f t="array" aca="1" ref="Q94:Q102" ca="1">_xlfn.UNIQUE(F5:F158)</f>
        <v>UZ</v>
      </c>
      <c r="R94" s="1171" cm="1">
        <f t="array" aca="1" ref="R94" ca="1">SUM( ($F$7:$F$212=$Q94) * ($F$6:$F$211=R$93) )</f>
        <v>0</v>
      </c>
      <c r="S94" s="863" cm="1">
        <f t="array" aca="1" ref="S94" ca="1">SUM( ($F$7:$F$212=$Q94) * ($F$6:$F$211=S$93) )</f>
        <v>0</v>
      </c>
      <c r="T94" s="863" cm="1">
        <f t="array" aca="1" ref="T94" ca="1">SUM( ($F$7:$F$212=$Q94) * ($F$6:$F$211=T$93) )</f>
        <v>0</v>
      </c>
      <c r="U94" s="863" cm="1">
        <f t="array" aca="1" ref="U94" ca="1">SUM( ($F$7:$F$212=$Q94) * ($F$6:$F$211=U$93) )</f>
        <v>0</v>
      </c>
      <c r="V94" s="863" cm="1">
        <f t="array" aca="1" ref="V94" ca="1">SUM( ($F$7:$F$212=$Q94) * ($F$6:$F$211=V$93) )</f>
        <v>12</v>
      </c>
      <c r="W94" s="863" cm="1">
        <f t="array" aca="1" ref="W94" ca="1">SUM( ($F$7:$F$212=$Q94) * ($F$6:$F$211=W$93) )</f>
        <v>0</v>
      </c>
      <c r="X94" s="863" cm="1">
        <f t="array" aca="1" ref="X94" ca="1">SUM( ($F$7:$F$212=$Q94) * ($F$6:$F$211=X$93) )</f>
        <v>0</v>
      </c>
      <c r="Y94" s="863" cm="1">
        <f t="array" aca="1" ref="Y94" ca="1">SUM( ($F$7:$F$212=$Q94) * ($F$6:$F$211=Y$93) )</f>
        <v>8</v>
      </c>
      <c r="Z94" s="1172" cm="1">
        <f t="array" aca="1" ref="Z94" ca="1">SUM( ($F$7:$F$212=$Q94) * ($F$6:$F$211=Z$93) )</f>
        <v>1</v>
      </c>
      <c r="AB94" s="1153" cm="1">
        <f t="array" aca="1" ref="AB94" ca="1">IFERROR(INDEX($AE94:$AM94,
       MATCH(TRUE,
             (($AD94=Y$87)*
              ($AE$92:$AM$92=$Y$88)*
              ($AE94:$AM94&gt;0))&gt;0,
       0)),0)</f>
        <v>0</v>
      </c>
      <c r="AC94" s="1246">
        <f t="shared" ca="1" si="74"/>
        <v>26</v>
      </c>
      <c r="AD94" s="1178" t="str">
        <f t="shared" ca="1" si="75"/>
        <v>DU</v>
      </c>
      <c r="AE94" s="1186">
        <f t="shared" ca="1" si="76"/>
        <v>0.19230769230769232</v>
      </c>
      <c r="AF94" s="1187">
        <f t="shared" ca="1" si="77"/>
        <v>0</v>
      </c>
      <c r="AG94" s="1187">
        <f t="shared" ca="1" si="78"/>
        <v>0</v>
      </c>
      <c r="AH94" s="1187">
        <f t="shared" ca="1" si="79"/>
        <v>0.5</v>
      </c>
      <c r="AI94" s="1187">
        <f t="shared" ca="1" si="80"/>
        <v>0</v>
      </c>
      <c r="AJ94" s="1187">
        <f t="shared" ca="1" si="81"/>
        <v>0.30769230769230771</v>
      </c>
      <c r="AK94" s="1187">
        <f t="shared" ca="1" si="82"/>
        <v>0</v>
      </c>
      <c r="AL94" s="1187">
        <f t="shared" ca="1" si="83"/>
        <v>0</v>
      </c>
      <c r="AM94" s="1188">
        <f t="shared" ca="1" si="84"/>
        <v>0</v>
      </c>
      <c r="AP94" s="1246"/>
      <c r="AQ94" s="1193" t="str">
        <f t="shared" ca="1" si="85"/>
        <v>DU</v>
      </c>
      <c r="AR94" s="1186">
        <f t="shared" ref="AR94:AR101" ca="1" si="108">AE94/SUM(AE$93:AE$101)</f>
        <v>0.29288702928870297</v>
      </c>
      <c r="AS94" s="1187">
        <f t="shared" ca="1" si="86"/>
        <v>0</v>
      </c>
      <c r="AT94" s="1187">
        <f t="shared" ca="1" si="87"/>
        <v>0</v>
      </c>
      <c r="AU94" s="1187">
        <f t="shared" ca="1" si="88"/>
        <v>0.44303797468354433</v>
      </c>
      <c r="AV94" s="1187">
        <f t="shared" ca="1" si="89"/>
        <v>0</v>
      </c>
      <c r="AW94" s="1187">
        <f t="shared" ca="1" si="90"/>
        <v>0.25327905924920852</v>
      </c>
      <c r="AX94" s="1187">
        <f t="shared" ca="1" si="91"/>
        <v>0</v>
      </c>
      <c r="AY94" s="1187">
        <f t="shared" ca="1" si="92"/>
        <v>0</v>
      </c>
      <c r="AZ94" s="1188">
        <f t="shared" ca="1" si="93"/>
        <v>0</v>
      </c>
      <c r="BC94" s="863" t="str">
        <f t="shared" ca="1" si="94"/>
        <v>DU</v>
      </c>
      <c r="BD94" s="1186">
        <f ca="1"/>
        <v>0</v>
      </c>
      <c r="BE94" s="1187">
        <f ca="1"/>
        <v>0</v>
      </c>
      <c r="BF94" s="1187">
        <f ca="1"/>
        <v>0.23992399094973374</v>
      </c>
      <c r="BG94" s="1187">
        <f ca="1"/>
        <v>0</v>
      </c>
      <c r="BH94" s="1187">
        <f ca="1"/>
        <v>0</v>
      </c>
      <c r="BI94" s="1187">
        <f ca="1"/>
        <v>0</v>
      </c>
      <c r="BJ94" s="1187">
        <f ca="1"/>
        <v>0</v>
      </c>
      <c r="BK94" s="1187">
        <f ca="1"/>
        <v>0.39667751505862708</v>
      </c>
      <c r="BL94" s="1188">
        <f ca="1"/>
        <v>0.20155103764343738</v>
      </c>
      <c r="BM94" s="877">
        <f t="shared" ca="1" si="95"/>
        <v>0.83815254365179825</v>
      </c>
      <c r="BN94" s="1343" t="str">
        <f t="shared" ca="1" si="96"/>
        <v/>
      </c>
      <c r="BO94" s="1347">
        <f t="shared" ca="1" si="97"/>
        <v>0.31578947368421051</v>
      </c>
      <c r="BT94" s="1246">
        <f t="shared" ref="BT94:BT101" ca="1" si="109">SUM(BV94:CD94)</f>
        <v>3</v>
      </c>
      <c r="BU94" s="1178" t="str">
        <f ca="1"/>
        <v>DU</v>
      </c>
      <c r="BV94" s="1171" cm="1">
        <f t="array" aca="1" ref="BV94" ca="1">SUM( ($F$7:$F$25=$Q95) * ($F$6:$F$24=BV$92) )</f>
        <v>0</v>
      </c>
      <c r="BW94" s="863" cm="1">
        <f t="array" aca="1" ref="BW94" ca="1">SUM( ($F$7:$F$25=$Q95) * ($F$6:$F$24=BW$92) )</f>
        <v>0</v>
      </c>
      <c r="BX94" s="863" cm="1">
        <f t="array" aca="1" ref="BX94" ca="1">SUM( ($F$7:$F$25=$Q95) * ($F$6:$F$24=BX$92) )</f>
        <v>0</v>
      </c>
      <c r="BY94" s="863" cm="1">
        <f t="array" aca="1" ref="BY94" ca="1">SUM( ($F$7:$F$25=$Q95) * ($F$6:$F$24=BY$92) )</f>
        <v>2</v>
      </c>
      <c r="BZ94" s="863" cm="1">
        <f t="array" aca="1" ref="BZ94" ca="1">SUM( ($F$7:$F$25=$Q95) * ($F$6:$F$24=BZ$92) )</f>
        <v>0</v>
      </c>
      <c r="CA94" s="863" cm="1">
        <f t="array" aca="1" ref="CA94" ca="1">SUM( ($F$7:$F$25=$Q95) * ($F$6:$F$24=CA$92) )</f>
        <v>1</v>
      </c>
      <c r="CB94" s="863" cm="1">
        <f t="array" aca="1" ref="CB94" ca="1">SUM( ($F$7:$F$25=$Q95) * ($F$6:$F$24=CB$92) )</f>
        <v>0</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6">
        <f t="shared" ca="1" si="98"/>
        <v>3</v>
      </c>
      <c r="CI94" s="1178" t="str">
        <f ca="1"/>
        <v>DU</v>
      </c>
      <c r="CJ94" s="1186">
        <f t="shared" ca="1" si="99"/>
        <v>0</v>
      </c>
      <c r="CK94" s="1187">
        <f t="shared" ca="1" si="100"/>
        <v>0</v>
      </c>
      <c r="CL94" s="1187">
        <f t="shared" ca="1" si="101"/>
        <v>0</v>
      </c>
      <c r="CM94" s="1187">
        <f t="shared" ca="1" si="102"/>
        <v>0.66666666666666663</v>
      </c>
      <c r="CN94" s="1187">
        <f t="shared" ca="1" si="103"/>
        <v>0</v>
      </c>
      <c r="CO94" s="1187">
        <f t="shared" ca="1" si="104"/>
        <v>0.33333333333333331</v>
      </c>
      <c r="CP94" s="1187">
        <f t="shared" ca="1" si="105"/>
        <v>0</v>
      </c>
      <c r="CQ94" s="1187">
        <f t="shared" ca="1" si="106"/>
        <v>0</v>
      </c>
      <c r="CR94" s="1188">
        <f t="shared" ca="1" si="107"/>
        <v>0</v>
      </c>
    </row>
    <row r="95" spans="2:96">
      <c r="B95" s="87" vm="359">
        <f ca="1"/>
        <v>45873</v>
      </c>
      <c r="C95" s="87" vm="360">
        <f ca="1"/>
        <v>65.42</v>
      </c>
      <c r="D95" s="1169">
        <f t="shared" ca="1" si="51"/>
        <v>4.5214890557597032E-2</v>
      </c>
      <c r="E95" s="292" t="str" cm="1">
        <f t="array" aca="1" ref="E95" ca="1">_xlfn.IFS(D95&gt;ZPercent,"U",D95&lt;=-ZPercent,"D",TRUE,"Z")</f>
        <v>U</v>
      </c>
      <c r="F95" s="292" t="str">
        <f t="shared" ca="1" si="54"/>
        <v>UU</v>
      </c>
      <c r="G95" s="292" t="str">
        <f t="shared" ca="1" si="55"/>
        <v>ZUU</v>
      </c>
      <c r="H95" s="863" t="str">
        <f t="shared" ca="1" si="56"/>
        <v/>
      </c>
      <c r="J95" s="87" vm="361">
        <f ca="1"/>
        <v>45791</v>
      </c>
      <c r="K95" s="87" vm="362">
        <f ca="1"/>
        <v>48.66</v>
      </c>
      <c r="N95" s="863" t="str">
        <f ca="1">IF(F95=[2]Sheet1!O93,"","dif")</f>
        <v/>
      </c>
      <c r="Q95" s="1178" t="str">
        <f ca="1"/>
        <v>DU</v>
      </c>
      <c r="R95" s="1171" cm="1">
        <f t="array" aca="1" ref="R95" ca="1">SUM( ($F$7:$F$212=$Q95) * ($F$6:$F$211=R$93) )</f>
        <v>5</v>
      </c>
      <c r="S95" s="863" cm="1">
        <f t="array" aca="1" ref="S95" ca="1">SUM( ($F$7:$F$212=$Q95) * ($F$6:$F$211=S$93) )</f>
        <v>0</v>
      </c>
      <c r="T95" s="863" cm="1">
        <f t="array" aca="1" ref="T95" ca="1">SUM( ($F$7:$F$212=$Q95) * ($F$6:$F$211=T$93) )</f>
        <v>0</v>
      </c>
      <c r="U95" s="863" cm="1">
        <f t="array" aca="1" ref="U95" ca="1">SUM( ($F$7:$F$212=$Q95) * ($F$6:$F$211=U$93) )</f>
        <v>13</v>
      </c>
      <c r="V95" s="863" cm="1">
        <f t="array" aca="1" ref="V95" ca="1">SUM( ($F$7:$F$212=$Q95) * ($F$6:$F$211=V$93) )</f>
        <v>0</v>
      </c>
      <c r="W95" s="863" cm="1">
        <f t="array" aca="1" ref="W95" ca="1">SUM( ($F$7:$F$212=$Q95) * ($F$6:$F$211=W$93) )</f>
        <v>8</v>
      </c>
      <c r="X95" s="863" cm="1">
        <f t="array" aca="1" ref="X95" ca="1">SUM( ($F$7:$F$212=$Q95) * ($F$6:$F$211=X$93) )</f>
        <v>0</v>
      </c>
      <c r="Y95" s="863" cm="1">
        <f t="array" aca="1" ref="Y95" ca="1">SUM( ($F$7:$F$212=$Q95) * ($F$6:$F$211=Y$93) )</f>
        <v>0</v>
      </c>
      <c r="Z95" s="1172" cm="1">
        <f t="array" aca="1" ref="Z95" ca="1">SUM( ($F$7:$F$212=$Q95) * ($F$6:$F$211=Z$93) )</f>
        <v>0</v>
      </c>
      <c r="AB95" s="1153" cm="1">
        <f t="array" aca="1" ref="AB95" ca="1">IFERROR(INDEX($AE95:$AM95,
       MATCH(TRUE,
             (($AD95=Y$87)*
              ($AE$92:$AM$92=$Y$88)*
              ($AE95:$AM95&gt;0))&gt;0,
       0)),0)</f>
        <v>0</v>
      </c>
      <c r="AC95" s="1246">
        <f t="shared" ca="1" si="74"/>
        <v>18</v>
      </c>
      <c r="AD95" s="1178" t="str">
        <f t="shared" ca="1" si="75"/>
        <v>DD</v>
      </c>
      <c r="AE95" s="1186">
        <f t="shared" ca="1" si="76"/>
        <v>0</v>
      </c>
      <c r="AF95" s="1187">
        <f t="shared" ca="1" si="77"/>
        <v>0.66666666666666663</v>
      </c>
      <c r="AG95" s="1187">
        <f t="shared" ca="1" si="78"/>
        <v>0.27777777777777779</v>
      </c>
      <c r="AH95" s="1187">
        <f t="shared" ca="1" si="79"/>
        <v>0</v>
      </c>
      <c r="AI95" s="1187">
        <f t="shared" ca="1" si="80"/>
        <v>0</v>
      </c>
      <c r="AJ95" s="1187">
        <f t="shared" ca="1" si="81"/>
        <v>0</v>
      </c>
      <c r="AK95" s="1187">
        <f t="shared" ca="1" si="82"/>
        <v>5.5555555555555552E-2</v>
      </c>
      <c r="AL95" s="1187">
        <f t="shared" ca="1" si="83"/>
        <v>0</v>
      </c>
      <c r="AM95" s="1188">
        <f t="shared" ca="1" si="84"/>
        <v>0</v>
      </c>
      <c r="AP95" s="1246"/>
      <c r="AQ95" s="1193" t="str">
        <f t="shared" ca="1" si="85"/>
        <v>DD</v>
      </c>
      <c r="AR95" s="1186">
        <f t="shared" ca="1" si="108"/>
        <v>0</v>
      </c>
      <c r="AS95" s="1187">
        <f t="shared" ca="1" si="86"/>
        <v>0.47619047619047622</v>
      </c>
      <c r="AT95" s="1187">
        <f t="shared" ca="1" si="87"/>
        <v>0.29224229543039321</v>
      </c>
      <c r="AU95" s="1187">
        <f t="shared" ca="1" si="88"/>
        <v>0</v>
      </c>
      <c r="AV95" s="1187">
        <f t="shared" ca="1" si="89"/>
        <v>0</v>
      </c>
      <c r="AW95" s="1187">
        <f t="shared" ca="1" si="90"/>
        <v>0</v>
      </c>
      <c r="AX95" s="1187">
        <f t="shared" ca="1" si="91"/>
        <v>8.5536547433903556E-2</v>
      </c>
      <c r="AY95" s="1187">
        <f t="shared" ca="1" si="92"/>
        <v>0</v>
      </c>
      <c r="AZ95" s="1188">
        <f t="shared" ca="1" si="93"/>
        <v>0</v>
      </c>
      <c r="BC95" s="863" t="str">
        <f t="shared" ca="1" si="94"/>
        <v>DD</v>
      </c>
      <c r="BD95" s="1186">
        <f ca="1"/>
        <v>0.44333178969494952</v>
      </c>
      <c r="BE95" s="1187">
        <f ca="1"/>
        <v>0</v>
      </c>
      <c r="BF95" s="1187">
        <f ca="1"/>
        <v>0</v>
      </c>
      <c r="BG95" s="1187">
        <f ca="1"/>
        <v>0</v>
      </c>
      <c r="BH95" s="1187">
        <f ca="1"/>
        <v>6.1394912545415584E-2</v>
      </c>
      <c r="BI95" s="1187">
        <f ca="1"/>
        <v>0.27777777777777779</v>
      </c>
      <c r="BJ95" s="1187">
        <f ca="1"/>
        <v>0</v>
      </c>
      <c r="BK95" s="1187">
        <f ca="1"/>
        <v>0</v>
      </c>
      <c r="BL95" s="1188">
        <f ca="1"/>
        <v>0</v>
      </c>
      <c r="BM95" s="877">
        <f t="shared" ca="1" si="95"/>
        <v>0.78250448001814288</v>
      </c>
      <c r="BN95" s="1343" t="str">
        <f t="shared" ca="1" si="96"/>
        <v/>
      </c>
      <c r="BO95" s="1347">
        <f t="shared" ca="1" si="97"/>
        <v>0.35714285714285715</v>
      </c>
      <c r="BT95" s="1246">
        <f t="shared" ca="1" si="109"/>
        <v>5</v>
      </c>
      <c r="BU95" s="1178" t="str">
        <f ca="1"/>
        <v>DD</v>
      </c>
      <c r="BV95" s="1171" cm="1">
        <f t="array" aca="1" ref="BV95" ca="1">SUM( ($F$7:$F$25=$Q96) * ($F$6:$F$24=BV$92) )</f>
        <v>0</v>
      </c>
      <c r="BW95" s="863" cm="1">
        <f t="array" aca="1" ref="BW95" ca="1">SUM( ($F$7:$F$25=$Q96) * ($F$6:$F$24=BW$92) )</f>
        <v>3</v>
      </c>
      <c r="BX95" s="863" cm="1">
        <f t="array" aca="1" ref="BX95" ca="1">SUM( ($F$7:$F$25=$Q96) * ($F$6:$F$24=BX$92) )</f>
        <v>2</v>
      </c>
      <c r="BY95" s="863" cm="1">
        <f t="array" aca="1" ref="BY95" ca="1">SUM( ($F$7:$F$25=$Q96) * ($F$6:$F$24=BY$92) )</f>
        <v>0</v>
      </c>
      <c r="BZ95" s="863" cm="1">
        <f t="array" aca="1" ref="BZ95" ca="1">SUM( ($F$7:$F$25=$Q96) * ($F$6:$F$24=BZ$92) )</f>
        <v>0</v>
      </c>
      <c r="CA95" s="863" cm="1">
        <f t="array" aca="1" ref="CA95" ca="1">SUM( ($F$7:$F$25=$Q96) * ($F$6:$F$24=CA$92) )</f>
        <v>0</v>
      </c>
      <c r="CB95" s="863" cm="1">
        <f t="array" aca="1" ref="CB95" ca="1">SUM( ($F$7:$F$25=$Q96) * ($F$6:$F$24=CB$92) )</f>
        <v>0</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6">
        <f t="shared" ca="1" si="98"/>
        <v>5</v>
      </c>
      <c r="CI95" s="1178" t="str">
        <f ca="1"/>
        <v>DD</v>
      </c>
      <c r="CJ95" s="1186">
        <f t="shared" ca="1" si="99"/>
        <v>0</v>
      </c>
      <c r="CK95" s="1187">
        <f t="shared" ca="1" si="100"/>
        <v>0.6</v>
      </c>
      <c r="CL95" s="1187">
        <f t="shared" ca="1" si="101"/>
        <v>0.4</v>
      </c>
      <c r="CM95" s="1187">
        <f t="shared" ca="1" si="102"/>
        <v>0</v>
      </c>
      <c r="CN95" s="1187">
        <f t="shared" ca="1" si="103"/>
        <v>0</v>
      </c>
      <c r="CO95" s="1187">
        <f t="shared" ca="1" si="104"/>
        <v>0</v>
      </c>
      <c r="CP95" s="1187">
        <f t="shared" ca="1" si="105"/>
        <v>0</v>
      </c>
      <c r="CQ95" s="1187">
        <f t="shared" ca="1" si="106"/>
        <v>0</v>
      </c>
      <c r="CR95" s="1188">
        <f t="shared" ca="1" si="107"/>
        <v>0</v>
      </c>
    </row>
    <row r="96" spans="2:96">
      <c r="B96" s="87" vm="363">
        <f ca="1"/>
        <v>45870</v>
      </c>
      <c r="C96" s="87" vm="364">
        <f ca="1"/>
        <v>62.59</v>
      </c>
      <c r="D96" s="1169">
        <f t="shared" ca="1" si="51"/>
        <v>7.8904991948470522E-3</v>
      </c>
      <c r="E96" s="292" t="str" cm="1">
        <f t="array" aca="1" ref="E96" ca="1">_xlfn.IFS(D96&gt;ZPercent,"U",D96&lt;=-ZPercent,"D",TRUE,"Z")</f>
        <v>U</v>
      </c>
      <c r="F96" s="292" t="str">
        <f t="shared" ca="1" si="54"/>
        <v>ZU</v>
      </c>
      <c r="G96" s="292" t="str">
        <f t="shared" ca="1" si="55"/>
        <v>DZU</v>
      </c>
      <c r="H96" s="863" t="str">
        <f t="shared" ca="1" si="56"/>
        <v/>
      </c>
      <c r="J96" s="87" vm="365">
        <f ca="1"/>
        <v>45792</v>
      </c>
      <c r="K96" s="87" vm="366">
        <f ca="1"/>
        <v>49.84</v>
      </c>
      <c r="N96" s="863" t="str">
        <f ca="1">IF(F96=[2]Sheet1!O94,"","dif")</f>
        <v>dif</v>
      </c>
      <c r="Q96" s="1178" t="str">
        <f ca="1"/>
        <v>DD</v>
      </c>
      <c r="R96" s="1171" cm="1">
        <f t="array" aca="1" ref="R96" ca="1">SUM( ($F$7:$F$212=$Q96) * ($F$6:$F$211=R$93) )</f>
        <v>0</v>
      </c>
      <c r="S96" s="863" cm="1">
        <f t="array" aca="1" ref="S96" ca="1">SUM( ($F$7:$F$212=$Q96) * ($F$6:$F$211=S$93) )</f>
        <v>12</v>
      </c>
      <c r="T96" s="863" cm="1">
        <f t="array" aca="1" ref="T96" ca="1">SUM( ($F$7:$F$212=$Q96) * ($F$6:$F$211=T$93) )</f>
        <v>5</v>
      </c>
      <c r="U96" s="863" cm="1">
        <f t="array" aca="1" ref="U96" ca="1">SUM( ($F$7:$F$212=$Q96) * ($F$6:$F$211=U$93) )</f>
        <v>0</v>
      </c>
      <c r="V96" s="863" cm="1">
        <f t="array" aca="1" ref="V96" ca="1">SUM( ($F$7:$F$212=$Q96) * ($F$6:$F$211=V$93) )</f>
        <v>0</v>
      </c>
      <c r="W96" s="863" cm="1">
        <f t="array" aca="1" ref="W96" ca="1">SUM( ($F$7:$F$212=$Q96) * ($F$6:$F$211=W$93) )</f>
        <v>0</v>
      </c>
      <c r="X96" s="863" cm="1">
        <f t="array" aca="1" ref="X96" ca="1">SUM( ($F$7:$F$212=$Q96) * ($F$6:$F$211=X$93) )</f>
        <v>1</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6">
        <f t="shared" ca="1" si="74"/>
        <v>33</v>
      </c>
      <c r="AD96" s="1178" t="str">
        <f t="shared" ca="1" si="75"/>
        <v>UD</v>
      </c>
      <c r="AE96" s="1186">
        <f t="shared" ca="1" si="76"/>
        <v>0</v>
      </c>
      <c r="AF96" s="1187">
        <f t="shared" ca="1" si="77"/>
        <v>0.33333333333333331</v>
      </c>
      <c r="AG96" s="1187">
        <f t="shared" ca="1" si="78"/>
        <v>0.27272727272727271</v>
      </c>
      <c r="AH96" s="1187">
        <f t="shared" ca="1" si="79"/>
        <v>0</v>
      </c>
      <c r="AI96" s="1187">
        <f t="shared" ca="1" si="80"/>
        <v>0</v>
      </c>
      <c r="AJ96" s="1187">
        <f t="shared" ca="1" si="81"/>
        <v>0</v>
      </c>
      <c r="AK96" s="1187">
        <f t="shared" ca="1" si="82"/>
        <v>0.39393939393939392</v>
      </c>
      <c r="AL96" s="1187">
        <f t="shared" ca="1" si="83"/>
        <v>0</v>
      </c>
      <c r="AM96" s="1188">
        <f t="shared" ca="1" si="84"/>
        <v>0</v>
      </c>
      <c r="AP96" s="1246"/>
      <c r="AQ96" s="1193" t="str">
        <f t="shared" ca="1" si="85"/>
        <v>UD</v>
      </c>
      <c r="AR96" s="1186">
        <f t="shared" ca="1" si="108"/>
        <v>0</v>
      </c>
      <c r="AS96" s="1187">
        <f t="shared" ca="1" si="86"/>
        <v>0.23809523809523811</v>
      </c>
      <c r="AT96" s="1187">
        <f t="shared" ca="1" si="87"/>
        <v>0.2869287991498406</v>
      </c>
      <c r="AU96" s="1187">
        <f t="shared" ca="1" si="88"/>
        <v>0</v>
      </c>
      <c r="AV96" s="1187">
        <f t="shared" ca="1" si="89"/>
        <v>0</v>
      </c>
      <c r="AW96" s="1187">
        <f t="shared" ca="1" si="90"/>
        <v>0</v>
      </c>
      <c r="AX96" s="1187">
        <f t="shared" ca="1" si="91"/>
        <v>0.60653188180404349</v>
      </c>
      <c r="AY96" s="1187">
        <f t="shared" ca="1" si="92"/>
        <v>0</v>
      </c>
      <c r="AZ96" s="1188">
        <f t="shared" ca="1" si="93"/>
        <v>0</v>
      </c>
      <c r="BC96" s="863" t="str">
        <f t="shared" ca="1" si="94"/>
        <v>UD</v>
      </c>
      <c r="BD96" s="1186">
        <f ca="1"/>
        <v>0.42015657641203613</v>
      </c>
      <c r="BE96" s="1187">
        <f ca="1"/>
        <v>0</v>
      </c>
      <c r="BF96" s="1187">
        <f ca="1"/>
        <v>0</v>
      </c>
      <c r="BG96" s="1187">
        <f ca="1"/>
        <v>0</v>
      </c>
      <c r="BH96" s="1187">
        <f ca="1"/>
        <v>0.82517600315552697</v>
      </c>
      <c r="BI96" s="1187">
        <f ca="1"/>
        <v>0.51694085498416031</v>
      </c>
      <c r="BJ96" s="1187">
        <f ca="1"/>
        <v>0</v>
      </c>
      <c r="BK96" s="1187">
        <f ca="1"/>
        <v>0</v>
      </c>
      <c r="BL96" s="1188">
        <f ca="1"/>
        <v>0</v>
      </c>
      <c r="BM96" s="877">
        <f t="shared" ca="1" si="95"/>
        <v>1.7622734345517235</v>
      </c>
      <c r="BN96" s="1343" t="str">
        <f t="shared" ca="1" si="96"/>
        <v/>
      </c>
      <c r="BO96" s="1347">
        <f t="shared" ca="1" si="97"/>
        <v>0.36</v>
      </c>
      <c r="BT96" s="1246">
        <f t="shared" ca="1" si="109"/>
        <v>4</v>
      </c>
      <c r="BU96" s="1178" t="str">
        <f ca="1"/>
        <v>UD</v>
      </c>
      <c r="BV96" s="1171" cm="1">
        <f t="array" aca="1" ref="BV96" ca="1">SUM( ($F$7:$F$25=$Q97) * ($F$6:$F$24=BV$92) )</f>
        <v>0</v>
      </c>
      <c r="BW96" s="863" cm="1">
        <f t="array" aca="1" ref="BW96" ca="1">SUM( ($F$7:$F$25=$Q97) * ($F$6:$F$24=BW$92) )</f>
        <v>1</v>
      </c>
      <c r="BX96" s="863" cm="1">
        <f t="array" aca="1" ref="BX96" ca="1">SUM( ($F$7:$F$25=$Q97) * ($F$6:$F$24=BX$92) )</f>
        <v>3</v>
      </c>
      <c r="BY96" s="863" cm="1">
        <f t="array" aca="1" ref="BY96" ca="1">SUM( ($F$7:$F$25=$Q97) * ($F$6:$F$24=BY$92) )</f>
        <v>0</v>
      </c>
      <c r="BZ96" s="863" cm="1">
        <f t="array" aca="1" ref="BZ96" ca="1">SUM( ($F$7:$F$25=$Q97) * ($F$6:$F$24=BZ$92) )</f>
        <v>0</v>
      </c>
      <c r="CA96" s="863" cm="1">
        <f t="array" aca="1" ref="CA96" ca="1">SUM( ($F$7:$F$25=$Q97) * ($F$6:$F$24=CA$92) )</f>
        <v>0</v>
      </c>
      <c r="CB96" s="863" cm="1">
        <f t="array" aca="1" ref="CB96" ca="1">SUM( ($F$7:$F$25=$Q97) * ($F$6:$F$24=CB$92) )</f>
        <v>0</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6">
        <f t="shared" ca="1" si="98"/>
        <v>4</v>
      </c>
      <c r="CI96" s="1178" t="str">
        <f ca="1"/>
        <v>UD</v>
      </c>
      <c r="CJ96" s="1186">
        <f t="shared" ca="1" si="99"/>
        <v>0</v>
      </c>
      <c r="CK96" s="1187">
        <f t="shared" ca="1" si="100"/>
        <v>0.25</v>
      </c>
      <c r="CL96" s="1187">
        <f t="shared" ca="1" si="101"/>
        <v>0.75</v>
      </c>
      <c r="CM96" s="1187">
        <f t="shared" ca="1" si="102"/>
        <v>0</v>
      </c>
      <c r="CN96" s="1187">
        <f t="shared" ca="1" si="103"/>
        <v>0</v>
      </c>
      <c r="CO96" s="1187">
        <f t="shared" ca="1" si="104"/>
        <v>0</v>
      </c>
      <c r="CP96" s="1187">
        <f t="shared" ca="1" si="105"/>
        <v>0</v>
      </c>
      <c r="CQ96" s="1187">
        <f t="shared" ca="1" si="106"/>
        <v>0</v>
      </c>
      <c r="CR96" s="1188">
        <f t="shared" ca="1" si="107"/>
        <v>0</v>
      </c>
    </row>
    <row r="97" spans="2:98">
      <c r="B97" s="87" vm="367">
        <f ca="1"/>
        <v>45869</v>
      </c>
      <c r="C97" s="87" vm="368">
        <f ca="1"/>
        <v>62.1</v>
      </c>
      <c r="D97" s="1169">
        <f t="shared" ca="1" si="51"/>
        <v>-3.3702455464612556E-3</v>
      </c>
      <c r="E97" s="292" t="str" cm="1">
        <f t="array" aca="1" ref="E97" ca="1">_xlfn.IFS(D97&gt;ZPercent,"U",D97&lt;=-ZPercent,"D",TRUE,"Z")</f>
        <v>Z</v>
      </c>
      <c r="F97" s="292" t="str">
        <f t="shared" ca="1" si="54"/>
        <v>DZ</v>
      </c>
      <c r="G97" s="292" t="str">
        <f t="shared" ca="1" si="55"/>
        <v>UDZ</v>
      </c>
      <c r="H97" s="863" t="str">
        <f t="shared" ca="1" si="56"/>
        <v/>
      </c>
      <c r="J97" s="87" vm="369">
        <f ca="1"/>
        <v>45793</v>
      </c>
      <c r="K97" s="87" vm="370">
        <f ca="1"/>
        <v>50.1</v>
      </c>
      <c r="N97" s="863" t="str">
        <f ca="1">IF(F97=[2]Sheet1!O95,"","dif")</f>
        <v>dif</v>
      </c>
      <c r="Q97" s="1178" t="str">
        <f ca="1"/>
        <v>UD</v>
      </c>
      <c r="R97" s="1171" cm="1">
        <f t="array" aca="1" ref="R97" ca="1">SUM( ($F$7:$F$212=$Q97) * ($F$6:$F$211=R$93) )</f>
        <v>0</v>
      </c>
      <c r="S97" s="863" cm="1">
        <f t="array" aca="1" ref="S97" ca="1">SUM( ($F$7:$F$212=$Q97) * ($F$6:$F$211=S$93) )</f>
        <v>11</v>
      </c>
      <c r="T97" s="863" cm="1">
        <f t="array" aca="1" ref="T97" ca="1">SUM( ($F$7:$F$212=$Q97) * ($F$6:$F$211=T$93) )</f>
        <v>9</v>
      </c>
      <c r="U97" s="863" cm="1">
        <f t="array" aca="1" ref="U97" ca="1">SUM( ($F$7:$F$212=$Q97) * ($F$6:$F$211=U$93) )</f>
        <v>0</v>
      </c>
      <c r="V97" s="863" cm="1">
        <f t="array" aca="1" ref="V97" ca="1">SUM( ($F$7:$F$212=$Q97) * ($F$6:$F$211=V$93) )</f>
        <v>0</v>
      </c>
      <c r="W97" s="863" cm="1">
        <f t="array" aca="1" ref="W97" ca="1">SUM( ($F$7:$F$212=$Q97) * ($F$6:$F$211=W$93) )</f>
        <v>0</v>
      </c>
      <c r="X97" s="863" cm="1">
        <f t="array" aca="1" ref="X97" ca="1">SUM( ($F$7:$F$212=$Q97) * ($F$6:$F$211=X$93) )</f>
        <v>13</v>
      </c>
      <c r="Y97" s="863" cm="1">
        <f t="array" aca="1" ref="Y97" ca="1">SUM( ($F$7:$F$212=$Q97) * ($F$6:$F$211=Y$93) )</f>
        <v>0</v>
      </c>
      <c r="Z97" s="1172" cm="1">
        <f t="array" aca="1" ref="Z97" ca="1">SUM( ($F$7:$F$212=$Q97) * ($F$6:$F$211=Z$93) )</f>
        <v>0</v>
      </c>
      <c r="AB97" s="1153" cm="1">
        <f t="array" aca="1" ref="AB97" ca="1">IFERROR(INDEX($AE97:$AM97,
       MATCH(TRUE,
             (($AD97=Y$87)*
              ($AE$92:$AM$92=$Y$88)*
              ($AE97:$AM97&gt;0))&gt;0,
       0)),0)</f>
        <v>0</v>
      </c>
      <c r="AC97" s="1246">
        <f t="shared" ca="1" si="74"/>
        <v>28</v>
      </c>
      <c r="AD97" s="1178" t="str">
        <f t="shared" ca="1" si="75"/>
        <v>ZU</v>
      </c>
      <c r="AE97" s="1186">
        <f t="shared" ca="1" si="76"/>
        <v>0.21428571428571427</v>
      </c>
      <c r="AF97" s="1187">
        <f t="shared" ca="1" si="77"/>
        <v>0</v>
      </c>
      <c r="AG97" s="1187">
        <f t="shared" ca="1" si="78"/>
        <v>0</v>
      </c>
      <c r="AH97" s="1187">
        <f t="shared" ca="1" si="79"/>
        <v>0.42857142857142855</v>
      </c>
      <c r="AI97" s="1187">
        <f t="shared" ca="1" si="80"/>
        <v>0</v>
      </c>
      <c r="AJ97" s="1187">
        <f t="shared" ca="1" si="81"/>
        <v>0.35714285714285715</v>
      </c>
      <c r="AK97" s="1187">
        <f t="shared" ca="1" si="82"/>
        <v>0</v>
      </c>
      <c r="AL97" s="1187">
        <f t="shared" ca="1" si="83"/>
        <v>0</v>
      </c>
      <c r="AM97" s="1188">
        <f t="shared" ca="1" si="84"/>
        <v>0</v>
      </c>
      <c r="AP97" s="1246"/>
      <c r="AQ97" s="1193" t="str">
        <f t="shared" ca="1" si="85"/>
        <v>ZU</v>
      </c>
      <c r="AR97" s="1186">
        <f t="shared" ca="1" si="108"/>
        <v>0.32635983263598323</v>
      </c>
      <c r="AS97" s="1187">
        <f t="shared" ca="1" si="86"/>
        <v>0</v>
      </c>
      <c r="AT97" s="1187">
        <f t="shared" ca="1" si="87"/>
        <v>0</v>
      </c>
      <c r="AU97" s="1187">
        <f t="shared" ca="1" si="88"/>
        <v>0.37974683544303794</v>
      </c>
      <c r="AV97" s="1187">
        <f t="shared" ca="1" si="89"/>
        <v>0</v>
      </c>
      <c r="AW97" s="1187">
        <f t="shared" ca="1" si="90"/>
        <v>0.29398462234283129</v>
      </c>
      <c r="AX97" s="1187">
        <f t="shared" ca="1" si="91"/>
        <v>0</v>
      </c>
      <c r="AY97" s="1187">
        <f t="shared" ca="1" si="92"/>
        <v>0</v>
      </c>
      <c r="AZ97" s="1188">
        <f t="shared" ca="1" si="93"/>
        <v>0</v>
      </c>
      <c r="BC97" s="863" t="str">
        <f t="shared" ca="1" si="94"/>
        <v>ZU</v>
      </c>
      <c r="BD97" s="1186">
        <f ca="1"/>
        <v>0</v>
      </c>
      <c r="BE97" s="1187">
        <f ca="1"/>
        <v>0</v>
      </c>
      <c r="BF97" s="1187">
        <f ca="1"/>
        <v>0.28392070118391488</v>
      </c>
      <c r="BG97" s="1187">
        <f ca="1"/>
        <v>0</v>
      </c>
      <c r="BH97" s="1187">
        <f ca="1"/>
        <v>0</v>
      </c>
      <c r="BI97" s="1187">
        <f ca="1"/>
        <v>0</v>
      </c>
      <c r="BJ97" s="1187">
        <f ca="1"/>
        <v>0</v>
      </c>
      <c r="BK97" s="1187">
        <f ca="1"/>
        <v>0.36109178954011162</v>
      </c>
      <c r="BL97" s="1188">
        <f ca="1"/>
        <v>0.24844896235656252</v>
      </c>
      <c r="BM97" s="877">
        <f t="shared" ca="1" si="95"/>
        <v>0.893461453080589</v>
      </c>
      <c r="BN97" s="1343" t="str">
        <f t="shared" ca="1" si="96"/>
        <v/>
      </c>
      <c r="BO97" s="1347">
        <f t="shared" ca="1" si="97"/>
        <v>0</v>
      </c>
      <c r="BT97" s="1246">
        <f t="shared" ca="1" si="109"/>
        <v>2</v>
      </c>
      <c r="BU97" s="1178" t="str">
        <f ca="1"/>
        <v>ZU</v>
      </c>
      <c r="BV97" s="1171" cm="1">
        <f t="array" aca="1" ref="BV97" ca="1">SUM( ($F$7:$F$25=$Q98) * ($F$6:$F$24=BV$92) )</f>
        <v>1</v>
      </c>
      <c r="BW97" s="863" cm="1">
        <f t="array" aca="1" ref="BW97" ca="1">SUM( ($F$7:$F$25=$Q98) * ($F$6:$F$24=BW$92) )</f>
        <v>0</v>
      </c>
      <c r="BX97" s="863" cm="1">
        <f t="array" aca="1" ref="BX97" ca="1">SUM( ($F$7:$F$25=$Q98) * ($F$6:$F$24=BX$92) )</f>
        <v>0</v>
      </c>
      <c r="BY97" s="863" cm="1">
        <f t="array" aca="1" ref="BY97" ca="1">SUM( ($F$7:$F$25=$Q98) * ($F$6:$F$24=BY$92) )</f>
        <v>1</v>
      </c>
      <c r="BZ97" s="863" cm="1">
        <f t="array" aca="1" ref="BZ97" ca="1">SUM( ($F$7:$F$25=$Q98) * ($F$6:$F$24=BZ$92) )</f>
        <v>0</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6">
        <f t="shared" ca="1" si="98"/>
        <v>2</v>
      </c>
      <c r="CI97" s="1178" t="str">
        <f ca="1"/>
        <v>ZU</v>
      </c>
      <c r="CJ97" s="1186">
        <f t="shared" ca="1" si="99"/>
        <v>0.5</v>
      </c>
      <c r="CK97" s="1187">
        <f t="shared" ca="1" si="100"/>
        <v>0</v>
      </c>
      <c r="CL97" s="1187">
        <f t="shared" ca="1" si="101"/>
        <v>0</v>
      </c>
      <c r="CM97" s="1187">
        <f t="shared" ca="1" si="102"/>
        <v>0.5</v>
      </c>
      <c r="CN97" s="1187">
        <f t="shared" ca="1" si="103"/>
        <v>0</v>
      </c>
      <c r="CO97" s="1187">
        <f t="shared" ca="1" si="104"/>
        <v>0</v>
      </c>
      <c r="CP97" s="1187">
        <f t="shared" ca="1" si="105"/>
        <v>0</v>
      </c>
      <c r="CQ97" s="1187">
        <f t="shared" ca="1" si="106"/>
        <v>0</v>
      </c>
      <c r="CR97" s="1188">
        <f t="shared" ca="1" si="107"/>
        <v>0</v>
      </c>
    </row>
    <row r="98" spans="2:98">
      <c r="B98" s="87" vm="371">
        <f ca="1"/>
        <v>45868</v>
      </c>
      <c r="C98" s="87" vm="372">
        <f ca="1"/>
        <v>62.31</v>
      </c>
      <c r="D98" s="1169">
        <f t="shared" ca="1" si="51"/>
        <v>-2.6254102203469288E-2</v>
      </c>
      <c r="E98" s="292" t="str" cm="1">
        <f t="array" aca="1" ref="E98" ca="1">_xlfn.IFS(D98&gt;ZPercent,"U",D98&lt;=-ZPercent,"D",TRUE,"Z")</f>
        <v>D</v>
      </c>
      <c r="F98" s="292" t="str">
        <f t="shared" ca="1" si="54"/>
        <v>UD</v>
      </c>
      <c r="G98" s="292" t="str">
        <f t="shared" ca="1" si="55"/>
        <v>DUD</v>
      </c>
      <c r="H98" s="863" t="str">
        <f t="shared" ca="1" si="56"/>
        <v/>
      </c>
      <c r="J98" s="87" vm="373">
        <f ca="1"/>
        <v>45796</v>
      </c>
      <c r="K98" s="87" vm="374">
        <f ca="1"/>
        <v>50.93</v>
      </c>
      <c r="N98" s="863" t="str">
        <f ca="1">IF(F98=[2]Sheet1!O96,"","dif")</f>
        <v>dif</v>
      </c>
      <c r="Q98" s="1178" t="str">
        <f ca="1"/>
        <v>ZU</v>
      </c>
      <c r="R98" s="1171" cm="1">
        <f t="array" aca="1" ref="R98" ca="1">SUM( ($F$7:$F$212=$Q98) * ($F$6:$F$211=R$93) )</f>
        <v>6</v>
      </c>
      <c r="S98" s="863" cm="1">
        <f t="array" aca="1" ref="S98" ca="1">SUM( ($F$7:$F$212=$Q98) * ($F$6:$F$211=S$93) )</f>
        <v>0</v>
      </c>
      <c r="T98" s="863" cm="1">
        <f t="array" aca="1" ref="T98" ca="1">SUM( ($F$7:$F$212=$Q98) * ($F$6:$F$211=T$93) )</f>
        <v>0</v>
      </c>
      <c r="U98" s="863" cm="1">
        <f t="array" aca="1" ref="U98" ca="1">SUM( ($F$7:$F$212=$Q98) * ($F$6:$F$211=U$93) )</f>
        <v>12</v>
      </c>
      <c r="V98" s="863" cm="1">
        <f t="array" aca="1" ref="V98" ca="1">SUM( ($F$7:$F$212=$Q98) * ($F$6:$F$211=V$93) )</f>
        <v>0</v>
      </c>
      <c r="W98" s="863" cm="1">
        <f t="array" aca="1" ref="W98" ca="1">SUM( ($F$7:$F$212=$Q98) * ($F$6:$F$211=W$93) )</f>
        <v>10</v>
      </c>
      <c r="X98" s="863" cm="1">
        <f t="array" aca="1" ref="X98" ca="1">SUM( ($F$7:$F$212=$Q98) * ($F$6:$F$211=X$93) )</f>
        <v>0</v>
      </c>
      <c r="Y98" s="863" cm="1">
        <f t="array" aca="1" ref="Y98" ca="1">SUM( ($F$7:$F$212=$Q98) * ($F$6:$F$211=Y$93) )</f>
        <v>0</v>
      </c>
      <c r="Z98" s="1172" cm="1">
        <f t="array" aca="1" ref="Z98" ca="1">SUM( ($F$7:$F$212=$Q98) * ($F$6:$F$211=Z$93) )</f>
        <v>0</v>
      </c>
      <c r="AB98" s="1153" cm="1">
        <f t="array" aca="1" ref="AB98" ca="1">IFERROR(INDEX($AE98:$AM98,
       MATCH(TRUE,
             (($AD98=Y$87)*
              ($AE$92:$AM$92=$Y$88)*
              ($AE98:$AM98&gt;0))&gt;0,
       0)),0)</f>
        <v>0</v>
      </c>
      <c r="AC98" s="1246">
        <f t="shared" ca="1" si="74"/>
        <v>40</v>
      </c>
      <c r="AD98" s="1178" t="str">
        <f t="shared" ca="1" si="75"/>
        <v>UU</v>
      </c>
      <c r="AE98" s="1186">
        <f t="shared" ca="1" si="76"/>
        <v>0.25</v>
      </c>
      <c r="AF98" s="1187">
        <f t="shared" ca="1" si="77"/>
        <v>0</v>
      </c>
      <c r="AG98" s="1187">
        <f t="shared" ca="1" si="78"/>
        <v>0</v>
      </c>
      <c r="AH98" s="1187">
        <f t="shared" ca="1" si="79"/>
        <v>0.2</v>
      </c>
      <c r="AI98" s="1187">
        <f t="shared" ca="1" si="80"/>
        <v>0</v>
      </c>
      <c r="AJ98" s="1187">
        <f t="shared" ca="1" si="81"/>
        <v>0.55000000000000004</v>
      </c>
      <c r="AK98" s="1187">
        <f t="shared" ca="1" si="82"/>
        <v>0</v>
      </c>
      <c r="AL98" s="1187">
        <f t="shared" ca="1" si="83"/>
        <v>0</v>
      </c>
      <c r="AM98" s="1188">
        <f t="shared" ca="1" si="84"/>
        <v>0</v>
      </c>
      <c r="AP98" s="1246"/>
      <c r="AQ98" s="1193" t="str">
        <f t="shared" ca="1" si="85"/>
        <v>UU</v>
      </c>
      <c r="AR98" s="1186">
        <f t="shared" ca="1" si="108"/>
        <v>0.3807531380753138</v>
      </c>
      <c r="AS98" s="1187">
        <f t="shared" ca="1" si="86"/>
        <v>0</v>
      </c>
      <c r="AT98" s="1187">
        <f t="shared" ca="1" si="87"/>
        <v>0</v>
      </c>
      <c r="AU98" s="1187">
        <f t="shared" ca="1" si="88"/>
        <v>0.17721518987341772</v>
      </c>
      <c r="AV98" s="1187">
        <f t="shared" ca="1" si="89"/>
        <v>0</v>
      </c>
      <c r="AW98" s="1187">
        <f t="shared" ca="1" si="90"/>
        <v>0.45273631840796019</v>
      </c>
      <c r="AX98" s="1187">
        <f t="shared" ca="1" si="91"/>
        <v>0</v>
      </c>
      <c r="AY98" s="1187">
        <f t="shared" ca="1" si="92"/>
        <v>0</v>
      </c>
      <c r="AZ98" s="1188">
        <f t="shared" ca="1" si="93"/>
        <v>0</v>
      </c>
      <c r="BC98" s="863" t="str">
        <f t="shared" ca="1" si="94"/>
        <v>UU</v>
      </c>
      <c r="BD98" s="1186">
        <f ca="1"/>
        <v>0</v>
      </c>
      <c r="BE98" s="1187">
        <f ca="1"/>
        <v>0</v>
      </c>
      <c r="BF98" s="1187">
        <f ca="1"/>
        <v>0.47615530786635135</v>
      </c>
      <c r="BG98" s="1187">
        <f ca="1"/>
        <v>0</v>
      </c>
      <c r="BH98" s="1187">
        <f ca="1"/>
        <v>0</v>
      </c>
      <c r="BI98" s="1187">
        <f ca="1"/>
        <v>0</v>
      </c>
      <c r="BJ98" s="1187">
        <f ca="1"/>
        <v>0</v>
      </c>
      <c r="BK98" s="1187">
        <f ca="1"/>
        <v>0.24223069540126141</v>
      </c>
      <c r="BL98" s="1188">
        <f ca="1"/>
        <v>0.55000000000000004</v>
      </c>
      <c r="BM98" s="877">
        <f t="shared" ca="1" si="95"/>
        <v>1.2683860032676129</v>
      </c>
      <c r="BN98" s="1343" t="str">
        <f t="shared" ca="1" si="96"/>
        <v/>
      </c>
      <c r="BO98" s="1347">
        <f t="shared" ca="1" si="97"/>
        <v>0</v>
      </c>
      <c r="BT98" s="1246">
        <f t="shared" ca="1" si="109"/>
        <v>3</v>
      </c>
      <c r="BU98" s="1178" t="str">
        <f ca="1"/>
        <v>UU</v>
      </c>
      <c r="BV98" s="1171" cm="1">
        <f t="array" aca="1" ref="BV98" ca="1">SUM( ($F$7:$F$25=$Q99) * ($F$6:$F$24=BV$92) )</f>
        <v>1</v>
      </c>
      <c r="BW98" s="863" cm="1">
        <f t="array" aca="1" ref="BW98" ca="1">SUM( ($F$7:$F$25=$Q99) * ($F$6:$F$24=BW$92) )</f>
        <v>0</v>
      </c>
      <c r="BX98" s="863" cm="1">
        <f t="array" aca="1" ref="BX98" ca="1">SUM( ($F$7:$F$25=$Q99) * ($F$6:$F$24=BX$92) )</f>
        <v>0</v>
      </c>
      <c r="BY98" s="863" cm="1">
        <f t="array" aca="1" ref="BY98" ca="1">SUM( ($F$7:$F$25=$Q99) * ($F$6:$F$24=BY$92) )</f>
        <v>1</v>
      </c>
      <c r="BZ98" s="863" cm="1">
        <f t="array" aca="1" ref="BZ98" ca="1">SUM( ($F$7:$F$25=$Q99) * ($F$6:$F$24=BZ$92) )</f>
        <v>0</v>
      </c>
      <c r="CA98" s="863" cm="1">
        <f t="array" aca="1" ref="CA98" ca="1">SUM( ($F$7:$F$25=$Q99) * ($F$6:$F$24=CA$92) )</f>
        <v>1</v>
      </c>
      <c r="CB98" s="863" cm="1">
        <f t="array" aca="1" ref="CB98" ca="1">SUM( ($F$7:$F$25=$Q99) * ($F$6:$F$24=CB$92) )</f>
        <v>0</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6">
        <f t="shared" ca="1" si="98"/>
        <v>3</v>
      </c>
      <c r="CI98" s="1178" t="str">
        <f ca="1"/>
        <v>UU</v>
      </c>
      <c r="CJ98" s="1186">
        <f t="shared" ca="1" si="99"/>
        <v>0.33333333333333331</v>
      </c>
      <c r="CK98" s="1187">
        <f t="shared" ca="1" si="100"/>
        <v>0</v>
      </c>
      <c r="CL98" s="1187">
        <f t="shared" ca="1" si="101"/>
        <v>0</v>
      </c>
      <c r="CM98" s="1187">
        <f t="shared" ca="1" si="102"/>
        <v>0.33333333333333331</v>
      </c>
      <c r="CN98" s="1187">
        <f t="shared" ca="1" si="103"/>
        <v>0</v>
      </c>
      <c r="CO98" s="1187">
        <f t="shared" ca="1" si="104"/>
        <v>0.33333333333333331</v>
      </c>
      <c r="CP98" s="1187">
        <f t="shared" ca="1" si="105"/>
        <v>0</v>
      </c>
      <c r="CQ98" s="1187">
        <f t="shared" ca="1" si="106"/>
        <v>0</v>
      </c>
      <c r="CR98" s="1188">
        <f t="shared" ca="1" si="107"/>
        <v>0</v>
      </c>
    </row>
    <row r="99" spans="2:98">
      <c r="B99" s="87" vm="375">
        <f ca="1"/>
        <v>45867</v>
      </c>
      <c r="C99" s="87" vm="376">
        <f ca="1"/>
        <v>63.99</v>
      </c>
      <c r="D99" s="1169">
        <f t="shared" ca="1" si="51"/>
        <v>5.1837888784166735E-3</v>
      </c>
      <c r="E99" s="292" t="str" cm="1">
        <f t="array" aca="1" ref="E99" ca="1">_xlfn.IFS(D99&gt;ZPercent,"U",D99&lt;=-ZPercent,"D",TRUE,"Z")</f>
        <v>U</v>
      </c>
      <c r="F99" s="292" t="str">
        <f t="shared" ca="1" si="54"/>
        <v>DU</v>
      </c>
      <c r="G99" s="292" t="str">
        <f t="shared" ca="1" si="55"/>
        <v>UDU</v>
      </c>
      <c r="H99" s="863" t="str">
        <f t="shared" ca="1" si="56"/>
        <v/>
      </c>
      <c r="J99" s="87" vm="377">
        <f ca="1"/>
        <v>45797</v>
      </c>
      <c r="K99" s="87" vm="378">
        <f ca="1"/>
        <v>52.3</v>
      </c>
      <c r="N99" s="863" t="str">
        <f ca="1">IF(F99=[2]Sheet1!O97,"","dif")</f>
        <v>dif</v>
      </c>
      <c r="Q99" s="1178" t="str">
        <f ca="1"/>
        <v>UU</v>
      </c>
      <c r="R99" s="1171" cm="1">
        <f t="array" aca="1" ref="R99" ca="1">SUM( ($F$7:$F$212=$Q99) * ($F$6:$F$211=R$93) )</f>
        <v>10</v>
      </c>
      <c r="S99" s="863" cm="1">
        <f t="array" aca="1" ref="S99" ca="1">SUM( ($F$7:$F$212=$Q99) * ($F$6:$F$211=S$93) )</f>
        <v>0</v>
      </c>
      <c r="T99" s="863" cm="1">
        <f t="array" aca="1" ref="T99" ca="1">SUM( ($F$7:$F$212=$Q99) * ($F$6:$F$211=T$93) )</f>
        <v>0</v>
      </c>
      <c r="U99" s="863" cm="1">
        <f t="array" aca="1" ref="U99" ca="1">SUM( ($F$7:$F$212=$Q99) * ($F$6:$F$211=U$93) )</f>
        <v>8</v>
      </c>
      <c r="V99" s="863" cm="1">
        <f t="array" aca="1" ref="V99" ca="1">SUM( ($F$7:$F$212=$Q99) * ($F$6:$F$211=V$93) )</f>
        <v>0</v>
      </c>
      <c r="W99" s="863" cm="1">
        <f t="array" aca="1" ref="W99" ca="1">SUM( ($F$7:$F$212=$Q99) * ($F$6:$F$211=W$93) )</f>
        <v>22</v>
      </c>
      <c r="X99" s="863" cm="1">
        <f t="array" aca="1" ref="X99" ca="1">SUM( ($F$7:$F$212=$Q99) * ($F$6:$F$211=X$93) )</f>
        <v>0</v>
      </c>
      <c r="Y99" s="863" cm="1">
        <f t="array" aca="1" ref="Y99" ca="1">SUM( ($F$7:$F$212=$Q99) * ($F$6:$F$211=Y$93) )</f>
        <v>0</v>
      </c>
      <c r="Z99" s="1172" cm="1">
        <f t="array" aca="1" ref="Z99" ca="1">SUM( ($F$7:$F$212=$Q99) * ($F$6:$F$211=Z$93) )</f>
        <v>0</v>
      </c>
      <c r="AB99" s="1153" cm="1">
        <f t="array" aca="1" ref="AB99" ca="1">IFERROR(INDEX($AE99:$AM99,
       MATCH(TRUE,
             (($AD99=Y$87)*
              ($AE$92:$AM$92=$Y$88)*
              ($AE99:$AM99&gt;0))&gt;0,
       0)),0)</f>
        <v>0</v>
      </c>
      <c r="AC99" s="1246">
        <f t="shared" ca="1" si="74"/>
        <v>16</v>
      </c>
      <c r="AD99" s="1178" t="str">
        <f t="shared" ca="1" si="75"/>
        <v>DZ</v>
      </c>
      <c r="AE99" s="1186">
        <f t="shared" ca="1" si="76"/>
        <v>0</v>
      </c>
      <c r="AF99" s="1187">
        <f t="shared" ca="1" si="77"/>
        <v>0</v>
      </c>
      <c r="AG99" s="1187">
        <f t="shared" ca="1" si="78"/>
        <v>0</v>
      </c>
      <c r="AH99" s="1187">
        <f t="shared" ca="1" si="79"/>
        <v>0</v>
      </c>
      <c r="AI99" s="1187">
        <f t="shared" ca="1" si="80"/>
        <v>0.6875</v>
      </c>
      <c r="AJ99" s="1187">
        <f t="shared" ca="1" si="81"/>
        <v>0</v>
      </c>
      <c r="AK99" s="1187">
        <f t="shared" ca="1" si="82"/>
        <v>0</v>
      </c>
      <c r="AL99" s="1187">
        <f t="shared" ca="1" si="83"/>
        <v>0.125</v>
      </c>
      <c r="AM99" s="1188">
        <f t="shared" ca="1" si="84"/>
        <v>0.1875</v>
      </c>
      <c r="AP99" s="1246"/>
      <c r="AQ99" s="1193" t="str">
        <f t="shared" ca="1" si="85"/>
        <v>DZ</v>
      </c>
      <c r="AR99" s="1186">
        <f t="shared" ca="1" si="108"/>
        <v>0</v>
      </c>
      <c r="AS99" s="1187">
        <f t="shared" ca="1" si="86"/>
        <v>0</v>
      </c>
      <c r="AT99" s="1187">
        <f t="shared" ca="1" si="87"/>
        <v>0</v>
      </c>
      <c r="AU99" s="1187">
        <f t="shared" ca="1" si="88"/>
        <v>0</v>
      </c>
      <c r="AV99" s="1187">
        <f t="shared" ca="1" si="89"/>
        <v>0.41830338487254493</v>
      </c>
      <c r="AW99" s="1187">
        <f t="shared" ca="1" si="90"/>
        <v>0</v>
      </c>
      <c r="AX99" s="1187">
        <f t="shared" ca="1" si="91"/>
        <v>0</v>
      </c>
      <c r="AY99" s="1187">
        <f t="shared" ca="1" si="92"/>
        <v>0.16967060285891858</v>
      </c>
      <c r="AZ99" s="1188">
        <f t="shared" ca="1" si="93"/>
        <v>0.30254894717399333</v>
      </c>
      <c r="BC99" s="863" t="str">
        <f t="shared" ca="1" si="94"/>
        <v>DZ</v>
      </c>
      <c r="BD99" s="1186">
        <f ca="1"/>
        <v>0</v>
      </c>
      <c r="BE99" s="1187">
        <f ca="1"/>
        <v>0.33060303917406869</v>
      </c>
      <c r="BF99" s="1187">
        <f ca="1"/>
        <v>0</v>
      </c>
      <c r="BG99" s="1187">
        <f ca="1"/>
        <v>0.3895481320845996</v>
      </c>
      <c r="BH99" s="1187">
        <f ca="1"/>
        <v>0</v>
      </c>
      <c r="BI99" s="1187">
        <f ca="1"/>
        <v>0</v>
      </c>
      <c r="BJ99" s="1187">
        <f ca="1"/>
        <v>0.15203807463966904</v>
      </c>
      <c r="BK99" s="1187">
        <f ca="1"/>
        <v>0</v>
      </c>
      <c r="BL99" s="1188">
        <f ca="1"/>
        <v>0</v>
      </c>
      <c r="BM99" s="877">
        <f t="shared" ca="1" si="95"/>
        <v>0.87218924589833735</v>
      </c>
      <c r="BN99" s="1343" t="str">
        <f t="shared" ca="1" si="96"/>
        <v/>
      </c>
      <c r="BO99" s="1347">
        <f t="shared" ca="1" si="97"/>
        <v>0</v>
      </c>
      <c r="BT99" s="1246">
        <f t="shared" ca="1" si="109"/>
        <v>0</v>
      </c>
      <c r="BU99" s="1178"/>
      <c r="BV99" s="1171" cm="1">
        <f t="array" aca="1" ref="BV99" ca="1">SUM( ($F$7:$F$25=$Q100) * ($F$6:$F$24=BV$92) )</f>
        <v>0</v>
      </c>
      <c r="BW99" s="863" cm="1">
        <f t="array" aca="1" ref="BW99" ca="1">SUM( ($F$7:$F$25=$Q100) * ($F$6:$F$24=BW$92) )</f>
        <v>0</v>
      </c>
      <c r="BX99" s="863" cm="1">
        <f t="array" aca="1" ref="BX99" ca="1">SUM( ($F$7:$F$25=$Q100) * ($F$6:$F$24=BX$92) )</f>
        <v>0</v>
      </c>
      <c r="BY99" s="863" cm="1">
        <f t="array" aca="1" ref="BY99" ca="1">SUM( ($F$7:$F$25=$Q100) * ($F$6:$F$24=BY$92) )</f>
        <v>0</v>
      </c>
      <c r="BZ99" s="863" cm="1">
        <f t="array" aca="1" ref="BZ99" ca="1">SUM( ($F$7:$F$25=$Q100) * ($F$6:$F$24=BZ$92) )</f>
        <v>0</v>
      </c>
      <c r="CA99" s="863" cm="1">
        <f t="array" aca="1" ref="CA99" ca="1">SUM( ($F$7:$F$25=$Q100) * ($F$6:$F$24=CA$92) )</f>
        <v>0</v>
      </c>
      <c r="CB99" s="863" cm="1">
        <f t="array" aca="1" ref="CB99" ca="1">SUM( ($F$7:$F$25=$Q100) * ($F$6:$F$24=CB$92) )</f>
        <v>0</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6">
        <f t="shared" ca="1" si="98"/>
        <v>0</v>
      </c>
      <c r="CI99" s="1178"/>
      <c r="CJ99" s="1186">
        <f t="shared" ca="1" si="99"/>
        <v>0</v>
      </c>
      <c r="CK99" s="1187">
        <f t="shared" ca="1" si="100"/>
        <v>0</v>
      </c>
      <c r="CL99" s="1187">
        <f t="shared" ca="1" si="101"/>
        <v>0</v>
      </c>
      <c r="CM99" s="1187">
        <f t="shared" ca="1" si="102"/>
        <v>0</v>
      </c>
      <c r="CN99" s="1187">
        <f t="shared" ca="1" si="103"/>
        <v>0</v>
      </c>
      <c r="CO99" s="1187">
        <f t="shared" ca="1" si="104"/>
        <v>0</v>
      </c>
      <c r="CP99" s="1187">
        <f t="shared" ca="1" si="105"/>
        <v>0</v>
      </c>
      <c r="CQ99" s="1187">
        <f t="shared" ca="1" si="106"/>
        <v>0</v>
      </c>
      <c r="CR99" s="1188">
        <f t="shared" ca="1" si="107"/>
        <v>0</v>
      </c>
    </row>
    <row r="100" spans="2:98">
      <c r="B100" s="87" vm="379">
        <f ca="1"/>
        <v>45866</v>
      </c>
      <c r="C100" s="87" vm="380">
        <f ca="1"/>
        <v>63.66</v>
      </c>
      <c r="D100" s="1169">
        <f t="shared" ca="1" si="51"/>
        <v>-3.1787072243346058E-2</v>
      </c>
      <c r="E100" s="292" t="str" cm="1">
        <f t="array" aca="1" ref="E100" ca="1">_xlfn.IFS(D100&gt;ZPercent,"U",D100&lt;=-ZPercent,"D",TRUE,"Z")</f>
        <v>D</v>
      </c>
      <c r="F100" s="292" t="str">
        <f t="shared" ca="1" si="54"/>
        <v>UD</v>
      </c>
      <c r="G100" s="292" t="str">
        <f t="shared" ca="1" si="55"/>
        <v>ZUD</v>
      </c>
      <c r="H100" s="863" t="str">
        <f t="shared" ca="1" si="56"/>
        <v/>
      </c>
      <c r="J100" s="87" vm="381">
        <f ca="1"/>
        <v>45798</v>
      </c>
      <c r="K100" s="87" vm="382">
        <f ca="1"/>
        <v>52.64</v>
      </c>
      <c r="N100" s="863" t="str">
        <f ca="1">IF(F100=[2]Sheet1!O98,"","dif")</f>
        <v>dif</v>
      </c>
      <c r="Q100" s="1178" t="str">
        <f ca="1"/>
        <v>DZ</v>
      </c>
      <c r="R100" s="1171" cm="1">
        <f t="array" aca="1" ref="R100" ca="1">SUM( ($F$7:$F$212=$Q100) * ($F$6:$F$211=R$93) )</f>
        <v>0</v>
      </c>
      <c r="S100" s="863" cm="1">
        <f t="array" aca="1" ref="S100" ca="1">SUM( ($F$7:$F$212=$Q100) * ($F$6:$F$211=S$93) )</f>
        <v>0</v>
      </c>
      <c r="T100" s="863" cm="1">
        <f t="array" aca="1" ref="T100" ca="1">SUM( ($F$7:$F$212=$Q100) * ($F$6:$F$211=T$93) )</f>
        <v>0</v>
      </c>
      <c r="U100" s="863" cm="1">
        <f t="array" aca="1" ref="U100" ca="1">SUM( ($F$7:$F$212=$Q100) * ($F$6:$F$211=U$93) )</f>
        <v>0</v>
      </c>
      <c r="V100" s="863" cm="1">
        <f t="array" aca="1" ref="V100" ca="1">SUM( ($F$7:$F$212=$Q100) * ($F$6:$F$211=V$93) )</f>
        <v>11</v>
      </c>
      <c r="W100" s="863" cm="1">
        <f t="array" aca="1" ref="W100" ca="1">SUM( ($F$7:$F$212=$Q100) * ($F$6:$F$211=W$93) )</f>
        <v>0</v>
      </c>
      <c r="X100" s="863" cm="1">
        <f t="array" aca="1" ref="X100" ca="1">SUM( ($F$7:$F$212=$Q100) * ($F$6:$F$211=X$93) )</f>
        <v>0</v>
      </c>
      <c r="Y100" s="863" cm="1">
        <f t="array" aca="1" ref="Y100" ca="1">SUM( ($F$7:$F$212=$Q100) * ($F$6:$F$211=Y$93) )</f>
        <v>2</v>
      </c>
      <c r="Z100" s="1172" cm="1">
        <f t="array" aca="1" ref="Z100" ca="1">SUM( ($F$7:$F$212=$Q100) * ($F$6:$F$211=Z$93) )</f>
        <v>3</v>
      </c>
      <c r="AB100" s="1153" cm="1">
        <f t="array" aca="1" ref="AB100" ca="1">IFERROR(INDEX($AE100:$AM100,
       MATCH(TRUE,
             (($AD100=Y$87)*
              ($AE$92:$AM$92=$Y$88)*
              ($AE100:$AM100&gt;0))&gt;0,
       0)),0)</f>
        <v>0</v>
      </c>
      <c r="AC100" s="1246">
        <f t="shared" ca="1" si="74"/>
        <v>13</v>
      </c>
      <c r="AD100" s="1178" t="str">
        <f t="shared" ca="1" si="75"/>
        <v>ZZ</v>
      </c>
      <c r="AE100" s="1186">
        <f t="shared" ca="1" si="76"/>
        <v>0</v>
      </c>
      <c r="AF100" s="1187">
        <f t="shared" ca="1" si="77"/>
        <v>0</v>
      </c>
      <c r="AG100" s="1187">
        <f t="shared" ca="1" si="78"/>
        <v>0</v>
      </c>
      <c r="AH100" s="1187">
        <f t="shared" ca="1" si="79"/>
        <v>0</v>
      </c>
      <c r="AI100" s="1187">
        <f t="shared" ca="1" si="80"/>
        <v>0.38461538461538464</v>
      </c>
      <c r="AJ100" s="1187">
        <f t="shared" ca="1" si="81"/>
        <v>0</v>
      </c>
      <c r="AK100" s="1187">
        <f t="shared" ca="1" si="82"/>
        <v>0</v>
      </c>
      <c r="AL100" s="1187">
        <f t="shared" ca="1" si="83"/>
        <v>0.23076923076923078</v>
      </c>
      <c r="AM100" s="1188">
        <f t="shared" ca="1" si="84"/>
        <v>0.38461538461538464</v>
      </c>
      <c r="AP100" s="1246"/>
      <c r="AQ100" s="1193" t="str">
        <f t="shared" ca="1" si="85"/>
        <v>ZZ</v>
      </c>
      <c r="AR100" s="1186">
        <f t="shared" ca="1" si="108"/>
        <v>0</v>
      </c>
      <c r="AS100" s="1187">
        <f t="shared" ca="1" si="86"/>
        <v>0</v>
      </c>
      <c r="AT100" s="1187">
        <f t="shared" ca="1" si="87"/>
        <v>0</v>
      </c>
      <c r="AU100" s="1187">
        <f t="shared" ca="1" si="88"/>
        <v>0</v>
      </c>
      <c r="AV100" s="1187">
        <f t="shared" ca="1" si="89"/>
        <v>0.23401587964897622</v>
      </c>
      <c r="AW100" s="1187">
        <f t="shared" ca="1" si="90"/>
        <v>0</v>
      </c>
      <c r="AX100" s="1187">
        <f t="shared" ca="1" si="91"/>
        <v>0</v>
      </c>
      <c r="AY100" s="1187">
        <f t="shared" ca="1" si="92"/>
        <v>0.31323803604723433</v>
      </c>
      <c r="AZ100" s="1188">
        <f t="shared" ca="1" si="93"/>
        <v>0.6206132249722941</v>
      </c>
      <c r="BC100" s="863" t="str">
        <f t="shared" ca="1" si="94"/>
        <v>ZZ</v>
      </c>
      <c r="BD100" s="1186">
        <f ca="1"/>
        <v>0</v>
      </c>
      <c r="BE100" s="1187">
        <f ca="1"/>
        <v>0.55755777127234962</v>
      </c>
      <c r="BF100" s="1187">
        <f ca="1"/>
        <v>0</v>
      </c>
      <c r="BG100" s="1187">
        <f ca="1"/>
        <v>0.17917306689370918</v>
      </c>
      <c r="BH100" s="1187">
        <f ca="1"/>
        <v>0</v>
      </c>
      <c r="BI100" s="1187">
        <f ca="1"/>
        <v>0</v>
      </c>
      <c r="BJ100" s="1187">
        <f ca="1"/>
        <v>0.23076923076923078</v>
      </c>
      <c r="BK100" s="1187">
        <f ca="1"/>
        <v>0</v>
      </c>
      <c r="BL100" s="1188">
        <f ca="1"/>
        <v>0</v>
      </c>
      <c r="BM100" s="877">
        <f t="shared" ca="1" si="95"/>
        <v>0.9675000689352895</v>
      </c>
      <c r="BN100" s="1343" t="str">
        <f t="shared" ca="1" si="96"/>
        <v/>
      </c>
      <c r="BO100" s="1347">
        <f t="shared" ca="1" si="97"/>
        <v>0</v>
      </c>
      <c r="BT100" s="1246">
        <f t="shared" ca="1" si="109"/>
        <v>0</v>
      </c>
      <c r="BU100" s="1178"/>
      <c r="BV100" s="1171" cm="1">
        <f t="array" aca="1" ref="BV100" ca="1">SUM( ($F$7:$F$25=$Q101) * ($F$6:$F$24=BV$92) )</f>
        <v>0</v>
      </c>
      <c r="BW100" s="863" cm="1">
        <f t="array" aca="1" ref="BW100" ca="1">SUM( ($F$7:$F$25=$Q101) * ($F$6:$F$24=BW$92) )</f>
        <v>0</v>
      </c>
      <c r="BX100" s="863" cm="1">
        <f t="array" aca="1" ref="BX100" ca="1">SUM( ($F$7:$F$25=$Q101) * ($F$6:$F$24=BX$92) )</f>
        <v>0</v>
      </c>
      <c r="BY100" s="863" cm="1">
        <f t="array" aca="1" ref="BY100" ca="1">SUM( ($F$7:$F$25=$Q101) * ($F$6:$F$24=BY$92) )</f>
        <v>0</v>
      </c>
      <c r="BZ100" s="863" cm="1">
        <f t="array" aca="1" ref="BZ100" ca="1">SUM( ($F$7:$F$25=$Q101) * ($F$6:$F$24=BZ$92) )</f>
        <v>0</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0</v>
      </c>
      <c r="CG100" s="1153" cm="1">
        <f t="array" aca="1" ref="CG100" ca="1">IFERROR(INDEX($CJ100:$CR100,
       MATCH(TRUE,
             (($CI100=CH$88)*
              (_xlfn.ANCHORARRAY($CJ$92)=$CH$89)*
              ($CJ100:$CR100&gt;0))&gt;0,
       0)),0)</f>
        <v>0</v>
      </c>
      <c r="CH100" s="1246">
        <f t="shared" ca="1" si="98"/>
        <v>0</v>
      </c>
      <c r="CI100" s="1178"/>
      <c r="CJ100" s="1186">
        <f t="shared" ca="1" si="99"/>
        <v>0</v>
      </c>
      <c r="CK100" s="1187">
        <f t="shared" ca="1" si="100"/>
        <v>0</v>
      </c>
      <c r="CL100" s="1187">
        <f t="shared" ca="1" si="101"/>
        <v>0</v>
      </c>
      <c r="CM100" s="1187">
        <f t="shared" ca="1" si="102"/>
        <v>0</v>
      </c>
      <c r="CN100" s="1187">
        <f t="shared" ca="1" si="103"/>
        <v>0</v>
      </c>
      <c r="CO100" s="1187">
        <f t="shared" ca="1" si="104"/>
        <v>0</v>
      </c>
      <c r="CP100" s="1187">
        <f t="shared" ca="1" si="105"/>
        <v>0</v>
      </c>
      <c r="CQ100" s="1187">
        <f t="shared" ca="1" si="106"/>
        <v>0</v>
      </c>
      <c r="CR100" s="1188">
        <f t="shared" ca="1" si="107"/>
        <v>0</v>
      </c>
    </row>
    <row r="101" spans="2:98" ht="23" thickBot="1">
      <c r="B101" s="87" vm="383">
        <f ca="1"/>
        <v>45863</v>
      </c>
      <c r="C101" s="87" vm="384">
        <f ca="1"/>
        <v>65.75</v>
      </c>
      <c r="D101" s="1169">
        <f t="shared" ca="1" si="51"/>
        <v>6.8931880994960198E-2</v>
      </c>
      <c r="E101" s="292" t="str" cm="1">
        <f t="array" aca="1" ref="E101" ca="1">_xlfn.IFS(D101&gt;ZPercent,"U",D101&lt;=-ZPercent,"D",TRUE,"Z")</f>
        <v>U</v>
      </c>
      <c r="F101" s="292" t="str">
        <f t="shared" ca="1" si="54"/>
        <v>ZU</v>
      </c>
      <c r="G101" s="292" t="str">
        <f t="shared" ca="1" si="55"/>
        <v>ZZU</v>
      </c>
      <c r="H101" s="863" t="str">
        <f t="shared" ca="1" si="56"/>
        <v/>
      </c>
      <c r="J101" s="87" vm="385">
        <f ca="1"/>
        <v>45799</v>
      </c>
      <c r="K101" s="87" vm="386">
        <f ca="1"/>
        <v>52.65</v>
      </c>
      <c r="N101" s="863" t="str">
        <f ca="1">IF(F101=[2]Sheet1!O99,"","dif")</f>
        <v>dif</v>
      </c>
      <c r="Q101" s="1178" t="str">
        <f ca="1"/>
        <v>ZZ</v>
      </c>
      <c r="R101" s="1171" cm="1">
        <f t="array" aca="1" ref="R101" ca="1">SUM( ($F$7:$F$212=$Q101) * ($F$6:$F$211=R$93) )</f>
        <v>0</v>
      </c>
      <c r="S101" s="863" cm="1">
        <f t="array" aca="1" ref="S101" ca="1">SUM( ($F$7:$F$212=$Q101) * ($F$6:$F$211=S$93) )</f>
        <v>0</v>
      </c>
      <c r="T101" s="863" cm="1">
        <f t="array" aca="1" ref="T101" ca="1">SUM( ($F$7:$F$212=$Q101) * ($F$6:$F$211=T$93) )</f>
        <v>0</v>
      </c>
      <c r="U101" s="863" cm="1">
        <f t="array" aca="1" ref="U101" ca="1">SUM( ($F$7:$F$212=$Q101) * ($F$6:$F$211=U$93) )</f>
        <v>0</v>
      </c>
      <c r="V101" s="863" cm="1">
        <f t="array" aca="1" ref="V101" ca="1">SUM( ($F$7:$F$212=$Q101) * ($F$6:$F$211=V$93) )</f>
        <v>5</v>
      </c>
      <c r="W101" s="863" cm="1">
        <f t="array" aca="1" ref="W101" ca="1">SUM( ($F$7:$F$212=$Q101) * ($F$6:$F$211=W$93) )</f>
        <v>0</v>
      </c>
      <c r="X101" s="863" cm="1">
        <f t="array" aca="1" ref="X101" ca="1">SUM( ($F$7:$F$212=$Q101) * ($F$6:$F$211=X$93) )</f>
        <v>0</v>
      </c>
      <c r="Y101" s="863" cm="1">
        <f t="array" aca="1" ref="Y101" ca="1">SUM( ($F$7:$F$212=$Q101) * ($F$6:$F$211=Y$93) )</f>
        <v>3</v>
      </c>
      <c r="Z101" s="1172" cm="1">
        <f t="array" aca="1" ref="Z101" ca="1">SUM( ($F$7:$F$212=$Q101) * ($F$6:$F$211=Z$93) )</f>
        <v>5</v>
      </c>
      <c r="AB101" s="1153" cm="1">
        <f t="array" aca="1" ref="AB101" ca="1">IFERROR(INDEX($AE101:$AM101,
       MATCH(TRUE,
             (($AD101=Y$87)*
              ($AE$92:$AM$92=$Y$88)*
              ($AE101:$AM101&gt;0))&gt;0,
       0)),0)</f>
        <v>0</v>
      </c>
      <c r="AC101" s="1246">
        <f t="shared" ca="1" si="74"/>
        <v>10</v>
      </c>
      <c r="AD101" s="1179" t="str">
        <f t="shared" ca="1" si="75"/>
        <v>ZD</v>
      </c>
      <c r="AE101" s="1189">
        <f t="shared" ca="1" si="76"/>
        <v>0</v>
      </c>
      <c r="AF101" s="1190">
        <f t="shared" ca="1" si="77"/>
        <v>0.4</v>
      </c>
      <c r="AG101" s="1190">
        <f t="shared" ca="1" si="78"/>
        <v>0.4</v>
      </c>
      <c r="AH101" s="1190">
        <f t="shared" ca="1" si="79"/>
        <v>0</v>
      </c>
      <c r="AI101" s="1190">
        <f t="shared" ca="1" si="80"/>
        <v>0</v>
      </c>
      <c r="AJ101" s="1190">
        <f t="shared" ca="1" si="81"/>
        <v>0</v>
      </c>
      <c r="AK101" s="1190">
        <f t="shared" ca="1" si="82"/>
        <v>0.2</v>
      </c>
      <c r="AL101" s="1190">
        <f t="shared" ca="1" si="83"/>
        <v>0</v>
      </c>
      <c r="AM101" s="1191">
        <f t="shared" ca="1" si="84"/>
        <v>0</v>
      </c>
      <c r="AP101" s="1246"/>
      <c r="AQ101" s="1194" t="str">
        <f t="shared" ca="1" si="85"/>
        <v>ZD</v>
      </c>
      <c r="AR101" s="1189">
        <f t="shared" ca="1" si="108"/>
        <v>0</v>
      </c>
      <c r="AS101" s="1190">
        <f t="shared" ca="1" si="86"/>
        <v>0.28571428571428575</v>
      </c>
      <c r="AT101" s="1190">
        <f t="shared" ca="1" si="87"/>
        <v>0.4208289054197662</v>
      </c>
      <c r="AU101" s="1190">
        <f t="shared" ca="1" si="88"/>
        <v>0</v>
      </c>
      <c r="AV101" s="1190">
        <f t="shared" ca="1" si="89"/>
        <v>0</v>
      </c>
      <c r="AW101" s="1190">
        <f t="shared" ca="1" si="90"/>
        <v>0</v>
      </c>
      <c r="AX101" s="1190">
        <f t="shared" ca="1" si="91"/>
        <v>0.30793157076205285</v>
      </c>
      <c r="AY101" s="1190">
        <f t="shared" ca="1" si="92"/>
        <v>0</v>
      </c>
      <c r="AZ101" s="1191">
        <f t="shared" ca="1" si="93"/>
        <v>0</v>
      </c>
      <c r="BC101" s="863" t="str">
        <f t="shared" ca="1" si="94"/>
        <v>ZD</v>
      </c>
      <c r="BD101" s="1189">
        <f ca="1"/>
        <v>0.13651163389301424</v>
      </c>
      <c r="BE101" s="1190">
        <f ca="1"/>
        <v>0</v>
      </c>
      <c r="BF101" s="1190">
        <f ca="1"/>
        <v>0</v>
      </c>
      <c r="BG101" s="1190">
        <f ca="1"/>
        <v>0</v>
      </c>
      <c r="BH101" s="1190">
        <f ca="1"/>
        <v>0.11342908429905736</v>
      </c>
      <c r="BI101" s="1190">
        <f ca="1"/>
        <v>0.2052813672380619</v>
      </c>
      <c r="BJ101" s="1190">
        <f ca="1"/>
        <v>0</v>
      </c>
      <c r="BK101" s="1190">
        <f ca="1"/>
        <v>0</v>
      </c>
      <c r="BL101" s="1191">
        <f ca="1"/>
        <v>0</v>
      </c>
      <c r="BM101" s="877">
        <f t="shared" ca="1" si="95"/>
        <v>0.45522208543013348</v>
      </c>
      <c r="BN101" s="1344" t="str">
        <f t="shared" ca="1" si="96"/>
        <v/>
      </c>
      <c r="BO101" s="1348">
        <f t="shared" ca="1" si="97"/>
        <v>0</v>
      </c>
      <c r="BT101" s="1246">
        <f t="shared" ca="1" si="109"/>
        <v>0</v>
      </c>
      <c r="BU101" s="1179"/>
      <c r="BV101" s="869" cm="1">
        <f t="array" aca="1" ref="BV101" ca="1">SUM( ($F$7:$F$25=$Q102) * ($F$6:$F$24=BV$92) )</f>
        <v>0</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6">
        <f t="shared" ca="1" si="98"/>
        <v>0</v>
      </c>
      <c r="CI101" s="1179"/>
      <c r="CJ101" s="1189">
        <f t="shared" ca="1" si="99"/>
        <v>0</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c r="B102" s="87" vm="387">
        <f ca="1"/>
        <v>45862</v>
      </c>
      <c r="C102" s="87" vm="388">
        <f ca="1"/>
        <v>61.51</v>
      </c>
      <c r="D102" s="1169">
        <f t="shared" ca="1" si="51"/>
        <v>1.465320742429116E-3</v>
      </c>
      <c r="E102" s="292" t="str" cm="1">
        <f t="array" aca="1" ref="E102" ca="1">_xlfn.IFS(D102&gt;ZPercent,"U",D102&lt;=-ZPercent,"D",TRUE,"Z")</f>
        <v>Z</v>
      </c>
      <c r="F102" s="292" t="str">
        <f t="shared" ca="1" si="54"/>
        <v>ZZ</v>
      </c>
      <c r="G102" s="292" t="str">
        <f t="shared" ca="1" si="55"/>
        <v>UZZ</v>
      </c>
      <c r="H102" s="863" t="str">
        <f t="shared" ca="1" si="56"/>
        <v/>
      </c>
      <c r="J102" s="87" vm="389">
        <f ca="1"/>
        <v>45800</v>
      </c>
      <c r="K102" s="87" vm="390">
        <f ca="1"/>
        <v>53.65</v>
      </c>
      <c r="N102" s="863" t="str">
        <f ca="1">IF(F102=[2]Sheet1!O100,"","dif")</f>
        <v>dif</v>
      </c>
      <c r="Q102" s="1179" t="str">
        <f ca="1"/>
        <v>ZD</v>
      </c>
      <c r="R102" s="869" cm="1">
        <f t="array" aca="1" ref="R102" ca="1">SUM( ($F$7:$F$212=$Q102) * ($F$6:$F$211=R$93) )</f>
        <v>0</v>
      </c>
      <c r="S102" s="1173" cm="1">
        <f t="array" aca="1" ref="S102" ca="1">SUM( ($F$7:$F$212=$Q102) * ($F$6:$F$211=S$93) )</f>
        <v>4</v>
      </c>
      <c r="T102" s="1173" cm="1">
        <f t="array" aca="1" ref="T102" ca="1">SUM( ($F$7:$F$212=$Q102) * ($F$6:$F$211=T$93) )</f>
        <v>4</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2</v>
      </c>
      <c r="Y102" s="1173" cm="1">
        <f t="array" aca="1" ref="Y102" ca="1">SUM( ($F$7:$F$212=$Q102) * ($F$6:$F$211=Y$93) )</f>
        <v>0</v>
      </c>
      <c r="Z102" s="1174" cm="1">
        <f t="array" aca="1" ref="Z102" ca="1">SUM( ($F$7:$F$212=$Q102) * ($F$6:$F$211=Z$93) )</f>
        <v>0</v>
      </c>
      <c r="AC102" s="864"/>
      <c r="AD102" s="1288" t="s">
        <v>2590</v>
      </c>
      <c r="AE102" s="115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0.10337870825087896</v>
      </c>
      <c r="AF102" s="1153">
        <f ca="1"/>
        <v>0.12897576776645103</v>
      </c>
      <c r="AG102" s="1153">
        <f ca="1"/>
        <v>8.5768586926771376E-2</v>
      </c>
      <c r="AH102" s="1153">
        <f ca="1"/>
        <v>0.16257005107459774</v>
      </c>
      <c r="AI102" s="1153">
        <f ca="1"/>
        <v>0.13697299155902565</v>
      </c>
      <c r="AJ102" s="1153">
        <f ca="1"/>
        <v>0.19689728261609193</v>
      </c>
      <c r="AK102" s="1153">
        <f ca="1"/>
        <v>7.7611015284157189E-2</v>
      </c>
      <c r="AL102" s="1153">
        <f ca="1"/>
        <v>6.3808864546015587E-2</v>
      </c>
      <c r="AM102" s="1153">
        <f ca="1"/>
        <v>4.401673197601047E-2</v>
      </c>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91">
        <f ca="1"/>
        <v>45861</v>
      </c>
      <c r="C103" s="87" vm="392">
        <f ca="1"/>
        <v>61.42</v>
      </c>
      <c r="D103" s="1169">
        <f t="shared" ca="1" si="51"/>
        <v>-4.5380875202593379E-3</v>
      </c>
      <c r="E103" s="292" t="str" cm="1">
        <f t="array" aca="1" ref="E103" ca="1">_xlfn.IFS(D103&gt;ZPercent,"U",D103&lt;=-ZPercent,"D",TRUE,"Z")</f>
        <v>Z</v>
      </c>
      <c r="F103" s="292" t="str">
        <f t="shared" ca="1" si="54"/>
        <v>UZ</v>
      </c>
      <c r="G103" s="292" t="str">
        <f t="shared" ca="1" si="55"/>
        <v>UUZ</v>
      </c>
      <c r="H103" s="863" t="str">
        <f t="shared" ca="1" si="56"/>
        <v/>
      </c>
      <c r="J103" s="87" vm="393">
        <f ca="1"/>
        <v>45804</v>
      </c>
      <c r="K103" s="87" vm="394">
        <f ca="1"/>
        <v>52.71</v>
      </c>
      <c r="N103" s="863" t="str">
        <f ca="1">IF(F103=[2]Sheet1!O101,"","dif")</f>
        <v>dif</v>
      </c>
    </row>
    <row r="104" spans="2:98" ht="23" thickBot="1">
      <c r="B104" s="87" vm="395">
        <f ca="1"/>
        <v>45860</v>
      </c>
      <c r="C104" s="87" vm="396">
        <f ca="1"/>
        <v>61.7</v>
      </c>
      <c r="D104" s="1169">
        <f t="shared" ca="1" si="51"/>
        <v>3.0738389575676636E-2</v>
      </c>
      <c r="E104" s="292" t="str" cm="1">
        <f t="array" aca="1" ref="E104" ca="1">_xlfn.IFS(D104&gt;ZPercent,"U",D104&lt;=-ZPercent,"D",TRUE,"Z")</f>
        <v>U</v>
      </c>
      <c r="F104" s="292" t="str">
        <f t="shared" ca="1" si="54"/>
        <v>UU</v>
      </c>
      <c r="G104" s="292" t="str">
        <f t="shared" ca="1" si="55"/>
        <v>ZUU</v>
      </c>
      <c r="H104" s="863" t="str">
        <f t="shared" ca="1" si="56"/>
        <v/>
      </c>
      <c r="J104" s="87" vm="397">
        <f ca="1"/>
        <v>45805</v>
      </c>
      <c r="K104" s="87" vm="398">
        <f ca="1"/>
        <v>52.85</v>
      </c>
      <c r="N104" s="863" t="str">
        <f ca="1">IF(F104=[2]Sheet1!O102,"","dif")</f>
        <v/>
      </c>
    </row>
    <row r="105" spans="2:98" ht="23" thickBot="1">
      <c r="B105" s="87" vm="399">
        <f ca="1"/>
        <v>45859</v>
      </c>
      <c r="C105" s="87" vm="400">
        <f ca="1"/>
        <v>59.86</v>
      </c>
      <c r="D105" s="1169">
        <f t="shared" ca="1" si="51"/>
        <v>2.8699089190582606E-2</v>
      </c>
      <c r="E105" s="292" t="str" cm="1">
        <f t="array" aca="1" ref="E105" ca="1">_xlfn.IFS(D105&gt;ZPercent,"U",D105&lt;=-ZPercent,"D",TRUE,"Z")</f>
        <v>U</v>
      </c>
      <c r="F105" s="292" t="str">
        <f t="shared" ca="1" si="54"/>
        <v>ZU</v>
      </c>
      <c r="G105" s="292" t="str">
        <f t="shared" ca="1" si="55"/>
        <v>DZU</v>
      </c>
      <c r="H105" s="863" t="str">
        <f t="shared" ca="1" si="56"/>
        <v/>
      </c>
      <c r="J105" s="87" vm="401">
        <f ca="1"/>
        <v>45806</v>
      </c>
      <c r="K105" s="87" vm="402">
        <f ca="1"/>
        <v>52.52</v>
      </c>
      <c r="N105" s="863" t="str">
        <f ca="1">IF(F105=[2]Sheet1!O103,"","dif")</f>
        <v>dif</v>
      </c>
      <c r="Q105" s="863"/>
      <c r="AB105" s="880" t="str">
        <f>J3</f>
        <v>NEM</v>
      </c>
      <c r="AC105" s="880" t="str">
        <f ca="1">E5</f>
        <v>Z</v>
      </c>
      <c r="AD105" s="864" t="s">
        <v>1655</v>
      </c>
      <c r="AE105" s="863" t="s">
        <v>1656</v>
      </c>
      <c r="CG105" s="880" t="str">
        <f>AB105</f>
        <v>NEM</v>
      </c>
      <c r="CH105" s="880" t="str">
        <f ca="1">AC105</f>
        <v>Z</v>
      </c>
      <c r="CI105" s="864" t="s">
        <v>1655</v>
      </c>
      <c r="CJ105" s="863" t="s">
        <v>1656</v>
      </c>
    </row>
    <row r="106" spans="2:98" ht="23" thickBot="1">
      <c r="B106" s="87" vm="403">
        <f ca="1"/>
        <v>45856</v>
      </c>
      <c r="C106" s="87" vm="404">
        <f ca="1"/>
        <v>58.19</v>
      </c>
      <c r="D106" s="1169">
        <f t="shared" ca="1" si="51"/>
        <v>3.4488704949128422E-3</v>
      </c>
      <c r="E106" s="292" t="str" cm="1">
        <f t="array" aca="1" ref="E106" ca="1">_xlfn.IFS(D106&gt;ZPercent,"U",D106&lt;=-ZPercent,"D",TRUE,"Z")</f>
        <v>Z</v>
      </c>
      <c r="F106" s="292" t="str">
        <f t="shared" ca="1" si="54"/>
        <v>DZ</v>
      </c>
      <c r="G106" s="292" t="str">
        <f t="shared" ca="1" si="55"/>
        <v>UDZ</v>
      </c>
      <c r="H106" s="863" t="str">
        <f t="shared" ca="1" si="56"/>
        <v/>
      </c>
      <c r="J106" s="87" vm="405">
        <f ca="1"/>
        <v>45807</v>
      </c>
      <c r="K106" s="87" vm="406">
        <f ca="1"/>
        <v>52.72</v>
      </c>
      <c r="N106" s="863" t="str">
        <f ca="1">IF(F106=[2]Sheet1!O104,"","dif")</f>
        <v>dif</v>
      </c>
      <c r="Q106" s="863"/>
      <c r="AB106" s="863" t="s">
        <v>2578</v>
      </c>
      <c r="AC106" s="1251" t="s">
        <v>2284</v>
      </c>
      <c r="AD106" s="1154">
        <f ca="1">IFERROR(_xlfn.MINIFS(AE110:AG112, AE110:AG112, "&gt;0", AE110:AG112, "&lt;1"), "")</f>
        <v>0.19607843137254902</v>
      </c>
      <c r="AE106" s="1155">
        <f ca="1">IFERROR(_xlfn.MAXIFS(AE110:AG112, AE110:AG112, "&gt;0", AE110:AG112, "&lt;1"), "")</f>
        <v>0.5490196078431373</v>
      </c>
      <c r="CG106" s="863" t="s">
        <v>2578</v>
      </c>
      <c r="CH106" s="1251" t="s">
        <v>2284</v>
      </c>
      <c r="CI106" s="1154">
        <f>IFERROR(_xlfn.MINIFS(BD111:BL118, BD111:BL118, "&gt;0", BD111:BL118, "&lt;1"), "")</f>
        <v>0</v>
      </c>
      <c r="CJ106" s="1155">
        <f>IFERROR(_xlfn.MAXIFS(BD111:BL118, BD111:BL118, "&gt;0", BD111:BL118, "&lt;1"), "")</f>
        <v>0</v>
      </c>
    </row>
    <row r="107" spans="2:98">
      <c r="B107" s="87" vm="407">
        <f ca="1"/>
        <v>45855</v>
      </c>
      <c r="C107" s="87" vm="408">
        <f ca="1"/>
        <v>57.99</v>
      </c>
      <c r="D107" s="1169">
        <f t="shared" ca="1" si="51"/>
        <v>-7.8699743370402187E-3</v>
      </c>
      <c r="E107" s="292" t="str" cm="1">
        <f t="array" aca="1" ref="E107" ca="1">_xlfn.IFS(D107&gt;ZPercent,"U",D107&lt;=-ZPercent,"D",TRUE,"Z")</f>
        <v>D</v>
      </c>
      <c r="F107" s="292" t="str">
        <f t="shared" ca="1" si="54"/>
        <v>UD</v>
      </c>
      <c r="G107" s="292" t="str">
        <f t="shared" ca="1" si="55"/>
        <v>DUD</v>
      </c>
      <c r="H107" s="863" t="str">
        <f t="shared" ca="1" si="56"/>
        <v/>
      </c>
      <c r="J107" s="87" vm="409">
        <f ca="1"/>
        <v>45810</v>
      </c>
      <c r="K107" s="87" vm="410">
        <f ca="1"/>
        <v>55.58</v>
      </c>
      <c r="N107" s="863" t="str">
        <f ca="1">IF(F107=[2]Sheet1!O105,"","dif")</f>
        <v/>
      </c>
      <c r="Q107" s="864" t="s">
        <v>2556</v>
      </c>
      <c r="AB107" s="1247" t="str">
        <f>IF(AC106=0,"No "&amp;AB106,"Up")</f>
        <v>Up</v>
      </c>
      <c r="AC107" s="1252">
        <f ca="1">MAX(AB110:AB112)</f>
        <v>0.5490196078431373</v>
      </c>
      <c r="AQ107" s="863" t="s">
        <v>2580</v>
      </c>
      <c r="BU107" s="863" t="s">
        <v>2581</v>
      </c>
      <c r="CG107" s="1247" t="str">
        <f>IF(CH106=0,"No "&amp;CG106,"Up")</f>
        <v>Up</v>
      </c>
      <c r="CH107" s="877">
        <f ca="1">MAX(CG111:CG113)</f>
        <v>0.8</v>
      </c>
      <c r="CP107" s="863" t="s">
        <v>2580</v>
      </c>
    </row>
    <row r="108" spans="2:98" ht="23" thickBot="1">
      <c r="B108" s="87" vm="411">
        <f ca="1"/>
        <v>45854</v>
      </c>
      <c r="C108" s="87" vm="412">
        <f ca="1"/>
        <v>58.45</v>
      </c>
      <c r="D108" s="1169">
        <f t="shared" ca="1" si="51"/>
        <v>1.9180470793374045E-2</v>
      </c>
      <c r="E108" s="292" t="str" cm="1">
        <f t="array" aca="1" ref="E108" ca="1">_xlfn.IFS(D108&gt;ZPercent,"U",D108&lt;=-ZPercent,"D",TRUE,"Z")</f>
        <v>U</v>
      </c>
      <c r="F108" s="292" t="str">
        <f t="shared" ca="1" si="54"/>
        <v>DU</v>
      </c>
      <c r="G108" s="292" t="str">
        <f t="shared" ca="1" si="55"/>
        <v>UDU</v>
      </c>
      <c r="H108" s="863" t="str">
        <f t="shared" ca="1" si="56"/>
        <v/>
      </c>
      <c r="J108" s="87" vm="413">
        <f ca="1"/>
        <v>45811</v>
      </c>
      <c r="K108" s="87" vm="414">
        <f ca="1"/>
        <v>55.34</v>
      </c>
      <c r="N108" s="863" t="str">
        <f ca="1">IF(F108=[2]Sheet1!O106,"","dif")</f>
        <v>dif</v>
      </c>
      <c r="Q108" s="863"/>
      <c r="AC108" s="864"/>
      <c r="AE108" s="1201" t="str">
        <f ca="1">IF($AC$105=AE109,AE109,"")</f>
        <v>Z</v>
      </c>
      <c r="AF108" s="1201" t="str">
        <f ca="1">IF($AC$105=AF109,AF109,"")</f>
        <v/>
      </c>
      <c r="AG108" s="1201" t="str">
        <f ca="1">IF($AC$105=AG109,AG109,"")</f>
        <v/>
      </c>
      <c r="AH108" s="917"/>
      <c r="AQ108" s="917"/>
      <c r="AR108" s="1201" t="str">
        <f ca="1">IF($AC$105=AR109,AR109,"")</f>
        <v>Z</v>
      </c>
      <c r="AS108" s="1201" t="str">
        <f ca="1">IF($AC$105=AS109,AS109,"")</f>
        <v/>
      </c>
      <c r="AT108" s="1201" t="str">
        <f ca="1">IF($AC$105=AT109,AT109,"")</f>
        <v/>
      </c>
    </row>
    <row r="109" spans="2:98" ht="23" thickBot="1">
      <c r="B109" s="87" vm="415">
        <f ca="1"/>
        <v>45853</v>
      </c>
      <c r="C109" s="87" vm="416">
        <f ca="1"/>
        <v>57.35</v>
      </c>
      <c r="D109" s="1169">
        <f t="shared" ca="1" si="51"/>
        <v>-5.7053600789214058E-2</v>
      </c>
      <c r="E109" s="292" t="str" cm="1">
        <f t="array" aca="1" ref="E109" ca="1">_xlfn.IFS(D109&gt;ZPercent,"U",D109&lt;=-ZPercent,"D",TRUE,"Z")</f>
        <v>D</v>
      </c>
      <c r="F109" s="292" t="str">
        <f t="shared" ca="1" si="54"/>
        <v>UD</v>
      </c>
      <c r="G109" s="292" t="str">
        <f t="shared" ca="1" si="55"/>
        <v>UUD</v>
      </c>
      <c r="H109" s="863" t="str">
        <f t="shared" ca="1" si="56"/>
        <v/>
      </c>
      <c r="J109" s="87" vm="417">
        <f ca="1"/>
        <v>45812</v>
      </c>
      <c r="K109" s="87" vm="418">
        <f ca="1"/>
        <v>55.28</v>
      </c>
      <c r="N109" s="863" t="str">
        <f ca="1">IF(F109=[2]Sheet1!O107,"","dif")</f>
        <v>dif</v>
      </c>
      <c r="Q109" s="1175"/>
      <c r="R109" s="1175" t="str" cm="1">
        <f t="array" aca="1" ref="R109:T109" ca="1">TRANSPOSE(Q110:Q112)</f>
        <v>Z</v>
      </c>
      <c r="S109" s="1181" t="str">
        <f ca="1"/>
        <v>U</v>
      </c>
      <c r="T109" s="1182" t="str">
        <f ca="1"/>
        <v>D</v>
      </c>
      <c r="AC109" s="864"/>
      <c r="AD109" s="1175">
        <f ca="1">ROWS(_xlfn.UNIQUE(G103:G105))</f>
        <v>3</v>
      </c>
      <c r="AE109" s="1175" t="str">
        <f ca="1">R109</f>
        <v>Z</v>
      </c>
      <c r="AF109" s="1181" t="str">
        <f ca="1">S109</f>
        <v>U</v>
      </c>
      <c r="AG109" s="1182" t="str">
        <f ca="1">T109</f>
        <v>D</v>
      </c>
      <c r="AH109" s="1162"/>
      <c r="AQ109" s="1175"/>
      <c r="AR109" s="1175" t="str">
        <f ca="1">AE109</f>
        <v>Z</v>
      </c>
      <c r="AS109" s="1181" t="str">
        <f ca="1">AF109</f>
        <v>U</v>
      </c>
      <c r="AT109" s="1182" t="str">
        <f ca="1">AG109</f>
        <v>D</v>
      </c>
      <c r="BT109" s="864"/>
      <c r="CH109" s="864"/>
      <c r="CJ109" s="1201" t="str">
        <f ca="1">IF($AC$105=CJ110,CJ110,"")</f>
        <v>Z</v>
      </c>
      <c r="CK109" s="1201" t="str">
        <f ca="1">IF($AC$105=CK110,CK110,"")</f>
        <v/>
      </c>
      <c r="CL109" s="1201" t="str">
        <f ca="1">IF($AC$105=CL110,CL110,"")</f>
        <v/>
      </c>
      <c r="CM109" s="917"/>
      <c r="CP109" s="917"/>
      <c r="CQ109" s="1201" t="str">
        <f ca="1">IF($AC$105=CQ110,CQ110,"")</f>
        <v>Z</v>
      </c>
      <c r="CR109" s="1201" t="str">
        <f ca="1">IF($AC$105=CR110,CR110,"")</f>
        <v/>
      </c>
      <c r="CT109" s="1252">
        <f>MAX(CT111:CT113)</f>
        <v>0</v>
      </c>
    </row>
    <row r="110" spans="2:98" ht="24" thickTop="1" thickBot="1">
      <c r="B110" s="87" vm="419">
        <f ca="1"/>
        <v>45852</v>
      </c>
      <c r="C110" s="87" vm="420">
        <f ca="1"/>
        <v>60.82</v>
      </c>
      <c r="D110" s="1169">
        <f t="shared" ca="1" si="51"/>
        <v>1.1475137202727385E-2</v>
      </c>
      <c r="E110" s="292" t="str" cm="1">
        <f t="array" aca="1" ref="E110" ca="1">_xlfn.IFS(D110&gt;ZPercent,"U",D110&lt;=-ZPercent,"D",TRUE,"Z")</f>
        <v>U</v>
      </c>
      <c r="F110" s="292" t="str">
        <f t="shared" ca="1" si="54"/>
        <v>UU</v>
      </c>
      <c r="G110" s="292" t="str">
        <f t="shared" ca="1" si="55"/>
        <v>UUU</v>
      </c>
      <c r="H110" s="863" t="str">
        <f t="shared" ca="1" si="56"/>
        <v/>
      </c>
      <c r="J110" s="87" vm="421">
        <f ca="1"/>
        <v>45813</v>
      </c>
      <c r="K110" s="87" vm="422">
        <f ca="1"/>
        <v>54.51</v>
      </c>
      <c r="N110" s="863" t="str">
        <f ca="1">IF(F110=[2]Sheet1!O108,"","dif")</f>
        <v/>
      </c>
      <c r="P110" s="864"/>
      <c r="Q110" s="1193" t="str" cm="1">
        <f t="array" aca="1" ref="Q110:Q112" ca="1">_xlfn.UNIQUE(E5:E25)</f>
        <v>Z</v>
      </c>
      <c r="R110" s="1197" cm="1">
        <f t="array" aca="1" ref="R110" ca="1">SUM( ($E$7:$E$212=$Q110) * ($E$6:$E$211=R$109) )</f>
        <v>13</v>
      </c>
      <c r="S110" s="1197" cm="1">
        <f t="array" aca="1" ref="S110" ca="1">SUM( ($E$7:$E$212=$Q110) * ($E$6:$E$211=S$109) )</f>
        <v>28</v>
      </c>
      <c r="T110" s="1198" cm="1">
        <f t="array" aca="1" ref="T110" ca="1">SUM( ($E$7:$E$212=$Q110) * ($E$6:$E$211=T$109) )</f>
        <v>10</v>
      </c>
      <c r="AB110" s="1153" cm="1">
        <f t="array" aca="1" ref="AB110" ca="1">IFERROR(INDEX($AE110:$AG110,
       MATCH(TRUE,
             (($AD110=AC$105)*
              ($AE$109:$AG$109=$AC$106)*
              ($AE110:$AG110&gt;0))&gt;0,
       0)),0)</f>
        <v>0.5490196078431373</v>
      </c>
      <c r="AC110" s="1246">
        <f ca="1">SUM(R110:T110)</f>
        <v>51</v>
      </c>
      <c r="AD110" s="1193" t="str">
        <f ca="1">Q110</f>
        <v>Z</v>
      </c>
      <c r="AE110" s="1187">
        <f t="shared" ref="AE110:AG112" ca="1" si="111">R110/$AC110</f>
        <v>0.25490196078431371</v>
      </c>
      <c r="AF110" s="1187">
        <f t="shared" ca="1" si="111"/>
        <v>0.5490196078431373</v>
      </c>
      <c r="AG110" s="1188">
        <f t="shared" ca="1" si="111"/>
        <v>0.19607843137254902</v>
      </c>
      <c r="AQ110" s="1193" t="str">
        <f ca="1">AD110</f>
        <v>Z</v>
      </c>
      <c r="AR110" s="1187">
        <f t="shared" ref="AR110:AT112" ca="1" si="112">AE110/SUM(AE$110:AE$112)</f>
        <v>0.34418243857842706</v>
      </c>
      <c r="AS110" s="1187">
        <f t="shared" ca="1" si="112"/>
        <v>0.3874043867480636</v>
      </c>
      <c r="AT110" s="1188">
        <f t="shared" ca="1" si="112"/>
        <v>0.23281024787348506</v>
      </c>
      <c r="BU110" s="1175"/>
      <c r="BV110" s="1175" t="str" cm="1">
        <f t="array" aca="1" ref="BV110:BX110" ca="1">TRANSPOSE(BU111:BU113)</f>
        <v>Z</v>
      </c>
      <c r="BW110" s="1181" t="str">
        <f ca="1"/>
        <v>U</v>
      </c>
      <c r="BX110" s="1182" t="str">
        <f ca="1"/>
        <v>D</v>
      </c>
      <c r="CH110" s="864"/>
      <c r="CI110" s="1175">
        <f>ROWS(_xlfn.UNIQUE(AH113:AH115))</f>
        <v>1</v>
      </c>
      <c r="CJ110" s="1175" t="str">
        <f ca="1">BV110</f>
        <v>Z</v>
      </c>
      <c r="CK110" s="1181" t="str">
        <f ca="1">BW110</f>
        <v>U</v>
      </c>
      <c r="CL110" s="1182" t="str">
        <f ca="1">BX110</f>
        <v>D</v>
      </c>
      <c r="CM110" s="1162"/>
      <c r="CP110" s="1175"/>
      <c r="CQ110" s="1175" t="str">
        <f ca="1">CJ110</f>
        <v>Z</v>
      </c>
      <c r="CR110" s="1181" t="str">
        <f ca="1">CK110</f>
        <v>U</v>
      </c>
      <c r="CS110" s="1182" t="str">
        <f ca="1">CL110</f>
        <v>D</v>
      </c>
    </row>
    <row r="111" spans="2:98" ht="23" thickTop="1">
      <c r="B111" s="87" vm="423">
        <f ca="1"/>
        <v>45849</v>
      </c>
      <c r="C111" s="87" vm="424">
        <f ca="1"/>
        <v>60.13</v>
      </c>
      <c r="D111" s="1169">
        <f t="shared" ca="1" si="51"/>
        <v>5.8548009367681737E-3</v>
      </c>
      <c r="E111" s="292" t="str" cm="1">
        <f t="array" aca="1" ref="E111" ca="1">_xlfn.IFS(D111&gt;ZPercent,"U",D111&lt;=-ZPercent,"D",TRUE,"Z")</f>
        <v>U</v>
      </c>
      <c r="F111" s="292" t="str">
        <f t="shared" ca="1" si="54"/>
        <v>UU</v>
      </c>
      <c r="G111" s="292" t="str">
        <f t="shared" ca="1" si="55"/>
        <v>UUU</v>
      </c>
      <c r="H111" s="863" t="str">
        <f t="shared" ca="1" si="56"/>
        <v/>
      </c>
      <c r="J111" s="87" vm="425">
        <f ca="1"/>
        <v>45814</v>
      </c>
      <c r="K111" s="87" vm="426">
        <f ca="1"/>
        <v>52.36</v>
      </c>
      <c r="N111" s="863" t="str">
        <f ca="1">IF(F111=[2]Sheet1!O109,"","dif")</f>
        <v>dif</v>
      </c>
      <c r="P111" s="864"/>
      <c r="Q111" s="1193" t="str">
        <f ca="1"/>
        <v>U</v>
      </c>
      <c r="R111" s="1197" cm="1">
        <f t="array" aca="1" ref="R111" ca="1">SUM( ($E$7:$E$212=$Q111) * ($E$6:$E$211=R$109) )</f>
        <v>21</v>
      </c>
      <c r="S111" s="1197" cm="1">
        <f t="array" aca="1" ref="S111" ca="1">SUM( ($E$7:$E$212=$Q111) * ($E$6:$E$211=S$109) )</f>
        <v>40</v>
      </c>
      <c r="T111" s="1198" cm="1">
        <f t="array" aca="1" ref="T111" ca="1">SUM( ($E$7:$E$212=$Q111) * ($E$6:$E$211=T$109) )</f>
        <v>33</v>
      </c>
      <c r="AB111" s="1153" cm="1">
        <f t="array" aca="1" ref="AB111" ca="1">IFERROR(INDEX($AE111:$AG111,
       MATCH(TRUE,
             (($AD111=AC$105)*
              ($AE$109:$AG$109=$AC$106)*
              ($AE111:$AG111&gt;0))&gt;0,
       0)),0)</f>
        <v>0</v>
      </c>
      <c r="AC111" s="1246">
        <f ca="1">SUM(R111:T111)</f>
        <v>94</v>
      </c>
      <c r="AD111" s="1193" t="str">
        <f ca="1">Q111</f>
        <v>U</v>
      </c>
      <c r="AE111" s="1187">
        <f t="shared" ca="1" si="111"/>
        <v>0.22340425531914893</v>
      </c>
      <c r="AF111" s="1187">
        <f t="shared" ca="1" si="111"/>
        <v>0.42553191489361702</v>
      </c>
      <c r="AG111" s="1188">
        <f t="shared" ca="1" si="111"/>
        <v>0.35106382978723405</v>
      </c>
      <c r="AQ111" s="1193" t="str">
        <f ca="1">AD111</f>
        <v>U</v>
      </c>
      <c r="AR111" s="1187">
        <f t="shared" ca="1" si="112"/>
        <v>0.30165253004705023</v>
      </c>
      <c r="AS111" s="1187">
        <f t="shared" ca="1" si="112"/>
        <v>0.30026783775305843</v>
      </c>
      <c r="AT111" s="1188">
        <f t="shared" ca="1" si="112"/>
        <v>0.4168294118841227</v>
      </c>
      <c r="BT111" s="1246">
        <f ca="1">SUM(BV111:BX111)</f>
        <v>25</v>
      </c>
      <c r="BU111" s="1193" t="str" cm="1">
        <f t="array" aca="1" ref="BU111:BU113" ca="1">_xlfn.UNIQUE(E5:E25)</f>
        <v>Z</v>
      </c>
      <c r="BV111" s="1197" cm="1">
        <f t="array" aca="1" ref="BV111" ca="1">SUM( ($E$7:$E$25=$Q94) * ($E$6:$E$24=BV$92) )</f>
        <v>0</v>
      </c>
      <c r="BW111" s="1197" cm="1">
        <f t="array" aca="1" ref="BW111" ca="1">SUM( ($E$7:$E$155=$Q110) * ($E$6:$E$154=BW$110) )</f>
        <v>20</v>
      </c>
      <c r="BX111" s="1198" cm="1">
        <f t="array" aca="1" ref="BX111" ca="1">SUM( ($E$7:$E$155=$Q110) * ($E$6:$E$154=BX$110) )</f>
        <v>5</v>
      </c>
      <c r="CG111" s="1153" cm="1">
        <f t="array" aca="1" ref="CG111" ca="1">IFERROR(INDEX($CJ111:$CL111,
       MATCH(TRUE,
             (($CI111=CH$105)*
              ($CJ$110:$CL$110=$CH$106)*
              ($CJ111:$CL111&gt;0))&gt;0,
       0)),0)</f>
        <v>0.8</v>
      </c>
      <c r="CI111" s="1193" t="str">
        <f ca="1">BU111</f>
        <v>Z</v>
      </c>
      <c r="CJ111" s="1187">
        <f t="shared" ref="CJ111:CL113" ca="1" si="113">BV111/$BT111</f>
        <v>0</v>
      </c>
      <c r="CK111" s="1187">
        <f t="shared" ca="1" si="113"/>
        <v>0.8</v>
      </c>
      <c r="CL111" s="1188">
        <f t="shared" ca="1" si="113"/>
        <v>0.2</v>
      </c>
      <c r="CP111" s="1193" t="str">
        <f ca="1">CI111</f>
        <v>Z</v>
      </c>
      <c r="CQ111" s="1187">
        <f t="shared" ref="CQ111:CS113" ca="1" si="114">CJ111/SUM(CJ$111:CJ$113)</f>
        <v>0</v>
      </c>
      <c r="CR111" s="1187">
        <f t="shared" ca="1" si="114"/>
        <v>0.4592570401437987</v>
      </c>
      <c r="CS111" s="1188">
        <f t="shared" ca="1" si="114"/>
        <v>0.24864163490390076</v>
      </c>
    </row>
    <row r="112" spans="2:98" ht="23" thickBot="1">
      <c r="B112" s="87" vm="427">
        <f ca="1"/>
        <v>45848</v>
      </c>
      <c r="C112" s="87" vm="428">
        <f ca="1"/>
        <v>59.78</v>
      </c>
      <c r="D112" s="1169">
        <f t="shared" ca="1" si="51"/>
        <v>1.7531914893617041E-2</v>
      </c>
      <c r="E112" s="292" t="str" cm="1">
        <f t="array" aca="1" ref="E112" ca="1">_xlfn.IFS(D112&gt;ZPercent,"U",D112&lt;=-ZPercent,"D",TRUE,"Z")</f>
        <v>U</v>
      </c>
      <c r="F112" s="292" t="str">
        <f t="shared" ca="1" si="54"/>
        <v>UU</v>
      </c>
      <c r="G112" s="292" t="str">
        <f t="shared" ca="1" si="55"/>
        <v>DUU</v>
      </c>
      <c r="H112" s="863" t="str">
        <f t="shared" ca="1" si="56"/>
        <v/>
      </c>
      <c r="J112" s="87" vm="429">
        <f ca="1"/>
        <v>45817</v>
      </c>
      <c r="K112" s="87" vm="430">
        <f ca="1"/>
        <v>53.28</v>
      </c>
      <c r="N112" s="863" t="str">
        <f ca="1">IF(F112=[2]Sheet1!O110,"","dif")</f>
        <v>dif</v>
      </c>
      <c r="P112" s="864"/>
      <c r="Q112" s="1194" t="str">
        <f ca="1"/>
        <v>D</v>
      </c>
      <c r="R112" s="1199" cm="1">
        <f t="array" aca="1" ref="R112" ca="1">SUM( ($E$7:$E$212=$Q112) * ($E$6:$E$211=R$109) )</f>
        <v>16</v>
      </c>
      <c r="S112" s="1199" cm="1">
        <f t="array" aca="1" ref="S112" ca="1">SUM( ($E$7:$E$212=$Q112) * ($E$6:$E$211=S$109) )</f>
        <v>27</v>
      </c>
      <c r="T112" s="1200" cm="1">
        <f t="array" aca="1" ref="T112" ca="1">SUM( ($E$7:$E$212=$Q112) * ($E$6:$E$211=T$109) )</f>
        <v>18</v>
      </c>
      <c r="AB112" s="1153" cm="1">
        <f t="array" aca="1" ref="AB112" ca="1">IFERROR(INDEX($AE112:$AG112,
       MATCH(TRUE,
             (($AD112=AC$105)*
              ($AE$109:$AG$109=$AC$106)*
              ($AE112:$AG112&gt;0))&gt;0,
       0)),0)</f>
        <v>0</v>
      </c>
      <c r="AC112" s="1246">
        <f ca="1">SUM(R112:T112)</f>
        <v>61</v>
      </c>
      <c r="AD112" s="1194" t="str">
        <f ca="1">Q112</f>
        <v>D</v>
      </c>
      <c r="AE112" s="1190">
        <f t="shared" ca="1" si="111"/>
        <v>0.26229508196721313</v>
      </c>
      <c r="AF112" s="1190">
        <f t="shared" ca="1" si="111"/>
        <v>0.44262295081967212</v>
      </c>
      <c r="AG112" s="1191">
        <f t="shared" ca="1" si="111"/>
        <v>0.29508196721311475</v>
      </c>
      <c r="AQ112" s="1194" t="str">
        <f ca="1">AD112</f>
        <v>D</v>
      </c>
      <c r="AR112" s="1190">
        <f t="shared" ca="1" si="112"/>
        <v>0.35416503137452271</v>
      </c>
      <c r="AS112" s="1190">
        <f t="shared" ca="1" si="112"/>
        <v>0.31232777549887797</v>
      </c>
      <c r="AT112" s="1191">
        <f t="shared" ca="1" si="112"/>
        <v>0.35036034024239227</v>
      </c>
      <c r="BT112" s="1246">
        <f ca="1">SUM(BV112:BX112)</f>
        <v>73</v>
      </c>
      <c r="BU112" s="1193" t="str">
        <f ca="1"/>
        <v>U</v>
      </c>
      <c r="BV112" s="1197" cm="1">
        <f t="array" aca="1" ref="BV112" ca="1">SUM( ($E$7:$E$155=$Q111) * ($E$6:$E$154=BV$110) )</f>
        <v>14</v>
      </c>
      <c r="BW112" s="1197" cm="1">
        <f t="array" aca="1" ref="BW112" ca="1">SUM( ($E$7:$E$155=$Q111) * ($E$6:$E$154=BW$110) )</f>
        <v>34</v>
      </c>
      <c r="BX112" s="1198" cm="1">
        <f t="array" aca="1" ref="BX112" ca="1">SUM( ($E$7:$E$155=$Q111) * ($E$6:$E$154=BX$110) )</f>
        <v>25</v>
      </c>
      <c r="CG112" s="1153" cm="1">
        <f t="array" aca="1" ref="CG112" ca="1">IFERROR(INDEX($CJ112:$CL112,
       MATCH(TRUE,
             (($CI112=CH$105)*
              ($CJ$110:$CL$110=$CH$106)*
              ($CJ112:$CL112&gt;0))&gt;0,
       0)),0)</f>
        <v>0</v>
      </c>
      <c r="CI112" s="1193" t="str">
        <f ca="1">BU112</f>
        <v>U</v>
      </c>
      <c r="CJ112" s="1187">
        <f t="shared" ca="1" si="113"/>
        <v>0.19178082191780821</v>
      </c>
      <c r="CK112" s="1187">
        <f t="shared" ca="1" si="113"/>
        <v>0.46575342465753422</v>
      </c>
      <c r="CL112" s="1188">
        <f t="shared" ca="1" si="113"/>
        <v>0.34246575342465752</v>
      </c>
      <c r="CP112" s="1193" t="str">
        <f ca="1">CI112</f>
        <v>U</v>
      </c>
      <c r="CQ112" s="1187">
        <f t="shared" ca="1" si="114"/>
        <v>0.4227174694464414</v>
      </c>
      <c r="CR112" s="1187">
        <f t="shared" ca="1" si="114"/>
        <v>0.26737567405632112</v>
      </c>
      <c r="CS112" s="1188">
        <f t="shared" ca="1" si="114"/>
        <v>0.42575622415051495</v>
      </c>
    </row>
    <row r="113" spans="2:97" ht="23" thickBot="1">
      <c r="B113" s="87" vm="431">
        <f ca="1"/>
        <v>45847</v>
      </c>
      <c r="C113" s="87" vm="432">
        <f ca="1"/>
        <v>58.75</v>
      </c>
      <c r="D113" s="1169">
        <f t="shared" ca="1" si="51"/>
        <v>1.9788231209859411E-2</v>
      </c>
      <c r="E113" s="292" t="str" cm="1">
        <f t="array" aca="1" ref="E113" ca="1">_xlfn.IFS(D113&gt;ZPercent,"U",D113&lt;=-ZPercent,"D",TRUE,"Z")</f>
        <v>U</v>
      </c>
      <c r="F113" s="292" t="str">
        <f t="shared" ca="1" si="54"/>
        <v>DU</v>
      </c>
      <c r="G113" s="292" t="str">
        <f t="shared" ca="1" si="55"/>
        <v>ZDU</v>
      </c>
      <c r="H113" s="863" t="str">
        <f t="shared" ca="1" si="56"/>
        <v/>
      </c>
      <c r="J113" s="87" vm="433">
        <f ca="1"/>
        <v>45818</v>
      </c>
      <c r="K113" s="87" vm="434">
        <f ca="1"/>
        <v>52.56</v>
      </c>
      <c r="N113" s="863" t="str">
        <f ca="1">IF(F113=[2]Sheet1!O111,"","dif")</f>
        <v>dif</v>
      </c>
      <c r="AC113" s="864"/>
      <c r="AD113" s="1288" t="s">
        <v>2590</v>
      </c>
      <c r="AE113" s="863">
        <v>0.38786090647190596</v>
      </c>
      <c r="AF113" s="863">
        <v>0.26722571712731896</v>
      </c>
      <c r="AG113" s="863">
        <v>0.34491337640077513</v>
      </c>
      <c r="AQ113" s="1288" t="s">
        <v>2590</v>
      </c>
      <c r="AR113" s="863">
        <v>0.33359290047434614</v>
      </c>
      <c r="AS113" s="863">
        <v>0.33312884953579752</v>
      </c>
      <c r="AT113" s="863">
        <v>0.33327824998985628</v>
      </c>
      <c r="BT113" s="1246">
        <f ca="1">SUM(BV113:BX113)</f>
        <v>42</v>
      </c>
      <c r="BU113" s="1194" t="str">
        <f ca="1"/>
        <v>D</v>
      </c>
      <c r="BV113" s="1199" cm="1">
        <f t="array" aca="1" ref="BV113" ca="1">SUM( ($E$7:$E$155=$Q112) * ($E$6:$E$154=BV$110) )</f>
        <v>11</v>
      </c>
      <c r="BW113" s="1199" cm="1">
        <f t="array" aca="1" ref="BW113" ca="1">SUM( ($E$7:$E$155=$Q112) * ($E$6:$E$154=BW$110) )</f>
        <v>20</v>
      </c>
      <c r="BX113" s="1200" cm="1">
        <f t="array" aca="1" ref="BX113" ca="1">SUM( ($E$7:$E$155=$Q112) * ($E$6:$E$154=BX$110) )</f>
        <v>11</v>
      </c>
      <c r="CG113" s="1153" cm="1">
        <f t="array" aca="1" ref="CG113" ca="1">IFERROR(INDEX($CJ113:$CL113,
       MATCH(TRUE,
             (($CI113=CH$105)*
              ($CJ$110:$CL$110=$CH$106)*
              ($CJ113:$CL113&gt;0))&gt;0,
       0)),0)</f>
        <v>0</v>
      </c>
      <c r="CI113" s="1194" t="str">
        <f ca="1">BU113</f>
        <v>D</v>
      </c>
      <c r="CJ113" s="1190">
        <f t="shared" ca="1" si="113"/>
        <v>0.26190476190476192</v>
      </c>
      <c r="CK113" s="1190">
        <f t="shared" ca="1" si="113"/>
        <v>0.47619047619047616</v>
      </c>
      <c r="CL113" s="1191">
        <f t="shared" ca="1" si="113"/>
        <v>0.26190476190476192</v>
      </c>
      <c r="CP113" s="1194" t="str">
        <f ca="1">CI113</f>
        <v>D</v>
      </c>
      <c r="CQ113" s="1190">
        <f t="shared" ca="1" si="114"/>
        <v>0.5772825305535586</v>
      </c>
      <c r="CR113" s="1190">
        <f t="shared" ca="1" si="114"/>
        <v>0.27336728579988018</v>
      </c>
      <c r="CS113" s="1191">
        <f t="shared" ca="1" si="114"/>
        <v>0.32560214094558432</v>
      </c>
    </row>
    <row r="114" spans="2:97">
      <c r="B114" s="87" vm="435">
        <f ca="1"/>
        <v>45846</v>
      </c>
      <c r="C114" s="87" vm="436">
        <f ca="1"/>
        <v>57.61</v>
      </c>
      <c r="D114" s="1169">
        <f t="shared" ca="1" si="51"/>
        <v>-4.2386968085106336E-2</v>
      </c>
      <c r="E114" s="292" t="str" cm="1">
        <f t="array" aca="1" ref="E114" ca="1">_xlfn.IFS(D114&gt;ZPercent,"U",D114&lt;=-ZPercent,"D",TRUE,"Z")</f>
        <v>D</v>
      </c>
      <c r="F114" s="292" t="str">
        <f t="shared" ca="1" si="54"/>
        <v>ZD</v>
      </c>
      <c r="G114" s="292" t="str">
        <f t="shared" ca="1" si="55"/>
        <v>ZZD</v>
      </c>
      <c r="H114" s="863" t="str">
        <f t="shared" ca="1" si="56"/>
        <v>ZZ</v>
      </c>
      <c r="J114" s="87" vm="437">
        <f ca="1"/>
        <v>45819</v>
      </c>
      <c r="K114" s="87" vm="438">
        <f ca="1"/>
        <v>53.31</v>
      </c>
      <c r="N114" s="863" t="str">
        <f ca="1">IF(F114=[2]Sheet1!O112,"","dif")</f>
        <v>dif</v>
      </c>
    </row>
    <row r="115" spans="2:97">
      <c r="B115" s="87" vm="439">
        <f ca="1"/>
        <v>45845</v>
      </c>
      <c r="C115" s="87" vm="440">
        <f ca="1"/>
        <v>60.16</v>
      </c>
      <c r="D115" s="1169">
        <f t="shared" ca="1" si="51"/>
        <v>4.3405676126877799E-3</v>
      </c>
      <c r="E115" s="292" t="str" cm="1">
        <f t="array" aca="1" ref="E115" ca="1">_xlfn.IFS(D115&gt;ZPercent,"U",D115&lt;=-ZPercent,"D",TRUE,"Z")</f>
        <v>Z</v>
      </c>
      <c r="F115" s="292" t="str">
        <f t="shared" ca="1" si="54"/>
        <v>ZZ</v>
      </c>
      <c r="G115" s="292" t="str">
        <f t="shared" ca="1" si="55"/>
        <v>UZZ</v>
      </c>
      <c r="H115" s="863" t="str">
        <f t="shared" ca="1" si="56"/>
        <v/>
      </c>
      <c r="J115" s="87" vm="441">
        <f ca="1"/>
        <v>45820</v>
      </c>
      <c r="K115" s="87" vm="442">
        <f ca="1"/>
        <v>55.92</v>
      </c>
      <c r="N115" s="863" t="str">
        <f ca="1">IF(F115=[2]Sheet1!O113,"","dif")</f>
        <v>dif</v>
      </c>
    </row>
    <row r="116" spans="2:97">
      <c r="B116" s="87" vm="443">
        <f ca="1"/>
        <v>45841</v>
      </c>
      <c r="C116" s="87" vm="444">
        <f ca="1"/>
        <v>59.9</v>
      </c>
      <c r="D116" s="1169">
        <f t="shared" ca="1" si="51"/>
        <v>-2.6640026640027256E-3</v>
      </c>
      <c r="E116" s="292" t="str" cm="1">
        <f t="array" aca="1" ref="E116" ca="1">_xlfn.IFS(D116&gt;ZPercent,"U",D116&lt;=-ZPercent,"D",TRUE,"Z")</f>
        <v>Z</v>
      </c>
      <c r="F116" s="292" t="str">
        <f t="shared" ca="1" si="54"/>
        <v>UZ</v>
      </c>
      <c r="G116" s="292" t="str">
        <f t="shared" ca="1" si="55"/>
        <v>UUZ</v>
      </c>
      <c r="H116" s="863" t="str">
        <f t="shared" ca="1" si="56"/>
        <v/>
      </c>
      <c r="J116" s="87" vm="445">
        <f ca="1"/>
        <v>45821</v>
      </c>
      <c r="K116" s="87" vm="446">
        <f ca="1"/>
        <v>57.9</v>
      </c>
      <c r="N116" s="863" t="str">
        <f ca="1">IF(F116=[2]Sheet1!O114,"","dif")</f>
        <v>dif</v>
      </c>
    </row>
    <row r="117" spans="2:97">
      <c r="B117" s="87" vm="447">
        <f ca="1"/>
        <v>45840</v>
      </c>
      <c r="C117" s="87" vm="448">
        <f ca="1"/>
        <v>60.06</v>
      </c>
      <c r="D117" s="1169">
        <f t="shared" ca="1" si="51"/>
        <v>2.0907700152983238E-2</v>
      </c>
      <c r="E117" s="292" t="str" cm="1">
        <f t="array" aca="1" ref="E117" ca="1">_xlfn.IFS(D117&gt;ZPercent,"U",D117&lt;=-ZPercent,"D",TRUE,"Z")</f>
        <v>U</v>
      </c>
      <c r="F117" s="292" t="str">
        <f t="shared" ca="1" si="54"/>
        <v>UU</v>
      </c>
      <c r="G117" s="292" t="str">
        <f t="shared" ca="1" si="55"/>
        <v>UUU</v>
      </c>
      <c r="H117" s="863" t="str">
        <f t="shared" ca="1" si="56"/>
        <v/>
      </c>
      <c r="J117" s="87" vm="449">
        <f ca="1"/>
        <v>45824</v>
      </c>
      <c r="K117" s="87" vm="450">
        <f ca="1"/>
        <v>58.12</v>
      </c>
      <c r="N117" s="863" t="str">
        <f ca="1">IF(F117=[2]Sheet1!O115,"","dif")</f>
        <v>dif</v>
      </c>
    </row>
    <row r="118" spans="2:97">
      <c r="B118" s="87" vm="451">
        <f ca="1"/>
        <v>45839</v>
      </c>
      <c r="C118" s="87" vm="452">
        <f ca="1"/>
        <v>58.83</v>
      </c>
      <c r="D118" s="1169">
        <f t="shared" ca="1" si="51"/>
        <v>9.7837281153450098E-3</v>
      </c>
      <c r="E118" s="292" t="str" cm="1">
        <f t="array" aca="1" ref="E118" ca="1">_xlfn.IFS(D118&gt;ZPercent,"U",D118&lt;=-ZPercent,"D",TRUE,"Z")</f>
        <v>U</v>
      </c>
      <c r="F118" s="292" t="str">
        <f t="shared" ca="1" si="54"/>
        <v>UU</v>
      </c>
      <c r="G118" s="292" t="str">
        <f t="shared" ca="1" si="55"/>
        <v>DUU</v>
      </c>
      <c r="H118" s="863" t="str">
        <f t="shared" ca="1" si="56"/>
        <v/>
      </c>
      <c r="J118" s="87" vm="453">
        <f ca="1"/>
        <v>45825</v>
      </c>
      <c r="K118" s="87" vm="454">
        <f ca="1"/>
        <v>58.52</v>
      </c>
      <c r="N118" s="863" t="str">
        <f ca="1">IF(F118=[2]Sheet1!O116,"","dif")</f>
        <v>dif</v>
      </c>
    </row>
    <row r="119" spans="2:97" ht="27">
      <c r="B119" s="87" vm="455">
        <f ca="1"/>
        <v>45838</v>
      </c>
      <c r="C119" s="87" vm="456">
        <f ca="1"/>
        <v>58.26</v>
      </c>
      <c r="D119" s="1169">
        <f t="shared" ca="1" si="51"/>
        <v>2.6427061310782242E-2</v>
      </c>
      <c r="E119" s="292" t="str" cm="1">
        <f t="array" aca="1" ref="E119" ca="1">_xlfn.IFS(D119&gt;ZPercent,"U",D119&lt;=-ZPercent,"D",TRUE,"Z")</f>
        <v>U</v>
      </c>
      <c r="F119" s="292" t="str">
        <f t="shared" ca="1" si="54"/>
        <v>DU</v>
      </c>
      <c r="G119" s="292" t="str">
        <f t="shared" ca="1" si="55"/>
        <v>UDU</v>
      </c>
      <c r="H119" s="863" t="str">
        <f t="shared" ca="1" si="56"/>
        <v/>
      </c>
      <c r="J119" s="87" vm="457">
        <f ca="1"/>
        <v>45826</v>
      </c>
      <c r="K119" s="87" vm="456">
        <f ca="1"/>
        <v>58.26</v>
      </c>
      <c r="N119" s="863" t="str">
        <f ca="1">IF(F119=[2]Sheet1!O117,"","dif")</f>
        <v>dif</v>
      </c>
      <c r="BD119" s="1338" t="s">
        <v>2617</v>
      </c>
    </row>
    <row r="120" spans="2:97">
      <c r="B120" s="87" vm="458">
        <f ca="1"/>
        <v>45835</v>
      </c>
      <c r="C120" s="87" vm="459">
        <f ca="1"/>
        <v>56.76</v>
      </c>
      <c r="D120" s="1169">
        <f t="shared" ca="1" si="51"/>
        <v>-4.1054232133806386E-2</v>
      </c>
      <c r="E120" s="292" t="str" cm="1">
        <f t="array" aca="1" ref="E120" ca="1">_xlfn.IFS(D120&gt;ZPercent,"U",D120&lt;=-ZPercent,"D",TRUE,"Z")</f>
        <v>D</v>
      </c>
      <c r="F120" s="292" t="str">
        <f t="shared" ca="1" si="54"/>
        <v>UD</v>
      </c>
      <c r="G120" s="292" t="str">
        <f t="shared" ca="1" si="55"/>
        <v>ZUD</v>
      </c>
      <c r="H120" s="863" t="str">
        <f t="shared" ca="1" si="56"/>
        <v/>
      </c>
      <c r="J120" s="87" vm="460">
        <f ca="1"/>
        <v>45828</v>
      </c>
      <c r="K120" s="87" vm="461">
        <f ca="1"/>
        <v>58.23</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62">
        <f ca="1"/>
        <v>45834</v>
      </c>
      <c r="C121" s="87" vm="463">
        <f ca="1"/>
        <v>59.19</v>
      </c>
      <c r="D121" s="1169">
        <f t="shared" ca="1" si="51"/>
        <v>1.9462624870823206E-2</v>
      </c>
      <c r="E121" s="292" t="str" cm="1">
        <f t="array" aca="1" ref="E121" ca="1">_xlfn.IFS(D121&gt;ZPercent,"U",D121&lt;=-ZPercent,"D",TRUE,"Z")</f>
        <v>U</v>
      </c>
      <c r="F121" s="292" t="str">
        <f t="shared" ca="1" si="54"/>
        <v>ZU</v>
      </c>
      <c r="G121" s="292" t="str">
        <f t="shared" ca="1" si="55"/>
        <v>DZU</v>
      </c>
      <c r="H121" s="863" t="str">
        <f t="shared" ca="1" si="56"/>
        <v/>
      </c>
      <c r="J121" s="87" vm="464">
        <f ca="1"/>
        <v>45831</v>
      </c>
      <c r="K121" s="87" vm="465">
        <f ca="1"/>
        <v>59.46</v>
      </c>
      <c r="N121" s="863" t="str">
        <f ca="1">IF(F121=[2]Sheet1!O119,"","dif")</f>
        <v>dif</v>
      </c>
      <c r="BG121" s="1345"/>
    </row>
    <row r="122" spans="2:97" ht="23" thickBot="1">
      <c r="B122" s="87" vm="466">
        <f ca="1"/>
        <v>45833</v>
      </c>
      <c r="C122" s="87" vm="467">
        <f ca="1"/>
        <v>58.06</v>
      </c>
      <c r="D122" s="1169">
        <f t="shared" ca="1" si="51"/>
        <v>-5.1644000688588635E-4</v>
      </c>
      <c r="E122" s="292" t="str" cm="1">
        <f t="array" aca="1" ref="E122" ca="1">_xlfn.IFS(D122&gt;ZPercent,"U",D122&lt;=-ZPercent,"D",TRUE,"Z")</f>
        <v>Z</v>
      </c>
      <c r="F122" s="292" t="str">
        <f t="shared" ca="1" si="54"/>
        <v>DZ</v>
      </c>
      <c r="G122" s="292" t="str">
        <f t="shared" ca="1" si="55"/>
        <v>UDZ</v>
      </c>
      <c r="H122" s="863" t="str">
        <f t="shared" ca="1" si="56"/>
        <v/>
      </c>
      <c r="J122" s="87" vm="468">
        <f ca="1"/>
        <v>45832</v>
      </c>
      <c r="K122" s="87" vm="469">
        <f ca="1"/>
        <v>58.09</v>
      </c>
      <c r="N122" s="863" t="str">
        <f ca="1">IF(F122=[2]Sheet1!O120,"","dif")</f>
        <v>dif</v>
      </c>
      <c r="BC122" s="1195">
        <v>9</v>
      </c>
      <c r="BD122" s="1183" t="s">
        <v>2597</v>
      </c>
      <c r="BE122" s="1176" t="s">
        <v>2593</v>
      </c>
      <c r="BF122" s="1176" t="s">
        <v>2595</v>
      </c>
      <c r="BG122" s="1176" t="s">
        <v>2599</v>
      </c>
      <c r="BH122" s="1176" t="s">
        <v>2591</v>
      </c>
      <c r="BI122" s="1176" t="s">
        <v>2592</v>
      </c>
      <c r="BJ122" s="1176" t="s">
        <v>2594</v>
      </c>
      <c r="BK122" s="1176" t="s">
        <v>2598</v>
      </c>
      <c r="BL122" s="1177" t="s">
        <v>2596</v>
      </c>
      <c r="BM122" s="877">
        <f t="shared" ref="BM122:BM131" si="116">SUM(BD122:BL122)</f>
        <v>0</v>
      </c>
    </row>
    <row r="123" spans="2:97">
      <c r="B123" s="87" vm="468">
        <f ca="1"/>
        <v>45832</v>
      </c>
      <c r="C123" s="87" vm="469">
        <f ca="1"/>
        <v>58.09</v>
      </c>
      <c r="D123" s="1169">
        <f t="shared" ca="1" si="51"/>
        <v>-2.3040699630003322E-2</v>
      </c>
      <c r="E123" s="292" t="str" cm="1">
        <f t="array" aca="1" ref="E123" ca="1">_xlfn.IFS(D123&gt;ZPercent,"U",D123&lt;=-ZPercent,"D",TRUE,"Z")</f>
        <v>D</v>
      </c>
      <c r="F123" s="292" t="str">
        <f t="shared" ca="1" si="54"/>
        <v>UD</v>
      </c>
      <c r="G123" s="292" t="str">
        <f t="shared" ca="1" si="55"/>
        <v>ZUD</v>
      </c>
      <c r="H123" s="863" t="str">
        <f t="shared" ca="1" si="56"/>
        <v/>
      </c>
      <c r="J123" s="87" vm="466">
        <f ca="1"/>
        <v>45833</v>
      </c>
      <c r="K123" s="87" vm="467">
        <f ca="1"/>
        <v>58.06</v>
      </c>
      <c r="N123" s="863" t="str">
        <f ca="1">IF(F123=[2]Sheet1!O121,"","dif")</f>
        <v>dif</v>
      </c>
      <c r="BC123" s="1178" t="s">
        <v>2597</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42" t="str">
        <f t="shared" ref="BN123:BN131" ca="1" si="117">IF(MarkCurr=BC123,_xlfn.XLOOKUP(MAX(BD123:BL123),BD123:BL123,BD123:BL123),"")</f>
        <v/>
      </c>
      <c r="BP123" s="863">
        <f t="shared" ref="BP123:BP131" ca="1" si="118">MATCH(MarkCurr,BC$123:BC$131,0)</f>
        <v>3</v>
      </c>
      <c r="BQ123" s="863">
        <f t="shared" ref="BQ123:BQ131" ca="1" si="119">MATCH(RIGHT(MarkCurr,1)&amp;"U",$BD$122:$BL$122,0)</f>
        <v>4</v>
      </c>
    </row>
    <row r="124" spans="2:97">
      <c r="B124" s="87" vm="464">
        <f ca="1"/>
        <v>45831</v>
      </c>
      <c r="C124" s="87" vm="465">
        <f ca="1"/>
        <v>59.46</v>
      </c>
      <c r="D124" s="1169">
        <f t="shared" ca="1" si="51"/>
        <v>2.112313240597637E-2</v>
      </c>
      <c r="E124" s="292" t="str" cm="1">
        <f t="array" aca="1" ref="E124" ca="1">_xlfn.IFS(D124&gt;ZPercent,"U",D124&lt;=-ZPercent,"D",TRUE,"Z")</f>
        <v>U</v>
      </c>
      <c r="F124" s="292" t="str">
        <f t="shared" ca="1" si="54"/>
        <v>ZU</v>
      </c>
      <c r="G124" s="292" t="str">
        <f t="shared" ca="1" si="55"/>
        <v>ZZU</v>
      </c>
      <c r="H124" s="863" t="str">
        <f t="shared" ca="1" si="56"/>
        <v/>
      </c>
      <c r="J124" s="87" vm="462">
        <f ca="1"/>
        <v>45834</v>
      </c>
      <c r="K124" s="87" vm="463">
        <f ca="1"/>
        <v>59.19</v>
      </c>
      <c r="N124" s="863" t="str">
        <f ca="1">IF(F124=[2]Sheet1!O122,"","dif")</f>
        <v>dif</v>
      </c>
      <c r="BC124" s="1178" t="s">
        <v>2593</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43" t="str">
        <f t="shared" ca="1" si="117"/>
        <v/>
      </c>
      <c r="BP124" s="863">
        <f t="shared" ca="1" si="118"/>
        <v>3</v>
      </c>
      <c r="BQ124" s="863">
        <f t="shared" ca="1" si="119"/>
        <v>4</v>
      </c>
    </row>
    <row r="125" spans="2:97">
      <c r="B125" s="87" vm="460">
        <f ca="1"/>
        <v>45828</v>
      </c>
      <c r="C125" s="87" vm="461">
        <f ca="1"/>
        <v>58.23</v>
      </c>
      <c r="D125" s="1169">
        <f t="shared" ca="1" si="51"/>
        <v>-5.1493305870238819E-4</v>
      </c>
      <c r="E125" s="292" t="str" cm="1">
        <f t="array" aca="1" ref="E125" ca="1">_xlfn.IFS(D125&gt;ZPercent,"U",D125&lt;=-ZPercent,"D",TRUE,"Z")</f>
        <v>Z</v>
      </c>
      <c r="F125" s="292" t="str">
        <f t="shared" ca="1" si="54"/>
        <v>ZZ</v>
      </c>
      <c r="G125" s="292" t="str">
        <f t="shared" ca="1" si="55"/>
        <v>UZZ</v>
      </c>
      <c r="H125" s="863" t="str">
        <f t="shared" ca="1" si="56"/>
        <v/>
      </c>
      <c r="J125" s="87" vm="458">
        <f ca="1"/>
        <v>45835</v>
      </c>
      <c r="K125" s="87" vm="459">
        <f ca="1"/>
        <v>56.76</v>
      </c>
      <c r="N125" s="863" t="str">
        <f ca="1">IF(F125=[2]Sheet1!O123,"","dif")</f>
        <v>dif</v>
      </c>
      <c r="BC125" s="1178" t="s">
        <v>2595</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43">
        <f t="shared" ca="1" si="117"/>
        <v>0.42105263157894735</v>
      </c>
      <c r="BO125" s="863">
        <f ca="1">IF(MarkCurr=BC125,_xlfn.XLOOKUP(MAX(BD125:BL125),BD125:BL125,BD125:BL125),"")</f>
        <v>0.42105263157894735</v>
      </c>
      <c r="BP125" s="863">
        <f t="shared" ca="1" si="118"/>
        <v>3</v>
      </c>
      <c r="BQ125" s="863">
        <f t="shared" ca="1" si="119"/>
        <v>4</v>
      </c>
    </row>
    <row r="126" spans="2:97">
      <c r="B126" s="87" vm="457">
        <f ca="1"/>
        <v>45826</v>
      </c>
      <c r="C126" s="87" vm="456">
        <f ca="1"/>
        <v>58.26</v>
      </c>
      <c r="D126" s="1169">
        <f t="shared" ca="1" si="51"/>
        <v>-4.4429254955571616E-3</v>
      </c>
      <c r="E126" s="292" t="str" cm="1">
        <f t="array" aca="1" ref="E126" ca="1">_xlfn.IFS(D126&gt;ZPercent,"U",D126&lt;=-ZPercent,"D",TRUE,"Z")</f>
        <v>Z</v>
      </c>
      <c r="F126" s="292" t="str">
        <f t="shared" ca="1" si="54"/>
        <v>UZ</v>
      </c>
      <c r="G126" s="292" t="str">
        <f t="shared" ca="1" si="55"/>
        <v>ZUZ</v>
      </c>
      <c r="H126" s="863" t="str">
        <f t="shared" ca="1" si="56"/>
        <v/>
      </c>
      <c r="J126" s="87" vm="455">
        <f ca="1"/>
        <v>45838</v>
      </c>
      <c r="K126" s="87" vm="456">
        <f ca="1"/>
        <v>58.26</v>
      </c>
      <c r="N126" s="863" t="str">
        <f ca="1">IF(F126=[2]Sheet1!O124,"","dif")</f>
        <v>dif</v>
      </c>
      <c r="BC126" s="1178" t="s">
        <v>2599</v>
      </c>
      <c r="BD126" s="1186">
        <v>0</v>
      </c>
      <c r="BE126" s="1187">
        <v>0</v>
      </c>
      <c r="BF126" s="1187">
        <v>0.35</v>
      </c>
      <c r="BG126" s="1187">
        <v>0</v>
      </c>
      <c r="BH126" s="1187">
        <v>0</v>
      </c>
      <c r="BI126" s="1187">
        <v>0</v>
      </c>
      <c r="BJ126" s="1187">
        <v>0</v>
      </c>
      <c r="BK126" s="1187">
        <v>0.35</v>
      </c>
      <c r="BL126" s="1188">
        <v>0.3</v>
      </c>
      <c r="BM126" s="877">
        <f t="shared" si="116"/>
        <v>1</v>
      </c>
      <c r="BN126" s="1343" t="str">
        <f t="shared" ca="1" si="117"/>
        <v/>
      </c>
      <c r="BP126" s="863">
        <f t="shared" ca="1" si="118"/>
        <v>3</v>
      </c>
      <c r="BQ126" s="863">
        <f t="shared" ca="1" si="119"/>
        <v>4</v>
      </c>
    </row>
    <row r="127" spans="2:97">
      <c r="B127" s="87" vm="453">
        <f ca="1"/>
        <v>45825</v>
      </c>
      <c r="C127" s="87" vm="454">
        <f ca="1"/>
        <v>58.52</v>
      </c>
      <c r="D127" s="1169">
        <f t="shared" ca="1" si="51"/>
        <v>6.8823124569856453E-3</v>
      </c>
      <c r="E127" s="292" t="str" cm="1">
        <f t="array" aca="1" ref="E127" ca="1">_xlfn.IFS(D127&gt;ZPercent,"U",D127&lt;=-ZPercent,"D",TRUE,"Z")</f>
        <v>U</v>
      </c>
      <c r="F127" s="292" t="str">
        <f t="shared" ca="1" si="54"/>
        <v>ZU</v>
      </c>
      <c r="G127" s="292" t="str">
        <f t="shared" ca="1" si="55"/>
        <v>UZU</v>
      </c>
      <c r="H127" s="863" t="str">
        <f t="shared" ca="1" si="56"/>
        <v/>
      </c>
      <c r="J127" s="87" vm="451">
        <f ca="1"/>
        <v>45839</v>
      </c>
      <c r="K127" s="87" vm="452">
        <f ca="1"/>
        <v>58.83</v>
      </c>
      <c r="N127" s="863" t="str">
        <f ca="1">IF(F127=[2]Sheet1!O125,"","dif")</f>
        <v>dif</v>
      </c>
      <c r="BC127" s="1178" t="s">
        <v>2591</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43" t="str">
        <f t="shared" ca="1" si="117"/>
        <v/>
      </c>
      <c r="BP127" s="863">
        <f t="shared" ca="1" si="118"/>
        <v>3</v>
      </c>
      <c r="BQ127" s="863">
        <f t="shared" ca="1" si="119"/>
        <v>4</v>
      </c>
    </row>
    <row r="128" spans="2:97">
      <c r="B128" s="87" vm="449">
        <f ca="1"/>
        <v>45824</v>
      </c>
      <c r="C128" s="87" vm="450">
        <f ca="1"/>
        <v>58.12</v>
      </c>
      <c r="D128" s="1169">
        <f t="shared" ca="1" si="51"/>
        <v>3.7996545768566297E-3</v>
      </c>
      <c r="E128" s="292" t="str" cm="1">
        <f t="array" aca="1" ref="E128" ca="1">_xlfn.IFS(D128&gt;ZPercent,"U",D128&lt;=-ZPercent,"D",TRUE,"Z")</f>
        <v>Z</v>
      </c>
      <c r="F128" s="292" t="str">
        <f t="shared" ca="1" si="54"/>
        <v>UZ</v>
      </c>
      <c r="G128" s="292" t="str">
        <f t="shared" ca="1" si="55"/>
        <v>UUZ</v>
      </c>
      <c r="H128" s="863" t="str">
        <f t="shared" ca="1" si="56"/>
        <v/>
      </c>
      <c r="J128" s="87" vm="447">
        <f ca="1"/>
        <v>45840</v>
      </c>
      <c r="K128" s="87" vm="448">
        <f ca="1"/>
        <v>60.06</v>
      </c>
      <c r="N128" s="863" t="str">
        <f ca="1">IF(F128=[2]Sheet1!O126,"","dif")</f>
        <v>dif</v>
      </c>
      <c r="BC128" s="1178" t="s">
        <v>2592</v>
      </c>
      <c r="BD128" s="1186">
        <v>0.36666666666666664</v>
      </c>
      <c r="BE128" s="1187">
        <v>0</v>
      </c>
      <c r="BF128" s="1187">
        <v>0</v>
      </c>
      <c r="BG128" s="1187">
        <v>0</v>
      </c>
      <c r="BH128" s="1187">
        <v>0.23333333333333334</v>
      </c>
      <c r="BI128" s="1187">
        <v>0.4</v>
      </c>
      <c r="BJ128" s="1187">
        <v>0</v>
      </c>
      <c r="BK128" s="1187">
        <v>0</v>
      </c>
      <c r="BL128" s="1188">
        <v>0</v>
      </c>
      <c r="BM128" s="877">
        <f t="shared" si="116"/>
        <v>1</v>
      </c>
      <c r="BN128" s="1343" t="str">
        <f t="shared" ca="1" si="117"/>
        <v/>
      </c>
      <c r="BP128" s="863">
        <f t="shared" ca="1" si="118"/>
        <v>3</v>
      </c>
      <c r="BQ128" s="863">
        <f t="shared" ca="1" si="119"/>
        <v>4</v>
      </c>
    </row>
    <row r="129" spans="2:69">
      <c r="B129" s="87" vm="445">
        <f ca="1"/>
        <v>45821</v>
      </c>
      <c r="C129" s="87" vm="446">
        <f ca="1"/>
        <v>57.9</v>
      </c>
      <c r="D129" s="1169">
        <f t="shared" ca="1" si="51"/>
        <v>3.5407725321888357E-2</v>
      </c>
      <c r="E129" s="292" t="str" cm="1">
        <f t="array" aca="1" ref="E129" ca="1">_xlfn.IFS(D129&gt;ZPercent,"U",D129&lt;=-ZPercent,"D",TRUE,"Z")</f>
        <v>U</v>
      </c>
      <c r="F129" s="292" t="str">
        <f t="shared" ca="1" si="54"/>
        <v>UU</v>
      </c>
      <c r="G129" s="292" t="str">
        <f t="shared" ca="1" si="55"/>
        <v>UUU</v>
      </c>
      <c r="H129" s="863" t="str">
        <f t="shared" ca="1" si="56"/>
        <v/>
      </c>
      <c r="J129" s="87" vm="443">
        <f ca="1"/>
        <v>45841</v>
      </c>
      <c r="K129" s="87" vm="444">
        <f ca="1"/>
        <v>59.9</v>
      </c>
      <c r="N129" s="863" t="str">
        <f ca="1">IF(F129=[2]Sheet1!O127,"","dif")</f>
        <v/>
      </c>
      <c r="BC129" s="1178" t="s">
        <v>2594</v>
      </c>
      <c r="BD129" s="1186">
        <v>0</v>
      </c>
      <c r="BE129" s="1187">
        <v>0.2</v>
      </c>
      <c r="BF129" s="1187">
        <v>0</v>
      </c>
      <c r="BG129" s="1187">
        <v>0.36</v>
      </c>
      <c r="BH129" s="1187">
        <v>0</v>
      </c>
      <c r="BI129" s="1187">
        <v>0</v>
      </c>
      <c r="BJ129" s="1187">
        <v>0.44</v>
      </c>
      <c r="BK129" s="1187">
        <v>0</v>
      </c>
      <c r="BL129" s="1188">
        <v>0</v>
      </c>
      <c r="BM129" s="877">
        <f t="shared" si="116"/>
        <v>1</v>
      </c>
      <c r="BN129" s="1343" t="str">
        <f t="shared" ca="1" si="117"/>
        <v/>
      </c>
      <c r="BP129" s="863">
        <f t="shared" ca="1" si="118"/>
        <v>3</v>
      </c>
      <c r="BQ129" s="863">
        <f t="shared" ca="1" si="119"/>
        <v>4</v>
      </c>
    </row>
    <row r="130" spans="2:69">
      <c r="B130" s="87" vm="441">
        <f ca="1"/>
        <v>45820</v>
      </c>
      <c r="C130" s="87" vm="442">
        <f ca="1"/>
        <v>55.92</v>
      </c>
      <c r="D130" s="1169">
        <f t="shared" ca="1" si="51"/>
        <v>4.8958919527293178E-2</v>
      </c>
      <c r="E130" s="292" t="str" cm="1">
        <f t="array" aca="1" ref="E130" ca="1">_xlfn.IFS(D130&gt;ZPercent,"U",D130&lt;=-ZPercent,"D",TRUE,"Z")</f>
        <v>U</v>
      </c>
      <c r="F130" s="292" t="str">
        <f t="shared" ca="1" si="54"/>
        <v>UU</v>
      </c>
      <c r="G130" s="292" t="str">
        <f t="shared" ca="1" si="55"/>
        <v>DUU</v>
      </c>
      <c r="H130" s="863" t="str">
        <f t="shared" ca="1" si="56"/>
        <v/>
      </c>
      <c r="J130" s="87" vm="439">
        <f ca="1"/>
        <v>45845</v>
      </c>
      <c r="K130" s="87" vm="440">
        <f ca="1"/>
        <v>60.16</v>
      </c>
      <c r="N130" s="863" t="str">
        <f ca="1">IF(F130=[2]Sheet1!O128,"","dif")</f>
        <v>dif</v>
      </c>
      <c r="BC130" s="1178" t="s">
        <v>2598</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43" t="str">
        <f t="shared" ca="1" si="117"/>
        <v/>
      </c>
      <c r="BP130" s="863">
        <f t="shared" ca="1" si="118"/>
        <v>3</v>
      </c>
      <c r="BQ130" s="863">
        <f t="shared" ca="1" si="119"/>
        <v>4</v>
      </c>
    </row>
    <row r="131" spans="2:69" ht="23" thickBot="1">
      <c r="B131" s="87" vm="437">
        <f ca="1"/>
        <v>45819</v>
      </c>
      <c r="C131" s="87" vm="438">
        <f ca="1"/>
        <v>53.31</v>
      </c>
      <c r="D131" s="1169">
        <f t="shared" ca="1" si="51"/>
        <v>1.4269406392694063E-2</v>
      </c>
      <c r="E131" s="292" t="str" cm="1">
        <f t="array" aca="1" ref="E131" ca="1">_xlfn.IFS(D131&gt;ZPercent,"U",D131&lt;=-ZPercent,"D",TRUE,"Z")</f>
        <v>U</v>
      </c>
      <c r="F131" s="292" t="str">
        <f t="shared" ca="1" si="54"/>
        <v>DU</v>
      </c>
      <c r="G131" s="292" t="str">
        <f t="shared" ca="1" si="55"/>
        <v>UDU</v>
      </c>
      <c r="H131" s="863" t="str">
        <f t="shared" ca="1" si="56"/>
        <v/>
      </c>
      <c r="J131" s="87" vm="435">
        <f ca="1"/>
        <v>45846</v>
      </c>
      <c r="K131" s="87" vm="436">
        <f ca="1"/>
        <v>57.61</v>
      </c>
      <c r="N131" s="863" t="str">
        <f ca="1">IF(F131=[2]Sheet1!O129,"","dif")</f>
        <v>dif</v>
      </c>
      <c r="BC131" s="1179" t="s">
        <v>2596</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44" t="str">
        <f t="shared" ca="1" si="117"/>
        <v/>
      </c>
      <c r="BP131" s="863">
        <f t="shared" ca="1" si="118"/>
        <v>3</v>
      </c>
      <c r="BQ131" s="863">
        <f t="shared" ca="1" si="119"/>
        <v>4</v>
      </c>
    </row>
    <row r="132" spans="2:69">
      <c r="B132" s="87" vm="433">
        <f ca="1"/>
        <v>45818</v>
      </c>
      <c r="C132" s="87" vm="434">
        <f ca="1"/>
        <v>52.56</v>
      </c>
      <c r="D132" s="1169">
        <f t="shared" ca="1" si="51"/>
        <v>-1.3513513513513492E-2</v>
      </c>
      <c r="E132" s="292" t="str" cm="1">
        <f t="array" aca="1" ref="E132" ca="1">_xlfn.IFS(D132&gt;ZPercent,"U",D132&lt;=-ZPercent,"D",TRUE,"Z")</f>
        <v>D</v>
      </c>
      <c r="F132" s="292" t="str">
        <f t="shared" ca="1" si="54"/>
        <v>UD</v>
      </c>
      <c r="G132" s="292" t="str">
        <f t="shared" ca="1" si="55"/>
        <v>DUD</v>
      </c>
      <c r="H132" s="863" t="str">
        <f t="shared" ca="1" si="56"/>
        <v/>
      </c>
      <c r="J132" s="87" vm="431">
        <f ca="1"/>
        <v>45847</v>
      </c>
      <c r="K132" s="87" vm="432">
        <f ca="1"/>
        <v>58.75</v>
      </c>
      <c r="N132" s="863" t="str">
        <f ca="1">IF(F132=[2]Sheet1!O130,"","dif")</f>
        <v>dif</v>
      </c>
      <c r="BC132" s="1288" t="s">
        <v>2590</v>
      </c>
      <c r="BD132" s="115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0.10337870825087896</v>
      </c>
      <c r="BE132" s="1153">
        <f ca="1"/>
        <v>0.12897576776645103</v>
      </c>
      <c r="BF132" s="1153">
        <f ca="1"/>
        <v>8.5768586926771376E-2</v>
      </c>
      <c r="BG132" s="1153">
        <f ca="1"/>
        <v>0.16257005107459774</v>
      </c>
      <c r="BH132" s="1153">
        <f ca="1"/>
        <v>0.13697299155902565</v>
      </c>
      <c r="BI132" s="1153">
        <f ca="1"/>
        <v>0.19689728261609193</v>
      </c>
      <c r="BJ132" s="1153">
        <f ca="1"/>
        <v>7.7611015284157189E-2</v>
      </c>
      <c r="BK132" s="1153">
        <f ca="1"/>
        <v>6.3808864546015587E-2</v>
      </c>
      <c r="BL132" s="1153">
        <f ca="1"/>
        <v>4.401673197601047E-2</v>
      </c>
    </row>
    <row r="133" spans="2:69">
      <c r="B133" s="87" vm="429">
        <f ca="1"/>
        <v>45817</v>
      </c>
      <c r="C133" s="87" vm="430">
        <f ca="1"/>
        <v>53.28</v>
      </c>
      <c r="D133" s="1169">
        <f t="shared" ref="D133:D159" ca="1" si="120">IFERROR((C133-C134)/C134,0)</f>
        <v>1.757066462948819E-2</v>
      </c>
      <c r="E133" s="292" t="str" cm="1">
        <f t="array" aca="1" ref="E133" ca="1">_xlfn.IFS(D133&gt;ZPercent,"U",D133&lt;=-ZPercent,"D",TRUE,"Z")</f>
        <v>U</v>
      </c>
      <c r="F133" s="292" t="str">
        <f t="shared" ca="1" si="54"/>
        <v>DU</v>
      </c>
      <c r="G133" s="292" t="str">
        <f t="shared" ca="1" si="55"/>
        <v>DDU</v>
      </c>
      <c r="H133" s="863" t="str">
        <f t="shared" ca="1" si="56"/>
        <v/>
      </c>
      <c r="J133" s="87" vm="427">
        <f ca="1"/>
        <v>45848</v>
      </c>
      <c r="K133" s="87" vm="428">
        <f ca="1"/>
        <v>59.78</v>
      </c>
      <c r="N133" s="863" t="str">
        <f ca="1">IF(F133=[2]Sheet1!O131,"","dif")</f>
        <v>dif</v>
      </c>
    </row>
    <row r="134" spans="2:69">
      <c r="B134" s="87" vm="425">
        <f ca="1"/>
        <v>45814</v>
      </c>
      <c r="C134" s="87" vm="426">
        <f ca="1"/>
        <v>52.36</v>
      </c>
      <c r="D134" s="1169">
        <f t="shared" ca="1" si="120"/>
        <v>-3.9442304164373485E-2</v>
      </c>
      <c r="E134" s="292" t="str" cm="1">
        <f t="array" aca="1" ref="E134" ca="1">_xlfn.IFS(D134&gt;ZPercent,"U",D134&lt;=-ZPercent,"D",TRUE,"Z")</f>
        <v>D</v>
      </c>
      <c r="F134" s="292" t="str">
        <f t="shared" ref="F134:F159" ca="1" si="121">_xlfn.CONCAT(E135,E134)</f>
        <v>DD</v>
      </c>
      <c r="G134" s="292" t="str">
        <f t="shared" ref="G134:G159" ca="1" si="122">_xlfn.CONCAT(E136,E135,E134)</f>
        <v>ZDD</v>
      </c>
      <c r="H134" s="863" t="str">
        <f t="shared" ref="H134:H197" ca="1" si="123">IF(AND(E134="D",E135="Z"),"ZZ","")</f>
        <v/>
      </c>
      <c r="J134" s="87" vm="423">
        <f ca="1"/>
        <v>45849</v>
      </c>
      <c r="K134" s="87" vm="424">
        <f ca="1"/>
        <v>60.13</v>
      </c>
      <c r="N134" s="863" t="str">
        <f ca="1">IF(F134=[2]Sheet1!O132,"","dif")</f>
        <v>dif</v>
      </c>
    </row>
    <row r="135" spans="2:69">
      <c r="B135" s="87" vm="421">
        <f ca="1"/>
        <v>45813</v>
      </c>
      <c r="C135" s="87" vm="422">
        <f ca="1"/>
        <v>54.51</v>
      </c>
      <c r="D135" s="1169">
        <f t="shared" ca="1" si="120"/>
        <v>-1.3929088277858232E-2</v>
      </c>
      <c r="E135" s="292" t="str" cm="1">
        <f t="array" aca="1" ref="E135" ca="1">_xlfn.IFS(D135&gt;ZPercent,"U",D135&lt;=-ZPercent,"D",TRUE,"Z")</f>
        <v>D</v>
      </c>
      <c r="F135" s="292" t="str">
        <f t="shared" ca="1" si="121"/>
        <v>ZD</v>
      </c>
      <c r="G135" s="292" t="str">
        <f t="shared" ca="1" si="122"/>
        <v>ZZD</v>
      </c>
      <c r="H135" s="863" t="str">
        <f t="shared" ca="1" si="123"/>
        <v>ZZ</v>
      </c>
      <c r="J135" s="87" vm="419">
        <f ca="1"/>
        <v>45852</v>
      </c>
      <c r="K135" s="87" vm="420">
        <f ca="1"/>
        <v>60.82</v>
      </c>
      <c r="N135" s="863" t="str">
        <f ca="1">IF(F135=[2]Sheet1!O133,"","dif")</f>
        <v>dif</v>
      </c>
    </row>
    <row r="136" spans="2:69">
      <c r="B136" s="87" vm="417">
        <f ca="1"/>
        <v>45812</v>
      </c>
      <c r="C136" s="87" vm="418">
        <f ca="1"/>
        <v>55.28</v>
      </c>
      <c r="D136" s="1169">
        <f t="shared" ca="1" si="120"/>
        <v>-1.0842067220817179E-3</v>
      </c>
      <c r="E136" s="292" t="str" cm="1">
        <f t="array" aca="1" ref="E136" ca="1">_xlfn.IFS(D136&gt;ZPercent,"U",D136&lt;=-ZPercent,"D",TRUE,"Z")</f>
        <v>Z</v>
      </c>
      <c r="F136" s="292" t="str">
        <f t="shared" ca="1" si="121"/>
        <v>ZZ</v>
      </c>
      <c r="G136" s="292" t="str">
        <f t="shared" ca="1" si="122"/>
        <v>UZZ</v>
      </c>
      <c r="H136" s="863" t="str">
        <f t="shared" ca="1" si="123"/>
        <v/>
      </c>
      <c r="J136" s="87" vm="415">
        <f ca="1"/>
        <v>45853</v>
      </c>
      <c r="K136" s="87" vm="416">
        <f ca="1"/>
        <v>57.35</v>
      </c>
      <c r="N136" s="863" t="str">
        <f ca="1">IF(F136=[2]Sheet1!O134,"","dif")</f>
        <v>dif</v>
      </c>
    </row>
    <row r="137" spans="2:69">
      <c r="B137" s="87" vm="413">
        <f ca="1"/>
        <v>45811</v>
      </c>
      <c r="C137" s="87" vm="414">
        <f ca="1"/>
        <v>55.34</v>
      </c>
      <c r="D137" s="1169">
        <f t="shared" ca="1" si="120"/>
        <v>-4.3181000359840752E-3</v>
      </c>
      <c r="E137" s="292" t="str" cm="1">
        <f t="array" aca="1" ref="E137" ca="1">_xlfn.IFS(D137&gt;ZPercent,"U",D137&lt;=-ZPercent,"D",TRUE,"Z")</f>
        <v>Z</v>
      </c>
      <c r="F137" s="292" t="str">
        <f t="shared" ca="1" si="121"/>
        <v>UZ</v>
      </c>
      <c r="G137" s="292" t="str">
        <f t="shared" ca="1" si="122"/>
        <v>ZUZ</v>
      </c>
      <c r="H137" s="863" t="str">
        <f t="shared" ca="1" si="123"/>
        <v/>
      </c>
      <c r="J137" s="87" vm="411">
        <f ca="1"/>
        <v>45854</v>
      </c>
      <c r="K137" s="87" vm="412">
        <f ca="1"/>
        <v>58.45</v>
      </c>
      <c r="N137" s="863" t="str">
        <f ca="1">IF(F137=[2]Sheet1!O135,"","dif")</f>
        <v>dif</v>
      </c>
    </row>
    <row r="138" spans="2:69">
      <c r="B138" s="87" vm="409">
        <f ca="1"/>
        <v>45810</v>
      </c>
      <c r="C138" s="87" vm="410">
        <f ca="1"/>
        <v>55.58</v>
      </c>
      <c r="D138" s="1169">
        <f t="shared" ca="1" si="120"/>
        <v>5.4248861911987849E-2</v>
      </c>
      <c r="E138" s="292" t="str" cm="1">
        <f t="array" aca="1" ref="E138" ca="1">_xlfn.IFS(D138&gt;ZPercent,"U",D138&lt;=-ZPercent,"D",TRUE,"Z")</f>
        <v>U</v>
      </c>
      <c r="F138" s="292" t="str">
        <f t="shared" ca="1" si="121"/>
        <v>ZU</v>
      </c>
      <c r="G138" s="292" t="str">
        <f t="shared" ca="1" si="122"/>
        <v>DZU</v>
      </c>
      <c r="H138" s="863" t="str">
        <f t="shared" ca="1" si="123"/>
        <v/>
      </c>
      <c r="J138" s="87" vm="407">
        <f ca="1"/>
        <v>45855</v>
      </c>
      <c r="K138" s="87" vm="408">
        <f ca="1"/>
        <v>57.99</v>
      </c>
      <c r="N138" s="863" t="str">
        <f ca="1">IF(F138=[2]Sheet1!O136,"","dif")</f>
        <v>dif</v>
      </c>
    </row>
    <row r="139" spans="2:69">
      <c r="B139" s="87" vm="405">
        <f ca="1"/>
        <v>45807</v>
      </c>
      <c r="C139" s="87" vm="406">
        <f ca="1"/>
        <v>52.72</v>
      </c>
      <c r="D139" s="1169">
        <f t="shared" ca="1" si="120"/>
        <v>3.8080731150037265E-3</v>
      </c>
      <c r="E139" s="292" t="str" cm="1">
        <f t="array" aca="1" ref="E139" ca="1">_xlfn.IFS(D139&gt;ZPercent,"U",D139&lt;=-ZPercent,"D",TRUE,"Z")</f>
        <v>Z</v>
      </c>
      <c r="F139" s="292" t="str">
        <f t="shared" ca="1" si="121"/>
        <v>DZ</v>
      </c>
      <c r="G139" s="292" t="str">
        <f t="shared" ca="1" si="122"/>
        <v>ZDZ</v>
      </c>
      <c r="H139" s="863" t="str">
        <f t="shared" ca="1" si="123"/>
        <v/>
      </c>
      <c r="J139" s="87" vm="403">
        <f ca="1"/>
        <v>45856</v>
      </c>
      <c r="K139" s="87" vm="404">
        <f ca="1"/>
        <v>58.19</v>
      </c>
      <c r="N139" s="863" t="str">
        <f ca="1">IF(F139=[2]Sheet1!O137,"","dif")</f>
        <v>dif</v>
      </c>
    </row>
    <row r="140" spans="2:69">
      <c r="B140" s="87" vm="401">
        <f ca="1"/>
        <v>45806</v>
      </c>
      <c r="C140" s="87" vm="402">
        <f ca="1"/>
        <v>52.52</v>
      </c>
      <c r="D140" s="1169">
        <f t="shared" ca="1" si="120"/>
        <v>-6.2440870387889934E-3</v>
      </c>
      <c r="E140" s="292" t="str" cm="1">
        <f t="array" aca="1" ref="E140" ca="1">_xlfn.IFS(D140&gt;ZPercent,"U",D140&lt;=-ZPercent,"D",TRUE,"Z")</f>
        <v>D</v>
      </c>
      <c r="F140" s="292" t="str">
        <f t="shared" ca="1" si="121"/>
        <v>ZD</v>
      </c>
      <c r="G140" s="292" t="str">
        <f t="shared" ca="1" si="122"/>
        <v>DZD</v>
      </c>
      <c r="H140" s="863" t="str">
        <f t="shared" ca="1" si="123"/>
        <v>ZZ</v>
      </c>
      <c r="J140" s="87" vm="399">
        <f ca="1"/>
        <v>45859</v>
      </c>
      <c r="K140" s="87" vm="400">
        <f ca="1"/>
        <v>59.86</v>
      </c>
      <c r="N140" s="863" t="str">
        <f ca="1">IF(F140=[2]Sheet1!O138,"","dif")</f>
        <v>dif</v>
      </c>
    </row>
    <row r="141" spans="2:69">
      <c r="B141" s="87" vm="397">
        <f ca="1"/>
        <v>45805</v>
      </c>
      <c r="C141" s="87" vm="398">
        <f ca="1"/>
        <v>52.85</v>
      </c>
      <c r="D141" s="1169">
        <f t="shared" ca="1" si="120"/>
        <v>2.6560424966799575E-3</v>
      </c>
      <c r="E141" s="292" t="str" cm="1">
        <f t="array" aca="1" ref="E141" ca="1">_xlfn.IFS(D141&gt;ZPercent,"U",D141&lt;=-ZPercent,"D",TRUE,"Z")</f>
        <v>Z</v>
      </c>
      <c r="F141" s="292" t="str">
        <f t="shared" ca="1" si="121"/>
        <v>DZ</v>
      </c>
      <c r="G141" s="292" t="str">
        <f t="shared" ca="1" si="122"/>
        <v>UDZ</v>
      </c>
      <c r="H141" s="863" t="str">
        <f t="shared" ca="1" si="123"/>
        <v/>
      </c>
      <c r="J141" s="87" vm="395">
        <f ca="1"/>
        <v>45860</v>
      </c>
      <c r="K141" s="87" vm="396">
        <f ca="1"/>
        <v>61.7</v>
      </c>
      <c r="N141" s="863" t="str">
        <f ca="1">IF(F141=[2]Sheet1!O139,"","dif")</f>
        <v>dif</v>
      </c>
    </row>
    <row r="142" spans="2:69">
      <c r="B142" s="87" vm="393">
        <f ca="1"/>
        <v>45804</v>
      </c>
      <c r="C142" s="87" vm="394">
        <f ca="1"/>
        <v>52.71</v>
      </c>
      <c r="D142" s="1169">
        <f t="shared" ca="1" si="120"/>
        <v>-1.7520969245107133E-2</v>
      </c>
      <c r="E142" s="292" t="str" cm="1">
        <f t="array" aca="1" ref="E142" ca="1">_xlfn.IFS(D142&gt;ZPercent,"U",D142&lt;=-ZPercent,"D",TRUE,"Z")</f>
        <v>D</v>
      </c>
      <c r="F142" s="292" t="str">
        <f t="shared" ca="1" si="121"/>
        <v>UD</v>
      </c>
      <c r="G142" s="292" t="str">
        <f t="shared" ca="1" si="122"/>
        <v>ZUD</v>
      </c>
      <c r="H142" s="863" t="str">
        <f t="shared" ca="1" si="123"/>
        <v/>
      </c>
      <c r="J142" s="87" vm="391">
        <f ca="1"/>
        <v>45861</v>
      </c>
      <c r="K142" s="87" vm="392">
        <f ca="1"/>
        <v>61.42</v>
      </c>
      <c r="N142" s="863" t="str">
        <f ca="1">IF(F142=[2]Sheet1!O140,"","dif")</f>
        <v>dif</v>
      </c>
    </row>
    <row r="143" spans="2:69">
      <c r="B143" s="87" vm="389">
        <f ca="1"/>
        <v>45800</v>
      </c>
      <c r="C143" s="87" vm="390">
        <f ca="1"/>
        <v>53.65</v>
      </c>
      <c r="D143" s="1169">
        <f t="shared" ca="1" si="120"/>
        <v>1.8993352326685659E-2</v>
      </c>
      <c r="E143" s="292" t="str" cm="1">
        <f t="array" aca="1" ref="E143" ca="1">_xlfn.IFS(D143&gt;ZPercent,"U",D143&lt;=-ZPercent,"D",TRUE,"Z")</f>
        <v>U</v>
      </c>
      <c r="F143" s="292" t="str">
        <f t="shared" ca="1" si="121"/>
        <v>ZU</v>
      </c>
      <c r="G143" s="292" t="str">
        <f t="shared" ca="1" si="122"/>
        <v>UZU</v>
      </c>
      <c r="H143" s="863" t="str">
        <f t="shared" ca="1" si="123"/>
        <v/>
      </c>
      <c r="J143" s="87" vm="387">
        <f ca="1"/>
        <v>45862</v>
      </c>
      <c r="K143" s="87" vm="388">
        <f ca="1"/>
        <v>61.51</v>
      </c>
      <c r="N143" s="863" t="str">
        <f ca="1">IF(F143=[2]Sheet1!O141,"","dif")</f>
        <v>dif</v>
      </c>
    </row>
    <row r="144" spans="2:69">
      <c r="B144" s="87" vm="385">
        <f ca="1"/>
        <v>45799</v>
      </c>
      <c r="C144" s="87" vm="386">
        <f ca="1"/>
        <v>52.65</v>
      </c>
      <c r="D144" s="1169">
        <f t="shared" ca="1" si="120"/>
        <v>1.899696048631841E-4</v>
      </c>
      <c r="E144" s="292" t="str" cm="1">
        <f t="array" aca="1" ref="E144" ca="1">_xlfn.IFS(D144&gt;ZPercent,"U",D144&lt;=-ZPercent,"D",TRUE,"Z")</f>
        <v>Z</v>
      </c>
      <c r="F144" s="292" t="str">
        <f t="shared" ca="1" si="121"/>
        <v>UZ</v>
      </c>
      <c r="G144" s="292" t="str">
        <f t="shared" ca="1" si="122"/>
        <v>UUZ</v>
      </c>
      <c r="H144" s="863" t="str">
        <f t="shared" ca="1" si="123"/>
        <v/>
      </c>
      <c r="J144" s="87" vm="383">
        <f ca="1"/>
        <v>45863</v>
      </c>
      <c r="K144" s="87" vm="384">
        <f ca="1"/>
        <v>65.75</v>
      </c>
      <c r="N144" s="863" t="str">
        <f ca="1">IF(F144=[2]Sheet1!O142,"","dif")</f>
        <v>dif</v>
      </c>
    </row>
    <row r="145" spans="2:64">
      <c r="B145" s="87" vm="381">
        <f ca="1"/>
        <v>45798</v>
      </c>
      <c r="C145" s="87" vm="382">
        <f ca="1"/>
        <v>52.64</v>
      </c>
      <c r="D145" s="1169">
        <f t="shared" ca="1" si="120"/>
        <v>6.5009560229446163E-3</v>
      </c>
      <c r="E145" s="292" t="str" cm="1">
        <f t="array" aca="1" ref="E145" ca="1">_xlfn.IFS(D145&gt;ZPercent,"U",D145&lt;=-ZPercent,"D",TRUE,"Z")</f>
        <v>U</v>
      </c>
      <c r="F145" s="292" t="str">
        <f t="shared" ca="1" si="121"/>
        <v>UU</v>
      </c>
      <c r="G145" s="292" t="str">
        <f t="shared" ca="1" si="122"/>
        <v>UUU</v>
      </c>
      <c r="H145" s="863" t="str">
        <f t="shared" ca="1" si="123"/>
        <v/>
      </c>
      <c r="J145" s="87" vm="379">
        <f ca="1"/>
        <v>45866</v>
      </c>
      <c r="K145" s="87" vm="380">
        <f ca="1"/>
        <v>63.66</v>
      </c>
      <c r="N145" s="863" t="str">
        <f ca="1">IF(F145=[2]Sheet1!O143,"","dif")</f>
        <v>dif</v>
      </c>
    </row>
    <row r="146" spans="2:64">
      <c r="B146" s="87" vm="377">
        <f ca="1"/>
        <v>45797</v>
      </c>
      <c r="C146" s="87" vm="378">
        <f ca="1"/>
        <v>52.3</v>
      </c>
      <c r="D146" s="1169">
        <f t="shared" ca="1" si="120"/>
        <v>2.6899666208521449E-2</v>
      </c>
      <c r="E146" s="292" t="str" cm="1">
        <f t="array" aca="1" ref="E146" ca="1">_xlfn.IFS(D146&gt;ZPercent,"U",D146&lt;=-ZPercent,"D",TRUE,"Z")</f>
        <v>U</v>
      </c>
      <c r="F146" s="292" t="str">
        <f t="shared" ca="1" si="121"/>
        <v>UU</v>
      </c>
      <c r="G146" s="292" t="str">
        <f t="shared" ca="1" si="122"/>
        <v>UUU</v>
      </c>
      <c r="H146" s="863" t="str">
        <f t="shared" ca="1" si="123"/>
        <v/>
      </c>
      <c r="J146" s="87" vm="375">
        <f ca="1"/>
        <v>45867</v>
      </c>
      <c r="K146" s="87" vm="376">
        <f ca="1"/>
        <v>63.99</v>
      </c>
      <c r="N146" s="863" t="str">
        <f ca="1">IF(F146=[2]Sheet1!O144,"","dif")</f>
        <v>dif</v>
      </c>
    </row>
    <row r="147" spans="2:64">
      <c r="B147" s="87" vm="373">
        <f ca="1"/>
        <v>45796</v>
      </c>
      <c r="C147" s="87" vm="374">
        <f ca="1"/>
        <v>50.93</v>
      </c>
      <c r="D147" s="1169">
        <f t="shared" ca="1" si="120"/>
        <v>1.6566866267465036E-2</v>
      </c>
      <c r="E147" s="292" t="str" cm="1">
        <f t="array" aca="1" ref="E147" ca="1">_xlfn.IFS(D147&gt;ZPercent,"U",D147&lt;=-ZPercent,"D",TRUE,"Z")</f>
        <v>U</v>
      </c>
      <c r="F147" s="292" t="str">
        <f t="shared" ca="1" si="121"/>
        <v>UU</v>
      </c>
      <c r="G147" s="292" t="str">
        <f t="shared" ca="1" si="122"/>
        <v>UUU</v>
      </c>
      <c r="H147" s="863" t="str">
        <f t="shared" ca="1" si="123"/>
        <v/>
      </c>
      <c r="J147" s="87" vm="371">
        <f ca="1"/>
        <v>45868</v>
      </c>
      <c r="K147" s="87" vm="372">
        <f ca="1"/>
        <v>62.31</v>
      </c>
      <c r="N147" s="863" t="str">
        <f ca="1">IF(F147=[2]Sheet1!O145,"","dif")</f>
        <v>dif</v>
      </c>
      <c r="BD147" s="1153"/>
      <c r="BE147" s="1153"/>
      <c r="BF147" s="1153"/>
      <c r="BG147" s="1153"/>
      <c r="BH147" s="1153"/>
      <c r="BI147" s="1153"/>
      <c r="BJ147" s="1153"/>
      <c r="BK147" s="1153"/>
      <c r="BL147" s="1153"/>
    </row>
    <row r="148" spans="2:64">
      <c r="B148" s="87" vm="369">
        <f ca="1"/>
        <v>45793</v>
      </c>
      <c r="C148" s="87" vm="370">
        <f ca="1"/>
        <v>50.1</v>
      </c>
      <c r="D148" s="1169">
        <f t="shared" ca="1" si="120"/>
        <v>5.2166934189405694E-3</v>
      </c>
      <c r="E148" s="292" t="str" cm="1">
        <f t="array" aca="1" ref="E148" ca="1">_xlfn.IFS(D148&gt;ZPercent,"U",D148&lt;=-ZPercent,"D",TRUE,"Z")</f>
        <v>U</v>
      </c>
      <c r="F148" s="292" t="str">
        <f t="shared" ca="1" si="121"/>
        <v>UU</v>
      </c>
      <c r="G148" s="292" t="str">
        <f t="shared" ca="1" si="122"/>
        <v>DUU</v>
      </c>
      <c r="H148" s="863" t="str">
        <f t="shared" ca="1" si="123"/>
        <v/>
      </c>
      <c r="J148" s="87" vm="367">
        <f ca="1"/>
        <v>45869</v>
      </c>
      <c r="K148" s="87" vm="368">
        <f ca="1"/>
        <v>62.1</v>
      </c>
      <c r="N148" s="863" t="str">
        <f ca="1">IF(F148=[2]Sheet1!O146,"","dif")</f>
        <v>dif</v>
      </c>
    </row>
    <row r="149" spans="2:64">
      <c r="B149" s="87" vm="365">
        <f ca="1"/>
        <v>45792</v>
      </c>
      <c r="C149" s="87" vm="366">
        <f ca="1"/>
        <v>49.84</v>
      </c>
      <c r="D149" s="1169">
        <f t="shared" ca="1" si="120"/>
        <v>2.4249897246198252E-2</v>
      </c>
      <c r="E149" s="292" t="str" cm="1">
        <f t="array" aca="1" ref="E149" ca="1">_xlfn.IFS(D149&gt;ZPercent,"U",D149&lt;=-ZPercent,"D",TRUE,"Z")</f>
        <v>U</v>
      </c>
      <c r="F149" s="292" t="str">
        <f t="shared" ca="1" si="121"/>
        <v>DU</v>
      </c>
      <c r="G149" s="292" t="str">
        <f t="shared" ca="1" si="122"/>
        <v>DDU</v>
      </c>
      <c r="H149" s="863" t="str">
        <f t="shared" ca="1" si="123"/>
        <v/>
      </c>
      <c r="J149" s="87" vm="363">
        <f ca="1"/>
        <v>45870</v>
      </c>
      <c r="K149" s="87" vm="364">
        <f ca="1"/>
        <v>62.59</v>
      </c>
      <c r="N149" s="863" t="str">
        <f ca="1">IF(F149=[2]Sheet1!O147,"","dif")</f>
        <v>dif</v>
      </c>
    </row>
    <row r="150" spans="2:64">
      <c r="B150" s="87" vm="361">
        <f ca="1"/>
        <v>45791</v>
      </c>
      <c r="C150" s="87" vm="362">
        <f ca="1"/>
        <v>48.66</v>
      </c>
      <c r="D150" s="1169">
        <f t="shared" ca="1" si="120"/>
        <v>-2.8160575194727457E-2</v>
      </c>
      <c r="E150" s="292" t="str" cm="1">
        <f t="array" aca="1" ref="E150" ca="1">_xlfn.IFS(D150&gt;ZPercent,"U",D150&lt;=-ZPercent,"D",TRUE,"Z")</f>
        <v>D</v>
      </c>
      <c r="F150" s="292" t="str">
        <f t="shared" ca="1" si="121"/>
        <v>DD</v>
      </c>
      <c r="G150" s="292" t="str">
        <f t="shared" ca="1" si="122"/>
        <v>DDD</v>
      </c>
      <c r="H150" s="863" t="str">
        <f t="shared" ca="1" si="123"/>
        <v/>
      </c>
      <c r="J150" s="87" vm="359">
        <f ca="1"/>
        <v>45873</v>
      </c>
      <c r="K150" s="87" vm="360">
        <f ca="1"/>
        <v>65.42</v>
      </c>
      <c r="N150" s="863" t="str">
        <f ca="1">IF(F150=[2]Sheet1!O148,"","dif")</f>
        <v>dif</v>
      </c>
    </row>
    <row r="151" spans="2:64">
      <c r="B151" s="87" vm="357">
        <f ca="1"/>
        <v>45790</v>
      </c>
      <c r="C151" s="87" vm="358">
        <f ca="1"/>
        <v>50.07</v>
      </c>
      <c r="D151" s="1169">
        <f t="shared" ca="1" si="120"/>
        <v>-1.3981882630957086E-2</v>
      </c>
      <c r="E151" s="292" t="str" cm="1">
        <f t="array" aca="1" ref="E151" ca="1">_xlfn.IFS(D151&gt;ZPercent,"U",D151&lt;=-ZPercent,"D",TRUE,"Z")</f>
        <v>D</v>
      </c>
      <c r="F151" s="292" t="str">
        <f t="shared" ca="1" si="121"/>
        <v>DD</v>
      </c>
      <c r="G151" s="292" t="str">
        <f t="shared" ca="1" si="122"/>
        <v>UDD</v>
      </c>
      <c r="H151" s="863" t="str">
        <f t="shared" ca="1" si="123"/>
        <v/>
      </c>
      <c r="J151" s="87" vm="355">
        <f ca="1"/>
        <v>45874</v>
      </c>
      <c r="K151" s="87" vm="356">
        <f ca="1"/>
        <v>67.239999999999995</v>
      </c>
      <c r="N151" s="863" t="str">
        <f ca="1">IF(F151=[2]Sheet1!O149,"","dif")</f>
        <v>dif</v>
      </c>
    </row>
    <row r="152" spans="2:64">
      <c r="B152" s="87" vm="353">
        <f ca="1"/>
        <v>45789</v>
      </c>
      <c r="C152" s="87" vm="354">
        <f ca="1"/>
        <v>50.78</v>
      </c>
      <c r="D152" s="1169">
        <f t="shared" ca="1" si="120"/>
        <v>-5.9281215264912854E-2</v>
      </c>
      <c r="E152" s="292" t="str" cm="1">
        <f t="array" aca="1" ref="E152" ca="1">_xlfn.IFS(D152&gt;ZPercent,"U",D152&lt;=-ZPercent,"D",TRUE,"Z")</f>
        <v>D</v>
      </c>
      <c r="F152" s="292" t="str">
        <f t="shared" ca="1" si="121"/>
        <v>UD</v>
      </c>
      <c r="G152" s="292" t="str">
        <f t="shared" ca="1" si="122"/>
        <v>DUD</v>
      </c>
      <c r="H152" s="863" t="str">
        <f t="shared" ca="1" si="123"/>
        <v/>
      </c>
      <c r="J152" s="87" vm="351">
        <f ca="1"/>
        <v>45875</v>
      </c>
      <c r="K152" s="87" vm="352">
        <f ca="1"/>
        <v>67.92</v>
      </c>
      <c r="N152" s="863" t="str">
        <f ca="1">IF(F152=[2]Sheet1!O150,"","dif")</f>
        <v>dif</v>
      </c>
    </row>
    <row r="153" spans="2:64">
      <c r="B153" s="87" vm="349">
        <f ca="1"/>
        <v>45786</v>
      </c>
      <c r="C153" s="87" vm="350">
        <f ca="1"/>
        <v>53.98</v>
      </c>
      <c r="D153" s="1169">
        <f t="shared" ca="1" si="120"/>
        <v>2.1767934885481708E-2</v>
      </c>
      <c r="E153" s="292" t="str" cm="1">
        <f t="array" aca="1" ref="E153" ca="1">_xlfn.IFS(D153&gt;ZPercent,"U",D153&lt;=-ZPercent,"D",TRUE,"Z")</f>
        <v>U</v>
      </c>
      <c r="F153" s="292" t="str">
        <f t="shared" ca="1" si="121"/>
        <v>DU</v>
      </c>
      <c r="G153" s="292" t="str">
        <f t="shared" ca="1" si="122"/>
        <v>DDU</v>
      </c>
      <c r="H153" s="863" t="str">
        <f t="shared" ca="1" si="123"/>
        <v/>
      </c>
      <c r="J153" s="87" vm="347">
        <f ca="1"/>
        <v>45876</v>
      </c>
      <c r="K153" s="87" vm="348">
        <f ca="1"/>
        <v>69.069999999999993</v>
      </c>
      <c r="N153" s="863" t="str">
        <f ca="1">IF(F153=[2]Sheet1!O151,"","dif")</f>
        <v>dif</v>
      </c>
    </row>
    <row r="154" spans="2:64">
      <c r="B154" s="87" vm="345">
        <f ca="1"/>
        <v>45785</v>
      </c>
      <c r="C154" s="87" vm="346">
        <f ca="1"/>
        <v>52.83</v>
      </c>
      <c r="D154" s="1169">
        <f t="shared" ca="1" si="120"/>
        <v>-2.1485460270420517E-2</v>
      </c>
      <c r="E154" s="292" t="str" cm="1">
        <f t="array" aca="1" ref="E154" ca="1">_xlfn.IFS(D154&gt;ZPercent,"U",D154&lt;=-ZPercent,"D",TRUE,"Z")</f>
        <v>D</v>
      </c>
      <c r="F154" s="292" t="str">
        <f t="shared" ca="1" si="121"/>
        <v>DD</v>
      </c>
      <c r="G154" s="292" t="str">
        <f t="shared" ca="1" si="122"/>
        <v>UDD</v>
      </c>
      <c r="H154" s="863" t="str">
        <f t="shared" ca="1" si="123"/>
        <v/>
      </c>
      <c r="J154" s="87" vm="343">
        <f ca="1"/>
        <v>45877</v>
      </c>
      <c r="K154" s="87" vm="344">
        <f ca="1"/>
        <v>68.98</v>
      </c>
      <c r="N154" s="863" t="str">
        <f ca="1">IF(F154=[2]Sheet1!O152,"","dif")</f>
        <v>dif</v>
      </c>
    </row>
    <row r="155" spans="2:64">
      <c r="B155" s="87" vm="341">
        <f ca="1"/>
        <v>45784</v>
      </c>
      <c r="C155" s="87" vm="342">
        <f ca="1"/>
        <v>53.99</v>
      </c>
      <c r="D155" s="1169">
        <f t="shared" ca="1" si="120"/>
        <v>-1.1353232008789552E-2</v>
      </c>
      <c r="E155" s="292" t="str" cm="1">
        <f t="array" aca="1" ref="E155" ca="1">_xlfn.IFS(D155&gt;ZPercent,"U",D155&lt;=-ZPercent,"D",TRUE,"Z")</f>
        <v>D</v>
      </c>
      <c r="F155" s="292" t="str">
        <f t="shared" ca="1" si="121"/>
        <v>UD</v>
      </c>
      <c r="G155" s="292" t="str">
        <f t="shared" ca="1" si="122"/>
        <v>UUD</v>
      </c>
      <c r="H155" s="863" t="str">
        <f t="shared" ca="1" si="123"/>
        <v/>
      </c>
      <c r="J155" s="87" vm="339">
        <f ca="1"/>
        <v>45880</v>
      </c>
      <c r="K155" s="87" vm="340">
        <f ca="1"/>
        <v>68.87</v>
      </c>
      <c r="N155" s="863" t="str">
        <f ca="1">IF(F155=[2]Sheet1!O153,"","dif")</f>
        <v/>
      </c>
    </row>
    <row r="156" spans="2:64">
      <c r="B156" s="87" vm="337">
        <f ca="1"/>
        <v>45783</v>
      </c>
      <c r="C156" s="87" vm="338">
        <f ca="1"/>
        <v>54.61</v>
      </c>
      <c r="D156" s="1169">
        <f t="shared" ca="1" si="120"/>
        <v>2.9600301659125194E-2</v>
      </c>
      <c r="E156" s="292" t="str" cm="1">
        <f t="array" aca="1" ref="E156" ca="1">_xlfn.IFS(D156&gt;ZPercent,"U",D156&lt;=-ZPercent,"D",TRUE,"Z")</f>
        <v>U</v>
      </c>
      <c r="F156" s="292" t="str">
        <f t="shared" ca="1" si="121"/>
        <v>UU</v>
      </c>
      <c r="G156" s="292" t="str">
        <f t="shared" ca="1" si="122"/>
        <v>ZUU</v>
      </c>
      <c r="H156" s="863" t="str">
        <f t="shared" ca="1" si="123"/>
        <v/>
      </c>
      <c r="J156" s="87" vm="335">
        <f ca="1"/>
        <v>45881</v>
      </c>
      <c r="K156" s="87" vm="336">
        <f ca="1"/>
        <v>68.930000000000007</v>
      </c>
      <c r="N156" s="863" t="str">
        <f ca="1">IF(F156=[2]Sheet1!O154,"","dif")</f>
        <v/>
      </c>
    </row>
    <row r="157" spans="2:64">
      <c r="B157" s="87" vm="333">
        <f ca="1"/>
        <v>45782</v>
      </c>
      <c r="C157" s="87" vm="334">
        <f ca="1"/>
        <v>53.04</v>
      </c>
      <c r="D157" s="1169">
        <f t="shared" ca="1" si="120"/>
        <v>2.9303318455268738E-2</v>
      </c>
      <c r="E157" s="292" t="str" cm="1">
        <f t="array" aca="1" ref="E157" ca="1">_xlfn.IFS(D157&gt;ZPercent,"U",D157&lt;=-ZPercent,"D",TRUE,"Z")</f>
        <v>U</v>
      </c>
      <c r="F157" s="292" t="str">
        <f t="shared" ca="1" si="121"/>
        <v>ZU</v>
      </c>
      <c r="G157" s="292" t="str">
        <f t="shared" ca="1" si="122"/>
        <v>DZU</v>
      </c>
      <c r="H157" s="863" t="str">
        <f t="shared" ca="1" si="123"/>
        <v/>
      </c>
      <c r="J157" s="87" vm="331">
        <f ca="1"/>
        <v>45882</v>
      </c>
      <c r="K157" s="87" vm="332">
        <f ca="1"/>
        <v>68.56</v>
      </c>
      <c r="N157" s="863" t="str">
        <f ca="1">IF(F157=[2]Sheet1!O155,"","dif")</f>
        <v>dif</v>
      </c>
    </row>
    <row r="158" spans="2:64">
      <c r="B158" s="87" vm="329">
        <f ca="1"/>
        <v>45779</v>
      </c>
      <c r="C158" s="87" vm="330">
        <f ca="1"/>
        <v>51.53</v>
      </c>
      <c r="D158" s="1169">
        <f t="shared" ca="1" si="120"/>
        <v>7.7684987376187896E-4</v>
      </c>
      <c r="E158" s="292" t="str" cm="1">
        <f t="array" aca="1" ref="E158" ca="1">_xlfn.IFS(D158&gt;ZPercent,"U",D158&lt;=-ZPercent,"D",TRUE,"Z")</f>
        <v>Z</v>
      </c>
      <c r="F158" s="292" t="str">
        <f t="shared" ca="1" si="121"/>
        <v>DZ</v>
      </c>
      <c r="G158" s="292" t="str">
        <f t="shared" ca="1" si="122"/>
        <v>DDZ</v>
      </c>
      <c r="H158" s="863" t="str">
        <f t="shared" ca="1" si="123"/>
        <v/>
      </c>
      <c r="J158" s="87" vm="327">
        <f ca="1"/>
        <v>45883</v>
      </c>
      <c r="K158" s="87" vm="328">
        <f ca="1"/>
        <v>68.48</v>
      </c>
      <c r="N158" s="863" t="str">
        <f ca="1">IF(F158=[2]Sheet1!O156,"","dif")</f>
        <v>dif</v>
      </c>
    </row>
    <row r="159" spans="2:64">
      <c r="B159" s="87" vm="325">
        <f ca="1"/>
        <v>45778</v>
      </c>
      <c r="C159" s="87" vm="326">
        <f ca="1"/>
        <v>51.49</v>
      </c>
      <c r="D159" s="1169">
        <f t="shared" ca="1" si="120"/>
        <v>-2.2589217919514005E-2</v>
      </c>
      <c r="E159" s="292" t="str" cm="1">
        <f t="array" aca="1" ref="E159" ca="1">_xlfn.IFS(D159&gt;ZPercent,"U",D159&lt;=-ZPercent,"D",TRUE,"Z")</f>
        <v>D</v>
      </c>
      <c r="F159" s="292" t="str">
        <f t="shared" ca="1" si="121"/>
        <v>DD</v>
      </c>
      <c r="G159" s="292" t="str">
        <f t="shared" ca="1" si="122"/>
        <v>DDD</v>
      </c>
      <c r="H159" s="863" t="str">
        <f t="shared" ca="1" si="123"/>
        <v/>
      </c>
      <c r="J159" s="87" vm="323">
        <f ca="1"/>
        <v>45884</v>
      </c>
      <c r="K159" s="87" vm="324">
        <f ca="1"/>
        <v>69.33</v>
      </c>
      <c r="N159" s="863" t="str">
        <f ca="1">IF(F159=[2]Sheet1!O157,"","dif")</f>
        <v>dif</v>
      </c>
    </row>
    <row r="160" spans="2:64">
      <c r="B160" s="87" vm="321">
        <f ca="1"/>
        <v>45777</v>
      </c>
      <c r="C160" s="87" vm="322">
        <f ca="1"/>
        <v>52.68</v>
      </c>
      <c r="D160" s="1169">
        <f t="shared" ref="D160:D164" ca="1" si="124">IFERROR((C160-C161)/C161,0)</f>
        <v>-5.2870090634441298E-3</v>
      </c>
      <c r="E160" s="292" t="str" cm="1">
        <f t="array" aca="1" ref="E160" ca="1">_xlfn.IFS(D160&gt;ZPercent,"U",D160&lt;=-ZPercent,"D",TRUE,"Z")</f>
        <v>D</v>
      </c>
      <c r="F160" s="292" t="str">
        <f t="shared" ref="F160:F164" ca="1" si="125">_xlfn.CONCAT(E161,E160)</f>
        <v>DD</v>
      </c>
      <c r="G160" s="292" t="str">
        <f t="shared" ref="G160:G164" ca="1" si="126">_xlfn.CONCAT(E162,E161,E160)</f>
        <v>ZDD</v>
      </c>
      <c r="H160" s="863" t="str">
        <f t="shared" ca="1" si="123"/>
        <v/>
      </c>
      <c r="J160" s="87" vm="320">
        <f ca="1"/>
        <v>45887</v>
      </c>
      <c r="K160" s="87" vm="313">
        <f ca="1"/>
        <v>69</v>
      </c>
      <c r="N160" s="863" t="str">
        <f ca="1">IF(F160=[2]Sheet1!O158,"","dif")</f>
        <v/>
      </c>
    </row>
    <row r="161" spans="2:14">
      <c r="B161" s="87" vm="318">
        <f ca="1"/>
        <v>45776</v>
      </c>
      <c r="C161" s="87" vm="319">
        <f ca="1"/>
        <v>52.96</v>
      </c>
      <c r="D161" s="1169">
        <f t="shared" ca="1" si="124"/>
        <v>-2.0528943961531338E-2</v>
      </c>
      <c r="E161" s="292" t="str" cm="1">
        <f t="array" aca="1" ref="E161" ca="1">_xlfn.IFS(D161&gt;ZPercent,"U",D161&lt;=-ZPercent,"D",TRUE,"Z")</f>
        <v>D</v>
      </c>
      <c r="F161" s="292" t="str">
        <f t="shared" ca="1" si="125"/>
        <v>ZD</v>
      </c>
      <c r="G161" s="292" t="str">
        <f t="shared" ca="1" si="126"/>
        <v>DZD</v>
      </c>
      <c r="H161" s="863" t="str">
        <f t="shared" ca="1" si="123"/>
        <v>ZZ</v>
      </c>
      <c r="J161" s="87" vm="316">
        <f ca="1"/>
        <v>45888</v>
      </c>
      <c r="K161" s="87" vm="317">
        <f ca="1"/>
        <v>67.38</v>
      </c>
      <c r="N161" s="863" t="str">
        <f ca="1">IF(F161=[2]Sheet1!O159,"","dif")</f>
        <v>dif</v>
      </c>
    </row>
    <row r="162" spans="2:14">
      <c r="B162" s="87" vm="314">
        <f ca="1"/>
        <v>45775</v>
      </c>
      <c r="C162" s="87" vm="315">
        <f ca="1"/>
        <v>54.07</v>
      </c>
      <c r="D162" s="1169">
        <f t="shared" ca="1" si="124"/>
        <v>2.4100852799407223E-3</v>
      </c>
      <c r="E162" s="292" t="str" cm="1">
        <f t="array" aca="1" ref="E162" ca="1">_xlfn.IFS(D162&gt;ZPercent,"U",D162&lt;=-ZPercent,"D",TRUE,"Z")</f>
        <v>Z</v>
      </c>
      <c r="F162" s="292" t="str">
        <f t="shared" ca="1" si="125"/>
        <v>DZ</v>
      </c>
      <c r="G162" s="292" t="str">
        <f t="shared" ca="1" si="126"/>
        <v>UDZ</v>
      </c>
      <c r="H162" s="863" t="str">
        <f t="shared" ca="1" si="123"/>
        <v/>
      </c>
      <c r="J162" s="87" vm="312">
        <f ca="1"/>
        <v>45889</v>
      </c>
      <c r="K162" s="87" vm="313">
        <f ca="1"/>
        <v>69</v>
      </c>
      <c r="N162" s="863" t="str">
        <f ca="1">IF(F162=[2]Sheet1!O160,"","dif")</f>
        <v>dif</v>
      </c>
    </row>
    <row r="163" spans="2:14">
      <c r="B163" s="87" vm="310">
        <f ca="1"/>
        <v>45772</v>
      </c>
      <c r="C163" s="87" vm="311">
        <f ca="1"/>
        <v>53.94</v>
      </c>
      <c r="D163" s="1169">
        <f t="shared" ca="1" si="124"/>
        <v>-3.1597845601436358E-2</v>
      </c>
      <c r="E163" s="292" t="str" cm="1">
        <f t="array" aca="1" ref="E163" ca="1">_xlfn.IFS(D163&gt;ZPercent,"U",D163&lt;=-ZPercent,"D",TRUE,"Z")</f>
        <v>D</v>
      </c>
      <c r="F163" s="292" t="str">
        <f t="shared" ca="1" si="125"/>
        <v>UD</v>
      </c>
      <c r="G163" s="292" t="str">
        <f t="shared" ca="1" si="126"/>
        <v>DUD</v>
      </c>
      <c r="H163" s="863" t="str">
        <f t="shared" ca="1" si="123"/>
        <v/>
      </c>
      <c r="J163" s="87" vm="308">
        <f ca="1"/>
        <v>45890</v>
      </c>
      <c r="K163" s="87" vm="309">
        <f ca="1"/>
        <v>70.09</v>
      </c>
      <c r="N163" s="863" t="str">
        <f ca="1">IF(F163=[2]Sheet1!O161,"","dif")</f>
        <v>dif</v>
      </c>
    </row>
    <row r="164" spans="2:14">
      <c r="B164" s="87" vm="306">
        <f ca="1"/>
        <v>45771</v>
      </c>
      <c r="C164" s="87" vm="307">
        <f ca="1"/>
        <v>55.7</v>
      </c>
      <c r="D164" s="1169">
        <f t="shared" ca="1" si="124"/>
        <v>4.7977422389463863E-2</v>
      </c>
      <c r="E164" s="292" t="str" cm="1">
        <f t="array" aca="1" ref="E164" ca="1">_xlfn.IFS(D164&gt;ZPercent,"U",D164&lt;=-ZPercent,"D",TRUE,"Z")</f>
        <v>U</v>
      </c>
      <c r="F164" s="292" t="str">
        <f t="shared" ca="1" si="125"/>
        <v>DU</v>
      </c>
      <c r="G164" s="292" t="str">
        <f t="shared" ca="1" si="126"/>
        <v>DDU</v>
      </c>
      <c r="H164" s="863" t="str">
        <f t="shared" ca="1" si="123"/>
        <v/>
      </c>
      <c r="J164" s="87" vm="304">
        <f ca="1"/>
        <v>45891</v>
      </c>
      <c r="K164" s="87" vm="305">
        <f ca="1"/>
        <v>70.77</v>
      </c>
      <c r="N164" s="863" t="str">
        <f ca="1">IF(F164=[2]Sheet1!O162,"","dif")</f>
        <v/>
      </c>
    </row>
    <row r="165" spans="2:14">
      <c r="B165" s="87" vm="302">
        <f ca="1"/>
        <v>45770</v>
      </c>
      <c r="C165" s="87" vm="303">
        <f ca="1"/>
        <v>53.15</v>
      </c>
      <c r="D165" s="1169">
        <f t="shared" ref="D165:D201" ca="1" si="127">IFERROR((C165-C166)/C166,0)</f>
        <v>-2.5485881921525497E-2</v>
      </c>
      <c r="E165" s="292" t="str" cm="1">
        <f t="array" aca="1" ref="E165" ca="1">_xlfn.IFS(D165&gt;ZPercent,"U",D165&lt;=-ZPercent,"D",TRUE,"Z")</f>
        <v>D</v>
      </c>
      <c r="F165" s="292" t="str">
        <f t="shared" ref="F165:F201" ca="1" si="128">_xlfn.CONCAT(E166,E165)</f>
        <v>DD</v>
      </c>
      <c r="G165" s="292" t="str">
        <f t="shared" ref="G165:G201" ca="1" si="129">_xlfn.CONCAT(E167,E166,E165)</f>
        <v>ZDD</v>
      </c>
      <c r="H165" s="863" t="str">
        <f t="shared" ca="1" si="123"/>
        <v/>
      </c>
      <c r="J165" s="87" vm="300">
        <f ca="1"/>
        <v>45894</v>
      </c>
      <c r="K165" s="87" vm="301">
        <f ca="1"/>
        <v>71.099999999999994</v>
      </c>
      <c r="N165" s="863" t="str">
        <f ca="1">IF(F165=[2]Sheet1!O163,"","dif")</f>
        <v>dif</v>
      </c>
    </row>
    <row r="166" spans="2:14">
      <c r="B166" s="87" vm="298">
        <f ca="1"/>
        <v>45769</v>
      </c>
      <c r="C166" s="87" vm="299">
        <f ca="1"/>
        <v>54.54</v>
      </c>
      <c r="D166" s="1169">
        <f t="shared" ca="1" si="127"/>
        <v>-1.2135482702409014E-2</v>
      </c>
      <c r="E166" s="292" t="str" cm="1">
        <f t="array" aca="1" ref="E166" ca="1">_xlfn.IFS(D166&gt;ZPercent,"U",D166&lt;=-ZPercent,"D",TRUE,"Z")</f>
        <v>D</v>
      </c>
      <c r="F166" s="292" t="str">
        <f t="shared" ca="1" si="128"/>
        <v>ZD</v>
      </c>
      <c r="G166" s="292" t="str">
        <f t="shared" ca="1" si="129"/>
        <v>DZD</v>
      </c>
      <c r="H166" s="863" t="str">
        <f t="shared" ca="1" si="123"/>
        <v>ZZ</v>
      </c>
      <c r="J166" s="87" vm="296">
        <f ca="1"/>
        <v>45895</v>
      </c>
      <c r="K166" s="87" vm="297">
        <f ca="1"/>
        <v>72.430000000000007</v>
      </c>
      <c r="N166" s="863" t="str">
        <f ca="1">IF(F166=[2]Sheet1!O164,"","dif")</f>
        <v>dif</v>
      </c>
    </row>
    <row r="167" spans="2:14">
      <c r="B167" s="87" vm="294">
        <f ca="1"/>
        <v>45768</v>
      </c>
      <c r="C167" s="87" vm="295">
        <f ca="1"/>
        <v>55.21</v>
      </c>
      <c r="D167" s="1169">
        <f t="shared" ca="1" si="127"/>
        <v>2.3602033405955439E-3</v>
      </c>
      <c r="E167" s="292" t="str" cm="1">
        <f t="array" aca="1" ref="E167" ca="1">_xlfn.IFS(D167&gt;ZPercent,"U",D167&lt;=-ZPercent,"D",TRUE,"Z")</f>
        <v>Z</v>
      </c>
      <c r="F167" s="292" t="str">
        <f t="shared" ca="1" si="128"/>
        <v>DZ</v>
      </c>
      <c r="G167" s="292" t="str">
        <f t="shared" ca="1" si="129"/>
        <v>UDZ</v>
      </c>
      <c r="H167" s="863" t="str">
        <f t="shared" ca="1" si="123"/>
        <v/>
      </c>
      <c r="J167" s="87" vm="292">
        <f ca="1"/>
        <v>45896</v>
      </c>
      <c r="K167" s="87" vm="293">
        <f ca="1"/>
        <v>72.39</v>
      </c>
      <c r="N167" s="863" t="str">
        <f ca="1">IF(F167=[2]Sheet1!O165,"","dif")</f>
        <v>dif</v>
      </c>
    </row>
    <row r="168" spans="2:14">
      <c r="B168" s="87" vm="290">
        <f ca="1"/>
        <v>45764</v>
      </c>
      <c r="C168" s="87" vm="291">
        <f ca="1"/>
        <v>55.08</v>
      </c>
      <c r="D168" s="1169">
        <f t="shared" ca="1" si="127"/>
        <v>-1.5549597855227963E-2</v>
      </c>
      <c r="E168" s="292" t="str" cm="1">
        <f t="array" aca="1" ref="E168" ca="1">_xlfn.IFS(D168&gt;ZPercent,"U",D168&lt;=-ZPercent,"D",TRUE,"Z")</f>
        <v>D</v>
      </c>
      <c r="F168" s="292" t="str">
        <f t="shared" ca="1" si="128"/>
        <v>UD</v>
      </c>
      <c r="G168" s="292" t="str">
        <f t="shared" ca="1" si="129"/>
        <v>ZUD</v>
      </c>
      <c r="H168" s="863" t="str">
        <f t="shared" ca="1" si="123"/>
        <v/>
      </c>
      <c r="J168" s="87" vm="288">
        <f ca="1"/>
        <v>45897</v>
      </c>
      <c r="K168" s="87" vm="289">
        <f ca="1"/>
        <v>72.97</v>
      </c>
      <c r="N168" s="863" t="str">
        <f ca="1">IF(F168=[2]Sheet1!O166,"","dif")</f>
        <v>dif</v>
      </c>
    </row>
    <row r="169" spans="2:14">
      <c r="B169" s="87" vm="286">
        <f ca="1"/>
        <v>45763</v>
      </c>
      <c r="C169" s="87" vm="287">
        <f ca="1"/>
        <v>55.95</v>
      </c>
      <c r="D169" s="1169">
        <f t="shared" ca="1" si="127"/>
        <v>2.5100769512642077E-2</v>
      </c>
      <c r="E169" s="292" t="str" cm="1">
        <f t="array" aca="1" ref="E169" ca="1">_xlfn.IFS(D169&gt;ZPercent,"U",D169&lt;=-ZPercent,"D",TRUE,"Z")</f>
        <v>U</v>
      </c>
      <c r="F169" s="292" t="str">
        <f t="shared" ca="1" si="128"/>
        <v>ZU</v>
      </c>
      <c r="G169" s="292" t="str">
        <f t="shared" ca="1" si="129"/>
        <v>ZZU</v>
      </c>
      <c r="H169" s="863" t="str">
        <f t="shared" ca="1" si="123"/>
        <v/>
      </c>
      <c r="J169" s="87" vm="284">
        <f ca="1"/>
        <v>45898</v>
      </c>
      <c r="K169" s="87" vm="285">
        <f ca="1"/>
        <v>74.400000000000006</v>
      </c>
      <c r="N169" s="863" t="str">
        <f ca="1">IF(F169=[2]Sheet1!O167,"","dif")</f>
        <v>dif</v>
      </c>
    </row>
    <row r="170" spans="2:14">
      <c r="B170" s="87" vm="282">
        <f ca="1"/>
        <v>45762</v>
      </c>
      <c r="C170" s="87" vm="283">
        <f ca="1"/>
        <v>54.58</v>
      </c>
      <c r="D170" s="1169">
        <f t="shared" ca="1" si="127"/>
        <v>-3.8328162073371207E-3</v>
      </c>
      <c r="E170" s="292" t="str" cm="1">
        <f t="array" aca="1" ref="E170" ca="1">_xlfn.IFS(D170&gt;ZPercent,"U",D170&lt;=-ZPercent,"D",TRUE,"Z")</f>
        <v>Z</v>
      </c>
      <c r="F170" s="292" t="str">
        <f t="shared" ca="1" si="128"/>
        <v>ZZ</v>
      </c>
      <c r="G170" s="292" t="str">
        <f t="shared" ca="1" si="129"/>
        <v>UZZ</v>
      </c>
      <c r="H170" s="863" t="str">
        <f t="shared" ca="1" si="123"/>
        <v/>
      </c>
      <c r="J170" s="87" vm="280">
        <f ca="1"/>
        <v>45902</v>
      </c>
      <c r="K170" s="87" vm="281">
        <f ca="1"/>
        <v>75.86</v>
      </c>
      <c r="N170" s="863" t="str">
        <f ca="1">IF(F170=[2]Sheet1!O168,"","dif")</f>
        <v>dif</v>
      </c>
    </row>
    <row r="171" spans="2:14">
      <c r="B171" s="87" vm="278">
        <f ca="1"/>
        <v>45761</v>
      </c>
      <c r="C171" s="87" vm="279">
        <f ca="1"/>
        <v>54.79</v>
      </c>
      <c r="D171" s="1169">
        <f t="shared" ca="1" si="127"/>
        <v>-3.2745133709295928E-3</v>
      </c>
      <c r="E171" s="292" t="str" cm="1">
        <f t="array" aca="1" ref="E171" ca="1">_xlfn.IFS(D171&gt;ZPercent,"U",D171&lt;=-ZPercent,"D",TRUE,"Z")</f>
        <v>Z</v>
      </c>
      <c r="F171" s="292" t="str">
        <f t="shared" ca="1" si="128"/>
        <v>UZ</v>
      </c>
      <c r="G171" s="292" t="str">
        <f t="shared" ca="1" si="129"/>
        <v>UUZ</v>
      </c>
      <c r="H171" s="863" t="str">
        <f t="shared" ca="1" si="123"/>
        <v/>
      </c>
      <c r="J171" s="87" vm="276">
        <f ca="1"/>
        <v>45903</v>
      </c>
      <c r="K171" s="87" vm="277">
        <f ca="1"/>
        <v>75.42</v>
      </c>
      <c r="N171" s="863" t="str">
        <f ca="1">IF(F171=[2]Sheet1!O169,"","dif")</f>
        <v>dif</v>
      </c>
    </row>
    <row r="172" spans="2:14">
      <c r="B172" s="87" vm="274">
        <f ca="1"/>
        <v>45758</v>
      </c>
      <c r="C172" s="87" vm="275">
        <f ca="1"/>
        <v>54.97</v>
      </c>
      <c r="D172" s="1169">
        <f t="shared" ca="1" si="127"/>
        <v>7.9112681586179845E-2</v>
      </c>
      <c r="E172" s="292" t="str" cm="1">
        <f t="array" aca="1" ref="E172" ca="1">_xlfn.IFS(D172&gt;ZPercent,"U",D172&lt;=-ZPercent,"D",TRUE,"Z")</f>
        <v>U</v>
      </c>
      <c r="F172" s="292" t="str">
        <f t="shared" ca="1" si="128"/>
        <v>UU</v>
      </c>
      <c r="G172" s="292" t="str">
        <f t="shared" ca="1" si="129"/>
        <v>UUU</v>
      </c>
      <c r="H172" s="863" t="str">
        <f t="shared" ca="1" si="123"/>
        <v/>
      </c>
      <c r="J172" s="87" vm="272">
        <f ca="1"/>
        <v>45904</v>
      </c>
      <c r="K172" s="87" vm="273">
        <f ca="1"/>
        <v>74.88</v>
      </c>
      <c r="N172" s="863" t="str">
        <f ca="1">IF(F172=[2]Sheet1!O170,"","dif")</f>
        <v>dif</v>
      </c>
    </row>
    <row r="173" spans="2:14">
      <c r="B173" s="87" vm="270">
        <f ca="1"/>
        <v>45757</v>
      </c>
      <c r="C173" s="87" vm="271">
        <f ca="1"/>
        <v>50.94</v>
      </c>
      <c r="D173" s="1169">
        <f t="shared" ca="1" si="127"/>
        <v>4.4923076923076878E-2</v>
      </c>
      <c r="E173" s="292" t="str" cm="1">
        <f t="array" aca="1" ref="E173" ca="1">_xlfn.IFS(D173&gt;ZPercent,"U",D173&lt;=-ZPercent,"D",TRUE,"Z")</f>
        <v>U</v>
      </c>
      <c r="F173" s="292" t="str">
        <f t="shared" ca="1" si="128"/>
        <v>UU</v>
      </c>
      <c r="G173" s="292" t="str">
        <f t="shared" ca="1" si="129"/>
        <v>ZUU</v>
      </c>
      <c r="H173" s="863" t="str">
        <f t="shared" ca="1" si="123"/>
        <v/>
      </c>
      <c r="J173" s="87" vm="268">
        <f ca="1"/>
        <v>45905</v>
      </c>
      <c r="K173" s="87" vm="269">
        <f ca="1"/>
        <v>76.17</v>
      </c>
      <c r="N173" s="863" t="str">
        <f ca="1">IF(F173=[2]Sheet1!O171,"","dif")</f>
        <v>dif</v>
      </c>
    </row>
    <row r="174" spans="2:14">
      <c r="B174" s="87" vm="266">
        <f ca="1"/>
        <v>45756</v>
      </c>
      <c r="C174" s="87" vm="267">
        <f ca="1"/>
        <v>48.75</v>
      </c>
      <c r="D174" s="1169">
        <f t="shared" ca="1" si="127"/>
        <v>8.4297153024911017E-2</v>
      </c>
      <c r="E174" s="292" t="str" cm="1">
        <f t="array" aca="1" ref="E174" ca="1">_xlfn.IFS(D174&gt;ZPercent,"U",D174&lt;=-ZPercent,"D",TRUE,"Z")</f>
        <v>U</v>
      </c>
      <c r="F174" s="292" t="str">
        <f t="shared" ca="1" si="128"/>
        <v>ZU</v>
      </c>
      <c r="G174" s="292" t="str">
        <f t="shared" ca="1" si="129"/>
        <v>UZU</v>
      </c>
      <c r="H174" s="863" t="str">
        <f t="shared" ca="1" si="123"/>
        <v/>
      </c>
      <c r="J174" s="87" vm="264">
        <f ca="1"/>
        <v>45908</v>
      </c>
      <c r="K174" s="87" vm="265">
        <f ca="1"/>
        <v>75.75</v>
      </c>
      <c r="N174" s="863" t="str">
        <f ca="1">IF(F174=[2]Sheet1!O172,"","dif")</f>
        <v>dif</v>
      </c>
    </row>
    <row r="175" spans="2:14">
      <c r="B175" s="87" vm="263">
        <f ca="1"/>
        <v>45755</v>
      </c>
      <c r="C175" s="87" vm="92">
        <f ca="1"/>
        <v>44.96</v>
      </c>
      <c r="D175" s="1169">
        <f t="shared" ca="1" si="127"/>
        <v>2.2291573785109546E-3</v>
      </c>
      <c r="E175" s="292" t="str" cm="1">
        <f t="array" aca="1" ref="E175" ca="1">_xlfn.IFS(D175&gt;ZPercent,"U",D175&lt;=-ZPercent,"D",TRUE,"Z")</f>
        <v>Z</v>
      </c>
      <c r="F175" s="292" t="str">
        <f t="shared" ca="1" si="128"/>
        <v>UZ</v>
      </c>
      <c r="G175" s="292" t="str">
        <f t="shared" ca="1" si="129"/>
        <v>DUZ</v>
      </c>
      <c r="H175" s="863" t="str">
        <f t="shared" ca="1" si="123"/>
        <v/>
      </c>
      <c r="J175" s="87" vm="261">
        <f ca="1"/>
        <v>45909</v>
      </c>
      <c r="K175" s="87" vm="262">
        <f ca="1"/>
        <v>75.92</v>
      </c>
      <c r="N175" s="863" t="str">
        <f ca="1">IF(F175=[2]Sheet1!O173,"","dif")</f>
        <v>dif</v>
      </c>
    </row>
    <row r="176" spans="2:14">
      <c r="B176" s="87" vm="259">
        <f ca="1"/>
        <v>45754</v>
      </c>
      <c r="C176" s="87" vm="260">
        <f ca="1"/>
        <v>44.86</v>
      </c>
      <c r="D176" s="1169">
        <f t="shared" ca="1" si="127"/>
        <v>1.5391579900407418E-2</v>
      </c>
      <c r="E176" s="292" t="str" cm="1">
        <f t="array" aca="1" ref="E176" ca="1">_xlfn.IFS(D176&gt;ZPercent,"U",D176&lt;=-ZPercent,"D",TRUE,"Z")</f>
        <v>U</v>
      </c>
      <c r="F176" s="292" t="str">
        <f t="shared" ca="1" si="128"/>
        <v>DU</v>
      </c>
      <c r="G176" s="292" t="str">
        <f t="shared" ca="1" si="129"/>
        <v>DDU</v>
      </c>
      <c r="H176" s="863" t="str">
        <f t="shared" ca="1" si="123"/>
        <v/>
      </c>
      <c r="J176" s="87" vm="257">
        <f ca="1"/>
        <v>45910</v>
      </c>
      <c r="K176" s="87" vm="258">
        <f ca="1"/>
        <v>78.430000000000007</v>
      </c>
      <c r="N176" s="863" t="str">
        <f ca="1">IF(F176=[2]Sheet1!O174,"","dif")</f>
        <v>dif</v>
      </c>
    </row>
    <row r="177" spans="2:14">
      <c r="B177" s="87" vm="255">
        <f ca="1"/>
        <v>45751</v>
      </c>
      <c r="C177" s="87" vm="256">
        <f ca="1"/>
        <v>44.18</v>
      </c>
      <c r="D177" s="1169">
        <f t="shared" ca="1" si="127"/>
        <v>-8.5867990895923826E-2</v>
      </c>
      <c r="E177" s="292" t="str" cm="1">
        <f t="array" aca="1" ref="E177" ca="1">_xlfn.IFS(D177&gt;ZPercent,"U",D177&lt;=-ZPercent,"D",TRUE,"Z")</f>
        <v>D</v>
      </c>
      <c r="F177" s="292" t="str">
        <f t="shared" ca="1" si="128"/>
        <v>DD</v>
      </c>
      <c r="G177" s="292" t="str">
        <f t="shared" ca="1" si="129"/>
        <v>UDD</v>
      </c>
      <c r="H177" s="863" t="str">
        <f t="shared" ca="1" si="123"/>
        <v/>
      </c>
      <c r="J177" s="87" vm="253">
        <f ca="1"/>
        <v>45911</v>
      </c>
      <c r="K177" s="87" vm="254">
        <f ca="1"/>
        <v>79.650000000000006</v>
      </c>
      <c r="N177" s="863" t="str">
        <f ca="1">IF(F177=[2]Sheet1!O175,"","dif")</f>
        <v>dif</v>
      </c>
    </row>
    <row r="178" spans="2:14">
      <c r="B178" s="87" vm="251">
        <f ca="1"/>
        <v>45750</v>
      </c>
      <c r="C178" s="87" vm="252">
        <f ca="1"/>
        <v>48.33</v>
      </c>
      <c r="D178" s="1169">
        <f t="shared" ca="1" si="127"/>
        <v>-8.2084957931458768E-3</v>
      </c>
      <c r="E178" s="292" t="str" cm="1">
        <f t="array" aca="1" ref="E178" ca="1">_xlfn.IFS(D178&gt;ZPercent,"U",D178&lt;=-ZPercent,"D",TRUE,"Z")</f>
        <v>D</v>
      </c>
      <c r="F178" s="292" t="str">
        <f t="shared" ca="1" si="128"/>
        <v>UD</v>
      </c>
      <c r="G178" s="292" t="str">
        <f t="shared" ca="1" si="129"/>
        <v>ZUD</v>
      </c>
      <c r="H178" s="863" t="str">
        <f t="shared" ca="1" si="123"/>
        <v/>
      </c>
      <c r="J178" s="87" vm="249">
        <f ca="1"/>
        <v>45912</v>
      </c>
      <c r="K178" s="87" vm="250">
        <f ca="1"/>
        <v>79.25</v>
      </c>
      <c r="N178" s="863" t="str">
        <f ca="1">IF(F178=[2]Sheet1!O176,"","dif")</f>
        <v>dif</v>
      </c>
    </row>
    <row r="179" spans="2:14">
      <c r="B179" s="87" vm="247">
        <f ca="1"/>
        <v>45749</v>
      </c>
      <c r="C179" s="87" vm="248">
        <f ca="1"/>
        <v>48.73</v>
      </c>
      <c r="D179" s="1169">
        <f t="shared" ca="1" si="127"/>
        <v>9.1116173120728457E-3</v>
      </c>
      <c r="E179" s="292" t="str" cm="1">
        <f t="array" aca="1" ref="E179" ca="1">_xlfn.IFS(D179&gt;ZPercent,"U",D179&lt;=-ZPercent,"D",TRUE,"Z")</f>
        <v>U</v>
      </c>
      <c r="F179" s="292" t="str">
        <f t="shared" ca="1" si="128"/>
        <v>ZU</v>
      </c>
      <c r="G179" s="292" t="str">
        <f t="shared" ca="1" si="129"/>
        <v>ZZU</v>
      </c>
      <c r="H179" s="863" t="str">
        <f t="shared" ca="1" si="123"/>
        <v/>
      </c>
      <c r="J179" s="87" vm="245">
        <f ca="1"/>
        <v>45915</v>
      </c>
      <c r="K179" s="87" vm="246">
        <f ca="1"/>
        <v>79.36</v>
      </c>
      <c r="N179" s="863" t="str">
        <f ca="1">IF(F179=[2]Sheet1!O177,"","dif")</f>
        <v>dif</v>
      </c>
    </row>
    <row r="180" spans="2:14">
      <c r="B180" s="87" vm="243">
        <f ca="1"/>
        <v>45748</v>
      </c>
      <c r="C180" s="87" vm="244">
        <f ca="1"/>
        <v>48.29</v>
      </c>
      <c r="D180" s="1169">
        <f t="shared" ca="1" si="127"/>
        <v>2.0712510356251057E-4</v>
      </c>
      <c r="E180" s="292" t="str" cm="1">
        <f t="array" aca="1" ref="E180" ca="1">_xlfn.IFS(D180&gt;ZPercent,"U",D180&lt;=-ZPercent,"D",TRUE,"Z")</f>
        <v>Z</v>
      </c>
      <c r="F180" s="292" t="str">
        <f t="shared" ca="1" si="128"/>
        <v>ZZ</v>
      </c>
      <c r="G180" s="292" t="str">
        <f t="shared" ca="1" si="129"/>
        <v>DZZ</v>
      </c>
      <c r="H180" s="863" t="str">
        <f t="shared" ca="1" si="123"/>
        <v/>
      </c>
      <c r="J180" s="87" vm="241">
        <f ca="1"/>
        <v>45916</v>
      </c>
      <c r="K180" s="87" vm="242">
        <f ca="1"/>
        <v>79.02</v>
      </c>
      <c r="N180" s="863" t="str">
        <f ca="1">IF(F180=[2]Sheet1!O178,"","dif")</f>
        <v>dif</v>
      </c>
    </row>
    <row r="181" spans="2:14">
      <c r="B181" s="87" vm="239">
        <f ca="1"/>
        <v>45747</v>
      </c>
      <c r="C181" s="87" vm="240">
        <f ca="1"/>
        <v>48.28</v>
      </c>
      <c r="D181" s="1169">
        <f t="shared" ca="1" si="127"/>
        <v>4.1597337770383292E-3</v>
      </c>
      <c r="E181" s="292" t="str" cm="1">
        <f t="array" aca="1" ref="E181" ca="1">_xlfn.IFS(D181&gt;ZPercent,"U",D181&lt;=-ZPercent,"D",TRUE,"Z")</f>
        <v>Z</v>
      </c>
      <c r="F181" s="292" t="str">
        <f t="shared" ca="1" si="128"/>
        <v>DZ</v>
      </c>
      <c r="G181" s="292" t="str">
        <f t="shared" ca="1" si="129"/>
        <v>UDZ</v>
      </c>
      <c r="H181" s="863" t="str">
        <f t="shared" ca="1" si="123"/>
        <v/>
      </c>
      <c r="J181" s="87" vm="237">
        <f ca="1"/>
        <v>45917</v>
      </c>
      <c r="K181" s="87" vm="238">
        <f ca="1"/>
        <v>78.69</v>
      </c>
      <c r="N181" s="863" t="str">
        <f ca="1">IF(F181=[2]Sheet1!O179,"","dif")</f>
        <v>dif</v>
      </c>
    </row>
    <row r="182" spans="2:14">
      <c r="B182" s="87" vm="235">
        <f ca="1"/>
        <v>45744</v>
      </c>
      <c r="C182" s="87" vm="236">
        <f ca="1"/>
        <v>48.08</v>
      </c>
      <c r="D182" s="1169">
        <f t="shared" ca="1" si="127"/>
        <v>-6.4062822897293301E-3</v>
      </c>
      <c r="E182" s="292" t="str" cm="1">
        <f t="array" aca="1" ref="E182" ca="1">_xlfn.IFS(D182&gt;ZPercent,"U",D182&lt;=-ZPercent,"D",TRUE,"Z")</f>
        <v>D</v>
      </c>
      <c r="F182" s="292" t="str">
        <f t="shared" ca="1" si="128"/>
        <v>UD</v>
      </c>
      <c r="G182" s="292" t="str">
        <f t="shared" ca="1" si="129"/>
        <v>ZUD</v>
      </c>
      <c r="H182" s="863" t="str">
        <f t="shared" ca="1" si="123"/>
        <v/>
      </c>
      <c r="J182" s="87" vm="233">
        <f ca="1"/>
        <v>45918</v>
      </c>
      <c r="K182" s="87" vm="234">
        <f ca="1"/>
        <v>78.319999999999993</v>
      </c>
      <c r="N182" s="863" t="str">
        <f ca="1">IF(F182=[2]Sheet1!O180,"","dif")</f>
        <v>dif</v>
      </c>
    </row>
    <row r="183" spans="2:14">
      <c r="B183" s="87" vm="231">
        <f ca="1"/>
        <v>45743</v>
      </c>
      <c r="C183" s="87" vm="232">
        <f ca="1"/>
        <v>48.39</v>
      </c>
      <c r="D183" s="1169">
        <f t="shared" ca="1" si="127"/>
        <v>2.1101498206372651E-2</v>
      </c>
      <c r="E183" s="292" t="str" cm="1">
        <f t="array" aca="1" ref="E183" ca="1">_xlfn.IFS(D183&gt;ZPercent,"U",D183&lt;=-ZPercent,"D",TRUE,"Z")</f>
        <v>U</v>
      </c>
      <c r="F183" s="292" t="str">
        <f t="shared" ca="1" si="128"/>
        <v>ZU</v>
      </c>
      <c r="G183" s="292" t="str">
        <f t="shared" ca="1" si="129"/>
        <v>UZU</v>
      </c>
      <c r="H183" s="863" t="str">
        <f t="shared" ca="1" si="123"/>
        <v/>
      </c>
      <c r="J183" s="87" vm="229">
        <f ca="1"/>
        <v>45919</v>
      </c>
      <c r="K183" s="87" vm="230">
        <f ca="1"/>
        <v>81.72</v>
      </c>
      <c r="N183" s="863" t="str">
        <f ca="1">IF(F183=[2]Sheet1!O181,"","dif")</f>
        <v>dif</v>
      </c>
    </row>
    <row r="184" spans="2:14">
      <c r="B184" s="87" vm="227">
        <f ca="1"/>
        <v>45742</v>
      </c>
      <c r="C184" s="87" vm="228">
        <f ca="1"/>
        <v>47.39</v>
      </c>
      <c r="D184" s="1169">
        <f t="shared" ca="1" si="127"/>
        <v>-3.3648790746581832E-3</v>
      </c>
      <c r="E184" s="292" t="str" cm="1">
        <f t="array" aca="1" ref="E184" ca="1">_xlfn.IFS(D184&gt;ZPercent,"U",D184&lt;=-ZPercent,"D",TRUE,"Z")</f>
        <v>Z</v>
      </c>
      <c r="F184" s="292" t="str">
        <f t="shared" ca="1" si="128"/>
        <v>UZ</v>
      </c>
      <c r="G184" s="292" t="str">
        <f t="shared" ca="1" si="129"/>
        <v>DUZ</v>
      </c>
      <c r="H184" s="863" t="str">
        <f t="shared" ca="1" si="123"/>
        <v/>
      </c>
      <c r="J184" s="87" vm="225">
        <f ca="1"/>
        <v>45922</v>
      </c>
      <c r="K184" s="87" vm="226">
        <f ca="1"/>
        <v>83.72</v>
      </c>
      <c r="N184" s="863" t="str">
        <f ca="1">IF(F184=[2]Sheet1!O182,"","dif")</f>
        <v>dif</v>
      </c>
    </row>
    <row r="185" spans="2:14">
      <c r="B185" s="87" vm="223">
        <f ca="1"/>
        <v>45741</v>
      </c>
      <c r="C185" s="87" vm="224">
        <f ca="1"/>
        <v>47.55</v>
      </c>
      <c r="D185" s="1169">
        <f t="shared" ca="1" si="127"/>
        <v>1.5591627509611211E-2</v>
      </c>
      <c r="E185" s="292" t="str" cm="1">
        <f t="array" aca="1" ref="E185" ca="1">_xlfn.IFS(D185&gt;ZPercent,"U",D185&lt;=-ZPercent,"D",TRUE,"Z")</f>
        <v>U</v>
      </c>
      <c r="F185" s="292" t="str">
        <f t="shared" ca="1" si="128"/>
        <v>DU</v>
      </c>
      <c r="G185" s="292" t="str">
        <f t="shared" ca="1" si="129"/>
        <v>DDU</v>
      </c>
      <c r="H185" s="863" t="str">
        <f t="shared" ca="1" si="123"/>
        <v/>
      </c>
      <c r="J185" s="87" vm="221">
        <f ca="1"/>
        <v>45923</v>
      </c>
      <c r="K185" s="87" vm="222">
        <f ca="1"/>
        <v>84.67</v>
      </c>
      <c r="N185" s="863" t="str">
        <f ca="1">IF(F185=[2]Sheet1!O183,"","dif")</f>
        <v>dif</v>
      </c>
    </row>
    <row r="186" spans="2:14">
      <c r="B186" s="87" vm="219">
        <f ca="1"/>
        <v>45740</v>
      </c>
      <c r="C186" s="87" vm="220">
        <f ca="1"/>
        <v>46.82</v>
      </c>
      <c r="D186" s="1169">
        <f t="shared" ca="1" si="127"/>
        <v>-1.1402027027027009E-2</v>
      </c>
      <c r="E186" s="292" t="str" cm="1">
        <f t="array" aca="1" ref="E186" ca="1">_xlfn.IFS(D186&gt;ZPercent,"U",D186&lt;=-ZPercent,"D",TRUE,"Z")</f>
        <v>D</v>
      </c>
      <c r="F186" s="292" t="str">
        <f t="shared" ca="1" si="128"/>
        <v>DD</v>
      </c>
      <c r="G186" s="292" t="str">
        <f t="shared" ca="1" si="129"/>
        <v>ZDD</v>
      </c>
      <c r="H186" s="863" t="str">
        <f t="shared" ca="1" si="123"/>
        <v/>
      </c>
      <c r="J186" s="87" vm="217">
        <f ca="1"/>
        <v>45924</v>
      </c>
      <c r="K186" s="87" vm="218">
        <f ca="1"/>
        <v>83.47</v>
      </c>
      <c r="N186" s="863" t="str">
        <f ca="1">IF(F186=[2]Sheet1!O184,"","dif")</f>
        <v>dif</v>
      </c>
    </row>
    <row r="187" spans="2:14">
      <c r="B187" s="87" vm="215">
        <f ca="1"/>
        <v>45737</v>
      </c>
      <c r="C187" s="87" vm="216">
        <f ca="1"/>
        <v>47.36</v>
      </c>
      <c r="D187" s="1169">
        <f t="shared" ca="1" si="127"/>
        <v>-8.3752093802344756E-3</v>
      </c>
      <c r="E187" s="292" t="str" cm="1">
        <f t="array" aca="1" ref="E187" ca="1">_xlfn.IFS(D187&gt;ZPercent,"U",D187&lt;=-ZPercent,"D",TRUE,"Z")</f>
        <v>D</v>
      </c>
      <c r="F187" s="292" t="str">
        <f t="shared" ca="1" si="128"/>
        <v>ZD</v>
      </c>
      <c r="G187" s="292" t="str">
        <f t="shared" ca="1" si="129"/>
        <v>ZZD</v>
      </c>
      <c r="H187" s="863" t="str">
        <f t="shared" ca="1" si="123"/>
        <v>ZZ</v>
      </c>
      <c r="J187" s="87" vm="213">
        <f ca="1"/>
        <v>45925</v>
      </c>
      <c r="K187" s="87" vm="214">
        <f ca="1"/>
        <v>83.67</v>
      </c>
      <c r="N187" s="863" t="str">
        <f ca="1">IF(F187=[2]Sheet1!O185,"","dif")</f>
        <v>dif</v>
      </c>
    </row>
    <row r="188" spans="2:14">
      <c r="B188" s="87" vm="211">
        <f ca="1"/>
        <v>45736</v>
      </c>
      <c r="C188" s="87" vm="212">
        <f ca="1"/>
        <v>47.76</v>
      </c>
      <c r="D188" s="1169">
        <f t="shared" ca="1" si="127"/>
        <v>-4.7926651385706183E-3</v>
      </c>
      <c r="E188" s="292" t="str" cm="1">
        <f t="array" aca="1" ref="E188" ca="1">_xlfn.IFS(D188&gt;ZPercent,"U",D188&lt;=-ZPercent,"D",TRUE,"Z")</f>
        <v>Z</v>
      </c>
      <c r="F188" s="292" t="str">
        <f t="shared" ca="1" si="128"/>
        <v>ZZ</v>
      </c>
      <c r="G188" s="292" t="str">
        <f t="shared" ca="1" si="129"/>
        <v>UZZ</v>
      </c>
      <c r="H188" s="863" t="str">
        <f t="shared" ca="1" si="123"/>
        <v/>
      </c>
      <c r="J188" s="87" vm="209">
        <f ca="1"/>
        <v>45926</v>
      </c>
      <c r="K188" s="87" vm="210">
        <f ca="1"/>
        <v>85.25</v>
      </c>
      <c r="N188" s="863" t="str">
        <f ca="1">IF(F188=[2]Sheet1!O186,"","dif")</f>
        <v>dif</v>
      </c>
    </row>
    <row r="189" spans="2:14">
      <c r="B189" s="87" vm="207">
        <f ca="1"/>
        <v>45735</v>
      </c>
      <c r="C189" s="87" vm="208">
        <f ca="1"/>
        <v>47.99</v>
      </c>
      <c r="D189" s="1169">
        <f t="shared" ca="1" si="127"/>
        <v>3.7649027400125435E-3</v>
      </c>
      <c r="E189" s="292" t="str" cm="1">
        <f t="array" aca="1" ref="E189" ca="1">_xlfn.IFS(D189&gt;ZPercent,"U",D189&lt;=-ZPercent,"D",TRUE,"Z")</f>
        <v>Z</v>
      </c>
      <c r="F189" s="292" t="str">
        <f t="shared" ca="1" si="128"/>
        <v>UZ</v>
      </c>
      <c r="G189" s="292" t="str">
        <f t="shared" ca="1" si="129"/>
        <v>UUZ</v>
      </c>
      <c r="H189" s="863" t="str">
        <f t="shared" ca="1" si="123"/>
        <v/>
      </c>
      <c r="J189" s="87" vm="205">
        <f ca="1"/>
        <v>45929</v>
      </c>
      <c r="K189" s="87" vm="206">
        <f ca="1"/>
        <v>84.54</v>
      </c>
      <c r="N189" s="863" t="str">
        <f ca="1">IF(F189=[2]Sheet1!O187,"","dif")</f>
        <v>dif</v>
      </c>
    </row>
    <row r="190" spans="2:14">
      <c r="B190" s="87" vm="203">
        <f ca="1"/>
        <v>45734</v>
      </c>
      <c r="C190" s="87" vm="204">
        <f ca="1"/>
        <v>47.81</v>
      </c>
      <c r="D190" s="1169">
        <f t="shared" ca="1" si="127"/>
        <v>6.1026936026935845E-3</v>
      </c>
      <c r="E190" s="292" t="str" cm="1">
        <f t="array" aca="1" ref="E190" ca="1">_xlfn.IFS(D190&gt;ZPercent,"U",D190&lt;=-ZPercent,"D",TRUE,"Z")</f>
        <v>U</v>
      </c>
      <c r="F190" s="292" t="str">
        <f t="shared" ca="1" si="128"/>
        <v>UU</v>
      </c>
      <c r="G190" s="292" t="str">
        <f t="shared" ca="1" si="129"/>
        <v>UUU</v>
      </c>
      <c r="H190" s="863" t="str">
        <f t="shared" ca="1" si="123"/>
        <v/>
      </c>
      <c r="J190" s="87" vm="201">
        <f ca="1"/>
        <v>45930</v>
      </c>
      <c r="K190" s="87" vm="202">
        <f ca="1"/>
        <v>84.31</v>
      </c>
      <c r="N190" s="863" t="str">
        <f ca="1">IF(F190=[2]Sheet1!O188,"","dif")</f>
        <v>dif</v>
      </c>
    </row>
    <row r="191" spans="2:14">
      <c r="B191" s="87" vm="199">
        <f ca="1"/>
        <v>45733</v>
      </c>
      <c r="C191" s="87" vm="200">
        <f ca="1"/>
        <v>47.52</v>
      </c>
      <c r="D191" s="1169">
        <f t="shared" ca="1" si="127"/>
        <v>2.7681660899654004E-2</v>
      </c>
      <c r="E191" s="292" t="str" cm="1">
        <f t="array" aca="1" ref="E191" ca="1">_xlfn.IFS(D191&gt;ZPercent,"U",D191&lt;=-ZPercent,"D",TRUE,"Z")</f>
        <v>U</v>
      </c>
      <c r="F191" s="292" t="str">
        <f t="shared" ca="1" si="128"/>
        <v>UU</v>
      </c>
      <c r="G191" s="292" t="str">
        <f t="shared" ca="1" si="129"/>
        <v>UUU</v>
      </c>
      <c r="H191" s="863" t="str">
        <f t="shared" ca="1" si="123"/>
        <v/>
      </c>
      <c r="J191" s="87" vm="197">
        <f ca="1"/>
        <v>45931</v>
      </c>
      <c r="K191" s="87" vm="198">
        <f ca="1"/>
        <v>85.95</v>
      </c>
      <c r="N191" s="863" t="str">
        <f ca="1">IF(F191=[2]Sheet1!O189,"","dif")</f>
        <v>dif</v>
      </c>
    </row>
    <row r="192" spans="2:14">
      <c r="B192" s="87" vm="195">
        <f ca="1"/>
        <v>45730</v>
      </c>
      <c r="C192" s="87" vm="196">
        <f ca="1"/>
        <v>46.24</v>
      </c>
      <c r="D192" s="1169">
        <f t="shared" ca="1" si="127"/>
        <v>1.2924424972617818E-2</v>
      </c>
      <c r="E192" s="292" t="str" cm="1">
        <f t="array" aca="1" ref="E192" ca="1">_xlfn.IFS(D192&gt;ZPercent,"U",D192&lt;=-ZPercent,"D",TRUE,"Z")</f>
        <v>U</v>
      </c>
      <c r="F192" s="292" t="str">
        <f t="shared" ca="1" si="128"/>
        <v>UU</v>
      </c>
      <c r="G192" s="292" t="str">
        <f t="shared" ca="1" si="129"/>
        <v>ZUU</v>
      </c>
      <c r="H192" s="863" t="str">
        <f t="shared" ca="1" si="123"/>
        <v/>
      </c>
      <c r="J192" s="87" vm="193">
        <f ca="1"/>
        <v>45932</v>
      </c>
      <c r="K192" s="87" vm="194">
        <f ca="1"/>
        <v>86.43</v>
      </c>
      <c r="N192" s="863" t="str">
        <f ca="1">IF(F192=[2]Sheet1!O190,"","dif")</f>
        <v>dif</v>
      </c>
    </row>
    <row r="193" spans="2:14">
      <c r="B193" s="87" vm="191">
        <f ca="1"/>
        <v>45729</v>
      </c>
      <c r="C193" s="87" vm="192">
        <f ca="1"/>
        <v>45.65</v>
      </c>
      <c r="D193" s="1169">
        <f t="shared" ca="1" si="127"/>
        <v>4.6298418519367314E-2</v>
      </c>
      <c r="E193" s="292" t="str" cm="1">
        <f t="array" aca="1" ref="E193" ca="1">_xlfn.IFS(D193&gt;ZPercent,"U",D193&lt;=-ZPercent,"D",TRUE,"Z")</f>
        <v>U</v>
      </c>
      <c r="F193" s="292" t="str">
        <f t="shared" ca="1" si="128"/>
        <v>ZU</v>
      </c>
      <c r="G193" s="292" t="str">
        <f t="shared" ca="1" si="129"/>
        <v>UZU</v>
      </c>
      <c r="H193" s="863" t="str">
        <f t="shared" ca="1" si="123"/>
        <v/>
      </c>
      <c r="J193" s="87" vm="189">
        <f ca="1"/>
        <v>45933</v>
      </c>
      <c r="K193" s="87" vm="190">
        <f ca="1"/>
        <v>86.86</v>
      </c>
      <c r="N193" s="863" t="str">
        <f ca="1">IF(F193=[2]Sheet1!O191,"","dif")</f>
        <v>dif</v>
      </c>
    </row>
    <row r="194" spans="2:14">
      <c r="B194" s="87" vm="187">
        <f ca="1"/>
        <v>45728</v>
      </c>
      <c r="C194" s="87" vm="188">
        <f ca="1"/>
        <v>43.63</v>
      </c>
      <c r="D194" s="1169">
        <f t="shared" ca="1" si="127"/>
        <v>4.8364808843850953E-3</v>
      </c>
      <c r="E194" s="292" t="str" cm="1">
        <f t="array" aca="1" ref="E194" ca="1">_xlfn.IFS(D194&gt;ZPercent,"U",D194&lt;=-ZPercent,"D",TRUE,"Z")</f>
        <v>Z</v>
      </c>
      <c r="F194" s="292" t="str">
        <f t="shared" ca="1" si="128"/>
        <v>UZ</v>
      </c>
      <c r="G194" s="292" t="str">
        <f t="shared" ca="1" si="129"/>
        <v>DUZ</v>
      </c>
      <c r="H194" s="863" t="str">
        <f t="shared" ca="1" si="123"/>
        <v/>
      </c>
      <c r="J194" s="87" vm="185">
        <f ca="1"/>
        <v>45936</v>
      </c>
      <c r="K194" s="87" vm="186">
        <f ca="1"/>
        <v>88.51</v>
      </c>
      <c r="N194" s="863" t="str">
        <f ca="1">IF(F194=[2]Sheet1!O192,"","dif")</f>
        <v>dif</v>
      </c>
    </row>
    <row r="195" spans="2:14">
      <c r="B195" s="87" vm="183">
        <f ca="1"/>
        <v>45727</v>
      </c>
      <c r="C195" s="87" vm="184">
        <f ca="1"/>
        <v>43.42</v>
      </c>
      <c r="D195" s="1169">
        <f t="shared" ca="1" si="127"/>
        <v>2.4781685154590616E-2</v>
      </c>
      <c r="E195" s="292" t="str" cm="1">
        <f t="array" aca="1" ref="E195" ca="1">_xlfn.IFS(D195&gt;ZPercent,"U",D195&lt;=-ZPercent,"D",TRUE,"Z")</f>
        <v>U</v>
      </c>
      <c r="F195" s="292" t="str">
        <f t="shared" ca="1" si="128"/>
        <v>DU</v>
      </c>
      <c r="G195" s="292" t="str">
        <f t="shared" ca="1" si="129"/>
        <v>ZDU</v>
      </c>
      <c r="H195" s="863" t="str">
        <f t="shared" ca="1" si="123"/>
        <v/>
      </c>
      <c r="J195" s="87" vm="181">
        <f ca="1"/>
        <v>45937</v>
      </c>
      <c r="K195" s="87" vm="182">
        <f ca="1"/>
        <v>86.95</v>
      </c>
      <c r="N195" s="863" t="str">
        <f ca="1">IF(F195=[2]Sheet1!O193,"","dif")</f>
        <v>dif</v>
      </c>
    </row>
    <row r="196" spans="2:14">
      <c r="B196" s="87" vm="179">
        <f ca="1"/>
        <v>45726</v>
      </c>
      <c r="C196" s="87" vm="180">
        <f ca="1"/>
        <v>42.37</v>
      </c>
      <c r="D196" s="1169">
        <f t="shared" ca="1" si="127"/>
        <v>-3.4191930704353772E-2</v>
      </c>
      <c r="E196" s="292" t="str" cm="1">
        <f t="array" aca="1" ref="E196" ca="1">_xlfn.IFS(D196&gt;ZPercent,"U",D196&lt;=-ZPercent,"D",TRUE,"Z")</f>
        <v>D</v>
      </c>
      <c r="F196" s="292" t="str">
        <f t="shared" ca="1" si="128"/>
        <v>ZD</v>
      </c>
      <c r="G196" s="292" t="str">
        <f t="shared" ca="1" si="129"/>
        <v>ZZD</v>
      </c>
      <c r="H196" s="863" t="str">
        <f t="shared" ca="1" si="123"/>
        <v>ZZ</v>
      </c>
      <c r="J196" s="87" vm="177">
        <f ca="1"/>
        <v>45938</v>
      </c>
      <c r="K196" s="87" vm="178">
        <f ca="1"/>
        <v>88.4</v>
      </c>
      <c r="N196" s="863" t="str">
        <f ca="1">IF(F196=[2]Sheet1!O194,"","dif")</f>
        <v>dif</v>
      </c>
    </row>
    <row r="197" spans="2:14">
      <c r="B197" s="87" vm="175">
        <f ca="1"/>
        <v>45723</v>
      </c>
      <c r="C197" s="87" vm="176">
        <f ca="1"/>
        <v>43.87</v>
      </c>
      <c r="D197" s="1169">
        <f t="shared" ca="1" si="127"/>
        <v>-1.1384335154827928E-3</v>
      </c>
      <c r="E197" s="292" t="str" cm="1">
        <f t="array" aca="1" ref="E197" ca="1">_xlfn.IFS(D197&gt;ZPercent,"U",D197&lt;=-ZPercent,"D",TRUE,"Z")</f>
        <v>Z</v>
      </c>
      <c r="F197" s="292" t="str">
        <f t="shared" ca="1" si="128"/>
        <v>ZZ</v>
      </c>
      <c r="G197" s="292" t="str">
        <f t="shared" ca="1" si="129"/>
        <v>UZZ</v>
      </c>
      <c r="H197" s="863" t="str">
        <f t="shared" ca="1" si="123"/>
        <v/>
      </c>
      <c r="J197" s="87" vm="173">
        <f ca="1"/>
        <v>45939</v>
      </c>
      <c r="K197" s="87" vm="174">
        <f ca="1"/>
        <v>85.21</v>
      </c>
      <c r="N197" s="863" t="str">
        <f ca="1">IF(F197=[2]Sheet1!O195,"","dif")</f>
        <v>dif</v>
      </c>
    </row>
    <row r="198" spans="2:14">
      <c r="B198" s="87" vm="171">
        <f ca="1"/>
        <v>45722</v>
      </c>
      <c r="C198" s="87" vm="172">
        <f ca="1"/>
        <v>43.92</v>
      </c>
      <c r="D198" s="1169">
        <f t="shared" ca="1" si="127"/>
        <v>1.5963511972634044E-3</v>
      </c>
      <c r="E198" s="292" t="str" cm="1">
        <f t="array" aca="1" ref="E198" ca="1">_xlfn.IFS(D198&gt;ZPercent,"U",D198&lt;=-ZPercent,"D",TRUE,"Z")</f>
        <v>Z</v>
      </c>
      <c r="F198" s="292" t="str">
        <f t="shared" ca="1" si="128"/>
        <v>UZ</v>
      </c>
      <c r="G198" s="292" t="str">
        <f t="shared" ca="1" si="129"/>
        <v>ZUZ</v>
      </c>
      <c r="H198" s="863" t="str">
        <f t="shared" ref="H198:H212" ca="1" si="130">IF(AND(E198="D",E199="Z"),"ZZ","")</f>
        <v/>
      </c>
      <c r="J198" s="87" vm="169">
        <f ca="1"/>
        <v>45940</v>
      </c>
      <c r="K198" s="87" vm="170">
        <f ca="1"/>
        <v>85.14</v>
      </c>
      <c r="N198" s="863" t="str">
        <f ca="1">IF(F198=[2]Sheet1!O196,"","dif")</f>
        <v>dif</v>
      </c>
    </row>
    <row r="199" spans="2:14">
      <c r="B199" s="87" vm="167">
        <f ca="1"/>
        <v>45721</v>
      </c>
      <c r="C199" s="87" vm="168">
        <f ca="1"/>
        <v>43.85</v>
      </c>
      <c r="D199" s="1169">
        <f t="shared" ca="1" si="127"/>
        <v>3.1521994824747199E-2</v>
      </c>
      <c r="E199" s="292" t="str" cm="1">
        <f t="array" aca="1" ref="E199" ca="1">_xlfn.IFS(D199&gt;ZPercent,"U",D199&lt;=-ZPercent,"D",TRUE,"Z")</f>
        <v>U</v>
      </c>
      <c r="F199" s="292" t="str">
        <f t="shared" ca="1" si="128"/>
        <v>ZU</v>
      </c>
      <c r="G199" s="292" t="str">
        <f t="shared" ca="1" si="129"/>
        <v>DZU</v>
      </c>
      <c r="H199" s="863" t="str">
        <f t="shared" ca="1" si="130"/>
        <v/>
      </c>
      <c r="J199" s="87" vm="165">
        <f ca="1"/>
        <v>45943</v>
      </c>
      <c r="K199" s="87" vm="166">
        <f ca="1"/>
        <v>89.4</v>
      </c>
      <c r="N199" s="863" t="str">
        <f ca="1">IF(F199=[2]Sheet1!O197,"","dif")</f>
        <v>dif</v>
      </c>
    </row>
    <row r="200" spans="2:14">
      <c r="B200" s="87" vm="163">
        <f ca="1"/>
        <v>45720</v>
      </c>
      <c r="C200" s="87" vm="164">
        <f ca="1"/>
        <v>42.51</v>
      </c>
      <c r="D200" s="1169">
        <f t="shared" ca="1" si="127"/>
        <v>3.5410764872520913E-3</v>
      </c>
      <c r="E200" s="292" t="str" cm="1">
        <f t="array" aca="1" ref="E200" ca="1">_xlfn.IFS(D200&gt;ZPercent,"U",D200&lt;=-ZPercent,"D",TRUE,"Z")</f>
        <v>Z</v>
      </c>
      <c r="F200" s="292" t="str">
        <f t="shared" ca="1" si="128"/>
        <v>DZ</v>
      </c>
      <c r="G200" s="292" t="str">
        <f t="shared" ca="1" si="129"/>
        <v>UDZ</v>
      </c>
      <c r="H200" s="863" t="str">
        <f t="shared" ca="1" si="130"/>
        <v/>
      </c>
      <c r="J200" s="87" vm="161">
        <f ca="1"/>
        <v>45944</v>
      </c>
      <c r="K200" s="87" vm="162">
        <f ca="1"/>
        <v>90.54</v>
      </c>
      <c r="N200" s="863" t="str">
        <f ca="1">IF(F200=[2]Sheet1!O198,"","dif")</f>
        <v>dif</v>
      </c>
    </row>
    <row r="201" spans="2:14">
      <c r="B201" s="87" vm="159">
        <f ca="1"/>
        <v>45719</v>
      </c>
      <c r="C201" s="87" vm="160">
        <f ca="1"/>
        <v>42.36</v>
      </c>
      <c r="D201" s="1169">
        <f t="shared" ca="1" si="127"/>
        <v>-1.1204481792717179E-2</v>
      </c>
      <c r="E201" s="292" t="str" cm="1">
        <f t="array" aca="1" ref="E201" ca="1">_xlfn.IFS(D201&gt;ZPercent,"U",D201&lt;=-ZPercent,"D",TRUE,"Z")</f>
        <v>D</v>
      </c>
      <c r="F201" s="292" t="str">
        <f t="shared" ca="1" si="128"/>
        <v>UD</v>
      </c>
      <c r="G201" s="292" t="str">
        <f t="shared" ca="1" si="129"/>
        <v>DUD</v>
      </c>
      <c r="H201" s="863" t="str">
        <f t="shared" ca="1" si="130"/>
        <v/>
      </c>
      <c r="J201" s="87" vm="157">
        <f ca="1"/>
        <v>45945</v>
      </c>
      <c r="K201" s="87" vm="158">
        <f ca="1"/>
        <v>93.58</v>
      </c>
      <c r="N201" s="863" t="str">
        <f ca="1">IF(F201=[2]Sheet1!O199,"","dif")</f>
        <v>dif</v>
      </c>
    </row>
    <row r="202" spans="2:14">
      <c r="B202" s="1286" vm="155">
        <f ca="1"/>
        <v>45716</v>
      </c>
      <c r="C202" s="1287" vm="156">
        <f ca="1"/>
        <v>42.84</v>
      </c>
      <c r="D202" s="1169">
        <f t="shared" ref="D202:D212" ca="1" si="131">IFERROR((C202-C203)/C203,0)</f>
        <v>1.7094017094017238E-2</v>
      </c>
      <c r="E202" s="292" t="str" cm="1">
        <f t="array" aca="1" ref="E202" ca="1">_xlfn.IFS(D202&gt;ZPercent,"U",D202&lt;=-ZPercent,"D",TRUE,"Z")</f>
        <v>U</v>
      </c>
      <c r="F202" s="292" t="str">
        <f t="shared" ref="F202:F212" ca="1" si="132">_xlfn.CONCAT(E203,E202)</f>
        <v>DU</v>
      </c>
      <c r="G202" s="292" t="str">
        <f t="shared" ref="G202:G212" ca="1" si="133">_xlfn.CONCAT(E204,E203,E202)</f>
        <v>UDU</v>
      </c>
      <c r="H202" s="863" t="str">
        <f t="shared" ca="1" si="130"/>
        <v/>
      </c>
      <c r="J202" s="87" vm="153">
        <f ca="1"/>
        <v>45946</v>
      </c>
      <c r="K202" s="87" vm="154">
        <f ca="1"/>
        <v>98.27</v>
      </c>
      <c r="N202" s="863" t="str">
        <f ca="1">IF(F202=[2]Sheet1!O200,"","dif")</f>
        <v>dif</v>
      </c>
    </row>
    <row r="203" spans="2:14">
      <c r="B203" s="1286" vm="151">
        <f ca="1"/>
        <v>45715</v>
      </c>
      <c r="C203" s="1287" vm="152">
        <f ca="1"/>
        <v>42.12</v>
      </c>
      <c r="D203" s="1169">
        <f t="shared" ca="1" si="131"/>
        <v>-3.3501606241395157E-2</v>
      </c>
      <c r="E203" s="292" t="str" cm="1">
        <f t="array" aca="1" ref="E203" ca="1">_xlfn.IFS(D203&gt;ZPercent,"U",D203&lt;=-ZPercent,"D",TRUE,"Z")</f>
        <v>D</v>
      </c>
      <c r="F203" s="292" t="str">
        <f t="shared" ca="1" si="132"/>
        <v>UD</v>
      </c>
      <c r="G203" s="292" t="str">
        <f t="shared" ca="1" si="133"/>
        <v>DUD</v>
      </c>
      <c r="H203" s="863" t="str">
        <f t="shared" ca="1" si="130"/>
        <v/>
      </c>
      <c r="J203" s="87" vm="149">
        <f ca="1"/>
        <v>45947</v>
      </c>
      <c r="K203" s="87" vm="150">
        <f ca="1"/>
        <v>90.77</v>
      </c>
      <c r="N203" s="863" t="str">
        <f ca="1">IF(F203=[2]Sheet1!O201,"","dif")</f>
        <v>dif</v>
      </c>
    </row>
    <row r="204" spans="2:14">
      <c r="B204" s="1286" vm="147">
        <f ca="1"/>
        <v>45714</v>
      </c>
      <c r="C204" s="1287" vm="148">
        <f ca="1"/>
        <v>43.58</v>
      </c>
      <c r="D204" s="1169">
        <f t="shared" ca="1" si="131"/>
        <v>1.5140927090612592E-2</v>
      </c>
      <c r="E204" s="292" t="str" cm="1">
        <f t="array" aca="1" ref="E204" ca="1">_xlfn.IFS(D204&gt;ZPercent,"U",D204&lt;=-ZPercent,"D",TRUE,"Z")</f>
        <v>U</v>
      </c>
      <c r="F204" s="292" t="str">
        <f t="shared" ca="1" si="132"/>
        <v>DU</v>
      </c>
      <c r="G204" s="292" t="str">
        <f t="shared" ca="1" si="133"/>
        <v>DDU</v>
      </c>
      <c r="H204" s="863" t="str">
        <f t="shared" ca="1" si="130"/>
        <v/>
      </c>
      <c r="J204" s="87" vm="145">
        <f ca="1"/>
        <v>45950</v>
      </c>
      <c r="K204" s="87" vm="146">
        <f ca="1"/>
        <v>94.89</v>
      </c>
      <c r="N204" s="863" t="str">
        <f ca="1">IF(F204=[2]Sheet1!O202,"","dif")</f>
        <v/>
      </c>
    </row>
    <row r="205" spans="2:14">
      <c r="B205" s="1286" vm="143">
        <f ca="1"/>
        <v>45713</v>
      </c>
      <c r="C205" s="1287" vm="144">
        <f ca="1"/>
        <v>42.93</v>
      </c>
      <c r="D205" s="1169">
        <f t="shared" ca="1" si="131"/>
        <v>-2.520435967302451E-2</v>
      </c>
      <c r="E205" s="292" t="str" cm="1">
        <f t="array" aca="1" ref="E205" ca="1">_xlfn.IFS(D205&gt;ZPercent,"U",D205&lt;=-ZPercent,"D",TRUE,"Z")</f>
        <v>D</v>
      </c>
      <c r="F205" s="292" t="str">
        <f t="shared" ca="1" si="132"/>
        <v>DD</v>
      </c>
      <c r="G205" s="292" t="str">
        <f t="shared" ca="1" si="133"/>
        <v>DDD</v>
      </c>
      <c r="H205" s="863" t="str">
        <f t="shared" ca="1" si="130"/>
        <v/>
      </c>
      <c r="J205" s="87" vm="141">
        <f ca="1"/>
        <v>45951</v>
      </c>
      <c r="K205" s="87" vm="142">
        <f ca="1"/>
        <v>86.32</v>
      </c>
      <c r="N205" s="863" t="str">
        <f ca="1">IF(F205=[2]Sheet1!O203,"","dif")</f>
        <v/>
      </c>
    </row>
    <row r="206" spans="2:14">
      <c r="B206" s="1286" vm="139">
        <f ca="1"/>
        <v>45712</v>
      </c>
      <c r="C206" s="1287" vm="140">
        <f ca="1"/>
        <v>44.04</v>
      </c>
      <c r="D206" s="1169">
        <f t="shared" ca="1" si="131"/>
        <v>-2.8457974851091975E-2</v>
      </c>
      <c r="E206" s="292" t="str" cm="1">
        <f t="array" aca="1" ref="E206" ca="1">_xlfn.IFS(D206&gt;ZPercent,"U",D206&lt;=-ZPercent,"D",TRUE,"Z")</f>
        <v>D</v>
      </c>
      <c r="F206" s="292" t="str">
        <f t="shared" ca="1" si="132"/>
        <v>DD</v>
      </c>
      <c r="G206" s="292" t="str">
        <f t="shared" ca="1" si="133"/>
        <v>UDD</v>
      </c>
      <c r="H206" s="863" t="str">
        <f t="shared" ca="1" si="130"/>
        <v/>
      </c>
      <c r="J206" s="87" vm="137">
        <f ca="1"/>
        <v>45952</v>
      </c>
      <c r="K206" s="87" vm="138">
        <f ca="1"/>
        <v>87.01</v>
      </c>
      <c r="N206" s="863" t="str">
        <f ca="1">IF(F206=[2]Sheet1!O204,"","dif")</f>
        <v/>
      </c>
    </row>
    <row r="207" spans="2:14">
      <c r="B207" s="1286" vm="135">
        <f ca="1"/>
        <v>45709</v>
      </c>
      <c r="C207" s="1287" vm="136">
        <f ca="1"/>
        <v>45.33</v>
      </c>
      <c r="D207" s="1169">
        <f t="shared" ca="1" si="131"/>
        <v>-5.7392389270118631E-2</v>
      </c>
      <c r="E207" s="292" t="str" cm="1">
        <f t="array" aca="1" ref="E207" ca="1">_xlfn.IFS(D207&gt;ZPercent,"U",D207&lt;=-ZPercent,"D",TRUE,"Z")</f>
        <v>D</v>
      </c>
      <c r="F207" s="292" t="str">
        <f t="shared" ca="1" si="132"/>
        <v>UD</v>
      </c>
      <c r="G207" s="292" t="str">
        <f t="shared" ca="1" si="133"/>
        <v>ZUD</v>
      </c>
      <c r="H207" s="863" t="str">
        <f t="shared" ca="1" si="130"/>
        <v/>
      </c>
      <c r="J207" s="1286" vm="133">
        <f ca="1"/>
        <v>45953</v>
      </c>
      <c r="K207" s="1287" vm="134">
        <f ca="1"/>
        <v>88.91</v>
      </c>
      <c r="N207" s="863" t="str">
        <f ca="1">IF(F207=[2]Sheet1!O205,"","dif")</f>
        <v>dif</v>
      </c>
    </row>
    <row r="208" spans="2:14">
      <c r="B208" s="1286" vm="131">
        <f ca="1"/>
        <v>45708</v>
      </c>
      <c r="C208" s="1287" vm="132">
        <f ca="1"/>
        <v>48.09</v>
      </c>
      <c r="D208" s="1169">
        <f t="shared" ca="1" si="131"/>
        <v>1.4342965619067852E-2</v>
      </c>
      <c r="E208" s="292" t="str" cm="1">
        <f t="array" aca="1" ref="E208" ca="1">_xlfn.IFS(D208&gt;ZPercent,"U",D208&lt;=-ZPercent,"D",TRUE,"Z")</f>
        <v>U</v>
      </c>
      <c r="F208" s="292" t="str">
        <f t="shared" ca="1" si="132"/>
        <v>ZU</v>
      </c>
      <c r="G208" s="292" t="str">
        <f t="shared" ca="1" si="133"/>
        <v>UZU</v>
      </c>
      <c r="H208" s="863" t="str">
        <f t="shared" ca="1" si="130"/>
        <v/>
      </c>
      <c r="J208" s="1286" vm="129">
        <f ca="1"/>
        <v>45954</v>
      </c>
      <c r="K208" s="1287" vm="130">
        <f ca="1"/>
        <v>83.37</v>
      </c>
      <c r="N208" s="863" t="str">
        <f ca="1">IF(F208=[2]Sheet1!O206,"","dif")</f>
        <v>dif</v>
      </c>
    </row>
    <row r="209" spans="2:14">
      <c r="B209" s="1286" vm="127">
        <f ca="1"/>
        <v>45707</v>
      </c>
      <c r="C209" s="1287" vm="128">
        <f ca="1"/>
        <v>47.41</v>
      </c>
      <c r="D209" s="1169">
        <f t="shared" ca="1" si="131"/>
        <v>-2.1048200378867908E-3</v>
      </c>
      <c r="E209" s="292" t="str" cm="1">
        <f t="array" aca="1" ref="E209" ca="1">_xlfn.IFS(D209&gt;ZPercent,"U",D209&lt;=-ZPercent,"D",TRUE,"Z")</f>
        <v>Z</v>
      </c>
      <c r="F209" s="292" t="str">
        <f t="shared" ca="1" si="132"/>
        <v>UZ</v>
      </c>
      <c r="G209" s="292" t="str">
        <f t="shared" ca="1" si="133"/>
        <v>DUZ</v>
      </c>
      <c r="H209" s="863" t="str">
        <f t="shared" ca="1" si="130"/>
        <v/>
      </c>
      <c r="J209" s="1286" vm="125">
        <f ca="1"/>
        <v>45957</v>
      </c>
      <c r="K209" s="1287" vm="126">
        <f ca="1"/>
        <v>78.63</v>
      </c>
      <c r="N209" s="863" t="str">
        <f ca="1">IF(F209=[2]Sheet1!O207,"","dif")</f>
        <v>dif</v>
      </c>
    </row>
    <row r="210" spans="2:14">
      <c r="B210" s="1286" vm="123">
        <f ca="1"/>
        <v>45706</v>
      </c>
      <c r="C210" s="1287" vm="124">
        <f ca="1"/>
        <v>47.51</v>
      </c>
      <c r="D210" s="1169">
        <f t="shared" ca="1" si="131"/>
        <v>2.0842286205414673E-2</v>
      </c>
      <c r="E210" s="292" t="str" cm="1">
        <f t="array" aca="1" ref="E210" ca="1">_xlfn.IFS(D210&gt;ZPercent,"U",D210&lt;=-ZPercent,"D",TRUE,"Z")</f>
        <v>U</v>
      </c>
      <c r="F210" s="292" t="str">
        <f t="shared" ca="1" si="132"/>
        <v>DU</v>
      </c>
      <c r="G210" s="292" t="str">
        <f t="shared" ca="1" si="133"/>
        <v>ZDU</v>
      </c>
      <c r="H210" s="863" t="str">
        <f t="shared" ca="1" si="130"/>
        <v/>
      </c>
      <c r="J210" s="1286" vm="121">
        <f ca="1"/>
        <v>45958</v>
      </c>
      <c r="K210" s="1287" vm="122">
        <f ca="1"/>
        <v>79.34</v>
      </c>
      <c r="N210" s="863" t="str">
        <f ca="1">IF(F210=[2]Sheet1!O208,"","dif")</f>
        <v/>
      </c>
    </row>
    <row r="211" spans="2:14">
      <c r="B211" s="1286" vm="119">
        <f ca="1"/>
        <v>45702</v>
      </c>
      <c r="C211" s="1287" vm="120">
        <f ca="1"/>
        <v>46.54</v>
      </c>
      <c r="D211" s="1169">
        <f t="shared" ca="1" si="131"/>
        <v>-2.5340314136125672E-2</v>
      </c>
      <c r="E211" s="292" t="str" cm="1">
        <f t="array" aca="1" ref="E211" ca="1">_xlfn.IFS(D211&gt;ZPercent,"U",D211&lt;=-ZPercent,"D",TRUE,"Z")</f>
        <v>D</v>
      </c>
      <c r="F211" s="292" t="str">
        <f t="shared" ca="1" si="132"/>
        <v>ZD</v>
      </c>
      <c r="G211" s="292" t="str">
        <f t="shared" ca="1" si="133"/>
        <v>ZD</v>
      </c>
      <c r="H211" s="863" t="str">
        <f t="shared" ca="1" si="130"/>
        <v>ZZ</v>
      </c>
      <c r="J211" s="1286" vm="117">
        <f ca="1"/>
        <v>45959</v>
      </c>
      <c r="K211" s="1287" vm="118">
        <f ca="1"/>
        <v>79.67</v>
      </c>
      <c r="N211" s="863" t="str">
        <f ca="1">IF(F211=[2]Sheet1!O209,"","dif")</f>
        <v>dif</v>
      </c>
    </row>
    <row r="212" spans="2:14">
      <c r="B212" s="1286" vm="115">
        <f ca="1"/>
        <v>45701</v>
      </c>
      <c r="C212" s="1287" vm="116">
        <f ca="1"/>
        <v>47.75</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86" vm="113">
        <f ca="1"/>
        <v>45960</v>
      </c>
      <c r="K212" s="1287" vm="114">
        <f ca="1"/>
        <v>82.31</v>
      </c>
      <c r="N212" s="863" t="str" cm="1">
        <f t="array" aca="1" ref="N212" ca="1">IF(LastMark2=[2]!Last2,"","dif")</f>
        <v>dif</v>
      </c>
    </row>
    <row r="213" spans="2:14">
      <c r="J213" s="863" vm="109">
        <f ca="1"/>
        <v>45961</v>
      </c>
      <c r="K213" s="863" vm="110">
        <f ca="1"/>
        <v>80.97</v>
      </c>
    </row>
    <row r="214" spans="2:14">
      <c r="J214" s="863" vm="105">
        <f ca="1"/>
        <v>45964</v>
      </c>
      <c r="K214" s="863" vm="106">
        <f ca="1"/>
        <v>81.62</v>
      </c>
    </row>
    <row r="215" spans="2:14">
      <c r="J215" s="863" vm="101">
        <f ca="1"/>
        <v>45965</v>
      </c>
      <c r="K215" s="863" vm="102">
        <f ca="1"/>
        <v>78.900000000000006</v>
      </c>
    </row>
    <row r="216" spans="2:14">
      <c r="J216" s="863" vm="97">
        <f ca="1"/>
        <v>45966</v>
      </c>
      <c r="K216" s="863" vm="98">
        <f ca="1"/>
        <v>81.63</v>
      </c>
    </row>
    <row r="217" spans="2:14">
      <c r="J217" s="863" vm="93">
        <f ca="1"/>
        <v>45967</v>
      </c>
      <c r="K217" s="863" vm="94">
        <f ca="1"/>
        <v>82.53</v>
      </c>
    </row>
    <row r="218" spans="2:14">
      <c r="J218" s="863" vm="89">
        <f ca="1"/>
        <v>45968</v>
      </c>
      <c r="K218" s="863" vm="90">
        <f ca="1"/>
        <v>83.39</v>
      </c>
    </row>
    <row r="219" spans="2:14">
      <c r="J219" s="863" vm="85">
        <f ca="1"/>
        <v>45971</v>
      </c>
      <c r="K219" s="863" vm="86">
        <f ca="1"/>
        <v>88.26</v>
      </c>
    </row>
    <row r="220" spans="2:14">
      <c r="J220" s="863" vm="81">
        <f ca="1"/>
        <v>45972</v>
      </c>
      <c r="K220" s="863" vm="82">
        <f ca="1"/>
        <v>89.95</v>
      </c>
    </row>
    <row r="221" spans="2:14">
      <c r="J221" s="863" vm="77">
        <f ca="1"/>
        <v>45973</v>
      </c>
      <c r="K221" s="863" vm="78">
        <f ca="1"/>
        <v>93.07</v>
      </c>
    </row>
    <row r="222" spans="2:14">
      <c r="J222" s="863" vm="73">
        <f ca="1"/>
        <v>45974</v>
      </c>
      <c r="K222" s="863" vm="74">
        <f ca="1"/>
        <v>89.72</v>
      </c>
    </row>
    <row r="223" spans="2:14">
      <c r="J223" s="863" vm="69">
        <f ca="1"/>
        <v>45975</v>
      </c>
      <c r="K223" s="863" vm="70">
        <f ca="1"/>
        <v>87.8</v>
      </c>
    </row>
    <row r="224" spans="2:14">
      <c r="J224" s="863" vm="65">
        <f ca="1"/>
        <v>45978</v>
      </c>
      <c r="K224" s="863" vm="66">
        <f ca="1"/>
        <v>87.09</v>
      </c>
    </row>
    <row r="225" spans="10:11">
      <c r="J225" s="863" vm="61">
        <f ca="1"/>
        <v>45979</v>
      </c>
      <c r="K225" s="863" vm="62">
        <f ca="1"/>
        <v>86.6</v>
      </c>
    </row>
    <row r="226" spans="10:11">
      <c r="J226" s="863" vm="57">
        <f ca="1"/>
        <v>45980</v>
      </c>
      <c r="K226" s="863" vm="58">
        <f ca="1"/>
        <v>87.51</v>
      </c>
    </row>
    <row r="227" spans="10:11">
      <c r="J227" s="863" vm="53">
        <f ca="1"/>
        <v>45981</v>
      </c>
      <c r="K227" s="863" vm="54">
        <f ca="1"/>
        <v>82</v>
      </c>
    </row>
    <row r="228" spans="10:11">
      <c r="J228" s="863" vm="49">
        <f ca="1"/>
        <v>45982</v>
      </c>
      <c r="K228" s="863" vm="50">
        <f ca="1"/>
        <v>83.49</v>
      </c>
    </row>
    <row r="229" spans="10:11">
      <c r="J229" s="863" vm="45">
        <f ca="1"/>
        <v>45985</v>
      </c>
      <c r="K229" s="863" vm="46">
        <f ca="1"/>
        <v>86.53</v>
      </c>
    </row>
    <row r="230" spans="10:11">
      <c r="J230" s="863" vm="41">
        <f ca="1"/>
        <v>45986</v>
      </c>
      <c r="K230" s="863" vm="42">
        <f ca="1"/>
        <v>86.27</v>
      </c>
    </row>
    <row r="231" spans="10:11">
      <c r="J231" s="863" vm="37">
        <f ca="1"/>
        <v>45987</v>
      </c>
      <c r="K231" s="863" vm="38">
        <f ca="1"/>
        <v>90.52</v>
      </c>
    </row>
    <row r="232" spans="10:11">
      <c r="J232" s="863" vm="33">
        <f ca="1"/>
        <v>45989</v>
      </c>
      <c r="K232" s="863" vm="34">
        <f ca="1"/>
        <v>90.73</v>
      </c>
    </row>
    <row r="233" spans="10:11">
      <c r="J233" s="863" vm="29">
        <f ca="1"/>
        <v>45992</v>
      </c>
      <c r="K233" s="863" vm="30">
        <f ca="1"/>
        <v>91.83</v>
      </c>
    </row>
    <row r="234" spans="10:11">
      <c r="J234" s="863" vm="25">
        <f ca="1"/>
        <v>45993</v>
      </c>
      <c r="K234" s="863" vm="26">
        <f ca="1"/>
        <v>90.48</v>
      </c>
    </row>
    <row r="235" spans="10:11">
      <c r="J235" s="863" vm="21">
        <f ca="1"/>
        <v>45994</v>
      </c>
      <c r="K235" s="863" vm="22">
        <f ca="1"/>
        <v>89.65</v>
      </c>
    </row>
    <row r="236" spans="10:11">
      <c r="J236" s="863" vm="17">
        <f ca="1"/>
        <v>45995</v>
      </c>
      <c r="K236" s="863" vm="18">
        <f ca="1"/>
        <v>90.72</v>
      </c>
    </row>
    <row r="237" spans="10:11">
      <c r="J237" s="863" vm="13">
        <f ca="1"/>
        <v>45996</v>
      </c>
      <c r="K237" s="863" vm="14">
        <f ca="1"/>
        <v>89.76</v>
      </c>
    </row>
    <row r="238" spans="10:11">
      <c r="J238" s="863" vm="9">
        <f ca="1"/>
        <v>45999</v>
      </c>
      <c r="K238" s="863" vm="10">
        <f ca="1"/>
        <v>89</v>
      </c>
    </row>
    <row r="239" spans="10:11">
      <c r="J239" s="863" vm="5">
        <f ca="1"/>
        <v>46000</v>
      </c>
      <c r="K239" s="863" vm="6">
        <f ca="1"/>
        <v>94.09</v>
      </c>
    </row>
    <row r="240" spans="10:11">
      <c r="J240" s="863" vm="1">
        <f ca="1"/>
        <v>46001</v>
      </c>
      <c r="K240" s="863" vm="2">
        <f ca="1"/>
        <v>94.4</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3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30" priority="3026">
      <formula>$BC123=$BB$88</formula>
    </cfRule>
  </conditionalFormatting>
  <conditionalFormatting sqref="BN93:BN101">
    <cfRule type="expression" dxfId="82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1"/>
  <sheetViews>
    <sheetView zoomScale="90" zoomScaleNormal="90" workbookViewId="0">
      <pane xSplit="1" ySplit="4" topLeftCell="B5" activePane="bottomRight" state="frozen"/>
      <selection activeCell="Z112" sqref="Z112"/>
      <selection pane="topRight" activeCell="Z112" sqref="Z112"/>
      <selection pane="bottomLeft" activeCell="Z112" sqref="Z112"/>
      <selection pane="bottomRight" activeCell="D36" sqref="D36:K36"/>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2859</v>
      </c>
      <c r="Q1" t="str">
        <f>IF(A3=IDTICKER,"Ups=("&amp;ID!D$7&amp;" - "&amp;ID!G$7&amp;")","")</f>
        <v/>
      </c>
    </row>
    <row r="2" spans="1:17" ht="23" thickBot="1">
      <c r="A2" s="63" t="s">
        <v>160</v>
      </c>
      <c r="B2" s="64">
        <f ca="1">WORKDAY(B3,-1)</f>
        <v>46001</v>
      </c>
      <c r="C2" s="63" t="s">
        <v>2538</v>
      </c>
      <c r="D2" s="1451" t="s">
        <v>2486</v>
      </c>
      <c r="E2" s="15"/>
      <c r="F2" s="13"/>
      <c r="G2" s="13"/>
      <c r="H2" s="13"/>
      <c r="I2" s="13" t="s">
        <v>2853</v>
      </c>
      <c r="J2" s="580" t="s">
        <v>2820</v>
      </c>
      <c r="K2" s="541"/>
    </row>
    <row r="3" spans="1:17" ht="23" thickBot="1">
      <c r="A3" s="63" t="s">
        <v>0</v>
      </c>
      <c r="B3" s="1115">
        <f ca="1">TODAY()</f>
        <v>46002</v>
      </c>
      <c r="C3" s="1148" t="s">
        <v>2535</v>
      </c>
      <c r="D3" s="1043">
        <f ca="1">_xlfn.XLOOKUP(A3,TabCalc[Ticker],TabCalc[Ch_Today])</f>
        <v>-2.6900000000000001E-3</v>
      </c>
      <c r="E3" s="1452">
        <f ca="1">_xlfn.XLOOKUP(A3,TabCalc[Ticker],TabCalc[Agiotage])</f>
        <v>0.70047433150034832</v>
      </c>
      <c r="F3" s="1453" t="str">
        <f ca="1">IFERROR( _xlfn.LET(_xlpm.nma,_xlfn.XLOOKUP(A3,TabCalc[Ticker],TabCalc[NMA]),_xlpm.revenue,_xlfn.XLOOKUP(A3,TabCalc[Ticker],TabCalc[Revenue]),_xlpm.nma&amp;"="&amp;TEXT(_xlpm.revenue,"#,#0")&amp;"@M: "&amp;H3),"")</f>
        <v>76=21,130@M: 278.03</v>
      </c>
      <c r="G3" s="1044" t="str">
        <f ca="1">IF(A3=IDTICKER,ID_Up20,_xlfn.XLOOKUP(A3,TabCalc[Ticker],TabCalc[Up20]))</f>
        <v>/50/%</v>
      </c>
      <c r="H3" s="1454">
        <f ca="1">_xlfn.XLOOKUP(A3,TabCalc[Ticker],TabCalc[M])</f>
        <v>278.02999999999997</v>
      </c>
      <c r="I3" t="str">
        <f>IF(A3=IDTICKER,"Ups=("&amp;ID!D$7&amp;" - "&amp;ID!G$7&amp;")","")</f>
        <v/>
      </c>
      <c r="J3" s="1455" t="str">
        <f ca="1">IFERROR("("&amp;TEXT(D3,"#0.0%")&amp;":"&amp;INT(100*E3)&amp;"%)@"&amp;TEXT(H3,"#,#0.#0")&amp;":("&amp;F3&amp;")"&amp;"&gt;UpMark "&amp;TEXT(G3,"#,#0%"),"Formulas ready to copy below")</f>
        <v>(-0.3%:70%)@278.03:(76=21,130@M: 278.03)&gt;UpMark /50/%</v>
      </c>
      <c r="K3" s="1445">
        <f ca="1">TODAY()</f>
        <v>46002</v>
      </c>
    </row>
    <row r="4" spans="1:17" ht="24" thickTop="1" thickBot="1">
      <c r="A4" s="1491" t="s">
        <v>161</v>
      </c>
      <c r="B4" s="1459" t="s">
        <v>2573</v>
      </c>
      <c r="C4" s="1460" t="s">
        <v>163</v>
      </c>
      <c r="D4" s="1460" t="s">
        <v>194</v>
      </c>
      <c r="E4" s="1461" t="s">
        <v>660</v>
      </c>
      <c r="F4" s="1462" t="s">
        <v>2480</v>
      </c>
      <c r="G4" s="1462" t="s">
        <v>2470</v>
      </c>
      <c r="H4" s="1463" t="s">
        <v>2574</v>
      </c>
      <c r="I4" s="1485" t="s">
        <v>2852</v>
      </c>
      <c r="J4" s="1462" t="s">
        <v>2860</v>
      </c>
      <c r="K4" s="1462" t="s">
        <v>156</v>
      </c>
      <c r="L4" s="1462" t="s">
        <v>1867</v>
      </c>
      <c r="M4" s="1462" t="s">
        <v>200</v>
      </c>
      <c r="N4" s="1462" t="s">
        <v>2521</v>
      </c>
      <c r="O4" s="1462" t="s">
        <v>202</v>
      </c>
      <c r="P4" s="1462" t="s">
        <v>2522</v>
      </c>
    </row>
    <row r="5" spans="1:17" ht="23" thickBot="1">
      <c r="A5" s="1492" t="str">
        <f ca="1">Calc!H3</f>
        <v>AAPL</v>
      </c>
      <c r="B5" s="1464">
        <v>45919</v>
      </c>
      <c r="C5" s="1465" t="s">
        <v>1395</v>
      </c>
      <c r="D5" s="1043">
        <v>2.1745999999999998E-2</v>
      </c>
      <c r="E5" s="1466">
        <v>0.7823520188145805</v>
      </c>
      <c r="F5" s="1467" t="s">
        <v>2693</v>
      </c>
      <c r="G5" s="1466">
        <v>0</v>
      </c>
      <c r="H5" s="1467">
        <f ca="1">_xlfn.XLOOKUP(A5,TabCalc[Ticker],TabCalc[M])</f>
        <v>278.02999999999997</v>
      </c>
      <c r="I5" t="str">
        <f ca="1">IF(A5=IDTICKER,"Ups=("&amp;ID!D$7&amp;" - "&amp;ID!G$7&amp;")","")</f>
        <v/>
      </c>
      <c r="J5" s="151" t="s">
        <v>2750</v>
      </c>
      <c r="K5" s="1484">
        <v>45987</v>
      </c>
      <c r="L5" s="1469"/>
      <c r="M5" s="1470" t="e">
        <f ca="1">_xlfn.XLOOKUP(G5,TabCalc[Ticker],TabCalc[Up20])</f>
        <v>#N/A</v>
      </c>
      <c r="N5" s="1471" t="e">
        <f ca="1">_xlfn.XLOOKUP(G5,TabCalc[Ticker],TabCalc[M])</f>
        <v>#N/A</v>
      </c>
      <c r="O5" s="1468">
        <f t="shared" ref="O5:O36" ca="1" si="0">TODAY()</f>
        <v>46002</v>
      </c>
      <c r="P5" s="1467" t="str">
        <f t="shared" ref="P5:P36" ca="1" si="1">IFERROR("("&amp;TEXT(J5,"#0.0%")&amp;":"&amp;INT(100*K5)&amp;"%)@"&amp;TEXT(N5,"#,#0.#0")&amp;":("&amp;L5&amp;")"&amp;"&gt;UpMark "&amp;TEXT(M5,"#,#0%"),"Formulas ready to copy below")</f>
        <v>Formulas ready to copy below</v>
      </c>
    </row>
    <row r="6" spans="1:17" ht="23" thickBot="1">
      <c r="A6" s="1492" t="str">
        <f ca="1">Calc!H4</f>
        <v>ADEA</v>
      </c>
      <c r="B6" s="1472">
        <v>45460</v>
      </c>
      <c r="C6" s="1465" t="s">
        <v>1396</v>
      </c>
      <c r="D6" s="1043">
        <v>3.4923000000000003E-2</v>
      </c>
      <c r="E6" s="645">
        <v>0.45300460344719073</v>
      </c>
      <c r="F6" s="151" t="s">
        <v>2694</v>
      </c>
      <c r="G6" s="645">
        <v>0</v>
      </c>
      <c r="H6" s="151">
        <f ca="1">_xlfn.XLOOKUP(A6,TabCalc[Ticker],TabCalc[M])</f>
        <v>13.56</v>
      </c>
      <c r="I6" t="str">
        <f ca="1">IF(A6=IDTICKER,"Ups=("&amp;ID!D$7&amp;" - "&amp;ID!G$7&amp;")","")</f>
        <v/>
      </c>
      <c r="J6" s="151" t="s">
        <v>2751</v>
      </c>
      <c r="K6" s="1484">
        <v>45981</v>
      </c>
      <c r="L6" s="91"/>
      <c r="M6" s="219" t="e">
        <f ca="1">_xlfn.XLOOKUP(G6,TabCalc[Ticker],TabCalc[Up20])</f>
        <v>#N/A</v>
      </c>
      <c r="N6" s="81" t="e">
        <f ca="1">_xlfn.XLOOKUP(G6,TabCalc[Ticker],TabCalc[M])</f>
        <v>#N/A</v>
      </c>
      <c r="O6" s="62">
        <f t="shared" ca="1" si="0"/>
        <v>46002</v>
      </c>
      <c r="P6" t="str">
        <f t="shared" ca="1" si="1"/>
        <v>Formulas ready to copy below</v>
      </c>
    </row>
    <row r="7" spans="1:17" ht="23" thickBot="1">
      <c r="A7" s="1492" t="str">
        <f ca="1">Calc!H5</f>
        <v>AET</v>
      </c>
      <c r="B7" s="1472">
        <v>45938</v>
      </c>
      <c r="C7" s="1465">
        <v>46</v>
      </c>
      <c r="D7" s="1043">
        <v>-3.2966999999999996E-2</v>
      </c>
      <c r="E7" s="1456">
        <v>2.2930610144113794</v>
      </c>
      <c r="F7" s="1449" t="s">
        <v>2695</v>
      </c>
      <c r="G7" s="1456">
        <v>0</v>
      </c>
      <c r="H7" s="1449">
        <f ca="1">_xlfn.XLOOKUP(A7,TabCalc[Ticker],TabCalc[M])</f>
        <v>39</v>
      </c>
      <c r="I7" t="str">
        <f ca="1">IF(A7=IDTICKER,"Ups=("&amp;ID!D$7&amp;" - "&amp;ID!G$7&amp;")","")</f>
        <v/>
      </c>
      <c r="J7" s="151" t="s">
        <v>2752</v>
      </c>
      <c r="K7" s="1484">
        <v>45981</v>
      </c>
      <c r="L7" s="1453"/>
      <c r="M7" s="1474" t="e">
        <f ca="1">_xlfn.XLOOKUP(G7,TabCalc[Ticker],TabCalc[Up20])</f>
        <v>#N/A</v>
      </c>
      <c r="N7" s="1454" t="e">
        <f ca="1">_xlfn.XLOOKUP(G7,TabCalc[Ticker],TabCalc[M])</f>
        <v>#N/A</v>
      </c>
      <c r="O7" s="1473">
        <f t="shared" ca="1" si="0"/>
        <v>46002</v>
      </c>
      <c r="P7" s="1449" t="str">
        <f t="shared" ca="1" si="1"/>
        <v>Formulas ready to copy below</v>
      </c>
    </row>
    <row r="8" spans="1:17" ht="23" thickBot="1">
      <c r="A8" s="1492" t="str">
        <f ca="1">Calc!H6</f>
        <v>AMZN</v>
      </c>
      <c r="B8" s="1472">
        <v>45933</v>
      </c>
      <c r="C8" s="1465" t="s">
        <v>2507</v>
      </c>
      <c r="D8" s="1043">
        <v>1.8859000000000001E-2</v>
      </c>
      <c r="E8" s="1456">
        <v>0.95716290799595294</v>
      </c>
      <c r="F8" s="1449" t="s">
        <v>2696</v>
      </c>
      <c r="G8" s="1456">
        <v>0</v>
      </c>
      <c r="H8" s="1449">
        <f ca="1">_xlfn.XLOOKUP(A8,TabCalc[Ticker],TabCalc[M])</f>
        <v>230.28</v>
      </c>
      <c r="I8" t="str">
        <f ca="1">IF(A8=IDTICKER,"Ups=("&amp;ID!D$7&amp;" - "&amp;ID!G$7&amp;")","")</f>
        <v/>
      </c>
      <c r="J8" s="151" t="s">
        <v>2753</v>
      </c>
      <c r="K8" s="1484">
        <v>45981</v>
      </c>
      <c r="L8" s="91"/>
      <c r="M8" s="219" t="e">
        <f ca="1">_xlfn.XLOOKUP(G8,TabCalc[Ticker],TabCalc[Up20])</f>
        <v>#N/A</v>
      </c>
      <c r="N8" s="81" t="e">
        <f ca="1">_xlfn.XLOOKUP(G8,TabCalc[Ticker],TabCalc[M])</f>
        <v>#N/A</v>
      </c>
      <c r="O8" s="62">
        <f t="shared" ca="1" si="0"/>
        <v>46002</v>
      </c>
      <c r="P8" t="str">
        <f t="shared" ca="1" si="1"/>
        <v>Formulas ready to copy below</v>
      </c>
    </row>
    <row r="9" spans="1:17" ht="23" thickBot="1">
      <c r="A9" s="1492" t="str">
        <f ca="1">Calc!H7</f>
        <v>ALDNE</v>
      </c>
      <c r="B9" s="1472">
        <v>45460</v>
      </c>
      <c r="C9" s="1465" t="s">
        <v>1397</v>
      </c>
      <c r="D9" s="1043">
        <v>-1.7964000000000001E-2</v>
      </c>
      <c r="E9" s="645">
        <v>4.6677621283255082</v>
      </c>
      <c r="F9" s="151" t="s">
        <v>2697</v>
      </c>
      <c r="G9" s="645">
        <v>0</v>
      </c>
      <c r="H9" s="151">
        <f ca="1">_xlfn.XLOOKUP(A9,TabCalc[Ticker],TabCalc[M])</f>
        <v>0.55000000000000004</v>
      </c>
      <c r="I9" t="str">
        <f ca="1">IF(A9=IDTICKER,"Ups=("&amp;ID!D$7&amp;" - "&amp;ID!G$7&amp;")","")</f>
        <v/>
      </c>
      <c r="J9" s="151" t="s">
        <v>2754</v>
      </c>
      <c r="K9" s="1484">
        <v>45981</v>
      </c>
      <c r="L9" s="1453"/>
      <c r="M9" s="1474" t="e">
        <f ca="1">_xlfn.XLOOKUP(G9,TabCalc[Ticker],TabCalc[Up20])</f>
        <v>#N/A</v>
      </c>
      <c r="N9" s="1454" t="e">
        <f ca="1">_xlfn.XLOOKUP(G9,TabCalc[Ticker],TabCalc[M])</f>
        <v>#N/A</v>
      </c>
      <c r="O9" s="1473">
        <f t="shared" ca="1" si="0"/>
        <v>46002</v>
      </c>
      <c r="P9" s="1449" t="str">
        <f t="shared" ca="1" si="1"/>
        <v>Formulas ready to copy below</v>
      </c>
    </row>
    <row r="10" spans="1:17" ht="23" thickBot="1">
      <c r="A10" s="1492" t="str">
        <f ca="1">Calc!H8</f>
        <v>ASML</v>
      </c>
      <c r="B10" s="1472">
        <v>45987</v>
      </c>
      <c r="C10" s="1465" t="s">
        <v>2821</v>
      </c>
      <c r="D10" s="1043">
        <v>-6.2711000000000003E-2</v>
      </c>
      <c r="E10" s="1456">
        <v>1.7569881836657615</v>
      </c>
      <c r="F10" s="1449" t="s">
        <v>2698</v>
      </c>
      <c r="G10" s="1456">
        <v>0</v>
      </c>
      <c r="H10" s="1449">
        <f ca="1">_xlfn.XLOOKUP(A10,TabCalc[Ticker],TabCalc[M])</f>
        <v>940.9</v>
      </c>
      <c r="I10" t="str">
        <f ca="1">IF(A10=IDTICKER,"Ups=("&amp;ID!D$7&amp;" - "&amp;ID!G$7&amp;")","")</f>
        <v/>
      </c>
      <c r="J10" s="151" t="s">
        <v>2755</v>
      </c>
      <c r="K10" s="1484">
        <v>45981</v>
      </c>
      <c r="L10" s="91"/>
      <c r="M10" s="219" t="e">
        <f ca="1">_xlfn.XLOOKUP(G10,TabCalc[Ticker],TabCalc[Up20])</f>
        <v>#N/A</v>
      </c>
      <c r="N10" s="81" t="e">
        <f ca="1">_xlfn.XLOOKUP(G10,TabCalc[Ticker],TabCalc[M])</f>
        <v>#N/A</v>
      </c>
      <c r="O10" s="62">
        <f t="shared" ca="1" si="0"/>
        <v>46002</v>
      </c>
      <c r="P10" t="str">
        <f t="shared" ca="1" si="1"/>
        <v>Formulas ready to copy below</v>
      </c>
    </row>
    <row r="11" spans="1:17" ht="23" thickBot="1">
      <c r="A11" s="1492" t="str">
        <f ca="1">Calc!H9</f>
        <v>AVGO</v>
      </c>
      <c r="B11" s="1472">
        <v>45988</v>
      </c>
      <c r="C11" s="1465" t="s">
        <v>2833</v>
      </c>
      <c r="D11" s="1043">
        <v>2.6719E-2</v>
      </c>
      <c r="E11" s="1457">
        <v>0.78264928078218132</v>
      </c>
      <c r="F11" s="1449" t="s">
        <v>2834</v>
      </c>
      <c r="G11" s="1457">
        <v>0</v>
      </c>
      <c r="H11" s="1449">
        <f ca="1">_xlfn.XLOOKUP(A11,TabCalc[Ticker],TabCalc[M])</f>
        <v>406.37</v>
      </c>
      <c r="I11" t="str">
        <f ca="1">IF(A11=IDTICKER,"Ups=("&amp;ID!D$7&amp;" - "&amp;ID!G$7&amp;")","")</f>
        <v/>
      </c>
      <c r="J11" s="151" t="s">
        <v>2841</v>
      </c>
      <c r="K11" s="1484">
        <v>45987</v>
      </c>
      <c r="L11" s="1453"/>
      <c r="M11" s="1474" t="e">
        <f ca="1">_xlfn.XLOOKUP(G11,TabCalc[Ticker],TabCalc[Up20])</f>
        <v>#N/A</v>
      </c>
      <c r="N11" s="1454" t="e">
        <f ca="1">_xlfn.XLOOKUP(G11,TabCalc[Ticker],TabCalc[M])</f>
        <v>#N/A</v>
      </c>
      <c r="O11" s="1473">
        <f t="shared" ca="1" si="0"/>
        <v>46002</v>
      </c>
      <c r="P11" s="1449" t="str">
        <f t="shared" ca="1" si="1"/>
        <v>Formulas ready to copy below</v>
      </c>
    </row>
    <row r="12" spans="1:17" ht="23" thickBot="1">
      <c r="A12" s="1492" t="str">
        <f ca="1">Calc!H10</f>
        <v>AZN</v>
      </c>
      <c r="B12" s="1472">
        <v>45987</v>
      </c>
      <c r="C12" s="1465" t="s">
        <v>2824</v>
      </c>
      <c r="D12" s="1043">
        <v>3.304E-2</v>
      </c>
      <c r="E12" s="1458">
        <v>1.241951279080568</v>
      </c>
      <c r="F12" s="151" t="s">
        <v>2699</v>
      </c>
      <c r="G12" s="1458">
        <v>0</v>
      </c>
      <c r="H12" s="151">
        <f ca="1">_xlfn.XLOOKUP(A12,TabCalc[Ticker],TabCalc[M])</f>
        <v>90.29</v>
      </c>
      <c r="I12" t="str">
        <f ca="1">IF(A12=IDTICKER,"Ups=("&amp;ID!D$7&amp;" - "&amp;ID!G$7&amp;")","")</f>
        <v/>
      </c>
      <c r="J12" s="151" t="s">
        <v>2756</v>
      </c>
      <c r="K12" s="1484">
        <v>45981</v>
      </c>
      <c r="L12" s="91"/>
      <c r="M12" s="219" t="e">
        <f ca="1">_xlfn.XLOOKUP(G12,TabCalc[Ticker],TabCalc[Up20])</f>
        <v>#N/A</v>
      </c>
      <c r="N12" s="81" t="e">
        <f ca="1">_xlfn.XLOOKUP(G12,TabCalc[Ticker],TabCalc[M])</f>
        <v>#N/A</v>
      </c>
      <c r="O12" s="62">
        <f t="shared" ca="1" si="0"/>
        <v>46002</v>
      </c>
      <c r="P12" t="str">
        <f t="shared" ca="1" si="1"/>
        <v>Formulas ready to copy below</v>
      </c>
    </row>
    <row r="13" spans="1:17" ht="23" thickBot="1">
      <c r="A13" s="1492" t="str">
        <f ca="1">Calc!H11</f>
        <v>BLDP</v>
      </c>
      <c r="B13" s="1472">
        <v>45938</v>
      </c>
      <c r="C13" s="1465" t="s">
        <v>2531</v>
      </c>
      <c r="D13" s="1043">
        <v>1.8657E-2</v>
      </c>
      <c r="E13" s="1456">
        <v>1.048142215609063</v>
      </c>
      <c r="F13" s="1449" t="s">
        <v>2700</v>
      </c>
      <c r="G13" s="1456">
        <v>0</v>
      </c>
      <c r="H13" s="1449">
        <f ca="1">_xlfn.XLOOKUP(A13,TabCalc[Ticker],TabCalc[M])</f>
        <v>2.89</v>
      </c>
      <c r="I13" t="str">
        <f ca="1">IF(A13=IDTICKER,"Ups=("&amp;ID!D$7&amp;" - "&amp;ID!G$7&amp;")","")</f>
        <v/>
      </c>
      <c r="J13" s="151" t="s">
        <v>2757</v>
      </c>
      <c r="K13" s="1484">
        <v>45981</v>
      </c>
      <c r="L13" s="1453"/>
      <c r="M13" s="1474" t="e">
        <f ca="1">_xlfn.XLOOKUP(G13,TabCalc[Ticker],TabCalc[Up20])</f>
        <v>#N/A</v>
      </c>
      <c r="N13" s="1454" t="e">
        <f ca="1">_xlfn.XLOOKUP(G13,TabCalc[Ticker],TabCalc[M])</f>
        <v>#N/A</v>
      </c>
      <c r="O13" s="1473">
        <f t="shared" ca="1" si="0"/>
        <v>46002</v>
      </c>
      <c r="P13" s="1449" t="str">
        <f t="shared" ca="1" si="1"/>
        <v>Formulas ready to copy below</v>
      </c>
    </row>
    <row r="14" spans="1:17" ht="23" thickBot="1">
      <c r="A14" s="1492" t="str">
        <f ca="1">Calc!H12</f>
        <v>BMRA</v>
      </c>
      <c r="B14" s="1472">
        <v>46000</v>
      </c>
      <c r="C14" s="1465" t="s">
        <v>2914</v>
      </c>
      <c r="D14" s="1043">
        <v>2.0119999999999999E-3</v>
      </c>
      <c r="E14" s="1452">
        <v>7.6156653842359673E-2</v>
      </c>
      <c r="F14" s="1453" t="s">
        <v>2920</v>
      </c>
      <c r="G14" s="1044">
        <v>0</v>
      </c>
      <c r="H14" s="1454">
        <f ca="1">_xlfn.XLOOKUP(A14,TabCalc[Ticker],TabCalc[M])</f>
        <v>2.59</v>
      </c>
      <c r="I14" t="str">
        <f ca="1">IF(A14=IDTICKER,"Ups=("&amp;ID!D$7&amp;" - "&amp;ID!G$7&amp;")","")</f>
        <v/>
      </c>
      <c r="J14" s="151" t="s">
        <v>2926</v>
      </c>
      <c r="K14" s="1484">
        <v>46001</v>
      </c>
      <c r="L14" s="91"/>
      <c r="M14" s="219" t="e">
        <f ca="1">_xlfn.XLOOKUP(G14,TabCalc[Ticker],TabCalc[Up20])</f>
        <v>#N/A</v>
      </c>
      <c r="N14" s="81" t="e">
        <f ca="1">_xlfn.XLOOKUP(G14,TabCalc[Ticker],TabCalc[M])</f>
        <v>#N/A</v>
      </c>
      <c r="O14" s="62">
        <f t="shared" ca="1" si="0"/>
        <v>46002</v>
      </c>
      <c r="P14" t="str">
        <f t="shared" ca="1" si="1"/>
        <v>Formulas ready to copy below</v>
      </c>
    </row>
    <row r="15" spans="1:17" ht="23" thickBot="1">
      <c r="A15" s="1492" t="str">
        <f ca="1">Calc!H13</f>
        <v>C</v>
      </c>
      <c r="B15" s="1472">
        <v>45552</v>
      </c>
      <c r="C15" s="1465" t="s">
        <v>1398</v>
      </c>
      <c r="D15" s="1043">
        <v>1.2291000000000002E-2</v>
      </c>
      <c r="E15" s="645">
        <v>0.93199850540912832</v>
      </c>
      <c r="F15" s="151" t="s">
        <v>2701</v>
      </c>
      <c r="G15" s="645">
        <v>0</v>
      </c>
      <c r="H15" s="151">
        <f ca="1">_xlfn.XLOOKUP(A15,TabCalc[Ticker],TabCalc[M])</f>
        <v>111.75</v>
      </c>
      <c r="I15" t="str">
        <f ca="1">IF(A15=IDTICKER,"Ups=("&amp;ID!D$7&amp;" - "&amp;ID!G$7&amp;")","")</f>
        <v/>
      </c>
      <c r="J15" s="151" t="s">
        <v>2758</v>
      </c>
      <c r="K15" s="1484">
        <v>45981</v>
      </c>
      <c r="L15" s="1453"/>
      <c r="M15" s="1474" t="e">
        <f ca="1">_xlfn.XLOOKUP(G15,TabCalc[Ticker],TabCalc[Up20])</f>
        <v>#N/A</v>
      </c>
      <c r="N15" s="1454" t="e">
        <f ca="1">_xlfn.XLOOKUP(G15,TabCalc[Ticker],TabCalc[M])</f>
        <v>#N/A</v>
      </c>
      <c r="O15" s="1473">
        <f t="shared" ca="1" si="0"/>
        <v>46002</v>
      </c>
      <c r="P15" s="1449" t="str">
        <f t="shared" ca="1" si="1"/>
        <v>Formulas ready to copy below</v>
      </c>
    </row>
    <row r="16" spans="1:17" ht="23" thickBot="1">
      <c r="A16" s="1492" t="str">
        <f ca="1">Calc!H14</f>
        <v>CSCO</v>
      </c>
      <c r="B16" s="1472">
        <v>45938</v>
      </c>
      <c r="C16" s="1465" t="s">
        <v>2533</v>
      </c>
      <c r="D16" s="1043">
        <v>1.5575E-2</v>
      </c>
      <c r="E16" s="1456">
        <v>0.63508868929166895</v>
      </c>
      <c r="F16" s="1449" t="s">
        <v>2702</v>
      </c>
      <c r="G16" s="1456">
        <v>0</v>
      </c>
      <c r="H16" s="1449">
        <f ca="1">_xlfn.XLOOKUP(A16,TabCalc[Ticker],TabCalc[M])</f>
        <v>79.27</v>
      </c>
      <c r="I16" t="str">
        <f ca="1">IF(A16=IDTICKER,"Ups=("&amp;ID!D$7&amp;" - "&amp;ID!G$7&amp;")","")</f>
        <v/>
      </c>
      <c r="J16" s="151" t="s">
        <v>2759</v>
      </c>
      <c r="K16" s="1484">
        <v>45981</v>
      </c>
      <c r="L16" s="91"/>
      <c r="M16" s="219" t="e">
        <f ca="1">_xlfn.XLOOKUP(G16,TabCalc[Ticker],TabCalc[Up20])</f>
        <v>#N/A</v>
      </c>
      <c r="N16" s="81" t="e">
        <f ca="1">_xlfn.XLOOKUP(G16,TabCalc[Ticker],TabCalc[M])</f>
        <v>#N/A</v>
      </c>
      <c r="O16" s="62">
        <f t="shared" ca="1" si="0"/>
        <v>46002</v>
      </c>
      <c r="P16" t="str">
        <f t="shared" ca="1" si="1"/>
        <v>Formulas ready to copy below</v>
      </c>
    </row>
    <row r="17" spans="1:16" ht="23" thickBot="1">
      <c r="A17" s="1492" t="str">
        <f ca="1">Calc!H15</f>
        <v>CVS</v>
      </c>
      <c r="B17" s="1472">
        <v>45987</v>
      </c>
      <c r="C17" s="1465" t="s">
        <v>2825</v>
      </c>
      <c r="D17" s="1043">
        <v>2.2553999999999998E-2</v>
      </c>
      <c r="E17" s="1456">
        <v>0.52605454534654339</v>
      </c>
      <c r="F17" s="1449" t="s">
        <v>2703</v>
      </c>
      <c r="G17" s="1456">
        <v>0</v>
      </c>
      <c r="H17" s="1449">
        <f ca="1">_xlfn.XLOOKUP(A17,TabCalc[Ticker],TabCalc[M])</f>
        <v>80.83</v>
      </c>
      <c r="I17" t="str">
        <f ca="1">IF(A17=IDTICKER,"Ups=("&amp;ID!D$7&amp;" - "&amp;ID!G$7&amp;")","")</f>
        <v/>
      </c>
      <c r="J17" s="151" t="s">
        <v>2760</v>
      </c>
      <c r="K17" s="1484">
        <v>45981</v>
      </c>
      <c r="L17" s="1453"/>
      <c r="M17" s="1474" t="e">
        <f ca="1">_xlfn.XLOOKUP(G17,TabCalc[Ticker],TabCalc[Up20])</f>
        <v>#N/A</v>
      </c>
      <c r="N17" s="1454" t="e">
        <f ca="1">_xlfn.XLOOKUP(G17,TabCalc[Ticker],TabCalc[M])</f>
        <v>#N/A</v>
      </c>
      <c r="O17" s="1473">
        <f t="shared" ca="1" si="0"/>
        <v>46002</v>
      </c>
      <c r="P17" s="1449" t="str">
        <f t="shared" ca="1" si="1"/>
        <v>Formulas ready to copy below</v>
      </c>
    </row>
    <row r="18" spans="1:16" ht="23" thickBot="1">
      <c r="A18" s="1492" t="str">
        <f ca="1">Calc!H16</f>
        <v>DDD</v>
      </c>
      <c r="B18" s="1472">
        <v>45932</v>
      </c>
      <c r="C18" s="1465" t="s">
        <v>2508</v>
      </c>
      <c r="D18" s="1043">
        <v>4.0106999999999997E-2</v>
      </c>
      <c r="E18" s="645">
        <v>1.1781840228772786</v>
      </c>
      <c r="F18" s="151" t="s">
        <v>2704</v>
      </c>
      <c r="G18" s="645">
        <v>0</v>
      </c>
      <c r="H18" s="151">
        <f ca="1">_xlfn.XLOOKUP(A18,TabCalc[Ticker],TabCalc[M])</f>
        <v>1.9650000000000001</v>
      </c>
      <c r="I18" t="str">
        <f ca="1">IF(A18=IDTICKER,"Ups=("&amp;ID!D$7&amp;" - "&amp;ID!G$7&amp;")","")</f>
        <v/>
      </c>
      <c r="J18" s="151" t="s">
        <v>2761</v>
      </c>
      <c r="K18" s="1484">
        <v>45981</v>
      </c>
      <c r="L18" s="91"/>
      <c r="M18" s="219" t="e">
        <f ca="1">_xlfn.XLOOKUP(G18,TabCalc[Ticker],TabCalc[Up20])</f>
        <v>#N/A</v>
      </c>
      <c r="N18" s="81" t="e">
        <f ca="1">_xlfn.XLOOKUP(G18,TabCalc[Ticker],TabCalc[M])</f>
        <v>#N/A</v>
      </c>
      <c r="O18" s="62">
        <f t="shared" ca="1" si="0"/>
        <v>46002</v>
      </c>
      <c r="P18" t="str">
        <f t="shared" ca="1" si="1"/>
        <v>Formulas ready to copy below</v>
      </c>
    </row>
    <row r="19" spans="1:16" ht="23" thickBot="1">
      <c r="A19" s="1492" t="str">
        <f ca="1">Calc!H17</f>
        <v>DIS</v>
      </c>
      <c r="B19" s="1472">
        <v>45919</v>
      </c>
      <c r="C19" s="1465"/>
      <c r="D19" s="1043">
        <v>1.704E-2</v>
      </c>
      <c r="E19" s="1456">
        <v>0.66506619422509894</v>
      </c>
      <c r="F19" s="1449" t="s">
        <v>2705</v>
      </c>
      <c r="G19" s="1456">
        <v>0</v>
      </c>
      <c r="H19" s="1449">
        <f ca="1">_xlfn.XLOOKUP(A19,TabCalc[Ticker],TabCalc[M])</f>
        <v>111.48</v>
      </c>
      <c r="I19" t="str">
        <f ca="1">IF(A19=IDTICKER,"Ups=("&amp;ID!D$7&amp;" - "&amp;ID!G$7&amp;")","")</f>
        <v/>
      </c>
      <c r="J19" s="151" t="s">
        <v>2762</v>
      </c>
      <c r="K19" s="1484">
        <v>45981</v>
      </c>
      <c r="L19" s="1453"/>
      <c r="M19" s="1474" t="e">
        <f ca="1">_xlfn.XLOOKUP(G19,TabCalc[Ticker],TabCalc[Up20])</f>
        <v>#N/A</v>
      </c>
      <c r="N19" s="1454" t="e">
        <f ca="1">_xlfn.XLOOKUP(G19,TabCalc[Ticker],TabCalc[M])</f>
        <v>#N/A</v>
      </c>
      <c r="O19" s="1473">
        <f t="shared" ca="1" si="0"/>
        <v>46002</v>
      </c>
      <c r="P19" s="1449" t="str">
        <f t="shared" ca="1" si="1"/>
        <v>Formulas ready to copy below</v>
      </c>
    </row>
    <row r="20" spans="1:16" ht="23" thickBot="1">
      <c r="A20" s="1492" t="str">
        <f ca="1">Calc!H18</f>
        <v>DSY</v>
      </c>
      <c r="B20" s="1472">
        <v>45954</v>
      </c>
      <c r="C20" s="1465" t="s">
        <v>2857</v>
      </c>
      <c r="D20" s="1043">
        <v>0</v>
      </c>
      <c r="E20" s="1457">
        <v>0.47194177508086793</v>
      </c>
      <c r="F20" s="1449" t="s">
        <v>2868</v>
      </c>
      <c r="G20" s="1457">
        <v>0</v>
      </c>
      <c r="H20" s="1449">
        <f ca="1">_xlfn.XLOOKUP(A20,TabCalc[Ticker],TabCalc[M])</f>
        <v>23.13</v>
      </c>
      <c r="I20" t="str">
        <f ca="1">IF(A20=IDTICKER,"Ups=("&amp;ID!D$7&amp;" - "&amp;ID!G$7&amp;")","")</f>
        <v/>
      </c>
      <c r="J20" s="151" t="s">
        <v>2873</v>
      </c>
      <c r="K20" s="1484">
        <v>45989</v>
      </c>
      <c r="L20" s="1475"/>
      <c r="M20" s="219" t="e">
        <f ca="1">_xlfn.XLOOKUP(G20,TabCalc[Ticker],TabCalc[Up20])</f>
        <v>#N/A</v>
      </c>
      <c r="N20" s="81" t="e">
        <f ca="1">_xlfn.XLOOKUP(G20,TabCalc[Ticker],TabCalc[M])</f>
        <v>#N/A</v>
      </c>
      <c r="O20" s="62">
        <f t="shared" ca="1" si="0"/>
        <v>46002</v>
      </c>
      <c r="P20" t="str">
        <f t="shared" ca="1" si="1"/>
        <v>Formulas ready to copy below</v>
      </c>
    </row>
    <row r="21" spans="1:16" ht="23" thickBot="1">
      <c r="A21" s="1492" t="str">
        <f ca="1">Calc!H19</f>
        <v>DVA</v>
      </c>
      <c r="B21" s="1472">
        <v>45988</v>
      </c>
      <c r="C21" s="1465" t="s">
        <v>2856</v>
      </c>
      <c r="D21" s="1043">
        <v>6.058E-3</v>
      </c>
      <c r="E21" s="1452">
        <v>0.19050517885640714</v>
      </c>
      <c r="F21" s="1453" t="s">
        <v>2893</v>
      </c>
      <c r="G21" s="1044">
        <v>0</v>
      </c>
      <c r="H21" s="1454">
        <f ca="1">_xlfn.XLOOKUP(A21,TabCalc[Ticker],TabCalc[M])</f>
        <v>120.345</v>
      </c>
      <c r="I21" t="str">
        <f ca="1">IF(A21=IDTICKER,"Ups=("&amp;ID!D$7&amp;" - "&amp;ID!G$7&amp;")","")</f>
        <v/>
      </c>
      <c r="J21" s="151" t="s">
        <v>2895</v>
      </c>
      <c r="K21" s="1484">
        <v>45992</v>
      </c>
      <c r="L21" s="1453"/>
      <c r="M21" s="1474" t="e">
        <f ca="1">_xlfn.XLOOKUP(G21,TabCalc[Ticker],TabCalc[Up20])</f>
        <v>#N/A</v>
      </c>
      <c r="N21" s="1454" t="e">
        <f ca="1">_xlfn.XLOOKUP(G21,TabCalc[Ticker],TabCalc[M])</f>
        <v>#N/A</v>
      </c>
      <c r="O21" s="1473">
        <f t="shared" ca="1" si="0"/>
        <v>46002</v>
      </c>
      <c r="P21" s="1449" t="str">
        <f t="shared" ca="1" si="1"/>
        <v>Formulas ready to copy below</v>
      </c>
    </row>
    <row r="22" spans="1:16" ht="23" thickBot="1">
      <c r="A22" s="1492" t="str">
        <f ca="1">Calc!H20</f>
        <v>DXC</v>
      </c>
      <c r="B22" s="1472">
        <v>46001</v>
      </c>
      <c r="C22" s="1465"/>
      <c r="D22" s="1043">
        <v>7.9369999999999996E-3</v>
      </c>
      <c r="E22" s="1452">
        <v>1.144784804822979</v>
      </c>
      <c r="F22" s="1453" t="s">
        <v>2969</v>
      </c>
      <c r="G22" s="1044" t="s">
        <v>2946</v>
      </c>
      <c r="H22" s="1454">
        <f ca="1">_xlfn.XLOOKUP(A22,TabCalc[Ticker],TabCalc[M])</f>
        <v>15.24</v>
      </c>
      <c r="I22" t="str">
        <f ca="1">IF(A22=IDTICKER,"Ups=("&amp;ID!D$7&amp;" - "&amp;ID!G$7&amp;")","")</f>
        <v/>
      </c>
      <c r="J22" s="1455" t="s">
        <v>2972</v>
      </c>
      <c r="K22" s="1445">
        <v>46002</v>
      </c>
      <c r="L22" s="91"/>
      <c r="M22" s="219" t="e">
        <f ca="1">_xlfn.XLOOKUP(G22,TabCalc[Ticker],TabCalc[Up20])</f>
        <v>#N/A</v>
      </c>
      <c r="N22" s="81" t="e">
        <f ca="1">_xlfn.XLOOKUP(G22,TabCalc[Ticker],TabCalc[M])</f>
        <v>#N/A</v>
      </c>
      <c r="O22" s="62">
        <f t="shared" ca="1" si="0"/>
        <v>46002</v>
      </c>
      <c r="P22" t="str">
        <f t="shared" ca="1" si="1"/>
        <v>Formulas ready to copy below</v>
      </c>
    </row>
    <row r="23" spans="1:16" ht="24" thickTop="1" thickBot="1">
      <c r="A23" s="1492" t="str">
        <f ca="1">Calc!H21</f>
        <v>EOAN</v>
      </c>
      <c r="B23" s="1472">
        <v>45988</v>
      </c>
      <c r="C23" s="1465" t="s">
        <v>2858</v>
      </c>
      <c r="D23" s="1043">
        <v>-9.3819999999999997E-3</v>
      </c>
      <c r="E23" s="1457">
        <v>2.6971350856452056E-3</v>
      </c>
      <c r="F23" s="1449" t="s">
        <v>2869</v>
      </c>
      <c r="G23" s="1457">
        <v>0</v>
      </c>
      <c r="H23" s="1449">
        <f ca="1">_xlfn.XLOOKUP(A23,TabCalc[Ticker],TabCalc[M])</f>
        <v>15.035</v>
      </c>
      <c r="I23" t="str">
        <f ca="1">IF(A23=IDTICKER,"Ups=("&amp;ID!D$7&amp;" - "&amp;ID!G$7&amp;")","")</f>
        <v/>
      </c>
      <c r="J23" s="151" t="s">
        <v>2874</v>
      </c>
      <c r="K23" s="1484">
        <v>45989</v>
      </c>
      <c r="L23" s="1476"/>
      <c r="M23" s="1474" t="e">
        <f ca="1">_xlfn.XLOOKUP(G23,TabCalc[Ticker],TabCalc[Up20])</f>
        <v>#N/A</v>
      </c>
      <c r="N23" s="1454" t="e">
        <f ca="1">_xlfn.XLOOKUP(G23,TabCalc[Ticker],TabCalc[M])</f>
        <v>#N/A</v>
      </c>
      <c r="O23" s="1473">
        <f t="shared" ca="1" si="0"/>
        <v>46002</v>
      </c>
      <c r="P23" s="1449" t="str">
        <f t="shared" ca="1" si="1"/>
        <v>Formulas ready to copy below</v>
      </c>
    </row>
    <row r="24" spans="1:16" ht="23" thickBot="1">
      <c r="A24" s="1492" t="str">
        <f ca="1">Calc!H22</f>
        <v>EPIX</v>
      </c>
      <c r="B24" s="1472">
        <v>45460</v>
      </c>
      <c r="C24" s="1465" t="s">
        <v>1399</v>
      </c>
      <c r="D24" s="1043">
        <v>0</v>
      </c>
      <c r="E24" s="645">
        <v>1.8522760022071003</v>
      </c>
      <c r="F24" s="151" t="s">
        <v>2708</v>
      </c>
      <c r="G24" s="645">
        <v>0</v>
      </c>
      <c r="H24" s="151">
        <f ca="1">_xlfn.XLOOKUP(A24,TabCalc[Ticker],TabCalc[M])</f>
        <v>0.20119999999999999</v>
      </c>
      <c r="I24" t="str">
        <f ca="1">IF(A24=IDTICKER,"Ups=("&amp;ID!D$7&amp;" - "&amp;ID!G$7&amp;")","")</f>
        <v/>
      </c>
      <c r="J24" s="151" t="s">
        <v>2765</v>
      </c>
      <c r="K24" s="1484">
        <v>45981</v>
      </c>
      <c r="L24" s="91"/>
      <c r="M24" s="219" t="e">
        <f ca="1">_xlfn.XLOOKUP(G24,TabCalc[Ticker],TabCalc[Up20])</f>
        <v>#N/A</v>
      </c>
      <c r="N24" s="81" t="e">
        <f ca="1">_xlfn.XLOOKUP(G24,TabCalc[Ticker],TabCalc[M])</f>
        <v>#N/A</v>
      </c>
      <c r="O24" s="62">
        <f t="shared" ca="1" si="0"/>
        <v>46002</v>
      </c>
      <c r="P24" t="str">
        <f t="shared" ca="1" si="1"/>
        <v>Formulas ready to copy below</v>
      </c>
    </row>
    <row r="25" spans="1:16" ht="23" thickBot="1">
      <c r="A25" s="1492" t="str">
        <f ca="1">Calc!H23</f>
        <v>GM</v>
      </c>
      <c r="B25" s="1472">
        <v>45554</v>
      </c>
      <c r="C25" s="1465" t="s">
        <v>1400</v>
      </c>
      <c r="D25" s="1043">
        <v>3.2187E-2</v>
      </c>
      <c r="E25" s="645">
        <v>0.62821133819906561</v>
      </c>
      <c r="F25" s="151" t="s">
        <v>2709</v>
      </c>
      <c r="G25" s="645">
        <v>0</v>
      </c>
      <c r="H25" s="151">
        <f ca="1">_xlfn.XLOOKUP(A25,TabCalc[Ticker],TabCalc[M])</f>
        <v>80.844999999999999</v>
      </c>
      <c r="I25" t="str">
        <f ca="1">IF(A25=IDTICKER,"Ups=("&amp;ID!D$7&amp;" - "&amp;ID!G$7&amp;")","")</f>
        <v/>
      </c>
      <c r="J25" s="151" t="s">
        <v>2766</v>
      </c>
      <c r="K25" s="1484">
        <v>45981</v>
      </c>
      <c r="L25" s="1453"/>
      <c r="M25" s="1474" t="e">
        <f ca="1">_xlfn.XLOOKUP(G25,TabCalc[Ticker],TabCalc[Up20])</f>
        <v>#N/A</v>
      </c>
      <c r="N25" s="1454" t="e">
        <f ca="1">_xlfn.XLOOKUP(G25,TabCalc[Ticker],TabCalc[M])</f>
        <v>#N/A</v>
      </c>
      <c r="O25" s="1473">
        <f t="shared" ca="1" si="0"/>
        <v>46002</v>
      </c>
      <c r="P25" s="1449" t="str">
        <f t="shared" ca="1" si="1"/>
        <v>Formulas ready to copy below</v>
      </c>
    </row>
    <row r="26" spans="1:16" ht="23" thickBot="1">
      <c r="A26" s="1492" t="str">
        <f ca="1">Calc!H24</f>
        <v>HPE</v>
      </c>
      <c r="B26" s="1472">
        <v>46000</v>
      </c>
      <c r="C26" s="1465" t="s">
        <v>1401</v>
      </c>
      <c r="D26" s="1043">
        <v>2.7033000000000001E-2</v>
      </c>
      <c r="E26" s="1452">
        <v>0.42663347556602993</v>
      </c>
      <c r="F26" s="1453" t="s">
        <v>2921</v>
      </c>
      <c r="G26" s="1044">
        <v>0</v>
      </c>
      <c r="H26" s="1454">
        <f ca="1">_xlfn.XLOOKUP(A26,TabCalc[Ticker],TabCalc[M])</f>
        <v>24.54</v>
      </c>
      <c r="I26" t="str">
        <f ca="1">IF(A26=IDTICKER,"Ups=("&amp;ID!D$7&amp;" - "&amp;ID!G$7&amp;")","")</f>
        <v/>
      </c>
      <c r="J26" s="151" t="s">
        <v>2927</v>
      </c>
      <c r="K26" s="1484">
        <v>46001</v>
      </c>
      <c r="L26" s="91"/>
      <c r="M26" s="219" t="e">
        <f ca="1">_xlfn.XLOOKUP(G26,TabCalc[Ticker],TabCalc[Up20])</f>
        <v>#N/A</v>
      </c>
      <c r="N26" s="81" t="e">
        <f ca="1">_xlfn.XLOOKUP(G26,TabCalc[Ticker],TabCalc[M])</f>
        <v>#N/A</v>
      </c>
      <c r="O26" s="62">
        <f t="shared" ca="1" si="0"/>
        <v>46002</v>
      </c>
      <c r="P26" t="str">
        <f t="shared" ca="1" si="1"/>
        <v>Formulas ready to copy below</v>
      </c>
    </row>
    <row r="27" spans="1:16" ht="23" thickBot="1">
      <c r="A27" s="1492" t="str">
        <f ca="1">Calc!H25</f>
        <v>HPQ</v>
      </c>
      <c r="B27" s="1472">
        <v>46000</v>
      </c>
      <c r="C27" s="1465" t="s">
        <v>2831</v>
      </c>
      <c r="D27" s="1043">
        <v>-1E-3</v>
      </c>
      <c r="E27" s="1452">
        <v>0.89</v>
      </c>
      <c r="F27" s="1453" t="s">
        <v>2911</v>
      </c>
      <c r="G27" s="1044">
        <v>0</v>
      </c>
      <c r="H27" s="1454">
        <v>277.58999999999997</v>
      </c>
      <c r="J27" s="151" t="s">
        <v>2912</v>
      </c>
      <c r="K27" s="1484">
        <v>46000</v>
      </c>
      <c r="L27" s="1453"/>
      <c r="M27" s="1474" t="e">
        <f ca="1">_xlfn.XLOOKUP(G27,TabCalc[Ticker],TabCalc[Up20])</f>
        <v>#N/A</v>
      </c>
      <c r="N27" s="1454" t="e">
        <f ca="1">_xlfn.XLOOKUP(G27,TabCalc[Ticker],TabCalc[M])</f>
        <v>#N/A</v>
      </c>
      <c r="O27" s="1473">
        <f t="shared" ca="1" si="0"/>
        <v>46002</v>
      </c>
      <c r="P27" s="1449" t="str">
        <f t="shared" ca="1" si="1"/>
        <v>Formulas ready to copy below</v>
      </c>
    </row>
    <row r="28" spans="1:16" ht="23" thickBot="1">
      <c r="A28" s="1492" t="str">
        <f ca="1">Calc!H26</f>
        <v>IAG</v>
      </c>
      <c r="B28" s="1472">
        <v>45987</v>
      </c>
      <c r="C28" s="1465" t="s">
        <v>2833</v>
      </c>
      <c r="D28" s="1043">
        <v>2.0449999999999999E-2</v>
      </c>
      <c r="E28" s="1452">
        <v>0.65857198894800162</v>
      </c>
      <c r="F28" s="1453" t="s">
        <v>2835</v>
      </c>
      <c r="G28" s="1044">
        <v>0</v>
      </c>
      <c r="H28" s="1454">
        <f ca="1">_xlfn.XLOOKUP(A28,TabCalc[Ticker],TabCalc[M])</f>
        <v>397.6</v>
      </c>
      <c r="I28" t="str">
        <f ca="1">IF(A28=IDTICKER,"Ups=("&amp;ID!D$7&amp;" - "&amp;ID!G$7&amp;")","")</f>
        <v/>
      </c>
      <c r="J28" s="151" t="s">
        <v>2842</v>
      </c>
      <c r="K28" s="1484">
        <v>45987</v>
      </c>
      <c r="L28" s="91"/>
      <c r="M28" s="219" t="e">
        <f ca="1">_xlfn.XLOOKUP(G28,TabCalc[Ticker],TabCalc[Up20])</f>
        <v>#N/A</v>
      </c>
      <c r="N28" s="81" t="e">
        <f ca="1">_xlfn.XLOOKUP(G28,TabCalc[Ticker],TabCalc[M])</f>
        <v>#N/A</v>
      </c>
      <c r="O28" s="62">
        <f t="shared" ca="1" si="0"/>
        <v>46002</v>
      </c>
      <c r="P28" t="str">
        <f t="shared" ca="1" si="1"/>
        <v>Formulas ready to copy below</v>
      </c>
    </row>
    <row r="29" spans="1:16" ht="23" thickBot="1">
      <c r="A29" s="1492" t="str">
        <f ca="1">Calc!H27</f>
        <v>KR</v>
      </c>
      <c r="B29" s="1472">
        <v>45987</v>
      </c>
      <c r="C29" s="1465" t="s">
        <v>2826</v>
      </c>
      <c r="D29" s="1043">
        <v>1.5921000000000001E-2</v>
      </c>
      <c r="E29" s="1452">
        <v>1.053096110163761</v>
      </c>
      <c r="F29" s="1453" t="s">
        <v>2970</v>
      </c>
      <c r="G29" s="1044">
        <v>0</v>
      </c>
      <c r="H29" s="1454">
        <f ca="1">_xlfn.XLOOKUP(A29,TabCalc[Ticker],TabCalc[M])</f>
        <v>62.215000000000003</v>
      </c>
      <c r="I29" t="str">
        <f ca="1">IF(A29=IDTICKER,"Ups=("&amp;ID!D$7&amp;" - "&amp;ID!G$7&amp;")","")</f>
        <v/>
      </c>
      <c r="J29" s="1455" t="s">
        <v>2973</v>
      </c>
      <c r="K29" s="1445">
        <v>46002</v>
      </c>
      <c r="L29" s="1453"/>
      <c r="M29" s="1474" t="e">
        <f ca="1">_xlfn.XLOOKUP(G29,TabCalc[Ticker],TabCalc[Up20])</f>
        <v>#N/A</v>
      </c>
      <c r="N29" s="1454" t="e">
        <f ca="1">_xlfn.XLOOKUP(G29,TabCalc[Ticker],TabCalc[M])</f>
        <v>#N/A</v>
      </c>
      <c r="O29" s="1473">
        <f t="shared" ca="1" si="0"/>
        <v>46002</v>
      </c>
      <c r="P29" s="1449" t="str">
        <f t="shared" ca="1" si="1"/>
        <v>Formulas ready to copy below</v>
      </c>
    </row>
    <row r="30" spans="1:16" ht="24" thickTop="1" thickBot="1">
      <c r="A30" s="1492" t="str">
        <f ca="1">Calc!H28</f>
        <v>LNSR</v>
      </c>
      <c r="B30" s="1472">
        <v>45987</v>
      </c>
      <c r="C30" s="1465" t="s">
        <v>2829</v>
      </c>
      <c r="D30" s="1043">
        <v>2.2165000000000001E-2</v>
      </c>
      <c r="E30" s="1452">
        <v>0.2594970347991496</v>
      </c>
      <c r="F30" s="1453" t="s">
        <v>2710</v>
      </c>
      <c r="G30" s="1044">
        <v>0</v>
      </c>
      <c r="H30" s="1454">
        <f ca="1">_xlfn.XLOOKUP(A30,TabCalc[Ticker],TabCalc[M])</f>
        <v>11.5</v>
      </c>
      <c r="I30" t="str">
        <f ca="1">IF(A30=IDTICKER,"Ups=("&amp;ID!D$7&amp;" - "&amp;ID!G$7&amp;")","")</f>
        <v/>
      </c>
      <c r="J30" s="151" t="s">
        <v>2767</v>
      </c>
      <c r="K30" s="1484">
        <v>45981</v>
      </c>
      <c r="L30" s="91"/>
      <c r="M30" s="219" t="e">
        <f ca="1">_xlfn.XLOOKUP(G30,TabCalc[Ticker],TabCalc[Up20])</f>
        <v>#N/A</v>
      </c>
      <c r="N30" s="81" t="e">
        <f ca="1">_xlfn.XLOOKUP(G30,TabCalc[Ticker],TabCalc[M])</f>
        <v>#N/A</v>
      </c>
      <c r="O30" s="62">
        <f t="shared" ca="1" si="0"/>
        <v>46002</v>
      </c>
      <c r="P30" t="str">
        <f t="shared" ca="1" si="1"/>
        <v>Formulas ready to copy below</v>
      </c>
    </row>
    <row r="31" spans="1:16" ht="23" thickBot="1">
      <c r="A31" s="1492" t="str">
        <f ca="1">Calc!H29</f>
        <v>LUMN</v>
      </c>
      <c r="B31" s="1472">
        <v>45987</v>
      </c>
      <c r="C31" s="1465" t="s">
        <v>2827</v>
      </c>
      <c r="D31" s="1043">
        <v>1.4999999999999999E-2</v>
      </c>
      <c r="E31" s="1452">
        <v>0.2063215988070142</v>
      </c>
      <c r="F31" s="1453" t="s">
        <v>2836</v>
      </c>
      <c r="G31" s="1044">
        <v>0</v>
      </c>
      <c r="H31" s="1454">
        <f ca="1">_xlfn.XLOOKUP(A31,TabCalc[Ticker],TabCalc[M])</f>
        <v>8.65</v>
      </c>
      <c r="I31" t="str">
        <f ca="1">IF(A31=IDTICKER,"Ups=("&amp;ID!D$7&amp;" - "&amp;ID!G$7&amp;")","")</f>
        <v/>
      </c>
      <c r="J31" s="151" t="s">
        <v>2843</v>
      </c>
      <c r="K31" s="1484">
        <v>45987</v>
      </c>
      <c r="L31" s="1453"/>
      <c r="M31" s="1474" t="e">
        <f ca="1">_xlfn.XLOOKUP(G31,TabCalc[Ticker],TabCalc[Up20])</f>
        <v>#N/A</v>
      </c>
      <c r="N31" s="1454" t="e">
        <f ca="1">_xlfn.XLOOKUP(G31,TabCalc[Ticker],TabCalc[M])</f>
        <v>#N/A</v>
      </c>
      <c r="O31" s="1473">
        <f t="shared" ca="1" si="0"/>
        <v>46002</v>
      </c>
      <c r="P31" s="1449" t="str">
        <f t="shared" ca="1" si="1"/>
        <v>Formulas ready to copy below</v>
      </c>
    </row>
    <row r="32" spans="1:16" ht="23" thickBot="1">
      <c r="A32" s="1492" t="str">
        <f ca="1">Calc!H30</f>
        <v>MRNA</v>
      </c>
      <c r="B32" s="1472">
        <v>46000</v>
      </c>
      <c r="C32" s="1465"/>
      <c r="D32" s="1043">
        <v>-1E-3</v>
      </c>
      <c r="E32" s="1452">
        <v>0.89</v>
      </c>
      <c r="F32" s="1453" t="s">
        <v>2911</v>
      </c>
      <c r="G32" s="1044">
        <v>0</v>
      </c>
      <c r="H32" s="1454">
        <v>277.58999999999997</v>
      </c>
      <c r="J32" s="151" t="s">
        <v>2912</v>
      </c>
      <c r="K32" s="1484">
        <v>46000</v>
      </c>
      <c r="L32" s="91"/>
      <c r="M32" s="219" t="e">
        <f ca="1">_xlfn.XLOOKUP(G32,TabCalc[Ticker],TabCalc[Up20])</f>
        <v>#N/A</v>
      </c>
      <c r="N32" s="81" t="e">
        <f ca="1">_xlfn.XLOOKUP(G32,TabCalc[Ticker],TabCalc[M])</f>
        <v>#N/A</v>
      </c>
      <c r="O32" s="62">
        <f t="shared" ca="1" si="0"/>
        <v>46002</v>
      </c>
      <c r="P32" t="str">
        <f t="shared" ca="1" si="1"/>
        <v>Formulas ready to copy below</v>
      </c>
    </row>
    <row r="33" spans="1:16" ht="23" thickBot="1">
      <c r="A33" s="1492" t="str">
        <f ca="1">Calc!H31</f>
        <v>MSFT</v>
      </c>
      <c r="B33" s="1472">
        <v>45519</v>
      </c>
      <c r="C33" s="1465" t="s">
        <v>1402</v>
      </c>
      <c r="D33" s="1043">
        <v>-7.8380000000000012E-3</v>
      </c>
      <c r="E33" s="1456">
        <v>0.89636585544561698</v>
      </c>
      <c r="F33" s="1449" t="s">
        <v>2712</v>
      </c>
      <c r="G33" s="1456">
        <v>0</v>
      </c>
      <c r="H33" s="1449">
        <f ca="1">_xlfn.XLOOKUP(A33,TabCalc[Ticker],TabCalc[M])</f>
        <v>483.47</v>
      </c>
      <c r="I33" s="1043" t="str">
        <f ca="1">IF(A33=IDTICKER,"Ups=("&amp;ID!D$7&amp;" - "&amp;ID!G$7&amp;")","")</f>
        <v/>
      </c>
      <c r="J33" s="151" t="s">
        <v>2769</v>
      </c>
      <c r="K33" s="1484">
        <v>45981</v>
      </c>
      <c r="L33" s="1453"/>
      <c r="M33" s="1474" t="e">
        <f ca="1">_xlfn.XLOOKUP(G33,TabCalc[Ticker],TabCalc[Up20])</f>
        <v>#N/A</v>
      </c>
      <c r="N33" s="1454" t="e">
        <f ca="1">_xlfn.XLOOKUP(G33,TabCalc[Ticker],TabCalc[M])</f>
        <v>#N/A</v>
      </c>
      <c r="O33" s="1473">
        <f t="shared" ca="1" si="0"/>
        <v>46002</v>
      </c>
      <c r="P33" s="1449" t="str">
        <f t="shared" ca="1" si="1"/>
        <v>Formulas ready to copy below</v>
      </c>
    </row>
    <row r="34" spans="1:16" ht="23" thickBot="1">
      <c r="A34" s="1492" t="str">
        <f ca="1">Calc!H32</f>
        <v>NEE</v>
      </c>
      <c r="B34" s="1472">
        <v>45460</v>
      </c>
      <c r="C34" s="1465" t="s">
        <v>1403</v>
      </c>
      <c r="D34" s="1043">
        <v>-8.9990000000000001E-3</v>
      </c>
      <c r="E34" s="645">
        <v>0.98179454000156385</v>
      </c>
      <c r="F34" s="151" t="s">
        <v>2713</v>
      </c>
      <c r="G34" s="645">
        <v>0</v>
      </c>
      <c r="H34" s="151">
        <f ca="1">_xlfn.XLOOKUP(A34,TabCalc[Ticker],TabCalc[M])</f>
        <v>81.22</v>
      </c>
      <c r="I34" t="str">
        <f ca="1">IF(A34=IDTICKER,"Ups=("&amp;ID!D$7&amp;" - "&amp;ID!G$7&amp;")","")</f>
        <v/>
      </c>
      <c r="J34" s="151" t="s">
        <v>2770</v>
      </c>
      <c r="K34" s="1484">
        <v>45981</v>
      </c>
      <c r="L34" s="91"/>
      <c r="M34" s="219" t="e">
        <f ca="1">_xlfn.XLOOKUP(G34,TabCalc[Ticker],TabCalc[Up20])</f>
        <v>#N/A</v>
      </c>
      <c r="N34" s="81" t="e">
        <f ca="1">_xlfn.XLOOKUP(G34,TabCalc[Ticker],TabCalc[M])</f>
        <v>#N/A</v>
      </c>
      <c r="O34" s="62">
        <f t="shared" ca="1" si="0"/>
        <v>46002</v>
      </c>
      <c r="P34" t="str">
        <f t="shared" ca="1" si="1"/>
        <v>Formulas ready to copy below</v>
      </c>
    </row>
    <row r="35" spans="1:16" ht="23" thickBot="1">
      <c r="A35" s="1492" t="str">
        <f ca="1">Calc!H33</f>
        <v>NEM</v>
      </c>
      <c r="B35" s="1472">
        <v>45987</v>
      </c>
      <c r="C35" s="1465" t="s">
        <v>2828</v>
      </c>
      <c r="D35" s="1043">
        <v>1.3998E-2</v>
      </c>
      <c r="E35" s="1452">
        <v>0.37174167679023273</v>
      </c>
      <c r="F35" s="1453" t="s">
        <v>2894</v>
      </c>
      <c r="G35" s="1044">
        <v>0</v>
      </c>
      <c r="H35" s="1454">
        <f ca="1">_xlfn.XLOOKUP(A35,TabCalc[Ticker],TabCalc[M])</f>
        <v>99.43</v>
      </c>
      <c r="I35" t="str">
        <f ca="1">IF(A35=IDTICKER,"Ups=("&amp;ID!D$7&amp;" - "&amp;ID!G$7&amp;")","")</f>
        <v>Ups=(/100/80% - 100/57/55%)</v>
      </c>
      <c r="J35" s="151" t="s">
        <v>2896</v>
      </c>
      <c r="K35" s="1484">
        <v>45992</v>
      </c>
      <c r="L35" s="1453"/>
      <c r="M35" s="1474" t="e">
        <f ca="1">_xlfn.XLOOKUP(G35,TabCalc[Ticker],TabCalc[Up20])</f>
        <v>#N/A</v>
      </c>
      <c r="N35" s="1454" t="e">
        <f ca="1">_xlfn.XLOOKUP(G35,TabCalc[Ticker],TabCalc[M])</f>
        <v>#N/A</v>
      </c>
      <c r="O35" s="1473">
        <f t="shared" ca="1" si="0"/>
        <v>46002</v>
      </c>
      <c r="P35" s="1449" t="str">
        <f t="shared" ca="1" si="1"/>
        <v>Formulas ready to copy below</v>
      </c>
    </row>
    <row r="36" spans="1:16" ht="23" thickBot="1">
      <c r="A36" s="1492" t="str">
        <f ca="1">Calc!H34</f>
        <v>NFLX</v>
      </c>
      <c r="B36" s="1513">
        <v>45999</v>
      </c>
      <c r="C36" s="1465" t="s">
        <v>2904</v>
      </c>
      <c r="D36" s="1043">
        <v>1.4884999999999999E-2</v>
      </c>
      <c r="E36" s="1452">
        <v>0.93949121229058552</v>
      </c>
      <c r="F36" s="1453" t="s">
        <v>2971</v>
      </c>
      <c r="G36" s="1044">
        <v>0</v>
      </c>
      <c r="H36" s="1454">
        <f ca="1">_xlfn.XLOOKUP(A36,TabCalc[Ticker],TabCalc[M])</f>
        <v>94.09</v>
      </c>
      <c r="I36" t="str">
        <f ca="1">IF(A36=IDTICKER,"Ups=("&amp;ID!D$7&amp;" - "&amp;ID!G$7&amp;")","")</f>
        <v/>
      </c>
      <c r="J36" s="1455" t="s">
        <v>2974</v>
      </c>
      <c r="K36" s="1445">
        <v>46002</v>
      </c>
      <c r="L36" s="91"/>
      <c r="M36" s="219" t="e">
        <f ca="1">_xlfn.XLOOKUP(G36,TabCalc[Ticker],TabCalc[Up20])</f>
        <v>#N/A</v>
      </c>
      <c r="N36" s="81" t="e">
        <f ca="1">_xlfn.XLOOKUP(G36,TabCalc[Ticker],TabCalc[M])</f>
        <v>#N/A</v>
      </c>
      <c r="O36" s="62">
        <f t="shared" ca="1" si="0"/>
        <v>46002</v>
      </c>
      <c r="P36" t="str">
        <f t="shared" ca="1" si="1"/>
        <v>Formulas ready to copy below</v>
      </c>
    </row>
    <row r="37" spans="1:16" ht="24" thickTop="1" thickBot="1">
      <c r="A37" s="1492" t="str">
        <f ca="1">Calc!H35</f>
        <v>NOTE</v>
      </c>
      <c r="B37" s="1472">
        <v>45939</v>
      </c>
      <c r="C37" s="1465" t="s">
        <v>2534</v>
      </c>
      <c r="D37" s="1043">
        <v>2.7362999999999998E-2</v>
      </c>
      <c r="E37" s="1456">
        <v>0.54714492116338964</v>
      </c>
      <c r="F37" s="1449" t="s">
        <v>2714</v>
      </c>
      <c r="G37" s="1456">
        <v>0</v>
      </c>
      <c r="H37" s="1449">
        <f ca="1">_xlfn.XLOOKUP(A37,TabCalc[Ticker],TabCalc[M])</f>
        <v>1.85</v>
      </c>
      <c r="I37" t="str">
        <f ca="1">IF(A37=IDTICKER,"Ups=("&amp;ID!D$7&amp;" - "&amp;ID!G$7&amp;")","")</f>
        <v/>
      </c>
      <c r="J37" s="151" t="s">
        <v>2771</v>
      </c>
      <c r="K37" s="1484">
        <v>45981</v>
      </c>
      <c r="L37" s="1453"/>
      <c r="M37" s="1474" t="e">
        <f ca="1">_xlfn.XLOOKUP(G37,TabCalc[Ticker],TabCalc[Up20])</f>
        <v>#N/A</v>
      </c>
      <c r="N37" s="1454" t="e">
        <f ca="1">_xlfn.XLOOKUP(G37,TabCalc[Ticker],TabCalc[M])</f>
        <v>#N/A</v>
      </c>
      <c r="O37" s="1473">
        <f t="shared" ref="O37:O68" ca="1" si="2">TODAY()</f>
        <v>46002</v>
      </c>
      <c r="P37" s="1449" t="str">
        <f t="shared" ref="P37:P68" ca="1" si="3">IFERROR("("&amp;TEXT(J37,"#0.0%")&amp;":"&amp;INT(100*K37)&amp;"%)@"&amp;TEXT(N37,"#,#0.#0")&amp;":("&amp;L37&amp;")"&amp;"&gt;UpMark "&amp;TEXT(M37,"#,#0%"),"Formulas ready to copy below")</f>
        <v>Formulas ready to copy below</v>
      </c>
    </row>
    <row r="38" spans="1:16" ht="23" thickBot="1">
      <c r="A38" s="1492" t="str">
        <f ca="1">Calc!H36</f>
        <v>PAAS</v>
      </c>
      <c r="B38" s="1472">
        <v>46000</v>
      </c>
      <c r="C38" s="1465" t="s">
        <v>2913</v>
      </c>
      <c r="D38" s="1043">
        <v>0.105527</v>
      </c>
      <c r="E38" s="1452">
        <v>1.874119605813473</v>
      </c>
      <c r="F38" s="1453" t="s">
        <v>2922</v>
      </c>
      <c r="G38" s="1044">
        <v>0</v>
      </c>
      <c r="H38" s="1454">
        <f ca="1">_xlfn.XLOOKUP(A38,TabCalc[Ticker],TabCalc[M])</f>
        <v>50.34</v>
      </c>
      <c r="I38" t="str">
        <f ca="1">IF(A38=IDTICKER,"Ups=("&amp;ID!D$7&amp;" - "&amp;ID!G$7&amp;")","")</f>
        <v/>
      </c>
      <c r="J38" s="151" t="s">
        <v>2928</v>
      </c>
      <c r="K38" s="1484">
        <v>46001</v>
      </c>
      <c r="L38" s="91"/>
      <c r="M38" s="219" t="e">
        <f ca="1">_xlfn.XLOOKUP(G38,TabCalc[Ticker],TabCalc[Up20])</f>
        <v>#N/A</v>
      </c>
      <c r="N38" s="81" t="e">
        <f ca="1">_xlfn.XLOOKUP(G38,TabCalc[Ticker],TabCalc[M])</f>
        <v>#N/A</v>
      </c>
      <c r="O38" s="62">
        <f t="shared" ca="1" si="2"/>
        <v>46002</v>
      </c>
      <c r="P38" t="str">
        <f t="shared" ca="1" si="3"/>
        <v>Formulas ready to copy below</v>
      </c>
    </row>
    <row r="39" spans="1:16" ht="23" thickBot="1">
      <c r="A39" s="1492" t="str">
        <f ca="1">Calc!H37</f>
        <v>PROF</v>
      </c>
      <c r="B39" s="1472">
        <v>45938</v>
      </c>
      <c r="C39" s="1465" t="s">
        <v>2536</v>
      </c>
      <c r="D39" s="1043">
        <v>4.2550000000000001E-3</v>
      </c>
      <c r="E39" s="1456">
        <v>0.75758421738321235</v>
      </c>
      <c r="F39" s="1449" t="s">
        <v>2715</v>
      </c>
      <c r="G39" s="1456">
        <v>0</v>
      </c>
      <c r="H39" s="1449">
        <f ca="1">_xlfn.XLOOKUP(A39,TabCalc[Ticker],TabCalc[M])</f>
        <v>7.43</v>
      </c>
      <c r="I39" t="str">
        <f ca="1">IF(A39=IDTICKER,"Ups=("&amp;ID!D$7&amp;" - "&amp;ID!G$7&amp;")","")</f>
        <v/>
      </c>
      <c r="J39" s="151" t="s">
        <v>2772</v>
      </c>
      <c r="K39" s="1484">
        <v>45981</v>
      </c>
      <c r="L39" s="1453"/>
      <c r="M39" s="1474" t="e">
        <f ca="1">_xlfn.XLOOKUP(G39,TabCalc[Ticker],TabCalc[Up20])</f>
        <v>#N/A</v>
      </c>
      <c r="N39" s="1454" t="e">
        <f ca="1">_xlfn.XLOOKUP(G39,TabCalc[Ticker],TabCalc[M])</f>
        <v>#N/A</v>
      </c>
      <c r="O39" s="1473">
        <f t="shared" ca="1" si="2"/>
        <v>46002</v>
      </c>
      <c r="P39" s="1449" t="str">
        <f t="shared" ca="1" si="3"/>
        <v>Formulas ready to copy below</v>
      </c>
    </row>
    <row r="40" spans="1:16" ht="23" thickBot="1">
      <c r="A40" s="1492" t="str">
        <f ca="1">Calc!H38</f>
        <v>POET</v>
      </c>
      <c r="B40" s="1472">
        <v>46001</v>
      </c>
      <c r="C40" s="1465" t="s">
        <v>2539</v>
      </c>
      <c r="D40" s="1043">
        <v>3.6232E-2</v>
      </c>
      <c r="E40" s="1452">
        <v>1.1360594898674172</v>
      </c>
      <c r="F40" s="1453" t="s">
        <v>2935</v>
      </c>
      <c r="G40" s="1044">
        <v>0</v>
      </c>
      <c r="H40" s="1454">
        <f ca="1">_xlfn.XLOOKUP(A40,TabCalc[Ticker],TabCalc[M])</f>
        <v>7.22</v>
      </c>
      <c r="I40" t="str">
        <f ca="1">IF(A40=IDTICKER,"Ups=("&amp;ID!D$7&amp;" - "&amp;ID!G$7&amp;")","")</f>
        <v/>
      </c>
      <c r="J40" s="1455" t="s">
        <v>2936</v>
      </c>
      <c r="K40" s="1484">
        <v>46002</v>
      </c>
      <c r="L40" s="91"/>
      <c r="M40" s="219" t="e">
        <f ca="1">_xlfn.XLOOKUP(G40,TabCalc[Ticker],TabCalc[Up20])</f>
        <v>#N/A</v>
      </c>
      <c r="N40" s="81" t="e">
        <f ca="1">_xlfn.XLOOKUP(G40,TabCalc[Ticker],TabCalc[M])</f>
        <v>#N/A</v>
      </c>
      <c r="O40" s="62">
        <f t="shared" ca="1" si="2"/>
        <v>46002</v>
      </c>
      <c r="P40" t="str">
        <f t="shared" ca="1" si="3"/>
        <v>Formulas ready to copy below</v>
      </c>
    </row>
    <row r="41" spans="1:16" ht="23" thickBot="1">
      <c r="A41" s="1492" t="str">
        <f ca="1">Calc!H39</f>
        <v>PW</v>
      </c>
      <c r="B41" s="1472">
        <v>45926</v>
      </c>
      <c r="C41" s="1465" t="s">
        <v>2496</v>
      </c>
      <c r="D41" s="1043">
        <v>0.122278</v>
      </c>
      <c r="E41" s="1456">
        <v>0.60605499761345816</v>
      </c>
      <c r="F41" s="1449" t="s">
        <v>2716</v>
      </c>
      <c r="G41" s="1456">
        <v>0</v>
      </c>
      <c r="H41" s="1449">
        <f ca="1">_xlfn.XLOOKUP(A41,TabCalc[Ticker],TabCalc[M])</f>
        <v>0.98360000000000003</v>
      </c>
      <c r="I41" t="str">
        <f ca="1">IF(A41=IDTICKER,"Ups=("&amp;ID!D$7&amp;" - "&amp;ID!G$7&amp;")","")</f>
        <v/>
      </c>
      <c r="J41" s="1449" t="s">
        <v>2773</v>
      </c>
      <c r="K41" s="1484">
        <v>45981</v>
      </c>
      <c r="L41" s="1453"/>
      <c r="M41" s="1474" t="e">
        <f ca="1">_xlfn.XLOOKUP(G41,TabCalc[Ticker],TabCalc[Up20])</f>
        <v>#N/A</v>
      </c>
      <c r="N41" s="1454" t="e">
        <f ca="1">_xlfn.XLOOKUP(G41,TabCalc[Ticker],TabCalc[M])</f>
        <v>#N/A</v>
      </c>
      <c r="O41" s="1473">
        <f t="shared" ca="1" si="2"/>
        <v>46002</v>
      </c>
      <c r="P41" s="1449" t="str">
        <f t="shared" ca="1" si="3"/>
        <v>Formulas ready to copy below</v>
      </c>
    </row>
    <row r="42" spans="1:16" ht="23" thickBot="1">
      <c r="A42" s="1492" t="str">
        <f ca="1">Calc!H40</f>
        <v>RIGL</v>
      </c>
      <c r="B42" s="1472">
        <v>45932</v>
      </c>
      <c r="C42" s="1465" t="s">
        <v>1404</v>
      </c>
      <c r="D42" s="1043">
        <v>6.5578999999999998E-2</v>
      </c>
      <c r="E42" s="1456">
        <v>0.51354868786542607</v>
      </c>
      <c r="F42" s="1449" t="s">
        <v>2717</v>
      </c>
      <c r="G42" s="1456">
        <v>0</v>
      </c>
      <c r="H42" s="1449">
        <f ca="1">_xlfn.XLOOKUP(A42,TabCalc[Ticker],TabCalc[M])</f>
        <v>42.05</v>
      </c>
      <c r="I42" t="str">
        <f ca="1">IF(A42=IDTICKER,"Ups=("&amp;ID!D$7&amp;" - "&amp;ID!G$7&amp;")","")</f>
        <v/>
      </c>
      <c r="J42" s="1449" t="s">
        <v>2774</v>
      </c>
      <c r="K42" s="1484">
        <v>45981</v>
      </c>
      <c r="L42" s="91"/>
      <c r="M42" s="219" t="e">
        <f ca="1">_xlfn.XLOOKUP(G42,TabCalc[Ticker],TabCalc[Up20])</f>
        <v>#N/A</v>
      </c>
      <c r="N42" s="81" t="e">
        <f ca="1">_xlfn.XLOOKUP(G42,TabCalc[Ticker],TabCalc[M])</f>
        <v>#N/A</v>
      </c>
      <c r="O42" s="62">
        <f t="shared" ca="1" si="2"/>
        <v>46002</v>
      </c>
      <c r="P42" t="str">
        <f t="shared" ca="1" si="3"/>
        <v>Formulas ready to copy below</v>
      </c>
    </row>
    <row r="43" spans="1:16" ht="23" thickBot="1">
      <c r="A43" s="1492" t="str">
        <f ca="1">Calc!H41</f>
        <v>RWE</v>
      </c>
      <c r="B43" s="1472">
        <v>45926</v>
      </c>
      <c r="C43" s="1465" t="s">
        <v>2511</v>
      </c>
      <c r="D43" s="1043">
        <v>-1.2035000000000001E-2</v>
      </c>
      <c r="E43" s="1456">
        <v>1.7553475994925361E-3</v>
      </c>
      <c r="F43" s="1449" t="s">
        <v>2718</v>
      </c>
      <c r="G43" s="1456">
        <v>0</v>
      </c>
      <c r="H43" s="1449">
        <f ca="1">_xlfn.XLOOKUP(A43,TabCalc[Ticker],TabCalc[M])</f>
        <v>43.29</v>
      </c>
      <c r="I43" t="str">
        <f ca="1">IF(A43=IDTICKER,"Ups=("&amp;ID!D$7&amp;" - "&amp;ID!G$7&amp;")","")</f>
        <v/>
      </c>
      <c r="J43" s="1449" t="s">
        <v>2775</v>
      </c>
      <c r="K43" s="1484">
        <v>45981</v>
      </c>
      <c r="L43" s="1453"/>
      <c r="M43" s="1474" t="e">
        <f ca="1">_xlfn.XLOOKUP(G43,TabCalc[Ticker],TabCalc[Up20])</f>
        <v>#N/A</v>
      </c>
      <c r="N43" s="1454" t="e">
        <f ca="1">_xlfn.XLOOKUP(G43,TabCalc[Ticker],TabCalc[M])</f>
        <v>#N/A</v>
      </c>
      <c r="O43" s="1473">
        <f t="shared" ca="1" si="2"/>
        <v>46002</v>
      </c>
      <c r="P43" s="1449" t="str">
        <f t="shared" ca="1" si="3"/>
        <v>Formulas ready to copy below</v>
      </c>
    </row>
    <row r="44" spans="1:16" ht="23" thickBot="1">
      <c r="A44" s="1492" t="str">
        <f ca="1">Calc!H42</f>
        <v>SAP</v>
      </c>
      <c r="B44" s="1472">
        <v>45944</v>
      </c>
      <c r="C44" s="1465" t="s">
        <v>2875</v>
      </c>
      <c r="D44" s="1043">
        <v>-4.7600000000000002E-4</v>
      </c>
      <c r="E44" s="1452">
        <v>0.64595130237825593</v>
      </c>
      <c r="F44" s="1453" t="s">
        <v>2923</v>
      </c>
      <c r="G44" s="1044">
        <v>0</v>
      </c>
      <c r="H44" s="1454">
        <f ca="1">_xlfn.XLOOKUP(A44,TabCalc[Ticker],TabCalc[M])</f>
        <v>209.3</v>
      </c>
      <c r="I44" t="str">
        <f ca="1">IF(A44=IDTICKER,"Ups=("&amp;ID!D$7&amp;" - "&amp;ID!G$7&amp;")","")</f>
        <v/>
      </c>
      <c r="J44" s="151" t="s">
        <v>2929</v>
      </c>
      <c r="K44" s="1484">
        <v>46001</v>
      </c>
      <c r="L44" s="1475"/>
      <c r="M44" s="219" t="e">
        <f ca="1">_xlfn.XLOOKUP(G44,TabCalc[Ticker],TabCalc[Up20])</f>
        <v>#N/A</v>
      </c>
      <c r="N44" s="81" t="e">
        <f ca="1">_xlfn.XLOOKUP(G44,TabCalc[Ticker],TabCalc[M])</f>
        <v>#N/A</v>
      </c>
      <c r="O44" s="62">
        <f t="shared" ca="1" si="2"/>
        <v>46002</v>
      </c>
      <c r="P44" t="str">
        <f t="shared" ca="1" si="3"/>
        <v>Formulas ready to copy below</v>
      </c>
    </row>
    <row r="45" spans="1:16" ht="23" thickBot="1">
      <c r="A45" s="1492" t="str">
        <f ca="1">Calc!H43</f>
        <v>SHECY</v>
      </c>
      <c r="B45" s="1472">
        <v>45938</v>
      </c>
      <c r="C45" s="1465" t="s">
        <v>2537</v>
      </c>
      <c r="D45" s="1043">
        <v>5.3518999999999997E-2</v>
      </c>
      <c r="E45" s="1456">
        <v>9.2540062007396062E-2</v>
      </c>
      <c r="F45" s="1449" t="s">
        <v>2720</v>
      </c>
      <c r="G45" s="1456">
        <v>0</v>
      </c>
      <c r="H45" s="1449">
        <f ca="1">_xlfn.XLOOKUP(A45,TabCalc[Ticker],TabCalc[M])</f>
        <v>14.91</v>
      </c>
      <c r="I45" t="str">
        <f ca="1">IF(A45=IDTICKER,"Ups=("&amp;ID!D$7&amp;" - "&amp;ID!G$7&amp;")","")</f>
        <v/>
      </c>
      <c r="J45" s="1449" t="s">
        <v>2777</v>
      </c>
      <c r="K45" s="1484">
        <v>45981</v>
      </c>
      <c r="L45" s="1453"/>
      <c r="M45" s="1474" t="e">
        <f ca="1">_xlfn.XLOOKUP(G45,TabCalc[Ticker],TabCalc[Up20])</f>
        <v>#N/A</v>
      </c>
      <c r="N45" s="1454" t="e">
        <f ca="1">_xlfn.XLOOKUP(G45,TabCalc[Ticker],TabCalc[M])</f>
        <v>#N/A</v>
      </c>
      <c r="O45" s="1473">
        <f t="shared" ca="1" si="2"/>
        <v>46002</v>
      </c>
      <c r="P45" s="1449" t="str">
        <f t="shared" ca="1" si="3"/>
        <v>Formulas ready to copy below</v>
      </c>
    </row>
    <row r="46" spans="1:16" ht="23" thickBot="1">
      <c r="A46" s="1492" t="str">
        <f ca="1">Calc!H44</f>
        <v>SSYS</v>
      </c>
      <c r="B46" s="1472">
        <v>45460</v>
      </c>
      <c r="C46" s="1465" t="s">
        <v>1405</v>
      </c>
      <c r="D46" s="1043">
        <v>4.2682999999999999E-2</v>
      </c>
      <c r="E46" s="645">
        <v>0.65224385448186661</v>
      </c>
      <c r="F46" s="151" t="s">
        <v>2721</v>
      </c>
      <c r="G46" s="645">
        <v>0.45454545454545453</v>
      </c>
      <c r="H46" s="151">
        <f ca="1">_xlfn.XLOOKUP(A46,TabCalc[Ticker],TabCalc[M])</f>
        <v>9.44</v>
      </c>
      <c r="I46" t="str">
        <f ca="1">IF(A46=IDTICKER,"Ups=("&amp;ID!D$7&amp;" - "&amp;ID!G$7&amp;")","")</f>
        <v/>
      </c>
      <c r="J46" s="151" t="s">
        <v>2778</v>
      </c>
      <c r="K46" s="1484">
        <v>45981</v>
      </c>
      <c r="L46" s="91"/>
      <c r="M46" s="219" t="e">
        <f ca="1">_xlfn.XLOOKUP(G46,TabCalc[Ticker],TabCalc[Up20])</f>
        <v>#N/A</v>
      </c>
      <c r="N46" s="81" t="e">
        <f ca="1">_xlfn.XLOOKUP(G46,TabCalc[Ticker],TabCalc[M])</f>
        <v>#N/A</v>
      </c>
      <c r="O46" s="62">
        <f t="shared" ca="1" si="2"/>
        <v>46002</v>
      </c>
      <c r="P46" t="str">
        <f t="shared" ca="1" si="3"/>
        <v>Formulas ready to copy below</v>
      </c>
    </row>
    <row r="47" spans="1:16" ht="23" thickBot="1">
      <c r="A47" s="1492" t="str">
        <f ca="1">Calc!H45</f>
        <v>TSLA</v>
      </c>
      <c r="B47" s="1472">
        <v>45525</v>
      </c>
      <c r="C47" s="1465" t="s">
        <v>1406</v>
      </c>
      <c r="D47" s="1043">
        <v>7.7419999999999998E-3</v>
      </c>
      <c r="E47" s="645">
        <v>0.98885108666082022</v>
      </c>
      <c r="F47" s="151" t="s">
        <v>2722</v>
      </c>
      <c r="G47" s="645">
        <v>0</v>
      </c>
      <c r="H47" s="151">
        <f ca="1">_xlfn.XLOOKUP(A47,TabCalc[Ticker],TabCalc[M])</f>
        <v>446.86590000000001</v>
      </c>
      <c r="I47" t="str">
        <f ca="1">IF(A47=IDTICKER,"Ups=("&amp;ID!D$7&amp;" - "&amp;ID!G$7&amp;")","")</f>
        <v/>
      </c>
      <c r="J47" s="151" t="s">
        <v>2779</v>
      </c>
      <c r="K47" s="1484">
        <v>45981</v>
      </c>
      <c r="L47" s="1453"/>
      <c r="M47" s="1474" t="e">
        <f ca="1">_xlfn.XLOOKUP(G47,TabCalc[Ticker],TabCalc[Up20])</f>
        <v>#N/A</v>
      </c>
      <c r="N47" s="1454" t="e">
        <f ca="1">_xlfn.XLOOKUP(G47,TabCalc[Ticker],TabCalc[M])</f>
        <v>#N/A</v>
      </c>
      <c r="O47" s="1473">
        <f t="shared" ca="1" si="2"/>
        <v>46002</v>
      </c>
      <c r="P47" s="1449" t="str">
        <f t="shared" ca="1" si="3"/>
        <v>Formulas ready to copy below</v>
      </c>
    </row>
    <row r="48" spans="1:16" ht="23" thickBot="1">
      <c r="A48" s="1492" t="str">
        <f ca="1">Calc!H46</f>
        <v>TSM</v>
      </c>
      <c r="B48" s="1472">
        <v>45460</v>
      </c>
      <c r="C48" s="1465" t="s">
        <v>1407</v>
      </c>
      <c r="D48" s="1043">
        <v>-3.0990000000000002E-3</v>
      </c>
      <c r="E48" s="645">
        <v>1.350477373134253</v>
      </c>
      <c r="F48" s="151" t="s">
        <v>2723</v>
      </c>
      <c r="G48" s="645">
        <v>0</v>
      </c>
      <c r="H48" s="151">
        <f ca="1">_xlfn.XLOOKUP(A48,TabCalc[Ticker],TabCalc[M])</f>
        <v>304.92</v>
      </c>
      <c r="I48" t="str">
        <f ca="1">IF(A48=IDTICKER,"Ups=("&amp;ID!D$7&amp;" - "&amp;ID!G$7&amp;")","")</f>
        <v/>
      </c>
      <c r="J48" s="151" t="s">
        <v>2780</v>
      </c>
      <c r="K48" s="1484">
        <v>45981</v>
      </c>
      <c r="L48" s="91"/>
      <c r="M48" s="219" t="e">
        <f ca="1">_xlfn.XLOOKUP(G48,TabCalc[Ticker],TabCalc[Up20])</f>
        <v>#N/A</v>
      </c>
      <c r="N48" s="81" t="e">
        <f ca="1">_xlfn.XLOOKUP(G48,TabCalc[Ticker],TabCalc[M])</f>
        <v>#N/A</v>
      </c>
      <c r="O48" s="62">
        <f t="shared" ca="1" si="2"/>
        <v>46002</v>
      </c>
      <c r="P48" t="str">
        <f t="shared" ca="1" si="3"/>
        <v>Formulas ready to copy below</v>
      </c>
    </row>
    <row r="49" spans="1:16" ht="23" thickBot="1">
      <c r="A49" s="1492" t="str">
        <f ca="1">Calc!H47</f>
        <v>UN0</v>
      </c>
      <c r="B49" s="1472">
        <v>45460</v>
      </c>
      <c r="C49" s="1465" t="s">
        <v>1407</v>
      </c>
      <c r="D49" s="1043">
        <v>6.711E-3</v>
      </c>
      <c r="E49" s="645">
        <v>2.2004357298474945E-2</v>
      </c>
      <c r="F49" s="151" t="s">
        <v>2724</v>
      </c>
      <c r="G49" s="645">
        <v>0</v>
      </c>
      <c r="H49" s="151">
        <f ca="1">_xlfn.XLOOKUP(A49,TabCalc[Ticker],TabCalc[M])</f>
        <v>37.75</v>
      </c>
      <c r="I49" t="str">
        <f ca="1">IF(A49=IDTICKER,"Ups=("&amp;ID!D$7&amp;" - "&amp;ID!G$7&amp;")","")</f>
        <v/>
      </c>
      <c r="J49" s="151" t="s">
        <v>2781</v>
      </c>
      <c r="K49" s="1484">
        <v>45981</v>
      </c>
      <c r="L49" s="1453"/>
      <c r="M49" s="1474" t="e">
        <f ca="1">_xlfn.XLOOKUP(G49,TabCalc[Ticker],TabCalc[Up20])</f>
        <v>#N/A</v>
      </c>
      <c r="N49" s="1454" t="e">
        <f ca="1">_xlfn.XLOOKUP(G49,TabCalc[Ticker],TabCalc[M])</f>
        <v>#N/A</v>
      </c>
      <c r="O49" s="1473">
        <f t="shared" ca="1" si="2"/>
        <v>46002</v>
      </c>
      <c r="P49" s="1449" t="str">
        <f t="shared" ca="1" si="3"/>
        <v>Formulas ready to copy below</v>
      </c>
    </row>
    <row r="50" spans="1:16" ht="23" thickBot="1">
      <c r="A50" s="1492" t="str">
        <f ca="1">Calc!H48</f>
        <v>UNIT</v>
      </c>
      <c r="B50" s="1472">
        <v>45495</v>
      </c>
      <c r="C50" s="1465" t="s">
        <v>1408</v>
      </c>
      <c r="D50" s="1043">
        <v>2.8157000000000001E-2</v>
      </c>
      <c r="E50" s="645">
        <v>0.52483910207759565</v>
      </c>
      <c r="F50" s="151" t="s">
        <v>2725</v>
      </c>
      <c r="G50" s="645">
        <v>0</v>
      </c>
      <c r="H50" s="151">
        <f ca="1">_xlfn.XLOOKUP(A50,TabCalc[Ticker],TabCalc[M])</f>
        <v>7.24</v>
      </c>
      <c r="I50" t="str">
        <f ca="1">IF(A50=IDTICKER,"Ups=("&amp;ID!D$7&amp;" - "&amp;ID!G$7&amp;")","")</f>
        <v/>
      </c>
      <c r="J50" s="151" t="s">
        <v>2782</v>
      </c>
      <c r="K50" s="1484">
        <v>45981</v>
      </c>
      <c r="L50" s="91"/>
      <c r="M50" s="219" t="e">
        <f ca="1">_xlfn.XLOOKUP(G50,TabCalc[Ticker],TabCalc[Up20])</f>
        <v>#N/A</v>
      </c>
      <c r="N50" s="81" t="e">
        <f ca="1">_xlfn.XLOOKUP(G50,TabCalc[Ticker],TabCalc[M])</f>
        <v>#N/A</v>
      </c>
      <c r="O50" s="62">
        <f t="shared" ca="1" si="2"/>
        <v>46002</v>
      </c>
      <c r="P50" t="str">
        <f t="shared" ca="1" si="3"/>
        <v>Formulas ready to copy below</v>
      </c>
    </row>
    <row r="51" spans="1:16" ht="23" thickBot="1">
      <c r="A51" s="1492" t="str">
        <f ca="1">Calc!H49</f>
        <v>VLVLY</v>
      </c>
      <c r="B51" s="1472">
        <v>45933</v>
      </c>
      <c r="C51" s="1465" t="s">
        <v>2510</v>
      </c>
      <c r="D51" s="1043">
        <v>3.4369000000000004E-2</v>
      </c>
      <c r="E51" s="1456">
        <v>4.1512727586194509E-2</v>
      </c>
      <c r="F51" s="1449" t="s">
        <v>2726</v>
      </c>
      <c r="G51" s="1456">
        <v>0</v>
      </c>
      <c r="H51" s="1449">
        <f ca="1">_xlfn.XLOOKUP(A51,TabCalc[Ticker],TabCalc[M])</f>
        <v>32.045000000000002</v>
      </c>
      <c r="I51" t="str">
        <f ca="1">IF(A51=IDTICKER,"Ups=("&amp;ID!D$7&amp;" - "&amp;ID!G$7&amp;")","")</f>
        <v/>
      </c>
      <c r="J51" s="1449" t="s">
        <v>2783</v>
      </c>
      <c r="K51" s="1484">
        <v>45981</v>
      </c>
      <c r="L51" s="1453"/>
      <c r="M51" s="1474" t="e">
        <f ca="1">_xlfn.XLOOKUP(G51,TabCalc[Ticker],TabCalc[Up20])</f>
        <v>#N/A</v>
      </c>
      <c r="N51" s="1454" t="e">
        <f ca="1">_xlfn.XLOOKUP(G51,TabCalc[Ticker],TabCalc[M])</f>
        <v>#N/A</v>
      </c>
      <c r="O51" s="1473">
        <f t="shared" ca="1" si="2"/>
        <v>46002</v>
      </c>
      <c r="P51" s="1449" t="str">
        <f t="shared" ca="1" si="3"/>
        <v>Formulas ready to copy below</v>
      </c>
    </row>
    <row r="52" spans="1:16" ht="23" thickBot="1">
      <c r="A52" s="1492" t="str">
        <f ca="1">Calc!H50</f>
        <v>VONN</v>
      </c>
      <c r="B52" s="1472">
        <v>45946</v>
      </c>
      <c r="C52" s="1465" t="s">
        <v>2559</v>
      </c>
      <c r="D52" s="1043">
        <v>0</v>
      </c>
      <c r="E52" s="1452">
        <v>1.2349018621036738</v>
      </c>
      <c r="F52" s="1453" t="s">
        <v>2924</v>
      </c>
      <c r="G52" s="1044">
        <v>0</v>
      </c>
      <c r="H52" s="1454">
        <f ca="1">_xlfn.XLOOKUP(A52,TabCalc[Ticker],TabCalc[M])</f>
        <v>61.1</v>
      </c>
      <c r="I52" t="str">
        <f ca="1">IF(A52=IDTICKER,"Ups=("&amp;ID!D$7&amp;" - "&amp;ID!G$7&amp;")","")</f>
        <v/>
      </c>
      <c r="J52" s="151" t="s">
        <v>2930</v>
      </c>
      <c r="K52" s="1484">
        <v>46001</v>
      </c>
      <c r="L52" s="91"/>
      <c r="M52" s="219" t="e">
        <f ca="1">_xlfn.XLOOKUP(G52,TabCalc[Ticker],TabCalc[Up20])</f>
        <v>#N/A</v>
      </c>
      <c r="N52" s="81" t="e">
        <f ca="1">_xlfn.XLOOKUP(G52,TabCalc[Ticker],TabCalc[M])</f>
        <v>#N/A</v>
      </c>
      <c r="O52" s="62">
        <f t="shared" ca="1" si="2"/>
        <v>46002</v>
      </c>
      <c r="P52" t="str">
        <f t="shared" ca="1" si="3"/>
        <v>Formulas ready to copy below</v>
      </c>
    </row>
    <row r="53" spans="1:16" ht="23" thickBot="1">
      <c r="A53" s="1492" t="str">
        <f ca="1">Calc!H51</f>
        <v>VTRS</v>
      </c>
      <c r="B53" s="1472">
        <v>45938</v>
      </c>
      <c r="C53" s="1465" t="s">
        <v>2523</v>
      </c>
      <c r="D53" s="1043">
        <v>2.6006000000000001E-2</v>
      </c>
      <c r="E53" s="1456">
        <v>0.53096360900037276</v>
      </c>
      <c r="F53" s="1449" t="s">
        <v>2727</v>
      </c>
      <c r="G53" s="1456">
        <v>0</v>
      </c>
      <c r="H53" s="1449">
        <f ca="1">_xlfn.XLOOKUP(A53,TabCalc[Ticker],TabCalc[M])</f>
        <v>11.59</v>
      </c>
      <c r="I53" t="str">
        <f ca="1">IF(A53=IDTICKER,"Ups=("&amp;ID!D$7&amp;" - "&amp;ID!G$7&amp;")","")</f>
        <v/>
      </c>
      <c r="J53" s="1449" t="s">
        <v>2784</v>
      </c>
      <c r="K53" s="1484">
        <v>45981</v>
      </c>
      <c r="L53" s="1453"/>
      <c r="M53" s="1474" t="e">
        <f ca="1">_xlfn.XLOOKUP(G53,TabCalc[Ticker],TabCalc[Up20])</f>
        <v>#N/A</v>
      </c>
      <c r="N53" s="1454" t="e">
        <f ca="1">_xlfn.XLOOKUP(G53,TabCalc[Ticker],TabCalc[M])</f>
        <v>#N/A</v>
      </c>
      <c r="O53" s="1473">
        <f t="shared" ca="1" si="2"/>
        <v>46002</v>
      </c>
      <c r="P53" s="1449" t="str">
        <f t="shared" ca="1" si="3"/>
        <v>Formulas ready to copy below</v>
      </c>
    </row>
    <row r="54" spans="1:16" ht="23" thickBot="1">
      <c r="A54" s="1492" t="str">
        <f ca="1">Calc!H52</f>
        <v>WBA</v>
      </c>
      <c r="B54" s="1472">
        <v>45460</v>
      </c>
      <c r="C54" s="1465" t="s">
        <v>1409</v>
      </c>
      <c r="D54" s="1043">
        <v>0</v>
      </c>
      <c r="E54" s="645">
        <v>14.986033366586197</v>
      </c>
      <c r="F54" s="151" t="s">
        <v>2728</v>
      </c>
      <c r="G54" s="645">
        <v>0</v>
      </c>
      <c r="H54" s="151">
        <f ca="1">_xlfn.XLOOKUP(A54,TabCalc[Ticker],TabCalc[M])</f>
        <v>11.98</v>
      </c>
      <c r="I54" t="str">
        <f ca="1">IF(A54=IDTICKER,"Ups=("&amp;ID!D$7&amp;" - "&amp;ID!G$7&amp;")","")</f>
        <v/>
      </c>
      <c r="J54" s="151" t="s">
        <v>2785</v>
      </c>
      <c r="K54" s="1484">
        <v>45981</v>
      </c>
      <c r="L54" s="91"/>
      <c r="M54" s="219" t="e">
        <f ca="1">_xlfn.XLOOKUP(G54,TabCalc[Ticker],TabCalc[Up20])</f>
        <v>#N/A</v>
      </c>
      <c r="N54" s="81" t="e">
        <f ca="1">_xlfn.XLOOKUP(G54,TabCalc[Ticker],TabCalc[M])</f>
        <v>#N/A</v>
      </c>
      <c r="O54" s="62">
        <f t="shared" ca="1" si="2"/>
        <v>46002</v>
      </c>
      <c r="P54" t="str">
        <f t="shared" ca="1" si="3"/>
        <v>Formulas ready to copy below</v>
      </c>
    </row>
    <row r="55" spans="1:16" ht="23" thickBot="1">
      <c r="A55" s="1492" t="str">
        <f ca="1">Calc!H53</f>
        <v>XOM</v>
      </c>
      <c r="B55" s="1472">
        <v>45460</v>
      </c>
      <c r="C55" s="1465" t="s">
        <v>2481</v>
      </c>
      <c r="D55" s="1043">
        <v>2.271E-3</v>
      </c>
      <c r="E55" s="1457">
        <v>0.79179846207316606</v>
      </c>
      <c r="F55" s="1449" t="s">
        <v>2870</v>
      </c>
      <c r="G55" s="1457">
        <v>0</v>
      </c>
      <c r="H55" s="1449">
        <f ca="1">_xlfn.XLOOKUP(A55,TabCalc[Ticker],TabCalc[M])</f>
        <v>119.55</v>
      </c>
      <c r="I55" t="str">
        <f ca="1">IF(A55=IDTICKER,"Ups=("&amp;ID!D$7&amp;" - "&amp;ID!G$7&amp;")","")</f>
        <v/>
      </c>
      <c r="J55" s="1449" t="s">
        <v>2876</v>
      </c>
      <c r="K55" s="1484">
        <v>45989</v>
      </c>
      <c r="L55" s="1476"/>
      <c r="M55" s="1474" t="e">
        <f ca="1">_xlfn.XLOOKUP(G55,TabCalc[Ticker],TabCalc[Up20])</f>
        <v>#N/A</v>
      </c>
      <c r="N55" s="1454" t="e">
        <f ca="1">_xlfn.XLOOKUP(G55,TabCalc[Ticker],TabCalc[M])</f>
        <v>#N/A</v>
      </c>
      <c r="O55" s="1473">
        <f t="shared" ca="1" si="2"/>
        <v>46002</v>
      </c>
      <c r="P55" s="1449" t="str">
        <f t="shared" ca="1" si="3"/>
        <v>Formulas ready to copy below</v>
      </c>
    </row>
    <row r="56" spans="1:16" ht="23" thickBot="1">
      <c r="A56" s="1492" t="str">
        <f ca="1">Calc!H54</f>
        <v>XPER</v>
      </c>
      <c r="B56" s="1472">
        <v>45967</v>
      </c>
      <c r="C56" s="1465" t="s">
        <v>2618</v>
      </c>
      <c r="D56" s="1043">
        <v>4.2278999999999997E-2</v>
      </c>
      <c r="E56" s="1456">
        <v>0.47967282134826761</v>
      </c>
      <c r="F56" s="1449" t="s">
        <v>2729</v>
      </c>
      <c r="G56" s="1456">
        <v>0</v>
      </c>
      <c r="H56" s="1449">
        <f ca="1">_xlfn.XLOOKUP(A56,TabCalc[Ticker],TabCalc[M])</f>
        <v>6.16</v>
      </c>
      <c r="I56" t="str">
        <f ca="1">IF(A56=IDTICKER,"Ups=("&amp;ID!D$7&amp;" - "&amp;ID!G$7&amp;")","")</f>
        <v/>
      </c>
      <c r="J56" s="1449" t="s">
        <v>2786</v>
      </c>
      <c r="K56" s="1484">
        <v>45981</v>
      </c>
      <c r="L56" s="91"/>
      <c r="M56" s="219" t="e">
        <f ca="1">_xlfn.XLOOKUP(G56,TabCalc[Ticker],TabCalc[Up20])</f>
        <v>#N/A</v>
      </c>
      <c r="N56" s="81" t="e">
        <f ca="1">_xlfn.XLOOKUP(G56,TabCalc[Ticker],TabCalc[M])</f>
        <v>#N/A</v>
      </c>
      <c r="O56" s="62">
        <f t="shared" ca="1" si="2"/>
        <v>46002</v>
      </c>
      <c r="P56" t="str">
        <f t="shared" ca="1" si="3"/>
        <v>Formulas ready to copy below</v>
      </c>
    </row>
    <row r="57" spans="1:16" ht="23" thickBot="1">
      <c r="A57" s="1492" t="str">
        <f ca="1">Calc!H55</f>
        <v>MVEALDNE</v>
      </c>
      <c r="B57" s="1472">
        <v>45919</v>
      </c>
      <c r="C57" s="1465" t="s">
        <v>1410</v>
      </c>
      <c r="D57" s="1043">
        <v>-1.7964000000000001E-2</v>
      </c>
      <c r="E57" s="645">
        <v>4.6677621283255082</v>
      </c>
      <c r="F57" s="151" t="s">
        <v>2697</v>
      </c>
      <c r="G57" s="645">
        <v>0</v>
      </c>
      <c r="H57" s="151">
        <f ca="1">_xlfn.XLOOKUP(A57,TabCalc[Ticker],TabCalc[M])</f>
        <v>0.55000000000000004</v>
      </c>
      <c r="I57" t="str">
        <f ca="1">IF(A57=IDTICKER,"Ups=("&amp;ID!D$7&amp;" - "&amp;ID!G$7&amp;")","")</f>
        <v/>
      </c>
      <c r="J57" s="151" t="s">
        <v>2754</v>
      </c>
      <c r="K57" s="1484">
        <v>45981</v>
      </c>
      <c r="L57" s="1453"/>
      <c r="M57" s="1474" t="e">
        <f ca="1">_xlfn.XLOOKUP(G57,TabCalc[Ticker],TabCalc[Up20])</f>
        <v>#N/A</v>
      </c>
      <c r="N57" s="1454" t="e">
        <f ca="1">_xlfn.XLOOKUP(G57,TabCalc[Ticker],TabCalc[M])</f>
        <v>#N/A</v>
      </c>
      <c r="O57" s="1473">
        <f t="shared" ca="1" si="2"/>
        <v>46002</v>
      </c>
      <c r="P57" s="1449" t="str">
        <f t="shared" ca="1" si="3"/>
        <v>Formulas ready to copy below</v>
      </c>
    </row>
    <row r="58" spans="1:16" ht="23" thickBot="1">
      <c r="A58" s="1492" t="str">
        <f ca="1">Calc!H56</f>
        <v>MVEDDD</v>
      </c>
      <c r="B58" s="1472">
        <v>45933</v>
      </c>
      <c r="C58" s="1465" t="s">
        <v>2508</v>
      </c>
      <c r="D58" s="1043">
        <v>4.0106999999999997E-2</v>
      </c>
      <c r="E58" s="1456">
        <v>1.1781840228772786</v>
      </c>
      <c r="F58" s="1449" t="s">
        <v>2704</v>
      </c>
      <c r="G58" s="1456">
        <v>0</v>
      </c>
      <c r="H58" s="1449">
        <f ca="1">_xlfn.XLOOKUP(A58,TabCalc[Ticker],TabCalc[M])</f>
        <v>1.9650000000000001</v>
      </c>
      <c r="I58" t="str">
        <f ca="1">IF(A58=IDTICKER,"Ups=("&amp;ID!D$7&amp;" - "&amp;ID!G$7&amp;")","")</f>
        <v/>
      </c>
      <c r="J58" s="1449" t="s">
        <v>2761</v>
      </c>
      <c r="K58" s="1484">
        <v>45981</v>
      </c>
      <c r="L58" s="91"/>
      <c r="M58" s="219" t="e">
        <f ca="1">_xlfn.XLOOKUP(G58,TabCalc[Ticker],TabCalc[Up20])</f>
        <v>#N/A</v>
      </c>
      <c r="N58" s="81" t="e">
        <f ca="1">_xlfn.XLOOKUP(G58,TabCalc[Ticker],TabCalc[M])</f>
        <v>#N/A</v>
      </c>
      <c r="O58" s="62">
        <f t="shared" ca="1" si="2"/>
        <v>46002</v>
      </c>
      <c r="P58" t="str">
        <f t="shared" ca="1" si="3"/>
        <v>Formulas ready to copy below</v>
      </c>
    </row>
    <row r="59" spans="1:16" ht="23" thickBot="1">
      <c r="A59" s="1492" t="str">
        <f ca="1">Calc!H57</f>
        <v>MVEDSY</v>
      </c>
      <c r="B59" s="1472">
        <v>45919</v>
      </c>
      <c r="C59" s="1465" t="s">
        <v>1411</v>
      </c>
      <c r="D59" s="1043">
        <v>7.2899999999999996E-3</v>
      </c>
      <c r="E59" s="645">
        <v>1.7670925539063536</v>
      </c>
      <c r="F59" s="151" t="s">
        <v>2706</v>
      </c>
      <c r="G59" s="645">
        <v>0</v>
      </c>
      <c r="H59" s="151">
        <f ca="1">_xlfn.XLOOKUP(A59,TabCalc[Ticker],TabCalc[M])</f>
        <v>23.13</v>
      </c>
      <c r="I59" t="str">
        <f ca="1">IF(A59=IDTICKER,"Ups=("&amp;ID!D$7&amp;" - "&amp;ID!G$7&amp;")","")</f>
        <v/>
      </c>
      <c r="J59" s="151" t="s">
        <v>2763</v>
      </c>
      <c r="K59" s="1484">
        <v>45981</v>
      </c>
      <c r="L59" s="1453"/>
      <c r="M59" s="1474" t="e">
        <f ca="1">_xlfn.XLOOKUP(G59,TabCalc[Ticker],TabCalc[Up20])</f>
        <v>#N/A</v>
      </c>
      <c r="N59" s="1454" t="e">
        <f ca="1">_xlfn.XLOOKUP(G59,TabCalc[Ticker],TabCalc[M])</f>
        <v>#N/A</v>
      </c>
      <c r="O59" s="1473">
        <f t="shared" ca="1" si="2"/>
        <v>46002</v>
      </c>
      <c r="P59" s="1449" t="str">
        <f t="shared" ca="1" si="3"/>
        <v>Formulas ready to copy below</v>
      </c>
    </row>
    <row r="60" spans="1:16" ht="23" thickBot="1">
      <c r="A60" s="1492" t="str">
        <f ca="1">Calc!H58</f>
        <v>MVEEOAN</v>
      </c>
      <c r="B60" s="1472">
        <v>45987</v>
      </c>
      <c r="C60" s="1465" t="s">
        <v>2823</v>
      </c>
      <c r="D60" s="1043">
        <v>9.0969999999999992E-3</v>
      </c>
      <c r="E60" s="645">
        <v>5.1059888618476181E-3</v>
      </c>
      <c r="F60" s="151" t="s">
        <v>2707</v>
      </c>
      <c r="G60" s="645">
        <v>0</v>
      </c>
      <c r="H60" s="151">
        <f ca="1">_xlfn.XLOOKUP(A60,TabCalc[Ticker],TabCalc[M])</f>
        <v>15.035</v>
      </c>
      <c r="I60" t="str">
        <f ca="1">IF(A60=IDTICKER,"Ups=("&amp;ID!D$7&amp;" - "&amp;ID!G$7&amp;")","")</f>
        <v/>
      </c>
      <c r="J60" s="151" t="s">
        <v>2764</v>
      </c>
      <c r="K60" s="1484">
        <v>45981</v>
      </c>
      <c r="L60" s="91"/>
      <c r="M60" s="219" t="e">
        <f ca="1">_xlfn.XLOOKUP(G60,TabCalc[Ticker],TabCalc[Up20])</f>
        <v>#N/A</v>
      </c>
      <c r="N60" s="81" t="e">
        <f ca="1">_xlfn.XLOOKUP(G60,TabCalc[Ticker],TabCalc[M])</f>
        <v>#N/A</v>
      </c>
      <c r="O60" s="62">
        <f t="shared" ca="1" si="2"/>
        <v>46002</v>
      </c>
      <c r="P60" t="str">
        <f t="shared" ca="1" si="3"/>
        <v>Formulas ready to copy below</v>
      </c>
    </row>
    <row r="61" spans="1:16" ht="23" thickBot="1">
      <c r="A61" s="1492" t="str">
        <f ca="1">Calc!H59</f>
        <v>MVEENI</v>
      </c>
      <c r="B61" s="1472">
        <v>45987</v>
      </c>
      <c r="C61" s="1465" t="s">
        <v>2855</v>
      </c>
      <c r="D61" s="1043">
        <v>2.4889999999999999E-3</v>
      </c>
      <c r="E61" s="1452">
        <v>0.75560796944151498</v>
      </c>
      <c r="F61" s="1453" t="s">
        <v>2925</v>
      </c>
      <c r="G61" s="1044">
        <v>0</v>
      </c>
      <c r="H61" s="1454">
        <f ca="1">_xlfn.XLOOKUP(A61,TabCalc[Ticker],TabCalc[M])</f>
        <v>15.904</v>
      </c>
      <c r="I61" t="str">
        <f ca="1">IF(A61=IDTICKER,"Ups=("&amp;ID!D$7&amp;" - "&amp;ID!G$7&amp;")","")</f>
        <v/>
      </c>
      <c r="J61" s="151" t="s">
        <v>2931</v>
      </c>
      <c r="K61" s="1484">
        <v>46001</v>
      </c>
      <c r="L61" s="1453"/>
      <c r="M61" s="1474" t="e">
        <f ca="1">_xlfn.XLOOKUP(G61,TabCalc[Ticker],TabCalc[Up20])</f>
        <v>#N/A</v>
      </c>
      <c r="N61" s="1454" t="e">
        <f ca="1">_xlfn.XLOOKUP(G61,TabCalc[Ticker],TabCalc[M])</f>
        <v>#N/A</v>
      </c>
      <c r="O61" s="1473">
        <f t="shared" ca="1" si="2"/>
        <v>46002</v>
      </c>
      <c r="P61" s="1449" t="str">
        <f t="shared" ca="1" si="3"/>
        <v>Formulas ready to copy below</v>
      </c>
    </row>
    <row r="62" spans="1:16" ht="23" thickBot="1">
      <c r="A62" s="1492" t="str">
        <f ca="1">Calc!H60</f>
        <v>MVEEPIX</v>
      </c>
      <c r="B62" s="1472">
        <v>45460</v>
      </c>
      <c r="C62" s="1465" t="s">
        <v>1412</v>
      </c>
      <c r="D62" s="1043">
        <v>0</v>
      </c>
      <c r="E62" s="645">
        <v>1.8522760022071003</v>
      </c>
      <c r="F62" s="151" t="s">
        <v>2708</v>
      </c>
      <c r="G62" s="645">
        <v>0</v>
      </c>
      <c r="H62" s="151">
        <f ca="1">_xlfn.XLOOKUP(A62,TabCalc[Ticker],TabCalc[M])</f>
        <v>0.20119999999999999</v>
      </c>
      <c r="I62" t="str">
        <f ca="1">IF(A62=IDTICKER,"Ups=("&amp;ID!D$7&amp;" - "&amp;ID!G$7&amp;")","")</f>
        <v/>
      </c>
      <c r="J62" s="151" t="s">
        <v>2765</v>
      </c>
      <c r="K62" s="1484">
        <v>45981</v>
      </c>
      <c r="L62" s="91"/>
      <c r="M62" s="219" t="e">
        <f ca="1">_xlfn.XLOOKUP(G62,TabCalc[Ticker],TabCalc[Up20])</f>
        <v>#N/A</v>
      </c>
      <c r="N62" s="81" t="e">
        <f ca="1">_xlfn.XLOOKUP(G62,TabCalc[Ticker],TabCalc[M])</f>
        <v>#N/A</v>
      </c>
      <c r="O62" s="62">
        <f t="shared" ca="1" si="2"/>
        <v>46002</v>
      </c>
      <c r="P62" t="str">
        <f t="shared" ca="1" si="3"/>
        <v>Formulas ready to copy below</v>
      </c>
    </row>
    <row r="63" spans="1:16" ht="23" thickBot="1">
      <c r="A63" s="1492" t="str">
        <f ca="1">Calc!H61</f>
        <v>MVEGLE</v>
      </c>
      <c r="B63" s="1472">
        <v>45981</v>
      </c>
      <c r="C63" s="1465" t="s">
        <v>2851</v>
      </c>
      <c r="D63" s="1043">
        <v>-1.5325999999999999E-2</v>
      </c>
      <c r="E63" s="1456">
        <v>1.0302804543915278</v>
      </c>
      <c r="F63" s="1449" t="s">
        <v>2730</v>
      </c>
      <c r="G63" s="1456">
        <v>0</v>
      </c>
      <c r="H63" s="1449">
        <f ca="1">_xlfn.XLOOKUP(A63,TabCalc[Ticker],TabCalc[M])</f>
        <v>64.36</v>
      </c>
      <c r="I63" t="str">
        <f ca="1">IF(A63=IDTICKER,"Ups=("&amp;ID!D$7&amp;" - "&amp;ID!G$7&amp;")","")</f>
        <v/>
      </c>
      <c r="J63" s="1449" t="s">
        <v>2787</v>
      </c>
      <c r="K63" s="1484">
        <v>45981</v>
      </c>
      <c r="L63" s="1453"/>
      <c r="M63" s="1474" t="e">
        <f ca="1">_xlfn.XLOOKUP(G63,TabCalc[Ticker],TabCalc[Up20])</f>
        <v>#N/A</v>
      </c>
      <c r="N63" s="1454" t="e">
        <f ca="1">_xlfn.XLOOKUP(G63,TabCalc[Ticker],TabCalc[M])</f>
        <v>#N/A</v>
      </c>
      <c r="O63" s="1473">
        <f t="shared" ca="1" si="2"/>
        <v>46002</v>
      </c>
      <c r="P63" s="1449" t="str">
        <f t="shared" ca="1" si="3"/>
        <v>Formulas ready to copy below</v>
      </c>
    </row>
    <row r="64" spans="1:16" ht="23" thickBot="1">
      <c r="A64" s="1492" t="str">
        <f ca="1">Calc!H62</f>
        <v>MVEORA</v>
      </c>
      <c r="B64" s="1472">
        <v>45938</v>
      </c>
      <c r="C64" s="1465" t="s">
        <v>2532</v>
      </c>
      <c r="D64" s="1043">
        <v>1.4199999999999998E-3</v>
      </c>
      <c r="E64" s="1457">
        <v>0.41164661381076584</v>
      </c>
      <c r="F64" s="1449" t="s">
        <v>2871</v>
      </c>
      <c r="G64" s="1457">
        <v>0</v>
      </c>
      <c r="H64" s="1449">
        <f ca="1">_xlfn.XLOOKUP(A64,TabCalc[Ticker],TabCalc[M])</f>
        <v>13.734999999999999</v>
      </c>
      <c r="I64" t="str">
        <f ca="1">IF(A64=IDTICKER,"Ups=("&amp;ID!D$7&amp;" - "&amp;ID!G$7&amp;")","")</f>
        <v/>
      </c>
      <c r="J64" s="1449" t="s">
        <v>2877</v>
      </c>
      <c r="K64" s="1484">
        <v>45989</v>
      </c>
      <c r="L64" s="1476"/>
      <c r="M64" s="1044" t="e">
        <f ca="1">_xlfn.XLOOKUP(G64,TabCalc[Ticker],TabCalc[Up20])</f>
        <v>#N/A</v>
      </c>
      <c r="N64" s="1454" t="e">
        <f ca="1">_xlfn.XLOOKUP(G64,TabCalc[Ticker],TabCalc[M])</f>
        <v>#N/A</v>
      </c>
      <c r="O64" s="1473">
        <f t="shared" ca="1" si="2"/>
        <v>46002</v>
      </c>
      <c r="P64" s="1455" t="str">
        <f t="shared" ca="1" si="3"/>
        <v>Formulas ready to copy below</v>
      </c>
    </row>
    <row r="65" spans="1:16" ht="23" thickBot="1">
      <c r="A65" s="1492" t="str">
        <f ca="1">Calc!H63</f>
        <v>MVERWE</v>
      </c>
      <c r="B65" s="1472">
        <v>45554</v>
      </c>
      <c r="C65" s="1465" t="s">
        <v>1413</v>
      </c>
      <c r="D65" s="1043">
        <v>-1.2035000000000001E-2</v>
      </c>
      <c r="E65" s="645">
        <v>1.7553475994925361E-3</v>
      </c>
      <c r="F65" s="151" t="s">
        <v>2718</v>
      </c>
      <c r="G65" s="645">
        <v>0</v>
      </c>
      <c r="H65" s="151">
        <f ca="1">_xlfn.XLOOKUP(A65,TabCalc[Ticker],TabCalc[M])</f>
        <v>43.29</v>
      </c>
      <c r="I65" t="str">
        <f ca="1">IF(A65=IDTICKER,"Ups=("&amp;ID!D$7&amp;" - "&amp;ID!G$7&amp;")","")</f>
        <v/>
      </c>
      <c r="J65" s="151" t="s">
        <v>2775</v>
      </c>
      <c r="K65" s="1484">
        <v>45981</v>
      </c>
      <c r="L65" s="1453"/>
      <c r="M65" s="1474" t="e">
        <f ca="1">_xlfn.XLOOKUP(G65,TabCalc[Ticker],TabCalc[Up20])</f>
        <v>#N/A</v>
      </c>
      <c r="N65" s="1454" t="e">
        <f ca="1">_xlfn.XLOOKUP(G65,TabCalc[Ticker],TabCalc[M])</f>
        <v>#N/A</v>
      </c>
      <c r="O65" s="1473">
        <f t="shared" ca="1" si="2"/>
        <v>46002</v>
      </c>
      <c r="P65" s="1449" t="str">
        <f t="shared" ca="1" si="3"/>
        <v>Formulas ready to copy below</v>
      </c>
    </row>
    <row r="66" spans="1:16" ht="23" thickBot="1">
      <c r="A66" s="1492" t="str">
        <f ca="1">Calc!H64</f>
        <v>MVESAP</v>
      </c>
      <c r="B66" s="1472">
        <v>45460</v>
      </c>
      <c r="C66" s="1465" t="s">
        <v>1414</v>
      </c>
      <c r="D66" s="1043">
        <v>-7.744E-3</v>
      </c>
      <c r="E66" s="645">
        <v>1.1593157284869184</v>
      </c>
      <c r="F66" s="151" t="s">
        <v>2719</v>
      </c>
      <c r="G66" s="645">
        <v>0</v>
      </c>
      <c r="H66" s="151">
        <f ca="1">_xlfn.XLOOKUP(A66,TabCalc[Ticker],TabCalc[M])</f>
        <v>209.3</v>
      </c>
      <c r="I66" t="str">
        <f ca="1">IF(A66=IDTICKER,"Ups=("&amp;ID!D$7&amp;" - "&amp;ID!G$7&amp;")","")</f>
        <v/>
      </c>
      <c r="J66" s="151" t="s">
        <v>2776</v>
      </c>
      <c r="K66" s="1484">
        <v>45981</v>
      </c>
      <c r="L66" s="91"/>
      <c r="M66" s="219" t="e">
        <f ca="1">_xlfn.XLOOKUP(G66,TabCalc[Ticker],TabCalc[Up20])</f>
        <v>#N/A</v>
      </c>
      <c r="N66" s="81" t="e">
        <f ca="1">_xlfn.XLOOKUP(G66,TabCalc[Ticker],TabCalc[M])</f>
        <v>#N/A</v>
      </c>
      <c r="O66" s="62">
        <f t="shared" ca="1" si="2"/>
        <v>46002</v>
      </c>
      <c r="P66" t="str">
        <f t="shared" ca="1" si="3"/>
        <v>Formulas ready to copy below</v>
      </c>
    </row>
    <row r="67" spans="1:16" ht="23" thickBot="1">
      <c r="A67" s="1492" t="str">
        <f ca="1">Calc!H65</f>
        <v>MVEUN0</v>
      </c>
      <c r="B67" s="1472">
        <v>45461</v>
      </c>
      <c r="C67" s="1465" t="s">
        <v>1415</v>
      </c>
      <c r="D67" s="1043">
        <v>6.711E-3</v>
      </c>
      <c r="E67" s="645">
        <v>2.2004357298474945E-2</v>
      </c>
      <c r="F67" s="151" t="s">
        <v>2724</v>
      </c>
      <c r="G67" s="645">
        <v>0</v>
      </c>
      <c r="H67" s="151">
        <f ca="1">_xlfn.XLOOKUP(A67,TabCalc[Ticker],TabCalc[M])</f>
        <v>37.75</v>
      </c>
      <c r="I67" t="str">
        <f ca="1">IF(A67=IDTICKER,"Ups=("&amp;ID!D$7&amp;" - "&amp;ID!G$7&amp;")","")</f>
        <v/>
      </c>
      <c r="J67" s="151" t="s">
        <v>2781</v>
      </c>
      <c r="K67" s="1484">
        <v>45981</v>
      </c>
      <c r="L67" s="1453"/>
      <c r="M67" s="1474" t="e">
        <f ca="1">_xlfn.XLOOKUP(G67,TabCalc[Ticker],TabCalc[Up20])</f>
        <v>#N/A</v>
      </c>
      <c r="N67" s="1454" t="e">
        <f ca="1">_xlfn.XLOOKUP(G67,TabCalc[Ticker],TabCalc[M])</f>
        <v>#N/A</v>
      </c>
      <c r="O67" s="1473">
        <f t="shared" ca="1" si="2"/>
        <v>46002</v>
      </c>
      <c r="P67" s="1449" t="str">
        <f t="shared" ca="1" si="3"/>
        <v>Formulas ready to copy below</v>
      </c>
    </row>
    <row r="68" spans="1:16" ht="23" thickBot="1">
      <c r="A68" s="1492" t="str">
        <f ca="1">Calc!H66</f>
        <v>SAFAAPL</v>
      </c>
      <c r="B68" s="1472">
        <v>45463</v>
      </c>
      <c r="C68" s="1465" t="s">
        <v>1416</v>
      </c>
      <c r="D68" s="1043">
        <v>2.1745999999999998E-2</v>
      </c>
      <c r="E68" s="645">
        <v>0.7823520188145805</v>
      </c>
      <c r="F68" s="151" t="s">
        <v>2731</v>
      </c>
      <c r="G68" s="645">
        <v>0</v>
      </c>
      <c r="H68" s="151">
        <f ca="1">_xlfn.XLOOKUP(A68,TabCalc[Ticker],TabCalc[M])</f>
        <v>278.02999999999997</v>
      </c>
      <c r="I68" t="str">
        <f ca="1">IF(A68=IDTICKER,"Ups=("&amp;ID!D$7&amp;" - "&amp;ID!G$7&amp;")","")</f>
        <v/>
      </c>
      <c r="J68" s="151" t="s">
        <v>2788</v>
      </c>
      <c r="K68" s="1484">
        <v>45981</v>
      </c>
      <c r="L68" s="91"/>
      <c r="M68" s="219" t="e">
        <f ca="1">_xlfn.XLOOKUP(G68,TabCalc[Ticker],TabCalc[Up20])</f>
        <v>#N/A</v>
      </c>
      <c r="N68" s="81" t="e">
        <f ca="1">_xlfn.XLOOKUP(G68,TabCalc[Ticker],TabCalc[M])</f>
        <v>#N/A</v>
      </c>
      <c r="O68" s="62">
        <f t="shared" ca="1" si="2"/>
        <v>46002</v>
      </c>
      <c r="P68" t="str">
        <f t="shared" ca="1" si="3"/>
        <v>Formulas ready to copy below</v>
      </c>
    </row>
    <row r="69" spans="1:16" ht="23" thickBot="1">
      <c r="A69" s="1492" t="str">
        <f ca="1">Calc!H67</f>
        <v>SAFAMZN</v>
      </c>
      <c r="B69" s="1472">
        <v>45932</v>
      </c>
      <c r="C69" s="1465"/>
      <c r="D69" s="1043">
        <v>1.8859000000000001E-2</v>
      </c>
      <c r="E69" s="1456">
        <v>0.95716290799595294</v>
      </c>
      <c r="F69" s="1449" t="s">
        <v>2732</v>
      </c>
      <c r="G69" s="1456">
        <v>0</v>
      </c>
      <c r="H69" s="1449">
        <f ca="1">_xlfn.XLOOKUP(A69,TabCalc[Ticker],TabCalc[M])</f>
        <v>230.28</v>
      </c>
      <c r="I69" t="str">
        <f ca="1">IF(A69=IDTICKER,"Ups=("&amp;ID!D$7&amp;" - "&amp;ID!G$7&amp;")","")</f>
        <v/>
      </c>
      <c r="J69" s="1449" t="s">
        <v>2789</v>
      </c>
      <c r="K69" s="1484">
        <v>45981</v>
      </c>
      <c r="L69" s="1453"/>
      <c r="M69" s="1474" t="e">
        <f ca="1">_xlfn.XLOOKUP(G69,TabCalc[Ticker],TabCalc[Up20])</f>
        <v>#N/A</v>
      </c>
      <c r="N69" s="1454" t="e">
        <f ca="1">_xlfn.XLOOKUP(G69,TabCalc[Ticker],TabCalc[M])</f>
        <v>#N/A</v>
      </c>
      <c r="O69" s="1473">
        <f t="shared" ref="O69:O98" ca="1" si="4">TODAY()</f>
        <v>46002</v>
      </c>
      <c r="P69" s="1449" t="str">
        <f t="shared" ref="P69:P98" ca="1" si="5">IFERROR("("&amp;TEXT(J69,"#0.0%")&amp;":"&amp;INT(100*K69)&amp;"%)@"&amp;TEXT(N69,"#,#0.#0")&amp;":("&amp;L69&amp;")"&amp;"&gt;UpMark "&amp;TEXT(M69,"#,#0%"),"Formulas ready to copy below")</f>
        <v>Formulas ready to copy below</v>
      </c>
    </row>
    <row r="70" spans="1:16" ht="23" thickBot="1">
      <c r="A70" s="1492" t="str">
        <f ca="1">Calc!H68</f>
        <v>SAFASML</v>
      </c>
      <c r="B70" s="1472">
        <v>45987</v>
      </c>
      <c r="C70" s="1465" t="s">
        <v>2823</v>
      </c>
      <c r="D70" s="1043">
        <v>-6.2711000000000003E-2</v>
      </c>
      <c r="E70" s="1456">
        <v>1.7569881836657615</v>
      </c>
      <c r="F70" s="1449" t="s">
        <v>2733</v>
      </c>
      <c r="G70" s="1456">
        <v>0</v>
      </c>
      <c r="H70" s="1449">
        <f ca="1">_xlfn.XLOOKUP(A70,TabCalc[Ticker],TabCalc[M])</f>
        <v>940.9</v>
      </c>
      <c r="I70" t="str">
        <f ca="1">IF(A70=IDTICKER,"Ups=("&amp;ID!D$7&amp;" - "&amp;ID!G$7&amp;")","")</f>
        <v/>
      </c>
      <c r="J70" s="1449" t="s">
        <v>2790</v>
      </c>
      <c r="K70" s="1484">
        <v>45981</v>
      </c>
      <c r="L70" s="91"/>
      <c r="M70" s="219" t="e">
        <f ca="1">_xlfn.XLOOKUP(G70,TabCalc[Ticker],TabCalc[Up20])</f>
        <v>#N/A</v>
      </c>
      <c r="N70" s="81" t="e">
        <f ca="1">_xlfn.XLOOKUP(G70,TabCalc[Ticker],TabCalc[M])</f>
        <v>#N/A</v>
      </c>
      <c r="O70" s="62">
        <f t="shared" ca="1" si="4"/>
        <v>46002</v>
      </c>
      <c r="P70" t="str">
        <f t="shared" ca="1" si="5"/>
        <v>Formulas ready to copy below</v>
      </c>
    </row>
    <row r="71" spans="1:16" ht="23" thickBot="1">
      <c r="A71" s="1492" t="str">
        <f ca="1">Calc!H69</f>
        <v>SAFDDD</v>
      </c>
      <c r="B71" s="1472">
        <v>45987</v>
      </c>
      <c r="C71" s="1465" t="s">
        <v>2822</v>
      </c>
      <c r="D71" s="1043">
        <v>4.0106999999999997E-2</v>
      </c>
      <c r="E71" s="1456">
        <v>1.1781840228772786</v>
      </c>
      <c r="F71" s="1449" t="s">
        <v>2704</v>
      </c>
      <c r="G71" s="1456">
        <v>0</v>
      </c>
      <c r="H71" s="1449">
        <f ca="1">_xlfn.XLOOKUP(A71,TabCalc[Ticker],TabCalc[M])</f>
        <v>1.9650000000000001</v>
      </c>
      <c r="I71" t="str">
        <f ca="1">IF(A71=IDTICKER,"Ups=("&amp;ID!D$7&amp;" - "&amp;ID!G$7&amp;")","")</f>
        <v/>
      </c>
      <c r="J71" s="1449" t="s">
        <v>2761</v>
      </c>
      <c r="K71" s="1484">
        <v>45981</v>
      </c>
      <c r="L71" s="1453"/>
      <c r="M71" s="1474" t="e">
        <f ca="1">_xlfn.XLOOKUP(G71,TabCalc[Ticker],TabCalc[Up20])</f>
        <v>#N/A</v>
      </c>
      <c r="N71" s="1454" t="e">
        <f ca="1">_xlfn.XLOOKUP(G71,TabCalc[Ticker],TabCalc[M])</f>
        <v>#N/A</v>
      </c>
      <c r="O71" s="1473">
        <f t="shared" ca="1" si="4"/>
        <v>46002</v>
      </c>
      <c r="P71" s="1449" t="str">
        <f t="shared" ca="1" si="5"/>
        <v>Formulas ready to copy below</v>
      </c>
    </row>
    <row r="72" spans="1:16" ht="23" thickBot="1">
      <c r="A72" s="1492" t="str">
        <f ca="1">Calc!H70</f>
        <v>SAFDIS</v>
      </c>
      <c r="B72" s="1472">
        <v>45938</v>
      </c>
      <c r="C72" s="1465" t="s">
        <v>2527</v>
      </c>
      <c r="D72" s="1043">
        <v>1.704E-2</v>
      </c>
      <c r="E72" s="1456">
        <v>0.66506619422509894</v>
      </c>
      <c r="F72" s="1449" t="s">
        <v>2705</v>
      </c>
      <c r="G72" s="1456">
        <v>0</v>
      </c>
      <c r="H72" s="1449">
        <f ca="1">_xlfn.XLOOKUP(A72,TabCalc[Ticker],TabCalc[M])</f>
        <v>111.48</v>
      </c>
      <c r="I72" t="str">
        <f ca="1">IF(A72=IDTICKER,"Ups=("&amp;ID!D$7&amp;" - "&amp;ID!G$7&amp;")","")</f>
        <v/>
      </c>
      <c r="J72" s="1449" t="s">
        <v>2762</v>
      </c>
      <c r="K72" s="1484">
        <v>45981</v>
      </c>
      <c r="L72" s="91"/>
      <c r="M72" s="219" t="e">
        <f ca="1">_xlfn.XLOOKUP(G72,TabCalc[Ticker],TabCalc[Up20])</f>
        <v>#N/A</v>
      </c>
      <c r="N72" s="81" t="e">
        <f ca="1">_xlfn.XLOOKUP(G72,TabCalc[Ticker],TabCalc[M])</f>
        <v>#N/A</v>
      </c>
      <c r="O72" s="62">
        <f t="shared" ca="1" si="4"/>
        <v>46002</v>
      </c>
      <c r="P72" t="str">
        <f t="shared" ca="1" si="5"/>
        <v>Formulas ready to copy below</v>
      </c>
    </row>
    <row r="73" spans="1:16" ht="23" thickBot="1">
      <c r="A73" s="1492" t="str">
        <f ca="1">Calc!H71</f>
        <v>SAFGM</v>
      </c>
      <c r="B73" s="1472">
        <v>45519</v>
      </c>
      <c r="C73" s="1465" t="s">
        <v>1417</v>
      </c>
      <c r="D73" s="1043">
        <v>3.2187E-2</v>
      </c>
      <c r="E73" s="645">
        <v>0.62821133819906561</v>
      </c>
      <c r="F73" s="151" t="s">
        <v>2709</v>
      </c>
      <c r="G73" s="645">
        <v>0.55555555555555558</v>
      </c>
      <c r="H73" s="151">
        <f ca="1">_xlfn.XLOOKUP(A73,TabCalc[Ticker],TabCalc[M])</f>
        <v>80.844999999999999</v>
      </c>
      <c r="I73" t="str">
        <f ca="1">IF(A73=IDTICKER,"Ups=("&amp;ID!D$7&amp;" - "&amp;ID!G$7&amp;")","")</f>
        <v/>
      </c>
      <c r="J73" s="151" t="s">
        <v>2791</v>
      </c>
      <c r="K73" s="1484">
        <v>45981</v>
      </c>
      <c r="L73" s="1453"/>
      <c r="M73" s="1474" t="e">
        <f ca="1">_xlfn.XLOOKUP(G73,TabCalc[Ticker],TabCalc[Up20])</f>
        <v>#N/A</v>
      </c>
      <c r="N73" s="1454" t="e">
        <f ca="1">_xlfn.XLOOKUP(G73,TabCalc[Ticker],TabCalc[M])</f>
        <v>#N/A</v>
      </c>
      <c r="O73" s="1473">
        <f t="shared" ca="1" si="4"/>
        <v>46002</v>
      </c>
      <c r="P73" s="1449" t="str">
        <f t="shared" ca="1" si="5"/>
        <v>Formulas ready to copy below</v>
      </c>
    </row>
    <row r="74" spans="1:16" ht="23" thickBot="1">
      <c r="A74" s="1492" t="str">
        <f ca="1">Calc!H72</f>
        <v>SAFIAG</v>
      </c>
      <c r="B74" s="1472">
        <v>45460</v>
      </c>
      <c r="C74" s="1465" t="s">
        <v>1418</v>
      </c>
      <c r="D74" s="1043">
        <v>-8.1069999999999996E-3</v>
      </c>
      <c r="E74" s="1458">
        <v>0.41095541613131709</v>
      </c>
      <c r="F74" s="151" t="s">
        <v>2734</v>
      </c>
      <c r="G74" s="1458">
        <v>0.42857142857142855</v>
      </c>
      <c r="H74" s="151">
        <f ca="1">_xlfn.XLOOKUP(A74,TabCalc[Ticker],TabCalc[M])</f>
        <v>397.6</v>
      </c>
      <c r="I74" t="str">
        <f ca="1">IF(A74=IDTICKER,"Ups=("&amp;ID!D$7&amp;" - "&amp;ID!G$7&amp;")","")</f>
        <v/>
      </c>
      <c r="J74" s="151" t="s">
        <v>2792</v>
      </c>
      <c r="K74" s="1484">
        <v>45981</v>
      </c>
      <c r="L74" s="91"/>
      <c r="M74" s="219" t="e">
        <f ca="1">_xlfn.XLOOKUP(G74,TabCalc[Ticker],TabCalc[Up20])</f>
        <v>#N/A</v>
      </c>
      <c r="N74" s="81" t="e">
        <f ca="1">_xlfn.XLOOKUP(G74,TabCalc[Ticker],TabCalc[M])</f>
        <v>#N/A</v>
      </c>
      <c r="O74" s="62">
        <f t="shared" ca="1" si="4"/>
        <v>46002</v>
      </c>
      <c r="P74" t="str">
        <f t="shared" ca="1" si="5"/>
        <v>Formulas ready to copy below</v>
      </c>
    </row>
    <row r="75" spans="1:16" ht="23" thickBot="1">
      <c r="A75" s="1492" t="str">
        <f ca="1">Calc!H73</f>
        <v>SAFMRNA</v>
      </c>
      <c r="B75" s="1472">
        <v>45460</v>
      </c>
      <c r="C75" s="1465" t="s">
        <v>1419</v>
      </c>
      <c r="D75" s="1043">
        <v>5.076E-2</v>
      </c>
      <c r="E75" s="1458">
        <v>0.85136192546962008</v>
      </c>
      <c r="F75" s="151" t="s">
        <v>2711</v>
      </c>
      <c r="G75" s="1458">
        <v>0</v>
      </c>
      <c r="H75" s="151">
        <f ca="1">_xlfn.XLOOKUP(A75,TabCalc[Ticker],TabCalc[M])</f>
        <v>29.63</v>
      </c>
      <c r="I75" t="str">
        <f ca="1">IF(A75=IDTICKER,"Ups=("&amp;ID!D$7&amp;" - "&amp;ID!G$7&amp;")","")</f>
        <v/>
      </c>
      <c r="J75" s="151" t="s">
        <v>2768</v>
      </c>
      <c r="K75" s="1484">
        <v>45981</v>
      </c>
      <c r="L75" s="1453"/>
      <c r="M75" s="1474" t="e">
        <f ca="1">_xlfn.XLOOKUP(G75,TabCalc[Ticker],TabCalc[Up20])</f>
        <v>#N/A</v>
      </c>
      <c r="N75" s="1454" t="e">
        <f ca="1">_xlfn.XLOOKUP(G75,TabCalc[Ticker],TabCalc[M])</f>
        <v>#N/A</v>
      </c>
      <c r="O75" s="1473">
        <f t="shared" ca="1" si="4"/>
        <v>46002</v>
      </c>
      <c r="P75" s="1449" t="str">
        <f t="shared" ca="1" si="5"/>
        <v>Formulas ready to copy below</v>
      </c>
    </row>
    <row r="76" spans="1:16" ht="23" thickBot="1">
      <c r="A76" s="1492" t="str">
        <f ca="1">Calc!H74</f>
        <v>BLNK</v>
      </c>
      <c r="B76" s="1472">
        <v>45938</v>
      </c>
      <c r="C76" s="1465" t="s">
        <v>2540</v>
      </c>
      <c r="D76" s="1043">
        <v>-2.6515E-2</v>
      </c>
      <c r="E76" s="1457">
        <v>1.2553295238477404</v>
      </c>
      <c r="F76" s="1449" t="s">
        <v>2735</v>
      </c>
      <c r="G76" s="1457">
        <v>0</v>
      </c>
      <c r="H76" s="1449">
        <f ca="1">_xlfn.XLOOKUP(A76,TabCalc[Ticker],TabCalc[M])</f>
        <v>0.88580000000000003</v>
      </c>
      <c r="I76" t="str">
        <f ca="1">IF(A76=IDTICKER,"Ups=("&amp;ID!D$7&amp;" - "&amp;ID!G$7&amp;")","")</f>
        <v/>
      </c>
      <c r="J76" s="1449" t="s">
        <v>2793</v>
      </c>
      <c r="K76" s="1484">
        <v>45981</v>
      </c>
      <c r="L76" s="1453"/>
      <c r="M76" s="1044" t="e">
        <f ca="1">_xlfn.XLOOKUP(G76,TabCalc[Ticker],TabCalc[Up20])</f>
        <v>#N/A</v>
      </c>
      <c r="N76" s="1454" t="e">
        <f ca="1">_xlfn.XLOOKUP(G76,TabCalc[Ticker],TabCalc[M])</f>
        <v>#N/A</v>
      </c>
      <c r="O76" s="1473">
        <f ca="1">TODAY()</f>
        <v>46002</v>
      </c>
      <c r="P76" s="1455" t="str">
        <f ca="1">IFERROR("("&amp;TEXT(J76,"#0.0%")&amp;":"&amp;INT(100*K76)&amp;"%)@"&amp;TEXT(N76,"#,#0.#0")&amp;":("&amp;L76&amp;")"&amp;"&gt;UpMark "&amp;TEXT(M76,"#,#0%"),"Formulas ready to copy below")</f>
        <v>Formulas ready to copy below</v>
      </c>
    </row>
    <row r="77" spans="1:16" ht="23" thickBot="1">
      <c r="A77" s="1492" t="str">
        <f ca="1">Calc!H75</f>
        <v>ENI</v>
      </c>
      <c r="B77" s="1472">
        <v>45932</v>
      </c>
      <c r="C77" s="1465" t="s">
        <v>1420</v>
      </c>
      <c r="D77" s="1043">
        <v>1.268E-2</v>
      </c>
      <c r="E77" s="1452">
        <v>0.81564832996157632</v>
      </c>
      <c r="F77" s="1453" t="s">
        <v>2888</v>
      </c>
      <c r="G77" s="1457">
        <v>0</v>
      </c>
      <c r="H77" s="1454">
        <f ca="1">_xlfn.XLOOKUP(A77,TabCalc[Ticker],TabCalc[M])</f>
        <v>15.904</v>
      </c>
      <c r="I77" t="str">
        <f ca="1">IF(A77=IDTICKER,"Ups=("&amp;ID!D$7&amp;" - "&amp;ID!G$7&amp;")","")</f>
        <v/>
      </c>
      <c r="J77" s="151" t="s">
        <v>2890</v>
      </c>
      <c r="K77" s="1484">
        <v>45989</v>
      </c>
      <c r="L77" s="1453"/>
      <c r="M77" s="1474" t="e">
        <f ca="1">_xlfn.XLOOKUP(G77,TabCalc[Ticker],TabCalc[Up20])</f>
        <v>#N/A</v>
      </c>
      <c r="N77" s="1454" t="e">
        <f ca="1">_xlfn.XLOOKUP(G77,TabCalc[Ticker],TabCalc[M])</f>
        <v>#N/A</v>
      </c>
      <c r="O77" s="1473">
        <f t="shared" ca="1" si="4"/>
        <v>46002</v>
      </c>
      <c r="P77" s="1449" t="str">
        <f t="shared" ca="1" si="5"/>
        <v>Formulas ready to copy below</v>
      </c>
    </row>
    <row r="78" spans="1:16" ht="23" thickBot="1">
      <c r="A78" s="1492" t="str">
        <f ca="1">Calc!H76</f>
        <v>EZJ</v>
      </c>
      <c r="B78" s="1472">
        <v>45987</v>
      </c>
      <c r="C78" s="1465" t="s">
        <v>1421</v>
      </c>
      <c r="D78" s="1043">
        <v>1.2664E-2</v>
      </c>
      <c r="E78" s="1458">
        <v>0.57842491956119679</v>
      </c>
      <c r="F78" s="151" t="s">
        <v>2736</v>
      </c>
      <c r="G78" s="1458">
        <v>0.14285714285714285</v>
      </c>
      <c r="H78" s="151">
        <f ca="1">_xlfn.XLOOKUP(A78,TabCalc[Ticker],TabCalc[M])</f>
        <v>485.1</v>
      </c>
      <c r="I78" t="str">
        <f ca="1">IF(A78=IDTICKER,"Ups=("&amp;ID!D$7&amp;" - "&amp;ID!G$7&amp;")","")</f>
        <v/>
      </c>
      <c r="J78" s="151" t="s">
        <v>2794</v>
      </c>
      <c r="K78" s="1484">
        <v>45981</v>
      </c>
      <c r="L78" s="91"/>
      <c r="M78" s="219" t="e">
        <f ca="1">_xlfn.XLOOKUP(G78,TabCalc[Ticker],TabCalc[Up20])</f>
        <v>#N/A</v>
      </c>
      <c r="N78" s="81" t="e">
        <f ca="1">_xlfn.XLOOKUP(G78,TabCalc[Ticker],TabCalc[M])</f>
        <v>#N/A</v>
      </c>
      <c r="O78" s="62">
        <f t="shared" ca="1" si="4"/>
        <v>46002</v>
      </c>
      <c r="P78" t="str">
        <f t="shared" ca="1" si="5"/>
        <v>Formulas ready to copy below</v>
      </c>
    </row>
    <row r="79" spans="1:16" ht="23" thickBot="1">
      <c r="A79" s="1492" t="str">
        <f ca="1">Calc!H77</f>
        <v>F</v>
      </c>
      <c r="B79" s="1472">
        <v>45938</v>
      </c>
      <c r="C79" s="1465" t="s">
        <v>2529</v>
      </c>
      <c r="D79" s="1043">
        <v>3.6664000000000002E-2</v>
      </c>
      <c r="E79" s="1457">
        <v>0.4596062859089779</v>
      </c>
      <c r="F79" s="1449" t="s">
        <v>2737</v>
      </c>
      <c r="G79" s="1457">
        <v>0.25</v>
      </c>
      <c r="H79" s="1449">
        <f ca="1">_xlfn.XLOOKUP(A79,TabCalc[Ticker],TabCalc[M])</f>
        <v>13.625</v>
      </c>
      <c r="I79" t="str">
        <f ca="1">IF(A79=IDTICKER,"Ups=("&amp;ID!D$7&amp;" - "&amp;ID!G$7&amp;")","")</f>
        <v/>
      </c>
      <c r="J79" s="1449" t="s">
        <v>2795</v>
      </c>
      <c r="K79" s="1484">
        <v>45981</v>
      </c>
      <c r="L79" s="1453"/>
      <c r="M79" s="1474" t="e">
        <f ca="1">_xlfn.XLOOKUP(G79,TabCalc[Ticker],TabCalc[Up20])</f>
        <v>#N/A</v>
      </c>
      <c r="N79" s="1454" t="e">
        <f ca="1">_xlfn.XLOOKUP(G79,TabCalc[Ticker],TabCalc[M])</f>
        <v>#N/A</v>
      </c>
      <c r="O79" s="1473">
        <f t="shared" ca="1" si="4"/>
        <v>46002</v>
      </c>
      <c r="P79" s="1449" t="str">
        <f t="shared" ca="1" si="5"/>
        <v>Formulas ready to copy below</v>
      </c>
    </row>
    <row r="80" spans="1:16" ht="23" thickBot="1">
      <c r="A80" s="1492" t="str">
        <f ca="1">Calc!H78</f>
        <v>GLE</v>
      </c>
      <c r="B80" s="1472">
        <v>45519</v>
      </c>
      <c r="C80" s="1465" t="s">
        <v>1422</v>
      </c>
      <c r="D80" s="1043">
        <v>-1.5325999999999999E-2</v>
      </c>
      <c r="E80" s="1458">
        <v>1.0302804543915278</v>
      </c>
      <c r="F80" s="151" t="s">
        <v>2730</v>
      </c>
      <c r="G80" s="1458">
        <v>0.38095238095238093</v>
      </c>
      <c r="H80" s="151">
        <f ca="1">_xlfn.XLOOKUP(A80,TabCalc[Ticker],TabCalc[M])</f>
        <v>64.36</v>
      </c>
      <c r="I80" t="str">
        <f ca="1">IF(A80=IDTICKER,"Ups=("&amp;ID!D$7&amp;" - "&amp;ID!G$7&amp;")","")</f>
        <v/>
      </c>
      <c r="J80" s="151" t="s">
        <v>2796</v>
      </c>
      <c r="K80" s="1484">
        <v>45981</v>
      </c>
      <c r="L80" s="91"/>
      <c r="M80" s="219" t="e">
        <f ca="1">_xlfn.XLOOKUP(G80,TabCalc[Ticker],TabCalc[Up20])</f>
        <v>#N/A</v>
      </c>
      <c r="N80" s="81" t="e">
        <f ca="1">_xlfn.XLOOKUP(G80,TabCalc[Ticker],TabCalc[M])</f>
        <v>#N/A</v>
      </c>
      <c r="O80" s="62">
        <f t="shared" ca="1" si="4"/>
        <v>46002</v>
      </c>
      <c r="P80" t="str">
        <f t="shared" ca="1" si="5"/>
        <v>Formulas ready to copy below</v>
      </c>
    </row>
    <row r="81" spans="1:16" ht="23" thickBot="1">
      <c r="A81" s="1492" t="str">
        <f ca="1">Calc!H79</f>
        <v>GNRC</v>
      </c>
      <c r="B81" s="1472">
        <v>45954</v>
      </c>
      <c r="C81" s="1465" t="s">
        <v>2575</v>
      </c>
      <c r="D81" s="1043">
        <v>4.9279999999999997E-2</v>
      </c>
      <c r="E81" s="1457">
        <v>0.61906675311568693</v>
      </c>
      <c r="F81" s="1449" t="s">
        <v>2738</v>
      </c>
      <c r="G81" s="1457">
        <v>0</v>
      </c>
      <c r="H81" s="1449">
        <f ca="1">_xlfn.XLOOKUP(A81,TabCalc[Ticker],TabCalc[M])</f>
        <v>167.73</v>
      </c>
      <c r="I81" t="str">
        <f ca="1">IF(A81=IDTICKER,"Ups=("&amp;ID!D$7&amp;" - "&amp;ID!G$7&amp;")","")</f>
        <v/>
      </c>
      <c r="J81" s="1449" t="s">
        <v>2797</v>
      </c>
      <c r="K81" s="1484">
        <v>45981</v>
      </c>
      <c r="L81" s="1453"/>
      <c r="M81" s="1474" t="e">
        <f ca="1">_xlfn.XLOOKUP(G81,TabCalc[Ticker],TabCalc[Up20])</f>
        <v>#N/A</v>
      </c>
      <c r="N81" s="1454" t="e">
        <f ca="1">_xlfn.XLOOKUP(G81,TabCalc[Ticker],TabCalc[M])</f>
        <v>#N/A</v>
      </c>
      <c r="O81" s="1473">
        <f t="shared" ca="1" si="4"/>
        <v>46002</v>
      </c>
      <c r="P81" s="1449" t="str">
        <f t="shared" ca="1" si="5"/>
        <v>Formulas ready to copy below</v>
      </c>
    </row>
    <row r="82" spans="1:16" ht="23" thickBot="1">
      <c r="A82" s="1492" t="str">
        <f ca="1">Calc!H80</f>
        <v>GS</v>
      </c>
      <c r="B82" s="1472">
        <v>45932</v>
      </c>
      <c r="C82" s="1465" t="s">
        <v>1423</v>
      </c>
      <c r="D82" s="1043">
        <v>4.7949999999999998E-3</v>
      </c>
      <c r="E82" s="1458">
        <v>0.84264371326404564</v>
      </c>
      <c r="F82" s="151" t="s">
        <v>2739</v>
      </c>
      <c r="G82" s="1458">
        <v>0.5714285714285714</v>
      </c>
      <c r="H82" s="151">
        <f ca="1">_xlfn.XLOOKUP(A82,TabCalc[Ticker],TabCalc[M])</f>
        <v>910.94</v>
      </c>
      <c r="I82" t="str">
        <f ca="1">IF(A82=IDTICKER,"Ups=("&amp;ID!D$7&amp;" - "&amp;ID!G$7&amp;")","")</f>
        <v/>
      </c>
      <c r="J82" s="151" t="s">
        <v>2798</v>
      </c>
      <c r="K82" s="1484">
        <v>45981</v>
      </c>
      <c r="L82" s="91"/>
      <c r="M82" s="219" t="e">
        <f ca="1">_xlfn.XLOOKUP(G82,TabCalc[Ticker],TabCalc[Up20])</f>
        <v>#N/A</v>
      </c>
      <c r="N82" s="81" t="e">
        <f ca="1">_xlfn.XLOOKUP(G82,TabCalc[Ticker],TabCalc[M])</f>
        <v>#N/A</v>
      </c>
      <c r="O82" s="62">
        <f t="shared" ca="1" si="4"/>
        <v>46002</v>
      </c>
      <c r="P82" t="str">
        <f t="shared" ca="1" si="5"/>
        <v>Formulas ready to copy below</v>
      </c>
    </row>
    <row r="83" spans="1:16" ht="23" thickBot="1">
      <c r="A83" s="1492" t="str">
        <f ca="1">Calc!H81</f>
        <v>LAZR</v>
      </c>
      <c r="B83" s="1472">
        <v>45926</v>
      </c>
      <c r="C83" s="1465" t="s">
        <v>1424</v>
      </c>
      <c r="D83" s="1043">
        <v>-2.8511000000000002E-2</v>
      </c>
      <c r="E83" s="1458">
        <v>0.27285872274698081</v>
      </c>
      <c r="F83" s="151" t="s">
        <v>2740</v>
      </c>
      <c r="G83" s="1458">
        <v>0</v>
      </c>
      <c r="H83" s="151">
        <f ca="1">_xlfn.XLOOKUP(A83,TabCalc[Ticker],TabCalc[M])</f>
        <v>0.96619999999999995</v>
      </c>
      <c r="I83" t="str">
        <f ca="1">IF(A83=IDTICKER,"Ups=("&amp;ID!D$7&amp;" - "&amp;ID!G$7&amp;")","")</f>
        <v/>
      </c>
      <c r="J83" s="151" t="s">
        <v>2799</v>
      </c>
      <c r="K83" s="1484">
        <v>45981</v>
      </c>
      <c r="L83" s="1453"/>
      <c r="M83" s="1474" t="e">
        <f ca="1">_xlfn.XLOOKUP(G83,TabCalc[Ticker],TabCalc[Up20])</f>
        <v>#N/A</v>
      </c>
      <c r="N83" s="1454" t="e">
        <f ca="1">_xlfn.XLOOKUP(G83,TabCalc[Ticker],TabCalc[M])</f>
        <v>#N/A</v>
      </c>
      <c r="O83" s="1473">
        <f t="shared" ca="1" si="4"/>
        <v>46002</v>
      </c>
      <c r="P83" s="1449" t="str">
        <f t="shared" ca="1" si="5"/>
        <v>Formulas ready to copy below</v>
      </c>
    </row>
    <row r="84" spans="1:16" ht="23" thickBot="1">
      <c r="A84" s="1492" t="str">
        <f ca="1">Calc!H82</f>
        <v>LUV</v>
      </c>
      <c r="B84" s="1472">
        <v>45939</v>
      </c>
      <c r="C84" s="1465" t="s">
        <v>2541</v>
      </c>
      <c r="D84" s="1043">
        <v>5.3562000000000005E-2</v>
      </c>
      <c r="E84" s="1457">
        <v>0.45894134199839703</v>
      </c>
      <c r="F84" s="1449" t="s">
        <v>2741</v>
      </c>
      <c r="G84" s="1457">
        <v>0</v>
      </c>
      <c r="H84" s="1449">
        <f ca="1">_xlfn.XLOOKUP(A84,TabCalc[Ticker],TabCalc[M])</f>
        <v>40.74</v>
      </c>
      <c r="I84" t="str">
        <f ca="1">IF(A84=IDTICKER,"Ups=("&amp;ID!D$7&amp;" - "&amp;ID!G$7&amp;")","")</f>
        <v/>
      </c>
      <c r="J84" s="1449" t="s">
        <v>2800</v>
      </c>
      <c r="K84" s="1484">
        <v>45981</v>
      </c>
      <c r="L84" s="91"/>
      <c r="M84" s="219" t="e">
        <f ca="1">_xlfn.XLOOKUP(G84,TabCalc[Ticker],TabCalc[Up20])</f>
        <v>#N/A</v>
      </c>
      <c r="N84" s="81" t="e">
        <f ca="1">_xlfn.XLOOKUP(G84,TabCalc[Ticker],TabCalc[M])</f>
        <v>#N/A</v>
      </c>
      <c r="O84" s="62">
        <f t="shared" ca="1" si="4"/>
        <v>46002</v>
      </c>
      <c r="P84" t="str">
        <f t="shared" ca="1" si="5"/>
        <v>Formulas ready to copy below</v>
      </c>
    </row>
    <row r="85" spans="1:16" ht="23" thickBot="1">
      <c r="A85" s="1492" t="str">
        <f ca="1">Calc!H83</f>
        <v>MA</v>
      </c>
      <c r="B85" s="1472">
        <v>45460</v>
      </c>
      <c r="C85" s="1465" t="s">
        <v>1425</v>
      </c>
      <c r="D85" s="1043">
        <v>2.5194999999999999E-2</v>
      </c>
      <c r="E85" s="1458">
        <v>0.89779877592894008</v>
      </c>
      <c r="F85" s="151" t="s">
        <v>2742</v>
      </c>
      <c r="G85" s="1458">
        <v>0</v>
      </c>
      <c r="H85" s="151">
        <f ca="1">_xlfn.XLOOKUP(A85,TabCalc[Ticker],TabCalc[M])</f>
        <v>563.57000000000005</v>
      </c>
      <c r="I85" t="str">
        <f ca="1">IF(A85=IDTICKER,"Ups=("&amp;ID!D$7&amp;" - "&amp;ID!G$7&amp;")","")</f>
        <v/>
      </c>
      <c r="J85" s="151" t="s">
        <v>2801</v>
      </c>
      <c r="K85" s="1484">
        <v>45981</v>
      </c>
      <c r="L85" s="1453"/>
      <c r="M85" s="1474" t="e">
        <f ca="1">_xlfn.XLOOKUP(G85,TabCalc[Ticker],TabCalc[Up20])</f>
        <v>#N/A</v>
      </c>
      <c r="N85" s="1454" t="e">
        <f ca="1">_xlfn.XLOOKUP(G85,TabCalc[Ticker],TabCalc[M])</f>
        <v>#N/A</v>
      </c>
      <c r="O85" s="1473">
        <f t="shared" ca="1" si="4"/>
        <v>46002</v>
      </c>
      <c r="P85" s="1449" t="str">
        <f t="shared" ca="1" si="5"/>
        <v>Formulas ready to copy below</v>
      </c>
    </row>
    <row r="86" spans="1:16" ht="23" thickBot="1">
      <c r="A86" s="1492" t="str">
        <f ca="1">Calc!H84</f>
        <v>NVAX</v>
      </c>
      <c r="B86" s="1472">
        <v>45987</v>
      </c>
      <c r="C86" s="1465" t="s">
        <v>2664</v>
      </c>
      <c r="D86" s="1043">
        <v>4.0997000000000006E-2</v>
      </c>
      <c r="E86" s="1458">
        <v>0.67612913838442223</v>
      </c>
      <c r="F86" s="151" t="s">
        <v>2743</v>
      </c>
      <c r="G86" s="1458">
        <v>0</v>
      </c>
      <c r="H86" s="151">
        <f ca="1">_xlfn.XLOOKUP(A86,TabCalc[Ticker],TabCalc[M])</f>
        <v>6.69</v>
      </c>
      <c r="I86" t="str">
        <f ca="1">IF(A86=IDTICKER,"Ups=("&amp;ID!D$7&amp;" - "&amp;ID!G$7&amp;")","")</f>
        <v/>
      </c>
      <c r="J86" s="151" t="s">
        <v>2802</v>
      </c>
      <c r="K86" s="1484">
        <v>45981</v>
      </c>
      <c r="L86" s="91"/>
      <c r="M86" s="219" t="e">
        <f ca="1">_xlfn.XLOOKUP(G86,TabCalc[Ticker],TabCalc[Up20])</f>
        <v>#N/A</v>
      </c>
      <c r="N86" s="81" t="e">
        <f ca="1">_xlfn.XLOOKUP(G86,TabCalc[Ticker],TabCalc[M])</f>
        <v>#N/A</v>
      </c>
      <c r="O86" s="62">
        <f t="shared" ca="1" si="4"/>
        <v>46002</v>
      </c>
      <c r="P86" t="str">
        <f t="shared" ca="1" si="5"/>
        <v>Formulas ready to copy below</v>
      </c>
    </row>
    <row r="87" spans="1:16" ht="23" thickBot="1">
      <c r="A87" s="1492" t="str">
        <f ca="1">Calc!H85</f>
        <v>NVS</v>
      </c>
      <c r="B87" s="1472">
        <v>45981</v>
      </c>
      <c r="C87" s="1465" t="s">
        <v>1426</v>
      </c>
      <c r="D87" s="1043">
        <v>1.382E-3</v>
      </c>
      <c r="E87" s="1457">
        <v>0.7124595104600806</v>
      </c>
      <c r="F87" s="1449" t="s">
        <v>2872</v>
      </c>
      <c r="G87" s="1457">
        <v>0</v>
      </c>
      <c r="H87" s="1449">
        <f ca="1">_xlfn.XLOOKUP(A87,TabCalc[Ticker],TabCalc[M])</f>
        <v>132.36000000000001</v>
      </c>
      <c r="I87" t="str">
        <f ca="1">IF(A87=IDTICKER,"Ups=("&amp;ID!D$7&amp;" - "&amp;ID!G$7&amp;")","")</f>
        <v/>
      </c>
      <c r="J87" s="1449" t="s">
        <v>2878</v>
      </c>
      <c r="K87" s="1484">
        <v>45989</v>
      </c>
      <c r="L87" s="1453"/>
      <c r="M87" s="1474" t="e">
        <f ca="1">_xlfn.XLOOKUP(G87,TabCalc[Ticker],TabCalc[Up20])</f>
        <v>#N/A</v>
      </c>
      <c r="N87" s="1454" t="e">
        <f ca="1">_xlfn.XLOOKUP(G87,TabCalc[Ticker],TabCalc[M])</f>
        <v>#N/A</v>
      </c>
      <c r="O87" s="1473">
        <f t="shared" ca="1" si="4"/>
        <v>46002</v>
      </c>
      <c r="P87" s="1449" t="str">
        <f t="shared" ca="1" si="5"/>
        <v>Formulas ready to copy below</v>
      </c>
    </row>
    <row r="88" spans="1:16" ht="23" thickBot="1">
      <c r="A88" s="1492" t="str">
        <f ca="1">Calc!H86</f>
        <v>ORA</v>
      </c>
      <c r="B88" s="1472">
        <v>45460</v>
      </c>
      <c r="C88" s="1465" t="s">
        <v>2509</v>
      </c>
      <c r="D88" s="1043">
        <v>2.0863999999999997E-2</v>
      </c>
      <c r="E88" s="1457">
        <v>0.98428640913537802</v>
      </c>
      <c r="F88" s="1449" t="s">
        <v>2744</v>
      </c>
      <c r="G88" s="1457">
        <v>0</v>
      </c>
      <c r="H88" s="1449">
        <f ca="1">_xlfn.XLOOKUP(A88,TabCalc[Ticker],TabCalc[M])</f>
        <v>13.734999999999999</v>
      </c>
      <c r="I88" t="str">
        <f ca="1">IF(A88=IDTICKER,"Ups=("&amp;ID!D$7&amp;" - "&amp;ID!G$7&amp;")","")</f>
        <v/>
      </c>
      <c r="J88" s="1449" t="s">
        <v>2803</v>
      </c>
      <c r="K88" s="1484">
        <v>45981</v>
      </c>
      <c r="L88" s="91"/>
      <c r="M88" s="219" t="e">
        <f ca="1">_xlfn.XLOOKUP(G88,TabCalc[Ticker],TabCalc[Up20])</f>
        <v>#N/A</v>
      </c>
      <c r="N88" s="81" t="e">
        <f ca="1">_xlfn.XLOOKUP(G88,TabCalc[Ticker],TabCalc[M])</f>
        <v>#N/A</v>
      </c>
      <c r="O88" s="62">
        <f t="shared" ca="1" si="4"/>
        <v>46002</v>
      </c>
      <c r="P88" t="str">
        <f t="shared" ca="1" si="5"/>
        <v>Formulas ready to copy below</v>
      </c>
    </row>
    <row r="89" spans="1:16" ht="23" thickBot="1">
      <c r="A89" s="1492" t="str">
        <f ca="1">Calc!H87</f>
        <v>OXY</v>
      </c>
      <c r="B89" s="1472">
        <v>45460</v>
      </c>
      <c r="C89" s="1465" t="s">
        <v>1427</v>
      </c>
      <c r="D89" s="1043">
        <v>2.9120000000000001E-3</v>
      </c>
      <c r="E89" s="1458">
        <v>0.60651242102928316</v>
      </c>
      <c r="F89" s="151" t="s">
        <v>2745</v>
      </c>
      <c r="G89" s="1458">
        <v>0</v>
      </c>
      <c r="H89" s="151">
        <f ca="1">_xlfn.XLOOKUP(A89,TabCalc[Ticker],TabCalc[M])</f>
        <v>41.2</v>
      </c>
      <c r="I89" t="str">
        <f ca="1">IF(A89=IDTICKER,"Ups=("&amp;ID!D$7&amp;" - "&amp;ID!G$7&amp;")","")</f>
        <v/>
      </c>
      <c r="J89" s="151" t="s">
        <v>2804</v>
      </c>
      <c r="K89" s="1484">
        <v>45981</v>
      </c>
      <c r="L89" s="1453"/>
      <c r="M89" s="1474" t="e">
        <f ca="1">_xlfn.XLOOKUP(G89,TabCalc[Ticker],TabCalc[Up20])</f>
        <v>#N/A</v>
      </c>
      <c r="N89" s="1454" t="e">
        <f ca="1">_xlfn.XLOOKUP(G89,TabCalc[Ticker],TabCalc[M])</f>
        <v>#N/A</v>
      </c>
      <c r="O89" s="1473">
        <f t="shared" ca="1" si="4"/>
        <v>46002</v>
      </c>
      <c r="P89" s="1449" t="str">
        <f t="shared" ca="1" si="5"/>
        <v>Formulas ready to copy below</v>
      </c>
    </row>
    <row r="90" spans="1:16" ht="23" thickBot="1">
      <c r="A90" s="1492" t="str">
        <f ca="1">Calc!H88</f>
        <v>PFE</v>
      </c>
      <c r="B90" s="1472">
        <v>45987</v>
      </c>
      <c r="C90" s="1465" t="s">
        <v>2830</v>
      </c>
      <c r="D90" s="1043">
        <v>-5.8319999999999997E-4</v>
      </c>
      <c r="E90" s="1457">
        <v>0.20754138598259936</v>
      </c>
      <c r="F90" s="1449" t="s">
        <v>2837</v>
      </c>
      <c r="G90" s="1457">
        <v>0</v>
      </c>
      <c r="H90" s="1449">
        <f ca="1">_xlfn.XLOOKUP(A90,TabCalc[Ticker],TabCalc[M])</f>
        <v>25.81</v>
      </c>
      <c r="I90" t="str">
        <f ca="1">IF(A90=IDTICKER,"Ups=("&amp;ID!D$7&amp;" - "&amp;ID!G$7&amp;")","")</f>
        <v/>
      </c>
      <c r="J90" s="1449" t="s">
        <v>2844</v>
      </c>
      <c r="K90" s="1484">
        <v>45987</v>
      </c>
      <c r="L90" s="91"/>
      <c r="M90" s="219" t="e">
        <f ca="1">_xlfn.XLOOKUP(G90,TabCalc[Ticker],TabCalc[Up20])</f>
        <v>#N/A</v>
      </c>
      <c r="N90" s="81" t="e">
        <f ca="1">_xlfn.XLOOKUP(G90,TabCalc[Ticker],TabCalc[M])</f>
        <v>#N/A</v>
      </c>
      <c r="O90" s="62">
        <f t="shared" ca="1" si="4"/>
        <v>46002</v>
      </c>
      <c r="P90" t="str">
        <f t="shared" ca="1" si="5"/>
        <v>Formulas ready to copy below</v>
      </c>
    </row>
    <row r="91" spans="1:16" ht="23" thickBot="1">
      <c r="A91" s="1492" t="str">
        <f ca="1">Calc!H89</f>
        <v>RIG</v>
      </c>
      <c r="B91" s="1472">
        <v>45987</v>
      </c>
      <c r="C91" s="1465" t="s">
        <v>2832</v>
      </c>
      <c r="D91" s="1043">
        <v>5.679E-2</v>
      </c>
      <c r="E91" s="1458">
        <v>0.49197434089270964</v>
      </c>
      <c r="F91" s="151" t="s">
        <v>2838</v>
      </c>
      <c r="G91" s="1458">
        <v>0</v>
      </c>
      <c r="H91" s="151">
        <f ca="1">_xlfn.XLOOKUP(A91,TabCalc[Ticker],TabCalc[M])</f>
        <v>4.2850000000000001</v>
      </c>
      <c r="I91" t="str">
        <f ca="1">IF(A91=IDTICKER,"Ups=("&amp;ID!D$7&amp;" - "&amp;ID!G$7&amp;")","")</f>
        <v/>
      </c>
      <c r="J91" s="151" t="s">
        <v>2845</v>
      </c>
      <c r="K91" s="1484">
        <v>45987</v>
      </c>
      <c r="L91" s="1453"/>
      <c r="M91" s="1474" t="e">
        <f ca="1">_xlfn.XLOOKUP(G91,TabCalc[Ticker],TabCalc[Up20])</f>
        <v>#N/A</v>
      </c>
      <c r="N91" s="1454" t="e">
        <f ca="1">_xlfn.XLOOKUP(G91,TabCalc[Ticker],TabCalc[M])</f>
        <v>#N/A</v>
      </c>
      <c r="O91" s="1473">
        <f t="shared" ca="1" si="4"/>
        <v>46002</v>
      </c>
      <c r="P91" s="1449" t="str">
        <f t="shared" ca="1" si="5"/>
        <v>Formulas ready to copy below</v>
      </c>
    </row>
    <row r="92" spans="1:16" ht="23" thickBot="1">
      <c r="A92" s="1492" t="str">
        <f ca="1">Calc!H90</f>
        <v>RRC</v>
      </c>
      <c r="B92" s="1472">
        <v>45926</v>
      </c>
      <c r="C92" s="1465" t="s">
        <v>1428</v>
      </c>
      <c r="D92" s="1043">
        <v>3.9280000000000001E-3</v>
      </c>
      <c r="E92" s="1458">
        <v>0.49146879949705952</v>
      </c>
      <c r="F92" s="151" t="s">
        <v>2746</v>
      </c>
      <c r="G92" s="1458">
        <v>0.5</v>
      </c>
      <c r="H92" s="151">
        <f ca="1">_xlfn.XLOOKUP(A92,TabCalc[Ticker],TabCalc[M])</f>
        <v>36.299999999999997</v>
      </c>
      <c r="I92" t="str">
        <f ca="1">IF(A92=IDTICKER,"Ups=("&amp;ID!D$7&amp;" - "&amp;ID!G$7&amp;")","")</f>
        <v/>
      </c>
      <c r="J92" s="151" t="s">
        <v>2805</v>
      </c>
      <c r="K92" s="1484">
        <v>45981</v>
      </c>
      <c r="L92" s="91"/>
      <c r="M92" s="219" t="e">
        <f ca="1">_xlfn.XLOOKUP(G92,TabCalc[Ticker],TabCalc[Up20])</f>
        <v>#N/A</v>
      </c>
      <c r="N92" s="81" t="e">
        <f ca="1">_xlfn.XLOOKUP(G92,TabCalc[Ticker],TabCalc[M])</f>
        <v>#N/A</v>
      </c>
      <c r="O92" s="62">
        <f t="shared" ca="1" si="4"/>
        <v>46002</v>
      </c>
      <c r="P92" t="str">
        <f t="shared" ca="1" si="5"/>
        <v>Formulas ready to copy below</v>
      </c>
    </row>
    <row r="93" spans="1:16" ht="23" thickBot="1">
      <c r="A93" s="1492" t="str">
        <f ca="1">Calc!H91</f>
        <v>XYZ</v>
      </c>
      <c r="B93" s="1472">
        <v>45938</v>
      </c>
      <c r="C93" s="1465" t="s">
        <v>2524</v>
      </c>
      <c r="D93" s="1043">
        <v>1.8559999999999998E-3</v>
      </c>
      <c r="E93" s="1457">
        <v>1.2497507047292498</v>
      </c>
      <c r="F93" s="1449" t="s">
        <v>2747</v>
      </c>
      <c r="G93" s="1457">
        <v>0</v>
      </c>
      <c r="H93" s="1449">
        <f ca="1">_xlfn.XLOOKUP(A93,TabCalc[Ticker],TabCalc[M])</f>
        <v>63.6</v>
      </c>
      <c r="I93" t="str">
        <f ca="1">IF(A93=IDTICKER,"Ups=("&amp;ID!D$7&amp;" - "&amp;ID!G$7&amp;")","")</f>
        <v/>
      </c>
      <c r="J93" s="1449" t="s">
        <v>2806</v>
      </c>
      <c r="K93" s="1484">
        <v>45981</v>
      </c>
      <c r="L93" s="1453"/>
      <c r="M93" s="1474" t="e">
        <f ca="1">_xlfn.XLOOKUP(G93,TabCalc[Ticker],TabCalc[Up20])</f>
        <v>#N/A</v>
      </c>
      <c r="N93" s="1454" t="e">
        <f ca="1">_xlfn.XLOOKUP(G93,TabCalc[Ticker],TabCalc[M])</f>
        <v>#N/A</v>
      </c>
      <c r="O93" s="1473">
        <f t="shared" ca="1" si="4"/>
        <v>46002</v>
      </c>
      <c r="P93" s="1449" t="str">
        <f t="shared" ca="1" si="5"/>
        <v>Formulas ready to copy below</v>
      </c>
    </row>
    <row r="94" spans="1:16" ht="23" thickBot="1">
      <c r="A94" s="1492" t="str">
        <f ca="1">Calc!H92</f>
        <v>THC</v>
      </c>
      <c r="B94" s="1472">
        <v>45939</v>
      </c>
      <c r="C94" s="1465" t="s">
        <v>2576</v>
      </c>
      <c r="D94" s="1043">
        <v>-2.6679999999999998E-3</v>
      </c>
      <c r="E94" s="1452">
        <v>0.15625558758992672</v>
      </c>
      <c r="F94" s="1453" t="s">
        <v>2889</v>
      </c>
      <c r="G94" s="1044">
        <v>0</v>
      </c>
      <c r="H94" s="1454">
        <f ca="1">_xlfn.XLOOKUP(A94,TabCalc[Ticker],TabCalc[M])</f>
        <v>197.595</v>
      </c>
      <c r="I94" t="str">
        <f ca="1">IF(A94=IDTICKER,"Ups=("&amp;ID!D$7&amp;" - "&amp;ID!G$7&amp;")","")</f>
        <v/>
      </c>
      <c r="J94" s="151" t="s">
        <v>2891</v>
      </c>
      <c r="K94" s="1484">
        <v>45989</v>
      </c>
      <c r="L94" s="91"/>
      <c r="M94" s="219" t="e">
        <f ca="1">_xlfn.XLOOKUP(G94,TabCalc[Ticker],TabCalc[Up20])</f>
        <v>#N/A</v>
      </c>
      <c r="N94" s="81" t="e">
        <f ca="1">_xlfn.XLOOKUP(G94,TabCalc[Ticker],TabCalc[M])</f>
        <v>#N/A</v>
      </c>
      <c r="O94" s="62">
        <f t="shared" ca="1" si="4"/>
        <v>46002</v>
      </c>
      <c r="P94" t="str">
        <f t="shared" ca="1" si="5"/>
        <v>Formulas ready to copy below</v>
      </c>
    </row>
    <row r="95" spans="1:16" ht="23" thickBot="1">
      <c r="A95" s="1492" t="str">
        <f ca="1">Calc!H93</f>
        <v>X</v>
      </c>
      <c r="B95" s="1472">
        <v>45460</v>
      </c>
      <c r="C95" s="1465" t="s">
        <v>1429</v>
      </c>
      <c r="D95" s="1043">
        <v>0</v>
      </c>
      <c r="E95" s="1457">
        <v>7.2077806511077887E-5</v>
      </c>
      <c r="F95" s="1449" t="s">
        <v>2748</v>
      </c>
      <c r="G95" s="1457">
        <v>0</v>
      </c>
      <c r="H95" s="1449">
        <f ca="1">_xlfn.XLOOKUP(A95,TabCalc[Ticker],TabCalc[M])</f>
        <v>54.84</v>
      </c>
      <c r="I95" t="str">
        <f ca="1">IF(A95=IDTICKER,"Ups=("&amp;ID!D$7&amp;" - "&amp;ID!G$7&amp;")","")</f>
        <v/>
      </c>
      <c r="J95" s="1449" t="s">
        <v>2807</v>
      </c>
      <c r="K95" s="1484">
        <v>45981</v>
      </c>
      <c r="L95" s="1453"/>
      <c r="M95" s="1474" t="e">
        <f ca="1">_xlfn.XLOOKUP(G95,TabCalc[Ticker],TabCalc[Up20])</f>
        <v>#N/A</v>
      </c>
      <c r="N95" s="1454" t="e">
        <f ca="1">_xlfn.XLOOKUP(G95,TabCalc[Ticker],TabCalc[M])</f>
        <v>#N/A</v>
      </c>
      <c r="O95" s="1473">
        <f t="shared" ca="1" si="4"/>
        <v>46002</v>
      </c>
      <c r="P95" s="1449" t="str">
        <f t="shared" ca="1" si="5"/>
        <v>Formulas ready to copy below</v>
      </c>
    </row>
    <row r="96" spans="1:16" ht="23" thickBot="1">
      <c r="A96" s="1492" t="str">
        <f ca="1">Calc!H94</f>
        <v>LOCK</v>
      </c>
      <c r="B96" s="1472">
        <v>45932</v>
      </c>
      <c r="C96" s="1465" t="s">
        <v>1430</v>
      </c>
      <c r="D96" s="1043">
        <v>-4.3009000000000006E-2</v>
      </c>
      <c r="E96" s="1457">
        <v>1</v>
      </c>
      <c r="F96" s="1449" t="s">
        <v>2749</v>
      </c>
      <c r="G96" s="1457">
        <v>0</v>
      </c>
      <c r="H96" s="1449">
        <f ca="1">_xlfn.XLOOKUP(A96,TabCalc[Ticker],TabCalc[M])</f>
        <v>10.327999999999999</v>
      </c>
      <c r="I96" t="str">
        <f ca="1">IF(A96=IDTICKER,"Ups=("&amp;ID!D$7&amp;" - "&amp;ID!G$7&amp;")","")</f>
        <v/>
      </c>
      <c r="J96" s="1449" t="s">
        <v>2808</v>
      </c>
      <c r="K96" s="1484">
        <v>45981</v>
      </c>
      <c r="L96" s="91"/>
      <c r="M96" s="219" t="e">
        <f ca="1">_xlfn.XLOOKUP(G96,TabCalc[Ticker],TabCalc[Up20])</f>
        <v>#N/A</v>
      </c>
      <c r="N96" s="81" t="e">
        <f ca="1">_xlfn.XLOOKUP(G96,TabCalc[Ticker],TabCalc[M])</f>
        <v>#N/A</v>
      </c>
      <c r="O96" s="62">
        <f t="shared" ca="1" si="4"/>
        <v>46002</v>
      </c>
      <c r="P96" t="str">
        <f t="shared" ca="1" si="5"/>
        <v>Formulas ready to copy below</v>
      </c>
    </row>
    <row r="97" spans="1:16" ht="23" thickBot="1">
      <c r="A97" s="1492" t="str">
        <f ca="1">Calc!H95</f>
        <v>JBASML</v>
      </c>
      <c r="B97" s="1472">
        <v>45987</v>
      </c>
      <c r="C97" s="1465"/>
      <c r="D97" s="1043">
        <v>5.6957000000000008E-2</v>
      </c>
      <c r="E97" s="1457">
        <v>0.99978677104175495</v>
      </c>
      <c r="F97" s="1449" t="s">
        <v>2839</v>
      </c>
      <c r="G97" s="1457">
        <v>0</v>
      </c>
      <c r="H97" s="1449">
        <f ca="1">_xlfn.XLOOKUP(A97,TabCalc[Ticker],TabCalc[M])</f>
        <v>940.9</v>
      </c>
      <c r="I97" t="str">
        <f ca="1">IF(A97=IDTICKER,"Ups=("&amp;ID!D$7&amp;" - "&amp;ID!G$7&amp;")","")</f>
        <v/>
      </c>
      <c r="J97" s="1449" t="s">
        <v>2846</v>
      </c>
      <c r="K97" s="1484">
        <v>45987</v>
      </c>
      <c r="L97" s="1453"/>
      <c r="M97" s="1474" t="e">
        <f ca="1">_xlfn.XLOOKUP(G97,TabCalc[Ticker],TabCalc[Up20])</f>
        <v>#N/A</v>
      </c>
      <c r="N97" s="1454" t="e">
        <f ca="1">_xlfn.XLOOKUP(G97,TabCalc[Ticker],TabCalc[M])</f>
        <v>#N/A</v>
      </c>
      <c r="O97" s="1473">
        <f t="shared" ca="1" si="4"/>
        <v>46002</v>
      </c>
      <c r="P97" s="1449" t="str">
        <f t="shared" ca="1" si="5"/>
        <v>Formulas ready to copy below</v>
      </c>
    </row>
    <row r="98" spans="1:16" ht="23" thickBot="1">
      <c r="A98" s="1493" t="str">
        <f ca="1">Calc!H96</f>
        <v>JBEOAN</v>
      </c>
      <c r="B98" s="1477">
        <v>45987</v>
      </c>
      <c r="C98" s="1465"/>
      <c r="D98" s="1043">
        <v>4.8760000000000001E-3</v>
      </c>
      <c r="E98" s="1478">
        <v>1.3752160234386606E-3</v>
      </c>
      <c r="F98" s="1479" t="s">
        <v>2840</v>
      </c>
      <c r="G98" s="1478">
        <v>0</v>
      </c>
      <c r="H98" s="1479">
        <f ca="1">_xlfn.XLOOKUP(A98,TabCalc[Ticker],TabCalc[M])</f>
        <v>15.035</v>
      </c>
      <c r="I98" t="str">
        <f ca="1">IF(A98=IDTICKER,"Ups=("&amp;ID!D$7&amp;" - "&amp;ID!G$7&amp;")","")</f>
        <v/>
      </c>
      <c r="J98" s="1479" t="s">
        <v>2847</v>
      </c>
      <c r="K98" s="1484">
        <v>45987</v>
      </c>
      <c r="L98" s="1481"/>
      <c r="M98" s="1482" t="e">
        <f ca="1">_xlfn.XLOOKUP(G98,TabCalc[Ticker],TabCalc[Up20])</f>
        <v>#N/A</v>
      </c>
      <c r="N98" s="1483" t="e">
        <f ca="1">_xlfn.XLOOKUP(G98,TabCalc[Ticker],TabCalc[M])</f>
        <v>#N/A</v>
      </c>
      <c r="O98" s="1480">
        <f t="shared" ca="1" si="4"/>
        <v>46002</v>
      </c>
      <c r="P98" s="1450" t="str">
        <f t="shared" ca="1" si="5"/>
        <v>Formulas ready to copy below</v>
      </c>
    </row>
    <row r="99" spans="1:16" ht="23" thickBot="1">
      <c r="A99" s="63"/>
      <c r="B99" s="63"/>
      <c r="C99" s="63"/>
    </row>
    <row r="100" spans="1:16" ht="23" thickBot="1">
      <c r="A100" s="1844" t="s">
        <v>2087</v>
      </c>
      <c r="B100" s="1845">
        <f ca="1">TODAY()-1</f>
        <v>46001</v>
      </c>
      <c r="C100" s="63">
        <v>30</v>
      </c>
    </row>
    <row r="101" spans="1:16" ht="23" thickBot="1">
      <c r="A101" s="63" t="str" cm="1">
        <f t="array" aca="1" ref="A101:J131" ca="1">_xlfn._xlws.SORT(
    _xlfn._xlws.FILTER(
        A5:J98,
        (B5:B98 &lt;= B100) * (B5:B98 &gt;= B100 - C100)
    ),
    2,
    -1
)</f>
        <v>DXC</v>
      </c>
      <c r="B101" s="1013">
        <f ca="1"/>
        <v>46001</v>
      </c>
      <c r="C101" s="63">
        <f ca="1"/>
        <v>0</v>
      </c>
      <c r="D101" s="308">
        <f ca="1"/>
        <v>7.9369999999999996E-3</v>
      </c>
      <c r="E101" s="1202">
        <f ca="1"/>
        <v>1.144784804822979</v>
      </c>
      <c r="F101" t="str">
        <f ca="1"/>
        <v>0=0@M: 15.24</v>
      </c>
      <c r="G101" t="str">
        <f ca="1"/>
        <v>/89/%</v>
      </c>
      <c r="H101">
        <f ca="1"/>
        <v>15.24</v>
      </c>
      <c r="I101" s="1013" t="str">
        <f ca="1"/>
        <v/>
      </c>
      <c r="J101" t="str">
        <f ca="1"/>
        <v>(0.8%:114%)@15.24:(0=0@M: 15.24)&gt;UpMark /89/%</v>
      </c>
    </row>
    <row r="102" spans="1:16" ht="23" thickBot="1">
      <c r="A102" s="63" t="str">
        <f ca="1"/>
        <v>POET</v>
      </c>
      <c r="B102" s="1013">
        <f ca="1"/>
        <v>46001</v>
      </c>
      <c r="C102" s="63" t="str">
        <f ca="1"/>
        <v>GL+;C^A^^;58%M^</v>
      </c>
      <c r="D102" s="308">
        <f ca="1"/>
        <v>3.6232E-2</v>
      </c>
      <c r="E102" s="1202">
        <f ca="1"/>
        <v>1.1360594898674172</v>
      </c>
      <c r="F102" t="str">
        <f ca="1"/>
        <v>3449=24,660@M: 7.15</v>
      </c>
      <c r="G102">
        <f ca="1"/>
        <v>0</v>
      </c>
      <c r="H102">
        <f ca="1"/>
        <v>7.22</v>
      </c>
      <c r="I102" s="1013" t="str">
        <f ca="1"/>
        <v/>
      </c>
      <c r="J102" t="str">
        <f ca="1"/>
        <v>(3.6%:113%)@7.15:(3449=24,660@M: 7.15)&gt;UpMark 0%</v>
      </c>
    </row>
    <row r="103" spans="1:16" ht="23" thickBot="1">
      <c r="A103" s="63" t="str">
        <f ca="1"/>
        <v>BMRA</v>
      </c>
      <c r="B103" s="1013">
        <f ca="1"/>
        <v>46000</v>
      </c>
      <c r="C103" s="63" t="str">
        <f ca="1"/>
        <v>Growing saldo, high begin cost</v>
      </c>
      <c r="D103" s="308">
        <f ca="1"/>
        <v>2.0119999999999999E-3</v>
      </c>
      <c r="E103" s="1202">
        <f ca="1"/>
        <v>7.6156653842359673E-2</v>
      </c>
      <c r="F103" t="str">
        <f ca="1"/>
        <v>0=0@M: 2.49</v>
      </c>
      <c r="G103">
        <f ca="1"/>
        <v>0</v>
      </c>
      <c r="H103">
        <f ca="1"/>
        <v>2.59</v>
      </c>
      <c r="I103" s="1013" t="str">
        <f ca="1"/>
        <v/>
      </c>
      <c r="J103" t="str">
        <f ca="1"/>
        <v>(0.2%:7%)@2.49:(0=0@M: 2.49)&gt;UpMark 0%</v>
      </c>
    </row>
    <row r="104" spans="1:16" ht="23" thickBot="1">
      <c r="A104" s="63" t="str">
        <f ca="1"/>
        <v>HPE</v>
      </c>
      <c r="B104" s="1013">
        <f ca="1"/>
        <v>46000</v>
      </c>
      <c r="C104" s="63" t="str">
        <f ca="1"/>
        <v xml:space="preserve">HPQ: 0                             </v>
      </c>
      <c r="D104" s="308">
        <f ca="1"/>
        <v>2.7033000000000001E-2</v>
      </c>
      <c r="E104" s="1202">
        <f ca="1"/>
        <v>0.42663347556602993</v>
      </c>
      <c r="F104" t="str">
        <f ca="1"/>
        <v>1424=34,895@M: 24.505</v>
      </c>
      <c r="G104">
        <f ca="1"/>
        <v>0</v>
      </c>
      <c r="H104">
        <f ca="1"/>
        <v>24.54</v>
      </c>
      <c r="I104" s="1013" t="str">
        <f ca="1"/>
        <v/>
      </c>
      <c r="J104" t="str">
        <f ca="1"/>
        <v>(2.7%:42%)@24.51:(1424=34,895@M: 24.505)&gt;UpMark 0%</v>
      </c>
    </row>
    <row r="105" spans="1:16" ht="23" thickBot="1">
      <c r="A105" s="63" t="str">
        <f ca="1"/>
        <v>HPQ</v>
      </c>
      <c r="B105" s="1013">
        <f ca="1"/>
        <v>46000</v>
      </c>
      <c r="C105" s="63" t="str">
        <f ca="1"/>
        <v>Ups=(//54% - 25/28/38%)</v>
      </c>
      <c r="D105" s="308">
        <f ca="1"/>
        <v>-1E-3</v>
      </c>
      <c r="E105" s="1202">
        <f ca="1"/>
        <v>0.89</v>
      </c>
      <c r="F105" t="str">
        <f ca="1"/>
        <v>76=21,097@M: 277.5901</v>
      </c>
      <c r="G105">
        <f ca="1"/>
        <v>0</v>
      </c>
      <c r="H105">
        <f ca="1"/>
        <v>277.58999999999997</v>
      </c>
      <c r="I105" s="1013">
        <f ca="1"/>
        <v>0</v>
      </c>
      <c r="J105" t="str">
        <f ca="1"/>
        <v>(-0.1%:89%)@277.59:(76=21,097@M: 277.5901)&gt;UpMark 0%</v>
      </c>
    </row>
    <row r="106" spans="1:16" ht="23" thickBot="1">
      <c r="A106" s="63" t="str">
        <f ca="1"/>
        <v>MRNA</v>
      </c>
      <c r="B106" s="1013">
        <f ca="1"/>
        <v>46000</v>
      </c>
      <c r="C106" s="63">
        <f ca="1"/>
        <v>0</v>
      </c>
      <c r="D106" s="308">
        <f ca="1"/>
        <v>-1E-3</v>
      </c>
      <c r="E106" s="1202">
        <f ca="1"/>
        <v>0.89</v>
      </c>
      <c r="F106" t="str">
        <f ca="1"/>
        <v>76=21,097@M: 277.5901</v>
      </c>
      <c r="G106">
        <f ca="1"/>
        <v>0</v>
      </c>
      <c r="H106">
        <f ca="1"/>
        <v>277.58999999999997</v>
      </c>
      <c r="I106" s="1013">
        <f ca="1"/>
        <v>0</v>
      </c>
      <c r="J106" t="str">
        <f ca="1"/>
        <v>(-0.1%:89%)@277.59:(76=21,097@M: 277.5901)&gt;UpMark 0%</v>
      </c>
    </row>
    <row r="107" spans="1:16" ht="23" thickBot="1">
      <c r="A107" s="63" t="str">
        <f ca="1"/>
        <v>PAAS</v>
      </c>
      <c r="B107" s="1013">
        <f ca="1"/>
        <v>46000</v>
      </c>
      <c r="C107" s="63" t="str">
        <f ca="1"/>
        <v>Ups=(//78% - 43/55/55%)</v>
      </c>
      <c r="D107" s="308">
        <f ca="1"/>
        <v>0.105527</v>
      </c>
      <c r="E107" s="1202">
        <f ca="1"/>
        <v>1.874119605813473</v>
      </c>
      <c r="F107" t="str">
        <f ca="1"/>
        <v>405=19,499@M: 48.1457</v>
      </c>
      <c r="G107">
        <f ca="1"/>
        <v>0</v>
      </c>
      <c r="H107">
        <f ca="1"/>
        <v>50.34</v>
      </c>
      <c r="I107" s="1013" t="str">
        <f ca="1"/>
        <v/>
      </c>
      <c r="J107" t="str">
        <f ca="1"/>
        <v>(10.6%:187%)@48.15:(405=19,499@M: 48.1457)&gt;UpMark 0%</v>
      </c>
    </row>
    <row r="108" spans="1:16" ht="23" thickBot="1">
      <c r="A108" s="63" t="str">
        <f ca="1"/>
        <v>NFLX</v>
      </c>
      <c r="B108" s="1013">
        <f ca="1"/>
        <v>45999</v>
      </c>
      <c r="C108" s="63" t="str">
        <f ca="1"/>
        <v>Ups=(/67/56% - 75/55/42%)</v>
      </c>
      <c r="D108" s="308">
        <f ca="1"/>
        <v>1.4884999999999999E-2</v>
      </c>
      <c r="E108" s="1202">
        <f ca="1"/>
        <v>0.93949121229058552</v>
      </c>
      <c r="F108" t="str">
        <f ca="1"/>
        <v>0=0@M: 94.09</v>
      </c>
      <c r="G108">
        <f ca="1"/>
        <v>0</v>
      </c>
      <c r="H108">
        <f ca="1"/>
        <v>94.09</v>
      </c>
      <c r="I108" s="1013" t="str">
        <f ca="1"/>
        <v/>
      </c>
      <c r="J108" t="str">
        <f ca="1"/>
        <v>(1.5%:93%)@94.09:(0=0@M: 94.09)&gt;UpMark 0%</v>
      </c>
    </row>
    <row r="109" spans="1:16" ht="23" thickBot="1">
      <c r="A109" s="63" t="str">
        <f ca="1"/>
        <v>AVGO</v>
      </c>
      <c r="B109" s="1013">
        <f ca="1"/>
        <v>45988</v>
      </c>
      <c r="C109" s="63" t="str">
        <f ca="1"/>
        <v>Ups=(/50/% - 50/46/41%)</v>
      </c>
      <c r="D109" s="308">
        <f ca="1"/>
        <v>2.6719E-2</v>
      </c>
      <c r="E109" s="1202">
        <f ca="1"/>
        <v>0.78264928078218132</v>
      </c>
      <c r="F109" t="str">
        <f ca="1"/>
        <v>78=30,835@M: 395.3175</v>
      </c>
      <c r="G109">
        <f ca="1"/>
        <v>0</v>
      </c>
      <c r="H109">
        <f ca="1"/>
        <v>406.37</v>
      </c>
      <c r="I109" s="1013" t="str">
        <f ca="1"/>
        <v/>
      </c>
      <c r="J109" t="str">
        <f ca="1"/>
        <v>(2.7%:78%)@395.32:(78=30,835@M: 395.3175)&gt;UpMark 0%</v>
      </c>
    </row>
    <row r="110" spans="1:16" ht="23" thickBot="1">
      <c r="A110" s="63" t="str">
        <f ca="1"/>
        <v>DVA</v>
      </c>
      <c r="B110" s="1013">
        <f ca="1"/>
        <v>45988</v>
      </c>
      <c r="C110" s="63" t="str">
        <f ca="1"/>
        <v>Ups=(/50/% - /16/29%)</v>
      </c>
      <c r="D110" s="308">
        <f ca="1"/>
        <v>6.058E-3</v>
      </c>
      <c r="E110" s="1202">
        <f ca="1"/>
        <v>0.19050517885640714</v>
      </c>
      <c r="F110" t="str">
        <f ca="1"/>
        <v>0=0@M: 120.405</v>
      </c>
      <c r="G110">
        <f ca="1"/>
        <v>0</v>
      </c>
      <c r="H110">
        <f ca="1"/>
        <v>120.345</v>
      </c>
      <c r="I110" s="1013" t="str">
        <f ca="1"/>
        <v/>
      </c>
      <c r="J110" t="str">
        <f ca="1"/>
        <v>(0.6%:19%)@120.41:(0=0@M: 120.405)&gt;UpMark 0%</v>
      </c>
    </row>
    <row r="111" spans="1:16" ht="23" thickBot="1">
      <c r="A111" s="63" t="str">
        <f ca="1"/>
        <v>EOAN</v>
      </c>
      <c r="B111" s="1013">
        <f ca="1"/>
        <v>45988</v>
      </c>
      <c r="C111" s="63" t="str">
        <f ca="1"/>
        <v>Ups=(//% - 44/45/45%)=-2.3%;Ups=(/33/52% - 43/34/37%)</v>
      </c>
      <c r="D111" s="308">
        <f ca="1"/>
        <v>-9.3819999999999997E-3</v>
      </c>
      <c r="E111" s="1202">
        <f ca="1"/>
        <v>2.6971350856452056E-3</v>
      </c>
      <c r="F111" t="str">
        <f ca="1"/>
        <v>0=0@M: 15.31</v>
      </c>
      <c r="G111">
        <f ca="1"/>
        <v>0</v>
      </c>
      <c r="H111">
        <f ca="1"/>
        <v>15.035</v>
      </c>
      <c r="I111" s="1013" t="str">
        <f ca="1"/>
        <v/>
      </c>
      <c r="J111" t="str">
        <f ca="1"/>
        <v>(-0.9%:0%)@15.31:(0=0@M: 15.31)&gt;UpMark 0%</v>
      </c>
    </row>
    <row r="112" spans="1:16" ht="23" thickBot="1">
      <c r="A112" s="63" t="str">
        <f ca="1"/>
        <v>ASML</v>
      </c>
      <c r="B112" s="1013">
        <f ca="1"/>
        <v>45987</v>
      </c>
      <c r="C112" s="63" t="str">
        <f ca="1"/>
        <v>Ups=(/67/64% - 60/58/50%)</v>
      </c>
      <c r="D112">
        <f ca="1"/>
        <v>-6.2711000000000003E-2</v>
      </c>
      <c r="E112" s="1">
        <f ca="1"/>
        <v>1.7569881836657615</v>
      </c>
      <c r="F112" t="str">
        <f ca="1"/>
        <v>29=24,186@M: 834</v>
      </c>
      <c r="G112">
        <f ca="1"/>
        <v>0</v>
      </c>
      <c r="H112">
        <f ca="1"/>
        <v>940.9</v>
      </c>
      <c r="I112" t="str">
        <f ca="1"/>
        <v/>
      </c>
      <c r="J112" t="str">
        <f ca="1"/>
        <v>(-6.3%:175%)@834.0:(29=24,186@M: 834)&gt;UpMark 0%</v>
      </c>
    </row>
    <row r="113" spans="1:10" ht="23" thickBot="1">
      <c r="A113" t="str">
        <f ca="1"/>
        <v>AZN</v>
      </c>
      <c r="B113" s="1013">
        <f ca="1"/>
        <v>45987</v>
      </c>
      <c r="C113" t="str">
        <f ca="1"/>
        <v>Ups=(/67/% - 14/33/31%)</v>
      </c>
      <c r="D113">
        <f ca="1"/>
        <v>3.304E-2</v>
      </c>
      <c r="E113" s="1">
        <f ca="1"/>
        <v>1.241951279080568</v>
      </c>
      <c r="F113" t="str">
        <f ca="1"/>
        <v>229=20,979@M: 91.61</v>
      </c>
      <c r="G113">
        <f ca="1"/>
        <v>0</v>
      </c>
      <c r="H113">
        <f ca="1"/>
        <v>90.29</v>
      </c>
      <c r="I113" t="str">
        <f ca="1"/>
        <v/>
      </c>
      <c r="J113" t="str">
        <f ca="1"/>
        <v>(3.3%:124%)@91.61:(229=20,979@M: 91.61)&gt;UpMark 0%</v>
      </c>
    </row>
    <row r="114" spans="1:10" ht="23" thickBot="1">
      <c r="A114" t="str">
        <f ca="1"/>
        <v>CVS</v>
      </c>
      <c r="B114" s="1013">
        <f ca="1"/>
        <v>45987</v>
      </c>
      <c r="C114" t="str">
        <f ca="1"/>
        <v>Ups=(//% - 44/45/45%)</v>
      </c>
      <c r="D114">
        <f ca="1"/>
        <v>2.2553999999999998E-2</v>
      </c>
      <c r="E114" s="1">
        <f ca="1"/>
        <v>0.52605454534654339</v>
      </c>
      <c r="F114" t="str">
        <f ca="1"/>
        <v>0=0@M: 77.755</v>
      </c>
      <c r="G114">
        <f ca="1"/>
        <v>0</v>
      </c>
      <c r="H114">
        <f ca="1"/>
        <v>80.83</v>
      </c>
      <c r="I114" t="str">
        <f ca="1"/>
        <v/>
      </c>
      <c r="J114" t="str">
        <f ca="1"/>
        <v>(2.3%:52%)@77.76:(0=0@M: 77.755)&gt;UpMark 0%</v>
      </c>
    </row>
    <row r="115" spans="1:10" ht="23" thickBot="1">
      <c r="A115" t="str">
        <f ca="1"/>
        <v>IAG</v>
      </c>
      <c r="B115" s="1013">
        <f ca="1"/>
        <v>45987</v>
      </c>
      <c r="C115" t="str">
        <f ca="1"/>
        <v>Ups=(/50/% - 50/46/41%)</v>
      </c>
      <c r="D115">
        <f ca="1"/>
        <v>2.0449999999999999E-2</v>
      </c>
      <c r="E115" s="1">
        <f ca="1"/>
        <v>0.65857198894800162</v>
      </c>
      <c r="F115" t="str">
        <f ca="1"/>
        <v>43=17,166@M: 399.2</v>
      </c>
      <c r="G115">
        <f ca="1"/>
        <v>0</v>
      </c>
      <c r="H115">
        <f ca="1"/>
        <v>397.6</v>
      </c>
      <c r="I115" t="str">
        <f ca="1"/>
        <v/>
      </c>
      <c r="J115" t="str">
        <f ca="1"/>
        <v>(2.0%:65%)@399.20:(43=17,166@M: 399.2)&gt;UpMark 0%</v>
      </c>
    </row>
    <row r="116" spans="1:10" ht="23" thickBot="1">
      <c r="A116" t="str">
        <f ca="1"/>
        <v>KR</v>
      </c>
      <c r="B116" s="1013">
        <f ca="1"/>
        <v>45987</v>
      </c>
      <c r="C116" t="str">
        <f ca="1"/>
        <v>Ups=(/50/% - 42/39/37%)</v>
      </c>
      <c r="D116">
        <f ca="1"/>
        <v>1.5921000000000001E-2</v>
      </c>
      <c r="E116" s="1">
        <f ca="1"/>
        <v>1.053096110163761</v>
      </c>
      <c r="F116" t="str">
        <f ca="1"/>
        <v>0=0@M: 62.215</v>
      </c>
      <c r="G116">
        <f ca="1"/>
        <v>0</v>
      </c>
      <c r="H116">
        <f ca="1"/>
        <v>62.215000000000003</v>
      </c>
      <c r="I116" t="str">
        <f ca="1"/>
        <v/>
      </c>
      <c r="J116" t="str">
        <f ca="1"/>
        <v>(1.6%:105%)@62.22:(0=0@M: 62.215)&gt;UpMark 0%</v>
      </c>
    </row>
    <row r="117" spans="1:10" ht="23" thickBot="1">
      <c r="A117" t="str">
        <f ca="1"/>
        <v>LNSR</v>
      </c>
      <c r="B117" s="1013">
        <f ca="1"/>
        <v>45987</v>
      </c>
      <c r="C117" t="str">
        <f ca="1"/>
        <v>Ups=(/25/% - 41/37/30%)</v>
      </c>
      <c r="D117">
        <f ca="1"/>
        <v>2.2165000000000001E-2</v>
      </c>
      <c r="E117" s="1">
        <f ca="1"/>
        <v>0.2594970347991496</v>
      </c>
      <c r="F117" t="str">
        <f ca="1"/>
        <v>0=0@M: 9.915</v>
      </c>
      <c r="G117">
        <f ca="1"/>
        <v>0</v>
      </c>
      <c r="H117">
        <f ca="1"/>
        <v>11.5</v>
      </c>
      <c r="I117" t="str">
        <f ca="1"/>
        <v/>
      </c>
      <c r="J117" t="str">
        <f ca="1"/>
        <v>(2.2%:25%)@9.92:(0=0@M: 9.915)&gt;UpMark 0%</v>
      </c>
    </row>
    <row r="118" spans="1:10" ht="23" thickBot="1">
      <c r="A118" t="str">
        <f ca="1"/>
        <v>LUMN</v>
      </c>
      <c r="B118" s="1013">
        <f ca="1"/>
        <v>45987</v>
      </c>
      <c r="C118" t="str">
        <f ca="1"/>
        <v>Ups=(/33/% - 36/38/36%)</v>
      </c>
      <c r="D118">
        <f ca="1"/>
        <v>1.4999999999999999E-2</v>
      </c>
      <c r="E118" s="1">
        <f ca="1"/>
        <v>0.2063215988070142</v>
      </c>
      <c r="F118" t="str">
        <f ca="1"/>
        <v>0=0@M: 8.12</v>
      </c>
      <c r="G118">
        <f ca="1"/>
        <v>0</v>
      </c>
      <c r="H118">
        <f ca="1"/>
        <v>8.65</v>
      </c>
      <c r="I118" t="str">
        <f ca="1"/>
        <v/>
      </c>
      <c r="J118" t="str">
        <f ca="1"/>
        <v>(1.5%:20%)@8.12:(0=0@M: 8.12)&gt;UpMark 0%</v>
      </c>
    </row>
    <row r="119" spans="1:10" ht="23" thickBot="1">
      <c r="A119" t="str">
        <f ca="1"/>
        <v>NEM</v>
      </c>
      <c r="B119" s="1013">
        <f ca="1"/>
        <v>45987</v>
      </c>
      <c r="C119" t="str">
        <f ca="1"/>
        <v>Ups=(/100/76% - 40/50/53%)</v>
      </c>
      <c r="D119">
        <f ca="1"/>
        <v>1.3998E-2</v>
      </c>
      <c r="E119" s="1">
        <f ca="1"/>
        <v>0.37174167679023273</v>
      </c>
      <c r="F119" t="str">
        <f ca="1"/>
        <v>168=15,456@M: 92</v>
      </c>
      <c r="G119">
        <f ca="1"/>
        <v>0</v>
      </c>
      <c r="H119">
        <f ca="1"/>
        <v>99.43</v>
      </c>
      <c r="I119" t="str">
        <f ca="1"/>
        <v>Ups=(/100/80% - 100/57/55%)</v>
      </c>
      <c r="J119" t="str">
        <f ca="1"/>
        <v>(1.4%:37%)@92.0:(168=15,456@M: 92)&gt;UpMark 0%</v>
      </c>
    </row>
    <row r="120" spans="1:10" ht="23" thickBot="1">
      <c r="A120" t="str">
        <f ca="1"/>
        <v>MVEEOAN</v>
      </c>
      <c r="B120" s="1013">
        <f ca="1"/>
        <v>45987</v>
      </c>
      <c r="C120" t="str">
        <f ca="1"/>
        <v>Ups=(//53% - 40/33/39%)</v>
      </c>
      <c r="D120">
        <f ca="1"/>
        <v>9.0969999999999992E-3</v>
      </c>
      <c r="E120" s="1">
        <f ca="1"/>
        <v>5.1059888618476181E-3</v>
      </c>
      <c r="F120" t="str">
        <f ca="1"/>
        <v>0=0@M: 15.53</v>
      </c>
      <c r="G120">
        <f ca="1"/>
        <v>0</v>
      </c>
      <c r="H120">
        <f ca="1"/>
        <v>15.035</v>
      </c>
      <c r="I120" t="str">
        <f ca="1"/>
        <v/>
      </c>
      <c r="J120" t="str">
        <f ca="1"/>
        <v>(0.9%:0%)@15.53:(0=0@M: 15.53)&gt;UpMark 0%</v>
      </c>
    </row>
    <row r="121" spans="1:10" ht="23" thickBot="1">
      <c r="A121" t="str">
        <f ca="1"/>
        <v>MVEENI</v>
      </c>
      <c r="B121" s="1013">
        <f ca="1"/>
        <v>45987</v>
      </c>
      <c r="C121" t="str">
        <f ca="1"/>
        <v>Ups=(//66% - 40/47/30%),-1.2%;Ups=(/100/% - 25/41/45%)</v>
      </c>
      <c r="D121">
        <f ca="1"/>
        <v>2.4889999999999999E-3</v>
      </c>
      <c r="E121" s="1">
        <f ca="1"/>
        <v>0.75560796944151498</v>
      </c>
      <c r="F121" t="str">
        <f ca="1"/>
        <v>1820=29,317@M: 16.108</v>
      </c>
      <c r="G121">
        <f ca="1"/>
        <v>0</v>
      </c>
      <c r="H121">
        <f ca="1"/>
        <v>15.904</v>
      </c>
      <c r="I121" t="str">
        <f ca="1"/>
        <v/>
      </c>
      <c r="J121" t="str">
        <f ca="1"/>
        <v>(0.2%:75%)@16.11:(1820=29,317@M: 16.108)&gt;UpMark 0%</v>
      </c>
    </row>
    <row r="122" spans="1:10" ht="23" thickBot="1">
      <c r="A122" t="str">
        <f ca="1"/>
        <v>SAFASML</v>
      </c>
      <c r="B122" s="1013">
        <f ca="1"/>
        <v>45987</v>
      </c>
      <c r="C122" t="str">
        <f ca="1"/>
        <v>Ups=(//53% - 40/33/39%)</v>
      </c>
      <c r="D122">
        <f ca="1"/>
        <v>-6.2711000000000003E-2</v>
      </c>
      <c r="E122" s="1">
        <f ca="1"/>
        <v>1.7569881836657615</v>
      </c>
      <c r="F122" t="str">
        <f ca="1"/>
        <v>27=22,518@M: 834</v>
      </c>
      <c r="G122">
        <f ca="1"/>
        <v>0</v>
      </c>
      <c r="H122">
        <f ca="1"/>
        <v>940.9</v>
      </c>
      <c r="I122" t="str">
        <f ca="1"/>
        <v/>
      </c>
      <c r="J122" t="str">
        <f ca="1"/>
        <v>(-6.3%:175%)@834.0:(27=22,518@M: 834)&gt;UpMark 0%</v>
      </c>
    </row>
    <row r="123" spans="1:10" ht="23" thickBot="1">
      <c r="A123" t="str">
        <f ca="1"/>
        <v>SAFDDD</v>
      </c>
      <c r="B123" s="1013">
        <f ca="1"/>
        <v>45987</v>
      </c>
      <c r="C123" t="str">
        <f ca="1"/>
        <v>Ups=(//66% - 40/47/30%)</v>
      </c>
      <c r="D123">
        <f ca="1"/>
        <v>4.0106999999999997E-2</v>
      </c>
      <c r="E123" s="1">
        <f ca="1"/>
        <v>1.1781840228772786</v>
      </c>
      <c r="F123" t="str">
        <f ca="1"/>
        <v>0=0@M: 1.945</v>
      </c>
      <c r="G123">
        <f ca="1"/>
        <v>0</v>
      </c>
      <c r="H123">
        <f ca="1"/>
        <v>1.9650000000000001</v>
      </c>
      <c r="I123" t="str">
        <f ca="1"/>
        <v/>
      </c>
      <c r="J123" t="str">
        <f ca="1"/>
        <v>(4.0%:117%)@1.95:(0=0@M: 1.945)&gt;UpMark 0%</v>
      </c>
    </row>
    <row r="124" spans="1:10" ht="23" thickBot="1">
      <c r="A124" t="str">
        <f ca="1"/>
        <v>EZJ</v>
      </c>
      <c r="B124" s="1013">
        <f ca="1"/>
        <v>45987</v>
      </c>
      <c r="C124" t="str">
        <f ca="1"/>
        <v>EZJ: Buy more ater plumet; 18-Jun-2</v>
      </c>
      <c r="D124">
        <f ca="1"/>
        <v>1.2664E-2</v>
      </c>
      <c r="E124" s="1">
        <f ca="1"/>
        <v>0.57842491956119679</v>
      </c>
      <c r="F124" t="str">
        <f ca="1"/>
        <v>1768=819,998@M: 463.8</v>
      </c>
      <c r="G124">
        <f ca="1"/>
        <v>0.14285714285714285</v>
      </c>
      <c r="H124">
        <f ca="1"/>
        <v>485.1</v>
      </c>
      <c r="I124" t="str">
        <f ca="1"/>
        <v/>
      </c>
      <c r="J124" t="str">
        <f ca="1"/>
        <v>(1.3%:57%)@463.80:(1768=819,998@M: 463.8)&gt;UpMark 14%</v>
      </c>
    </row>
    <row r="125" spans="1:10" ht="23" thickBot="1">
      <c r="A125" t="str">
        <f ca="1"/>
        <v>NVAX</v>
      </c>
      <c r="B125" s="1013">
        <f ca="1"/>
        <v>45987</v>
      </c>
      <c r="C125" t="str">
        <f ca="1"/>
        <v xml:space="preserve">NVAX: 7000 in .02: Check history with Reza                 </v>
      </c>
      <c r="D125">
        <f ca="1"/>
        <v>4.0997000000000006E-2</v>
      </c>
      <c r="E125" s="1">
        <f ca="1"/>
        <v>0.67612913838442223</v>
      </c>
      <c r="F125" t="str">
        <f ca="1"/>
        <v>0=0@M: 6.475</v>
      </c>
      <c r="G125">
        <f ca="1"/>
        <v>0</v>
      </c>
      <c r="H125">
        <f ca="1"/>
        <v>6.69</v>
      </c>
      <c r="I125" t="str">
        <f ca="1"/>
        <v/>
      </c>
      <c r="J125" t="str">
        <f ca="1"/>
        <v>(4.1%:67%)@6.48:(0=0@M: 6.475)&gt;UpMark 0%</v>
      </c>
    </row>
    <row r="126" spans="1:10" ht="23" thickBot="1">
      <c r="A126" t="str">
        <f ca="1"/>
        <v>PFE</v>
      </c>
      <c r="B126" s="1013">
        <f ca="1"/>
        <v>45987</v>
      </c>
      <c r="C126" t="str">
        <f ca="1"/>
        <v>Ups=(//% - 45/38/39%)</v>
      </c>
      <c r="D126">
        <f ca="1"/>
        <v>-5.8319999999999997E-4</v>
      </c>
      <c r="E126" s="1">
        <f ca="1"/>
        <v>0.20754138598259936</v>
      </c>
      <c r="F126" t="str">
        <f ca="1"/>
        <v>0=0@M: 25.705</v>
      </c>
      <c r="G126">
        <f ca="1"/>
        <v>0</v>
      </c>
      <c r="H126">
        <f ca="1"/>
        <v>25.81</v>
      </c>
      <c r="I126" t="str">
        <f ca="1"/>
        <v/>
      </c>
      <c r="J126" t="str">
        <f ca="1"/>
        <v>(-0.1%:20%)@25.71:(0=0@M: 25.705)&gt;UpMark 0%</v>
      </c>
    </row>
    <row r="127" spans="1:10" ht="23" thickBot="1">
      <c r="A127" t="str">
        <f ca="1"/>
        <v>RIG</v>
      </c>
      <c r="B127" s="1013">
        <f ca="1"/>
        <v>45987</v>
      </c>
      <c r="C127" t="str">
        <f ca="1"/>
        <v>Ups=(/25/% - 38/41/43%)</v>
      </c>
      <c r="D127">
        <f ca="1"/>
        <v>5.679E-2</v>
      </c>
      <c r="E127" s="1">
        <f ca="1"/>
        <v>0.49197434089270964</v>
      </c>
      <c r="F127" t="str">
        <f ca="1"/>
        <v>4489=19,213@M: 4.28</v>
      </c>
      <c r="G127">
        <f ca="1"/>
        <v>0</v>
      </c>
      <c r="H127">
        <f ca="1"/>
        <v>4.2850000000000001</v>
      </c>
      <c r="I127" t="str">
        <f ca="1"/>
        <v/>
      </c>
      <c r="J127" t="str">
        <f ca="1"/>
        <v>(5.7%:49%)@4.28:(4489=19,213@M: 4.28)&gt;UpMark 0%</v>
      </c>
    </row>
    <row r="128" spans="1:10" ht="23" thickBot="1">
      <c r="A128" t="str">
        <f ca="1"/>
        <v>JBASML</v>
      </c>
      <c r="B128" s="1013">
        <f ca="1"/>
        <v>45987</v>
      </c>
      <c r="C128">
        <f ca="1"/>
        <v>0</v>
      </c>
      <c r="D128">
        <f ca="1"/>
        <v>5.6957000000000008E-2</v>
      </c>
      <c r="E128" s="1">
        <f ca="1"/>
        <v>0.99978677104175495</v>
      </c>
      <c r="F128" t="str">
        <f ca="1"/>
        <v>26=23,642@M: 909.3</v>
      </c>
      <c r="G128">
        <f ca="1"/>
        <v>0</v>
      </c>
      <c r="H128">
        <f ca="1"/>
        <v>940.9</v>
      </c>
      <c r="I128" t="str">
        <f ca="1"/>
        <v/>
      </c>
      <c r="J128" t="str">
        <f ca="1"/>
        <v>(5.7%:99%)@909.30:(26=23,642@M: 909.3)&gt;UpMark 0%</v>
      </c>
    </row>
    <row r="129" spans="1:10" ht="23" thickBot="1">
      <c r="A129" t="str">
        <f ca="1"/>
        <v>JBEOAN</v>
      </c>
      <c r="B129" s="1013">
        <f ca="1"/>
        <v>45987</v>
      </c>
      <c r="C129">
        <f ca="1"/>
        <v>0</v>
      </c>
      <c r="D129">
        <f ca="1"/>
        <v>4.8760000000000001E-3</v>
      </c>
      <c r="E129" s="1">
        <f ca="1"/>
        <v>1.3752160234386606E-3</v>
      </c>
      <c r="F129" t="str">
        <f ca="1"/>
        <v>4991=77,136@M: 15.455</v>
      </c>
      <c r="G129">
        <f ca="1"/>
        <v>0</v>
      </c>
      <c r="H129">
        <f ca="1"/>
        <v>15.035</v>
      </c>
      <c r="I129" t="str">
        <f ca="1"/>
        <v/>
      </c>
      <c r="J129" t="str">
        <f ca="1"/>
        <v>(0.5%:0%)@15.46:(4991=77,136@M: 15.455)&gt;UpMark 0%</v>
      </c>
    </row>
    <row r="130" spans="1:10">
      <c r="A130" t="str">
        <f ca="1"/>
        <v>MVEGLE</v>
      </c>
      <c r="B130">
        <f ca="1"/>
        <v>45981</v>
      </c>
      <c r="C130" t="str">
        <f ca="1"/>
        <v>Ups=(//% - 33/60/40%)</v>
      </c>
      <c r="D130">
        <f ca="1"/>
        <v>-1.5325999999999999E-2</v>
      </c>
      <c r="E130" s="1">
        <f ca="1"/>
        <v>1.0302804543915278</v>
      </c>
      <c r="F130" t="str">
        <f ca="1"/>
        <v>0=0@M: 56.54</v>
      </c>
      <c r="G130">
        <f ca="1"/>
        <v>0</v>
      </c>
      <c r="H130">
        <f ca="1"/>
        <v>64.36</v>
      </c>
      <c r="I130" t="str">
        <f ca="1"/>
        <v/>
      </c>
      <c r="J130" t="str">
        <f ca="1"/>
        <v>(-1.5%:103%)@56.54:(0=0@M: 56.54)&gt;UpMark 0%</v>
      </c>
    </row>
    <row r="131" spans="1:10">
      <c r="A131" t="str">
        <f ca="1"/>
        <v>NVS</v>
      </c>
      <c r="B131">
        <f ca="1"/>
        <v>45981</v>
      </c>
      <c r="C131" t="str">
        <f ca="1"/>
        <v xml:space="preserve">NVS: 0                             </v>
      </c>
      <c r="D131">
        <f ca="1"/>
        <v>1.382E-3</v>
      </c>
      <c r="E131" s="1">
        <f ca="1"/>
        <v>0.7124595104600806</v>
      </c>
      <c r="F131" t="str">
        <f ca="1"/>
        <v>0=0@M: 130.44</v>
      </c>
      <c r="G131">
        <f ca="1"/>
        <v>0</v>
      </c>
      <c r="H131">
        <f ca="1"/>
        <v>132.36000000000001</v>
      </c>
      <c r="I131" t="str">
        <f ca="1"/>
        <v/>
      </c>
      <c r="J131" t="str">
        <f ca="1"/>
        <v>(0.1%:71%)@130.44:(0=0@M: 130.44)&gt;UpMark 0%</v>
      </c>
    </row>
  </sheetData>
  <phoneticPr fontId="50" type="noConversion"/>
  <conditionalFormatting sqref="G3">
    <cfRule type="cellIs" dxfId="828" priority="237" operator="lessThan">
      <formula>0.45</formula>
    </cfRule>
    <cfRule type="cellIs" dxfId="827" priority="238" operator="greaterThan">
      <formula>0.55</formula>
    </cfRule>
  </conditionalFormatting>
  <conditionalFormatting sqref="B5:B98">
    <cfRule type="colorScale" priority="3123">
      <colorScale>
        <cfvo type="min"/>
        <cfvo type="percentile" val="50"/>
        <cfvo type="max"/>
        <color rgb="FFF8696B"/>
        <color rgb="FFFCFCFF"/>
        <color rgb="FF63BE7B"/>
      </colorScale>
    </cfRule>
  </conditionalFormatting>
  <conditionalFormatting sqref="B5:B98">
    <cfRule type="colorScale" priority="231">
      <colorScale>
        <cfvo type="min"/>
        <cfvo type="percentile" val="50"/>
        <cfvo type="max"/>
        <color rgb="FFF8696B"/>
        <color rgb="FFFCFCFF"/>
        <color rgb="FF63BE7B"/>
      </colorScale>
    </cfRule>
  </conditionalFormatting>
  <conditionalFormatting sqref="B5:B98">
    <cfRule type="colorScale" priority="220">
      <colorScale>
        <cfvo type="min"/>
        <cfvo type="percentile" val="50"/>
        <cfvo type="max"/>
        <color rgb="FFF8696B"/>
        <color rgb="FFFFEB84"/>
        <color rgb="FF63BE7B"/>
      </colorScale>
    </cfRule>
  </conditionalFormatting>
  <conditionalFormatting sqref="M64">
    <cfRule type="cellIs" dxfId="826" priority="217" operator="lessThan">
      <formula>0.45</formula>
    </cfRule>
    <cfRule type="cellIs" dxfId="825" priority="218" operator="greaterThan">
      <formula>0.55</formula>
    </cfRule>
  </conditionalFormatting>
  <conditionalFormatting sqref="P64">
    <cfRule type="expression" dxfId="824" priority="216">
      <formula>_xlfn.ISFORMULA(P64)</formula>
    </cfRule>
  </conditionalFormatting>
  <conditionalFormatting sqref="M76">
    <cfRule type="cellIs" dxfId="823" priority="214" operator="lessThan">
      <formula>0.45</formula>
    </cfRule>
    <cfRule type="cellIs" dxfId="822" priority="215" operator="greaterThan">
      <formula>0.55</formula>
    </cfRule>
  </conditionalFormatting>
  <conditionalFormatting sqref="P76">
    <cfRule type="expression" dxfId="821" priority="213">
      <formula>_xlfn.ISFORMULA(P76)</formula>
    </cfRule>
  </conditionalFormatting>
  <conditionalFormatting sqref="J3">
    <cfRule type="expression" dxfId="820" priority="209">
      <formula>_xlfn.ISFORMULA(J3)</formula>
    </cfRule>
    <cfRule type="expression" dxfId="819" priority="210">
      <formula>_xlfn.ISFORMULA(J3)</formula>
    </cfRule>
  </conditionalFormatting>
  <conditionalFormatting sqref="B101:B129">
    <cfRule type="colorScale" priority="194">
      <colorScale>
        <cfvo type="min"/>
        <cfvo type="percentile" val="50"/>
        <cfvo type="max"/>
        <color rgb="FFF8696B"/>
        <color rgb="FFFCFCFF"/>
        <color rgb="FF63BE7B"/>
      </colorScale>
    </cfRule>
  </conditionalFormatting>
  <conditionalFormatting sqref="B101:B129">
    <cfRule type="colorScale" priority="193">
      <colorScale>
        <cfvo type="min"/>
        <cfvo type="percentile" val="50"/>
        <cfvo type="max"/>
        <color rgb="FFF8696B"/>
        <color rgb="FFFCFCFF"/>
        <color rgb="FF63BE7B"/>
      </colorScale>
    </cfRule>
  </conditionalFormatting>
  <conditionalFormatting sqref="B101:B129">
    <cfRule type="colorScale" priority="192">
      <colorScale>
        <cfvo type="min"/>
        <cfvo type="percentile" val="50"/>
        <cfvo type="max"/>
        <color rgb="FFF8696B"/>
        <color rgb="FFFFEB84"/>
        <color rgb="FF63BE7B"/>
      </colorScale>
    </cfRule>
  </conditionalFormatting>
  <conditionalFormatting sqref="I101:I111">
    <cfRule type="colorScale" priority="191">
      <colorScale>
        <cfvo type="min"/>
        <cfvo type="percentile" val="50"/>
        <cfvo type="max"/>
        <color rgb="FFF8696B"/>
        <color rgb="FFFCFCFF"/>
        <color rgb="FF63BE7B"/>
      </colorScale>
    </cfRule>
  </conditionalFormatting>
  <conditionalFormatting sqref="I101:I111">
    <cfRule type="colorScale" priority="190">
      <colorScale>
        <cfvo type="min"/>
        <cfvo type="percentile" val="50"/>
        <cfvo type="max"/>
        <color rgb="FFF8696B"/>
        <color rgb="FFFCFCFF"/>
        <color rgb="FF63BE7B"/>
      </colorScale>
    </cfRule>
  </conditionalFormatting>
  <conditionalFormatting sqref="I101:I111">
    <cfRule type="colorScale" priority="189">
      <colorScale>
        <cfvo type="min"/>
        <cfvo type="percentile" val="50"/>
        <cfvo type="max"/>
        <color rgb="FFF8696B"/>
        <color rgb="FFFFEB84"/>
        <color rgb="FF63BE7B"/>
      </colorScale>
    </cfRule>
  </conditionalFormatting>
  <conditionalFormatting sqref="J99:J102">
    <cfRule type="expression" dxfId="818" priority="182">
      <formula>_xlfn.ISFORMULA(J99)</formula>
    </cfRule>
  </conditionalFormatting>
  <conditionalFormatting sqref="D3:D4">
    <cfRule type="expression" dxfId="817" priority="147">
      <formula>_xlfn.ISFORMULA(D3)</formula>
    </cfRule>
  </conditionalFormatting>
  <conditionalFormatting sqref="E3:E4">
    <cfRule type="expression" dxfId="816" priority="146">
      <formula>_xlfn.ISFORMULA(E3)</formula>
    </cfRule>
  </conditionalFormatting>
  <conditionalFormatting sqref="F3:F4">
    <cfRule type="expression" dxfId="815" priority="145">
      <formula>_xlfn.ISFORMULA(F3)</formula>
    </cfRule>
  </conditionalFormatting>
  <conditionalFormatting sqref="G3:G4">
    <cfRule type="expression" dxfId="814" priority="144">
      <formula>_xlfn.ISFORMULA(F3)</formula>
    </cfRule>
  </conditionalFormatting>
  <conditionalFormatting sqref="H3:H4">
    <cfRule type="expression" dxfId="813" priority="142">
      <formula>_xlfn.ISFORMULA(H3)</formula>
    </cfRule>
  </conditionalFormatting>
  <conditionalFormatting sqref="J3:J4">
    <cfRule type="expression" dxfId="812" priority="140">
      <formula>_xlfn.ISFORMULA(J3)</formula>
    </cfRule>
  </conditionalFormatting>
  <conditionalFormatting sqref="K3:K4">
    <cfRule type="expression" dxfId="811" priority="139">
      <formula>_xlfn.ISFORMULA(K3)</formula>
    </cfRule>
  </conditionalFormatting>
  <conditionalFormatting sqref="I3:I4">
    <cfRule type="expression" dxfId="810" priority="137">
      <formula>_xlfn.ISFORMULA(I3)</formula>
    </cfRule>
  </conditionalFormatting>
  <conditionalFormatting sqref="C4">
    <cfRule type="expression" dxfId="809" priority="136">
      <formula>_xlfn.ISFORMULA(C4)</formula>
    </cfRule>
  </conditionalFormatting>
  <conditionalFormatting sqref="D5:K21 D23:K28 D37:K98 D30:K35">
    <cfRule type="expression" dxfId="808" priority="73">
      <formula>_xlfn.ISFORMULA($D5)</formula>
    </cfRule>
  </conditionalFormatting>
  <conditionalFormatting sqref="G22">
    <cfRule type="cellIs" dxfId="807" priority="35" operator="lessThan">
      <formula>0.45</formula>
    </cfRule>
    <cfRule type="cellIs" dxfId="806" priority="36" operator="greaterThan">
      <formula>0.55</formula>
    </cfRule>
  </conditionalFormatting>
  <conditionalFormatting sqref="J22">
    <cfRule type="expression" dxfId="805" priority="33">
      <formula>_xlfn.ISFORMULA(J22)</formula>
    </cfRule>
    <cfRule type="expression" dxfId="804" priority="34">
      <formula>_xlfn.ISFORMULA(J22)</formula>
    </cfRule>
  </conditionalFormatting>
  <conditionalFormatting sqref="D22">
    <cfRule type="expression" dxfId="803" priority="32">
      <formula>_xlfn.ISFORMULA(D22)</formula>
    </cfRule>
  </conditionalFormatting>
  <conditionalFormatting sqref="E22">
    <cfRule type="expression" dxfId="802" priority="31">
      <formula>_xlfn.ISFORMULA(E22)</formula>
    </cfRule>
  </conditionalFormatting>
  <conditionalFormatting sqref="F22">
    <cfRule type="expression" dxfId="801" priority="30">
      <formula>_xlfn.ISFORMULA(F22)</formula>
    </cfRule>
  </conditionalFormatting>
  <conditionalFormatting sqref="G22">
    <cfRule type="expression" dxfId="800" priority="29">
      <formula>_xlfn.ISFORMULA(F22)</formula>
    </cfRule>
  </conditionalFormatting>
  <conditionalFormatting sqref="H22">
    <cfRule type="expression" dxfId="799" priority="28">
      <formula>_xlfn.ISFORMULA(H22)</formula>
    </cfRule>
  </conditionalFormatting>
  <conditionalFormatting sqref="J22">
    <cfRule type="expression" dxfId="798" priority="27">
      <formula>_xlfn.ISFORMULA(J22)</formula>
    </cfRule>
  </conditionalFormatting>
  <conditionalFormatting sqref="K22">
    <cfRule type="expression" dxfId="797" priority="26">
      <formula>_xlfn.ISFORMULA(K22)</formula>
    </cfRule>
  </conditionalFormatting>
  <conditionalFormatting sqref="I22">
    <cfRule type="expression" dxfId="796" priority="25">
      <formula>_xlfn.ISFORMULA(I22)</formula>
    </cfRule>
  </conditionalFormatting>
  <conditionalFormatting sqref="G29">
    <cfRule type="cellIs" dxfId="795" priority="23" operator="lessThan">
      <formula>0.45</formula>
    </cfRule>
    <cfRule type="cellIs" dxfId="794" priority="24" operator="greaterThan">
      <formula>0.55</formula>
    </cfRule>
  </conditionalFormatting>
  <conditionalFormatting sqref="J29">
    <cfRule type="expression" dxfId="793" priority="21">
      <formula>_xlfn.ISFORMULA(J29)</formula>
    </cfRule>
    <cfRule type="expression" dxfId="792" priority="22">
      <formula>_xlfn.ISFORMULA(J29)</formula>
    </cfRule>
  </conditionalFormatting>
  <conditionalFormatting sqref="D29">
    <cfRule type="expression" dxfId="791" priority="20">
      <formula>_xlfn.ISFORMULA(D29)</formula>
    </cfRule>
  </conditionalFormatting>
  <conditionalFormatting sqref="E29">
    <cfRule type="expression" dxfId="790" priority="19">
      <formula>_xlfn.ISFORMULA(E29)</formula>
    </cfRule>
  </conditionalFormatting>
  <conditionalFormatting sqref="F29">
    <cfRule type="expression" dxfId="789" priority="18">
      <formula>_xlfn.ISFORMULA(F29)</formula>
    </cfRule>
  </conditionalFormatting>
  <conditionalFormatting sqref="G29">
    <cfRule type="expression" dxfId="788" priority="17">
      <formula>_xlfn.ISFORMULA(F29)</formula>
    </cfRule>
  </conditionalFormatting>
  <conditionalFormatting sqref="H29">
    <cfRule type="expression" dxfId="787" priority="16">
      <formula>_xlfn.ISFORMULA(H29)</formula>
    </cfRule>
  </conditionalFormatting>
  <conditionalFormatting sqref="J29">
    <cfRule type="expression" dxfId="786" priority="15">
      <formula>_xlfn.ISFORMULA(J29)</formula>
    </cfRule>
  </conditionalFormatting>
  <conditionalFormatting sqref="K29">
    <cfRule type="expression" dxfId="785" priority="14">
      <formula>_xlfn.ISFORMULA(K29)</formula>
    </cfRule>
  </conditionalFormatting>
  <conditionalFormatting sqref="I29">
    <cfRule type="expression" dxfId="784" priority="13">
      <formula>_xlfn.ISFORMULA(I29)</formula>
    </cfRule>
  </conditionalFormatting>
  <conditionalFormatting sqref="G36">
    <cfRule type="cellIs" dxfId="783" priority="11" operator="lessThan">
      <formula>0.45</formula>
    </cfRule>
    <cfRule type="cellIs" dxfId="782" priority="12" operator="greaterThan">
      <formula>0.55</formula>
    </cfRule>
  </conditionalFormatting>
  <conditionalFormatting sqref="J36">
    <cfRule type="expression" dxfId="781" priority="9">
      <formula>_xlfn.ISFORMULA(J36)</formula>
    </cfRule>
    <cfRule type="expression" dxfId="780" priority="10">
      <formula>_xlfn.ISFORMULA(J36)</formula>
    </cfRule>
  </conditionalFormatting>
  <conditionalFormatting sqref="D36">
    <cfRule type="expression" dxfId="779" priority="8">
      <formula>_xlfn.ISFORMULA(D36)</formula>
    </cfRule>
  </conditionalFormatting>
  <conditionalFormatting sqref="E36">
    <cfRule type="expression" dxfId="778" priority="7">
      <formula>_xlfn.ISFORMULA(E36)</formula>
    </cfRule>
  </conditionalFormatting>
  <conditionalFormatting sqref="F36">
    <cfRule type="expression" dxfId="777" priority="6">
      <formula>_xlfn.ISFORMULA(F36)</formula>
    </cfRule>
  </conditionalFormatting>
  <conditionalFormatting sqref="G36">
    <cfRule type="expression" dxfId="776" priority="5">
      <formula>_xlfn.ISFORMULA(F36)</formula>
    </cfRule>
  </conditionalFormatting>
  <conditionalFormatting sqref="H36">
    <cfRule type="expression" dxfId="775" priority="4">
      <formula>_xlfn.ISFORMULA(H36)</formula>
    </cfRule>
  </conditionalFormatting>
  <conditionalFormatting sqref="J36">
    <cfRule type="expression" dxfId="774" priority="3">
      <formula>_xlfn.ISFORMULA(J36)</formula>
    </cfRule>
  </conditionalFormatting>
  <conditionalFormatting sqref="K36">
    <cfRule type="expression" dxfId="773" priority="2">
      <formula>_xlfn.ISFORMULA(K36)</formula>
    </cfRule>
  </conditionalFormatting>
  <conditionalFormatting sqref="I36">
    <cfRule type="expression" dxfId="772" priority="1">
      <formula>_xlfn.ISFORMULA(I36)</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47"/>
  <sheetViews>
    <sheetView showZeros="0" topLeftCell="B15"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1847</v>
      </c>
      <c r="B1" s="351" t="s">
        <v>1848</v>
      </c>
      <c r="L1" s="1848" t="s">
        <v>2337</v>
      </c>
      <c r="M1" s="1848"/>
      <c r="N1" s="1848"/>
      <c r="O1" s="1848"/>
      <c r="W1" s="220" t="s">
        <v>1823</v>
      </c>
      <c r="Y1" t="s">
        <v>2966</v>
      </c>
    </row>
    <row r="2" spans="1:33" ht="23" thickBot="1">
      <c r="A2" s="623" t="str">
        <f ca="1">TEXT(_xlfn.XLOOKUP(ID_Currency,BankCheck!F2:F7,BankCheck!D2:D7),"#,#0")&amp;" "&amp;ID_Currency</f>
        <v>647,432 USD</v>
      </c>
      <c r="B2" s="780">
        <v>67899</v>
      </c>
      <c r="F2">
        <f ca="1">(TabFIFO[[#Totals],[Profit/Loss]]*GBpScale-(TradeIncome-TotalCost))*Commission</f>
        <v>-11636.068519873203</v>
      </c>
      <c r="G2" cm="1">
        <f t="array" ref="G2">SUMPRODUCT((TabFIFO[Profit/Loss]&gt;0)*TabFIFO[Profit/Loss]*(1-Commission)
           + (TabFIFO[Profit/Loss]&lt;0)*TabFIFO[Profit/Loss]*(1+Commission))</f>
        <v>932327.62574799987</v>
      </c>
      <c r="K2" s="587"/>
      <c r="L2">
        <f>DesiredSaleGain</f>
        <v>5000</v>
      </c>
      <c r="M2" s="589" t="s">
        <v>1839</v>
      </c>
      <c r="N2" s="567">
        <f>DesiredBuyGain</f>
        <v>5000</v>
      </c>
      <c r="O2" s="567" t="s">
        <v>2338</v>
      </c>
      <c r="W2" s="578" t="s">
        <v>1824</v>
      </c>
      <c r="X2" s="579" t="s">
        <v>1825</v>
      </c>
    </row>
    <row r="3" spans="1:33" ht="24" thickTop="1" thickBot="1">
      <c r="A3" s="623" t="str">
        <f ca="1">TEXT(_xlfn.XLOOKUP(ID_Currency,BankCheck!F84:F86,BankCheck!D84:D86),"#,#0")&amp;" "&amp;ID_Currency</f>
        <v>20,639 USD</v>
      </c>
      <c r="B3" s="1114">
        <v>28690</v>
      </c>
      <c r="C3" s="959"/>
      <c r="D3" s="959"/>
      <c r="E3" s="960"/>
      <c r="F3" s="961"/>
      <c r="G3" s="961"/>
      <c r="H3" s="962"/>
      <c r="K3" s="1514">
        <f ca="1">[1]ExtEntry!$A$1</f>
        <v>46002.876229235939</v>
      </c>
      <c r="L3" s="832" t="str" cm="1">
        <f t="array" aca="1" ref="L3:M20" ca="1">_xlfn._xlws.FILTER(CHOOSE({1,2}, TabTRADERCorrupted[ClickTick], TabTRADERCorrupted[Sell_Advice]), (TabTRADERCorrupted[Cur] = ID_Currency) * (TabTRADERCorrupted[Sell_Advice]&lt;&gt;""),"No Match")</f>
        <v>AAPL</v>
      </c>
      <c r="M3" s="830" t="str">
        <f ca="1"/>
        <v>169/9,500=47,108</v>
      </c>
      <c r="N3" s="833" t="str" cm="1">
        <f t="array" aca="1" ref="N3:O12" ca="1">_xlfn._xlws.FILTER(CHOOSE({1,2}, TabTRADERCorrupted[ClickTick], TabTRADERCorrupted[Buy_Advice]), (TabTRADERCorrupted[Cur] = ID_Currency) * (TabTRADERCorrupted[Buy_Advice]&lt;&gt;""),"No Match")</f>
        <v>ADEA</v>
      </c>
      <c r="O3" s="831" t="str">
        <f ca="1"/>
        <v>BUY  1,515</v>
      </c>
      <c r="R3" s="1"/>
    </row>
    <row r="4" spans="1:33" ht="23" thickBot="1">
      <c r="C4" s="870"/>
      <c r="D4" s="870"/>
      <c r="E4" s="881"/>
      <c r="F4" s="870"/>
      <c r="G4" s="870"/>
      <c r="H4" s="871"/>
      <c r="J4" s="1489" t="s">
        <v>2867</v>
      </c>
      <c r="K4" s="1515" t="s">
        <v>1830</v>
      </c>
      <c r="L4" s="834" t="str">
        <f ca="1"/>
        <v>AMZN</v>
      </c>
      <c r="M4" s="607" t="str">
        <f ca="1"/>
        <v>328/12,000=75,452</v>
      </c>
      <c r="N4" s="835" t="str">
        <f ca="1"/>
        <v>BLDP</v>
      </c>
      <c r="O4" s="836" t="str">
        <f ca="1"/>
        <v>BUY  10,867</v>
      </c>
    </row>
    <row r="5" spans="1:33" ht="28" thickBot="1">
      <c r="A5" s="638" t="s">
        <v>1850</v>
      </c>
      <c r="B5" s="599" t="s">
        <v>1852</v>
      </c>
      <c r="C5" s="867"/>
      <c r="D5" s="872"/>
      <c r="E5" s="873"/>
      <c r="F5" s="867"/>
      <c r="G5" s="872"/>
      <c r="H5" s="873"/>
      <c r="J5" s="1490" t="str">
        <f ca="1">_xlfn.XLOOKUP(IDTICKER,TabCalc[Ticker],TabCalc[Max_Bn])&amp;" x "&amp;_xlfn.XLOOKUP(IDTICKER,TabCalc[Ticker],TabCalc[Max_Bp])</f>
        <v>2000 x 86.41</v>
      </c>
      <c r="K5" s="1516">
        <f ca="1">_xlfn.XLOOKUP(IDTICKER,[1]!RTData[Ticker_Symbol],[1]!RTData[M-Price])</f>
        <v>99.43</v>
      </c>
      <c r="L5" s="834" t="str">
        <f ca="1"/>
        <v>AVGO</v>
      </c>
      <c r="M5" s="607" t="str">
        <f ca="1"/>
        <v>67/200=27,186</v>
      </c>
      <c r="N5" s="835" t="str">
        <f ca="1"/>
        <v>MSFT</v>
      </c>
      <c r="O5" s="836" t="str">
        <f ca="1"/>
        <v>BUY  124</v>
      </c>
      <c r="R5" s="113"/>
    </row>
    <row r="6" spans="1:33" ht="23" thickBot="1">
      <c r="A6" s="622" t="str" cm="1">
        <f t="array" aca="1" ref="A6" ca="1">_xlfn.IFS(H16&gt;0,"Free Stock",StockNow*ID_M&lt;ABS(H16),"n/a",H16&lt;=0,TEXT(-H16/ID_M/GBpScale,"#,#0"))</f>
        <v>2,167</v>
      </c>
      <c r="B6" s="621">
        <f ca="1">_xlfn.XLOOKUP(IDTICKER,[1]!RTData[Ticker_Symbol],[1]!RTData[1YT])</f>
        <v>104.779</v>
      </c>
      <c r="C6" s="868"/>
      <c r="D6" s="874"/>
      <c r="E6" s="876"/>
      <c r="F6" s="868"/>
      <c r="G6" s="875"/>
      <c r="H6" s="876"/>
      <c r="K6" s="1517" t="str">
        <f ca="1">_xlfn.XLOOKUP(K7,[1]!RTData[Ticker_Symbol],[1]!RTData[Currency])</f>
        <v>USD</v>
      </c>
      <c r="L6" s="834" t="str">
        <f ca="1"/>
        <v>AZN</v>
      </c>
      <c r="M6" s="607" t="str">
        <f ca="1"/>
        <v>244/500=22,076</v>
      </c>
      <c r="N6" s="835" t="str">
        <f ca="1"/>
        <v>POET</v>
      </c>
      <c r="O6" s="836" t="str">
        <f ca="1"/>
        <v>BUY  2,703</v>
      </c>
    </row>
    <row r="7" spans="1:33" ht="28" thickBot="1">
      <c r="A7" s="599" t="str">
        <f ca="1">IF(A8&gt;0,"Sell-to-Cash (GL=0)","Hold")</f>
        <v>Sell-to-Cash (GL=0)</v>
      </c>
      <c r="B7" s="671">
        <f ca="1">GBpScale*((StockNow+_xlfn.XLOOKUP(IDTICKER,TabTRADERCorrupted[ClickTick],TabTRADERCorrupted[L_Sn]))*_xlfn.XLOOKUP(IDTICKER,TabTRADERCorrupted[ClickTick],TabTRADERCorrupted[Agiotage]))-CurrentValue</f>
        <v>-1663748.8576667402</v>
      </c>
      <c r="C7" s="1359" t="s">
        <v>2648</v>
      </c>
      <c r="D7" s="1360" t="str">
        <f ca="1">TEXT(100*ID_Up20,"#")&amp;"/"&amp;TEXT(100*$C$10,"#")&amp;"/"&amp;TEXT($C$11,"#%")</f>
        <v>/100/80%</v>
      </c>
      <c r="E7" s="1265"/>
      <c r="F7" s="1361" t="s">
        <v>2649</v>
      </c>
      <c r="G7" s="1265" t="str">
        <f ca="1">TEXT(100*ID_Up150,"#")&amp;"/"&amp;TEXT(100*F10,"#")&amp;"/"&amp;TEXT(F11,"#%")</f>
        <v>100/57/55%</v>
      </c>
      <c r="H7" s="1265"/>
      <c r="I7" s="7" t="s">
        <v>2572</v>
      </c>
      <c r="J7" s="1"/>
      <c r="K7" s="1031" t="s">
        <v>29</v>
      </c>
      <c r="L7" s="834" t="str">
        <f ca="1"/>
        <v>CSCO</v>
      </c>
      <c r="M7" s="607" t="str">
        <f ca="1"/>
        <v>414/1,000=32,838</v>
      </c>
      <c r="N7" s="835" t="str">
        <f ca="1"/>
        <v>RIGL</v>
      </c>
      <c r="O7" s="836" t="str">
        <f ca="1"/>
        <v>BUY  803</v>
      </c>
    </row>
    <row r="8" spans="1:33" ht="23" thickBot="1">
      <c r="A8" s="595">
        <f ca="1">INT(GL_Now/ID_M)</f>
        <v>14788</v>
      </c>
      <c r="B8" s="671">
        <f ca="1">GBpScale*(StockNow*_xlfn.XLOOKUP(IDTICKER,TabTRADERCorrupted[ClickTick],TabTRADERCorrupted[Agiotage]))-CurrentValue</f>
        <v>-1664980.3207963656</v>
      </c>
      <c r="C8" s="1267" t="s">
        <v>2646</v>
      </c>
      <c r="E8" s="870"/>
      <c r="F8" s="1267" t="s">
        <v>2583</v>
      </c>
      <c r="G8" s="1385" t="s">
        <v>2464</v>
      </c>
      <c r="H8" s="1002">
        <f ca="1">SUMIFS(TabFIFO[Remaining], TabFIFO[Price], "&lt;" &amp; -ID_M*(1-NeutralZoneM))</f>
        <v>0</v>
      </c>
      <c r="I8" s="1048">
        <f ca="1">_xlfn.XLOOKUP(IDTICKER,TabCalc[Ticker],TabCalc[Rev(MinStock)])</f>
        <v>40989</v>
      </c>
      <c r="J8" s="1299"/>
      <c r="K8" s="1032" t="str">
        <f>IDTICKER&amp;1</f>
        <v>NEM1</v>
      </c>
      <c r="L8" s="834" t="str">
        <f ca="1"/>
        <v>HPE</v>
      </c>
      <c r="M8" s="607" t="str">
        <f ca="1"/>
        <v>1,938/14,200=47,558</v>
      </c>
      <c r="N8" s="835" t="str">
        <f ca="1"/>
        <v>SAFDIS</v>
      </c>
      <c r="O8" s="836" t="str">
        <f ca="1"/>
        <v>BUY  435</v>
      </c>
    </row>
    <row r="9" spans="1:33" ht="23" thickBot="1">
      <c r="B9" s="672">
        <f ca="1">(B7-B8)/(_xlfn.XLOOKUP(IDTICKER,TabTRADERCorrupted[ClickTick],TabTRADERCorrupted[L_Sn])*ID_M*GBpScale)</f>
        <v>1.2385227090671054E-2</v>
      </c>
      <c r="C9" s="1255">
        <f ca="1">Markov!CQ45</f>
        <v>0</v>
      </c>
      <c r="E9" s="1266"/>
      <c r="F9" s="1255">
        <f ca="1">UpPercent</f>
        <v>1</v>
      </c>
      <c r="G9" s="1386" t="s">
        <v>2465</v>
      </c>
      <c r="H9" s="1003">
        <f ca="1">SUMIFS(TabFIFO[Remaining], TabFIFO[Price], "&gt;" &amp; -(ID_M*(1-NeutralZoneM)))</f>
        <v>17000</v>
      </c>
      <c r="I9" s="1048">
        <f ca="1">_xlfn.XLOOKUP(IDTICKER,TabCalc[Ticker],TabCalc[ReverseB])</f>
        <v>-80.000000000012506</v>
      </c>
      <c r="J9" s="1300"/>
      <c r="K9" s="1033" t="str">
        <f>IDTICKER&amp;2</f>
        <v>NEM2</v>
      </c>
      <c r="L9" s="834" t="str">
        <f ca="1"/>
        <v>NEM</v>
      </c>
      <c r="M9" s="607" t="str">
        <f ca="1"/>
        <v>243/17,000=24,192</v>
      </c>
      <c r="N9" s="835" t="str">
        <f ca="1"/>
        <v>MA</v>
      </c>
      <c r="O9" s="836" t="str">
        <f ca="1"/>
        <v>BUY  172</v>
      </c>
    </row>
    <row r="10" spans="1:33" ht="23" thickBot="1">
      <c r="A10" s="89">
        <f ca="1">(B7-B8)/(B10*GBpScale)-1</f>
        <v>-0.98761477290932898</v>
      </c>
      <c r="B10" s="671">
        <f ca="1">_xlfn.XLOOKUP(IDTICKER,TabTRADERCorrupted[ClickTick],TabTRADERCorrupted[L_Sn])*ID_M</f>
        <v>99430</v>
      </c>
      <c r="C10" s="1256">
        <f ca="1">Markov!CH90</f>
        <v>1</v>
      </c>
      <c r="E10" s="1266"/>
      <c r="F10" s="1256">
        <f ca="1">Markov!Y89</f>
        <v>0.5714285714285714</v>
      </c>
      <c r="G10" s="1387" t="s">
        <v>2466</v>
      </c>
      <c r="H10" s="1494">
        <f ca="1">StockNow-H9-H8</f>
        <v>0</v>
      </c>
      <c r="I10" s="1496" t="s">
        <v>693</v>
      </c>
      <c r="J10" s="1301"/>
      <c r="K10" s="941">
        <f ca="1">IF(ID_Currency="GBp",0.01,1)</f>
        <v>1</v>
      </c>
      <c r="L10" s="834" t="str">
        <f ca="1"/>
        <v>PAAS</v>
      </c>
      <c r="M10" s="607" t="str">
        <f ca="1"/>
        <v>342/1,000=17,216</v>
      </c>
      <c r="N10" s="835" t="str">
        <f ca="1"/>
        <v>PFE</v>
      </c>
      <c r="O10" s="836" t="str">
        <f ca="1"/>
        <v>BUY  1,222</v>
      </c>
    </row>
    <row r="11" spans="1:33" ht="23" thickBot="1">
      <c r="A11" s="628" t="s">
        <v>1861</v>
      </c>
      <c r="B11" s="599" t="s">
        <v>1851</v>
      </c>
      <c r="C11" s="1257">
        <f ca="1">Markov!CH107</f>
        <v>0.8</v>
      </c>
      <c r="E11" s="870"/>
      <c r="F11" s="1257">
        <f ca="1">Markov!AC107</f>
        <v>0.5490196078431373</v>
      </c>
      <c r="G11" s="864"/>
      <c r="H11" s="866"/>
      <c r="I11" s="1048">
        <f ca="1">_xlfn.XLOOKUP(IDTICKER,[1]!RTData[Ticker_Symbol],[1]!RTData[RepDiv])*ID_M_Value</f>
        <v>18762.441000000003</v>
      </c>
      <c r="J11" s="1299"/>
      <c r="K11" s="1119" t="str" cm="1">
        <f t="array" aca="1" ref="K11" ca="1">"High "&amp;TEXT(_xlfn.XLOOKUP(IDTICKER,ListTickers,Tab1High[High20]),"#,#0.00")</f>
        <v>High 100.40</v>
      </c>
      <c r="L11" s="834" t="str">
        <f ca="1"/>
        <v>PROF</v>
      </c>
      <c r="M11" s="607" t="str">
        <f ca="1"/>
        <v>2,232/4,000=16,585</v>
      </c>
      <c r="N11" s="835" t="str">
        <f ca="1"/>
        <v>RIG</v>
      </c>
      <c r="O11" s="836" t="str">
        <f ca="1"/>
        <v>BUY  27,027</v>
      </c>
      <c r="P11" t="s">
        <v>2910</v>
      </c>
    </row>
    <row r="12" spans="1:33" ht="23" thickBot="1">
      <c r="A12" s="629" t="e" cm="1">
        <f t="array" ref="A12">TEXT(MIN(_xlfn._xlws.FILTER(Q22:Q47, Q22:Q47 &lt; ABS_A)),"#.#0")&amp;" (max "&amp;TEXT(_xlfn.XLOOKUP(MIN(_xlfn._xlws.FILTER(Q22:Q47, Q22:Q47 &lt; ABS_A)),Q22:Q47,R22:R47),"#,#0")&amp;")"</f>
        <v>#NAME?</v>
      </c>
      <c r="B12" s="629">
        <f ca="1">ABS(ID_A+C15)</f>
        <v>19.486394315294106</v>
      </c>
      <c r="C12" s="875"/>
      <c r="D12" s="875"/>
      <c r="E12" s="885"/>
      <c r="F12" s="879"/>
      <c r="G12" s="875"/>
      <c r="H12" s="1495"/>
      <c r="I12" s="1497">
        <f ca="1">_xlfn.XLOOKUP(IDTICKER,[1]!RTData[Ticker_Symbol],[1]!RTData[RepDiv])</f>
        <v>1.11E-2</v>
      </c>
      <c r="J12" s="672"/>
      <c r="K12" s="1120" t="str" cm="1">
        <f t="array" aca="1" ref="K12" ca="1">"Low. "&amp;_xlfn.XLOOKUP(IDTICKER,ListTickers,Tab1Low[Low20])</f>
        <v>Low. 94.895</v>
      </c>
      <c r="L12" s="834" t="str">
        <f ca="1"/>
        <v>POET</v>
      </c>
      <c r="M12" s="607" t="str">
        <f ca="1"/>
        <v>2,231/47,500=16,108</v>
      </c>
      <c r="N12" s="835" t="str">
        <f ca="1"/>
        <v>THC</v>
      </c>
      <c r="O12" s="1543" t="str">
        <f ca="1"/>
        <v>BUY  720</v>
      </c>
      <c r="P12" s="1544">
        <v>0</v>
      </c>
      <c r="Q12" s="1545">
        <v>0</v>
      </c>
      <c r="R12" s="1545">
        <v>0</v>
      </c>
      <c r="S12" s="1545">
        <v>0</v>
      </c>
      <c r="T12" s="1545">
        <v>0</v>
      </c>
      <c r="U12" s="1546">
        <v>0</v>
      </c>
    </row>
    <row r="13" spans="1:33" ht="23" thickBot="1">
      <c r="A13" s="908"/>
      <c r="B13" s="908"/>
      <c r="C13" s="909"/>
      <c r="D13" s="910"/>
      <c r="E13" s="911"/>
      <c r="F13" s="909"/>
      <c r="G13" s="910"/>
      <c r="H13" s="912"/>
      <c r="I13" s="894"/>
      <c r="J13" s="894"/>
      <c r="K13" s="946" t="str" cm="1">
        <f t="array" aca="1" ref="K13" ca="1">"Vol. "&amp;TEXT(_xlfn.XLOOKUP(IDTICKER,DataShift!A1002:A1095,Tab1Volume[Volume20]),"#,#0")</f>
        <v>Vol. 11,250,923</v>
      </c>
      <c r="L13" s="834" t="str">
        <f ca="1"/>
        <v>TSM</v>
      </c>
      <c r="M13" s="607" t="str">
        <f ca="1"/>
        <v>270/4,500=82,333</v>
      </c>
      <c r="N13" s="835"/>
      <c r="O13" s="1543"/>
      <c r="P13" s="1547">
        <f ca="1">DataShift!U103</f>
        <v>45995</v>
      </c>
      <c r="Q13" s="1548">
        <f ca="1">DataShift!V103</f>
        <v>45996</v>
      </c>
      <c r="R13" s="1548">
        <f ca="1">DataShift!W103</f>
        <v>45999</v>
      </c>
      <c r="S13" s="1548">
        <f ca="1">DataShift!X103</f>
        <v>46000</v>
      </c>
      <c r="T13" s="1548">
        <f ca="1">DataShift!Y103</f>
        <v>46001</v>
      </c>
      <c r="U13" s="1549">
        <f ca="1">DataShift!Z103</f>
        <v>46002</v>
      </c>
    </row>
    <row r="14" spans="1:33" ht="23" thickBot="1">
      <c r="A14" s="593" t="s">
        <v>1901</v>
      </c>
      <c r="B14" s="594" t="s">
        <v>1842</v>
      </c>
      <c r="C14" s="609" t="s">
        <v>1820</v>
      </c>
      <c r="D14" s="951" t="s">
        <v>2129</v>
      </c>
      <c r="E14" s="614" t="s">
        <v>1844</v>
      </c>
      <c r="F14" s="615">
        <f ca="1">SUM(F15:F16)</f>
        <v>1136212.0899999999</v>
      </c>
      <c r="G14" s="615">
        <f ca="1">SUM(G15:G16)</f>
        <v>1690310</v>
      </c>
      <c r="H14" s="662" t="s">
        <v>1853</v>
      </c>
      <c r="I14" s="67"/>
      <c r="K14" s="955" t="s">
        <v>1838</v>
      </c>
      <c r="L14" s="834" t="str">
        <f ca="1"/>
        <v>VLVLY</v>
      </c>
      <c r="M14" s="607" t="str">
        <f ca="1"/>
        <v>1,236/2,600=39,611</v>
      </c>
      <c r="N14" s="835"/>
      <c r="O14" s="1543"/>
      <c r="P14" s="1550" cm="1">
        <f t="array" aca="1" ref="P14" ca="1">_xlfn.XLOOKUP(IDTICKER,ListTickers,Tab2SumChangePercent[AVGChan15])</f>
        <v>-8.2128571428573618E-5</v>
      </c>
      <c r="Q14" s="1551" cm="1">
        <f t="array" aca="1" ref="Q14" ca="1">_xlfn.XLOOKUP(IDTICKER,ListTickers,Tab2SumChangePercent[AVGChan16])</f>
        <v>-5.183682142857143E-3</v>
      </c>
      <c r="R14" s="1551" cm="1">
        <f t="array" aca="1" ref="R14" ca="1">_xlfn.XLOOKUP(IDTICKER,ListTickers,Tab2SumChangePercent[AVGChan17])</f>
        <v>-7.8803095238095238E-3</v>
      </c>
      <c r="S14" s="1551" cm="1">
        <f t="array" aca="1" ref="S14" ca="1">_xlfn.XLOOKUP(IDTICKER,ListTickers,Tab2SumChangePercent[AVGChan18])</f>
        <v>-1.2419559523809524E-2</v>
      </c>
      <c r="T14" s="1551" cm="1">
        <f t="array" aca="1" ref="T14" ca="1">_xlfn.XLOOKUP(IDTICKER,ListTickers,Tab2SumChangePercent[AVGChan19])</f>
        <v>-1.3208130952380956E-2</v>
      </c>
      <c r="U14" s="1552" cm="1">
        <f t="array" aca="1" ref="U14" ca="1">_xlfn.XLOOKUP(IDTICKER,ListTickers,Tab2SumChangePercent[AVGChan20])</f>
        <v>-1.2856863095238097E-2</v>
      </c>
      <c r="AC14" s="1371" t="str">
        <f ca="1">D7</f>
        <v>/100/80%</v>
      </c>
      <c r="AG14" s="1372" t="str">
        <f ca="1">G7</f>
        <v>100/57/55%</v>
      </c>
    </row>
    <row r="15" spans="1:33" ht="23" thickBot="1">
      <c r="A15" s="595" cm="1">
        <f t="array" aca="1" ref="A15" ca="1">ABS(SUMPRODUCT((ABS(TabFIFO[Price])&lt;ID_M)*TabFIFO[Price],TabFIFO[Remaining])*GBpScale)</f>
        <v>1136212.0899999999</v>
      </c>
      <c r="B15" s="596" cm="1">
        <f t="array" aca="1" ref="B15" ca="1">SUMPRODUCT((ABS(TabFIFO[Price])&lt;ID_M)*ID_M,TabFIFO[Remaining])*GBpScale</f>
        <v>1690310</v>
      </c>
      <c r="C15" s="700">
        <f ca="1">GL_Now/StockNow</f>
        <v>86.496173223176442</v>
      </c>
      <c r="D15" s="954" t="str">
        <f ca="1">"M&gt;"&amp;TEXT(ID_A+GLperShare,"#,#0.00")</f>
        <v>M&gt;19.49</v>
      </c>
      <c r="E15" s="701" cm="1">
        <f t="array" ref="E15">SUM((TabFIFO[Price]&lt;=ID_A)*(TabFIFO[Remaining]))</f>
        <v>9000</v>
      </c>
      <c r="F15" s="611" cm="1">
        <f t="array" aca="1" ref="F15" ca="1">ABS(SUMPRODUCT((TabFIFO[Price]&lt;ID_A)*TabFIFO[Price],TabFIFO[Remaining])*GBpScale)</f>
        <v>737942.34</v>
      </c>
      <c r="G15" s="612" cm="1">
        <f t="array" aca="1" ref="G15" ca="1">SUMPRODUCT((TabFIFO[Price]&lt;ID_A)*ID_M,TabFIFO[Remaining])*GBpScale</f>
        <v>894870</v>
      </c>
      <c r="H15" s="619">
        <f ca="1">FirstLot*BeginCost*GBpScale</f>
        <v>-286571.39999999997</v>
      </c>
      <c r="I15" s="620">
        <f ca="1">FirstLot*ID_M*GBpScale+H15</f>
        <v>1204878.6000000001</v>
      </c>
      <c r="J15" s="680"/>
      <c r="K15" s="956">
        <f ca="1">_xlfn.XLOOKUP(IDTICKER,[1]!RTData[Ticker_Symbol],[1]!RTData[Ddate])</f>
        <v>45987</v>
      </c>
      <c r="L15" s="834" t="str">
        <f ca="1"/>
        <v>VTRS</v>
      </c>
      <c r="M15" s="607" t="str">
        <f ca="1"/>
        <v>2,347/5,000=27,207</v>
      </c>
      <c r="N15" s="835"/>
      <c r="O15" s="1543"/>
      <c r="P15" s="1550" cm="1">
        <f t="array" aca="1" ref="P15" ca="1">_xlfn.XLOOKUP(IDTICKER,ListTickers,Tab1ChangePercent[Change%15])</f>
        <v>1.0095E-2</v>
      </c>
      <c r="Q15" s="1551" cm="1">
        <f t="array" aca="1" ref="Q15" ca="1">_xlfn.XLOOKUP(IDTICKER,ListTickers,Tab1ChangePercent[Change%16])</f>
        <v>-1.0582000000000001E-2</v>
      </c>
      <c r="R15" s="1551" cm="1">
        <f t="array" aca="1" ref="R15" ca="1">_xlfn.XLOOKUP(IDTICKER,ListTickers,Tab1ChangePercent[Change%17])</f>
        <v>4.0898999999999998E-2</v>
      </c>
      <c r="S15" s="1551" cm="1">
        <f t="array" aca="1" ref="S15" ca="1">_xlfn.XLOOKUP(IDTICKER,ListTickers,Tab1ChangePercent[Change%18])</f>
        <v>3.454E-3</v>
      </c>
      <c r="T15" s="1551" cm="1">
        <f t="array" aca="1" ref="T15" ca="1">_xlfn.XLOOKUP(IDTICKER,ListTickers,Tab1ChangePercent[Change%19])</f>
        <v>5.3284000000000005E-2</v>
      </c>
      <c r="U15" s="1552" cm="1">
        <f t="array" aca="1" ref="U15" ca="1">_xlfn.XLOOKUP(IDTICKER,ListTickers,Tab1ChangePercent[Change%20])</f>
        <v>5.3284000000000005E-2</v>
      </c>
      <c r="V15" s="1218">
        <v>0.5</v>
      </c>
      <c r="W15" s="1218">
        <v>0.5</v>
      </c>
    </row>
    <row r="16" spans="1:33" ht="23" thickBot="1">
      <c r="A16" s="591" cm="1">
        <f t="array" aca="1" ref="A16" ca="1">ABS(SUMPRODUCT((ABS(TabFIFO[Price])&gt;ID_M)*TabFIFO[Price],TabFIFO[Remaining])*GBpScale)</f>
        <v>0</v>
      </c>
      <c r="B16" s="591" cm="1">
        <f t="array" aca="1" ref="B16" ca="1">SUMPRODUCT((ABS(TabFIFO[Price])&gt;ID_M)*ID_M,TabFIFO[Remaining])*GBpScale</f>
        <v>0</v>
      </c>
      <c r="C16" s="947" t="str">
        <f ca="1">TEXT(V20*K5*GBpScale,"#,#0")&amp;" / "&amp;TEXT(V20*C15*GBpScale,"#,#0")</f>
        <v>0 / 0</v>
      </c>
      <c r="D16" s="954">
        <f ca="1">ID_M+ID_A</f>
        <v>32.420221092117671</v>
      </c>
      <c r="E16" s="949" cm="1">
        <f t="array" ref="E16">SUM((TabFIFO[Price]&gt;ID_A)*(TabFIFO[Remaining]))</f>
        <v>8000</v>
      </c>
      <c r="F16" s="585" cm="1">
        <f t="array" aca="1" ref="F16" ca="1">ABS(SUMPRODUCT((TabFIFO[Price]&gt;ID_A)*TabFIFO[Price],TabFIFO[Remaining])*GBpScale)</f>
        <v>398269.75</v>
      </c>
      <c r="G16" s="573" cm="1">
        <f t="array" aca="1" ref="G16" ca="1">SUMPRODUCT((TabFIFO[Price]&gt;ID_A)*ID_M,TabFIFO[Remaining])*GBpScale</f>
        <v>795440</v>
      </c>
      <c r="H16" s="946">
        <f ca="1">TotalCost+TradeIncome</f>
        <v>-215480.24920600047</v>
      </c>
      <c r="I16" s="588">
        <f ca="1">SUM(G19:I19)</f>
        <v>1470434.9447939994</v>
      </c>
      <c r="J16" s="680"/>
      <c r="K16" s="837" t="str">
        <f ca="1">_xlfn.LET(_xlpm.div,_xlfn.XLOOKUP(IDTICKER,[1]!RTData[Ticker_Symbol],[1]!RTData[RepDiv]),TEXT(_xlpm.div,"#0.0%")&amp;"="&amp;TEXT(_xlpm.div*CurrentValue,"#,#0"))</f>
        <v>1.1%=18,714</v>
      </c>
      <c r="L16" s="834" t="str">
        <f ca="1"/>
        <v>WBA</v>
      </c>
      <c r="M16" s="607" t="str">
        <f ca="1"/>
        <v>2,604/3,000=31,196</v>
      </c>
      <c r="N16" s="835"/>
      <c r="O16" s="1543"/>
      <c r="P16" s="1553" cm="1">
        <f t="array" aca="1" ref="P16" ca="1">_xlfn.XLOOKUP(IDTICKER,ListTickers,Tab2Agiotage[XAgio15])</f>
        <v>0.40993844553482967</v>
      </c>
      <c r="Q16" s="1554" cm="1">
        <f t="array" aca="1" ref="Q16" ca="1">_xlfn.XLOOKUP(IDTICKER,ListTickers,Tab2Agiotage[XAgio16])</f>
        <v>0.71017578382977553</v>
      </c>
      <c r="R16" s="1554" cm="1">
        <f t="array" aca="1" ref="R16" ca="1">_xlfn.XLOOKUP(IDTICKER,ListTickers,Tab2Agiotage[XAgio17])</f>
        <v>0.37105274924206511</v>
      </c>
      <c r="S16" s="1554" cm="1">
        <f t="array" aca="1" ref="S16" ca="1">_xlfn.XLOOKUP(IDTICKER,ListTickers,Tab2Agiotage[XAgio18])</f>
        <v>1.4574439892383309</v>
      </c>
      <c r="T16" s="1554" cm="1">
        <f t="array" aca="1" ref="T16" ca="1">_xlfn.XLOOKUP(IDTICKER,ListTickers,Tab2Agiotage[XAgio19])</f>
        <v>1.2314631296255434</v>
      </c>
      <c r="U16" s="1555" cm="1">
        <f t="array" aca="1" ref="U16" ca="1">_xlfn.XLOOKUP(IDTICKER,ListTickers,Tab2Agiotage[XAgio20])</f>
        <v>1.2314631296255434</v>
      </c>
      <c r="AC16" s="1849" t="str">
        <f>IDTICKER</f>
        <v>NEM</v>
      </c>
      <c r="AD16" s="567" t="s">
        <v>2613</v>
      </c>
      <c r="AE16" s="589" t="s">
        <v>2553</v>
      </c>
      <c r="AF16" s="589" t="s">
        <v>2611</v>
      </c>
    </row>
    <row r="17" spans="1:37" ht="23" thickBot="1">
      <c r="A17" s="613" t="s">
        <v>1902</v>
      </c>
      <c r="B17" s="592" t="s">
        <v>1843</v>
      </c>
      <c r="C17" s="948" t="s">
        <v>1831</v>
      </c>
      <c r="D17" s="952" t="s">
        <v>1832</v>
      </c>
      <c r="E17" s="950" t="s">
        <v>1834</v>
      </c>
      <c r="F17" s="602" t="s">
        <v>1841</v>
      </c>
      <c r="G17" s="605" t="s">
        <v>1821</v>
      </c>
      <c r="H17" s="605" t="s">
        <v>1822</v>
      </c>
      <c r="I17" s="510" t="s">
        <v>1855</v>
      </c>
      <c r="J17" s="351"/>
      <c r="K17" s="819" t="str">
        <f ca="1">"1YT "&amp;TEXT(_xlfn.XLOOKUP(IDTICKER,[1]!RTData[Ticker_Symbol],[1]!RTData[1YT]),"#,#0.00")</f>
        <v>1YT 104.78</v>
      </c>
      <c r="L17" s="834" t="str">
        <f ca="1"/>
        <v>SAFAAPL</v>
      </c>
      <c r="M17" s="998" t="str">
        <f ca="1"/>
        <v>63/350=17,546</v>
      </c>
      <c r="N17" s="835"/>
      <c r="O17" s="1543"/>
      <c r="P17" s="1556">
        <v>1</v>
      </c>
      <c r="Q17" s="1557">
        <v>1</v>
      </c>
      <c r="R17" s="1558">
        <v>1</v>
      </c>
      <c r="S17" s="1557">
        <v>1</v>
      </c>
      <c r="T17" s="1558">
        <v>1</v>
      </c>
      <c r="U17" s="1559">
        <v>1</v>
      </c>
      <c r="AC17" s="1849"/>
      <c r="AD17" s="934">
        <f ca="1">_xlfn.XLOOKUP(IDTICKER,TabCalc[Ticker],TabCalc[ValueBegin])</f>
        <v>-286571.39999999997</v>
      </c>
      <c r="AE17" s="1316">
        <f ca="1">CurrentValue</f>
        <v>1685915.1939999999</v>
      </c>
      <c r="AF17" s="1316">
        <f ca="1">GL_Now</f>
        <v>1470434.9447939994</v>
      </c>
      <c r="AG17" s="934">
        <f>StockNow</f>
        <v>17000</v>
      </c>
    </row>
    <row r="18" spans="1:37" ht="23" thickBot="1">
      <c r="B18" s="574" t="s">
        <v>1845</v>
      </c>
      <c r="C18" s="613" t="s">
        <v>1835</v>
      </c>
      <c r="D18" s="952" t="s">
        <v>1565</v>
      </c>
      <c r="E18" s="600">
        <f ca="1">StockNow*ID_M*GBpScale</f>
        <v>1690310</v>
      </c>
      <c r="F18" s="574" t="s">
        <v>2647</v>
      </c>
      <c r="G18" s="599" t="s">
        <v>999</v>
      </c>
      <c r="H18" s="599" t="s">
        <v>1833</v>
      </c>
      <c r="I18" s="599" t="s">
        <v>1828</v>
      </c>
      <c r="J18" s="351"/>
      <c r="L18" s="834" t="str">
        <f ca="1"/>
        <v>SAFAMZN</v>
      </c>
      <c r="M18" s="607" t="str">
        <f ca="1"/>
        <v>294/1,500=67,610</v>
      </c>
      <c r="N18" s="835"/>
      <c r="O18" s="899"/>
      <c r="P18" t="str">
        <f>IDTICKER&amp;": Last 5 Day Fl_Avg.Ch,Agio)"</f>
        <v>NEM: Last 5 Day Fl_Avg.Ch,Agio)</v>
      </c>
      <c r="AC18" s="1355" t="s">
        <v>2652</v>
      </c>
      <c r="AD18" s="1356"/>
      <c r="AE18" s="1356"/>
      <c r="AF18" s="1357"/>
      <c r="AG18" s="1354" t="s">
        <v>2653</v>
      </c>
      <c r="AH18" s="1352"/>
      <c r="AI18" s="1352"/>
      <c r="AJ18" s="1353"/>
    </row>
    <row r="19" spans="1:37" ht="23" thickBot="1">
      <c r="A19" s="608" t="s">
        <v>1819</v>
      </c>
      <c r="B19" s="598" cm="1">
        <f t="array" aca="1" ref="B19" ca="1">SUM((ABS(TabFIFO[Price])&lt;ID_M)*(TabFIFO[Remaining]))</f>
        <v>17000</v>
      </c>
      <c r="C19" s="610">
        <f ca="1">_xlfn.XLOOKUP(IDTICKER,[1]!RTData[Ticker_Symbol],[1]!RTData[RepDiv])*ID_M</f>
        <v>1.1036730000000001</v>
      </c>
      <c r="D19" s="953">
        <f>IFERROR(SUMPRODUCT(TabFIFO[Price],TabFIFO[Remaining])*(1+Commission)/StockNow,0)</f>
        <v>-67.009778907882335</v>
      </c>
      <c r="E19" s="601">
        <f>TabFIFO[[#Totals],[Remaining]]</f>
        <v>17000</v>
      </c>
      <c r="F19" s="604" cm="1">
        <f t="array" aca="1" ref="F19" ca="1">GBpScale*SUMPRODUCT((TabFIFO[Profit/Loss]&gt;0)*TabFIFO[Profit/Loss]*(1-Commission)
           + (TabFIFO[Profit/Loss]&lt;0)*TabFIFO[Profit/Loss]*(1+Commission))</f>
        <v>932327.62574799987</v>
      </c>
      <c r="G19" s="603">
        <f ca="1">TabFIFO[[#Totals],[Income]]</f>
        <v>2597363.869988</v>
      </c>
      <c r="H19" s="606">
        <f ca="1">TabFIFO[[#Totals],[Cost]]</f>
        <v>-2812844.1191940005</v>
      </c>
      <c r="I19" s="603">
        <f ca="1">TabFIFO[[#Totals],[M-VALUE Now]]*(1-Commission)</f>
        <v>1685915.1939999999</v>
      </c>
      <c r="J19" s="1302"/>
      <c r="L19" s="834" t="str">
        <f ca="1"/>
        <v>RIG</v>
      </c>
      <c r="M19" s="607" t="str">
        <f ca="1"/>
        <v>5,525/27,500=23,674</v>
      </c>
      <c r="N19" s="835"/>
      <c r="O19" s="900"/>
      <c r="P19" s="12"/>
      <c r="Q19" s="13"/>
      <c r="R19" s="580" t="s">
        <v>1778</v>
      </c>
      <c r="S19" s="580" t="s">
        <v>1565</v>
      </c>
      <c r="T19" s="580" t="s">
        <v>676</v>
      </c>
      <c r="U19" s="580" t="s">
        <v>1789</v>
      </c>
      <c r="V19" s="580" t="s">
        <v>1792</v>
      </c>
      <c r="W19" s="580" t="s">
        <v>1790</v>
      </c>
      <c r="X19" s="580" t="s">
        <v>1791</v>
      </c>
      <c r="Y19" s="580" t="s">
        <v>1793</v>
      </c>
      <c r="Z19" s="581" t="s">
        <v>1794</v>
      </c>
      <c r="AA19" s="581" t="s">
        <v>1795</v>
      </c>
      <c r="AB19" s="589" t="s">
        <v>131</v>
      </c>
      <c r="AC19" s="589">
        <f ca="1">ID_M</f>
        <v>99.43</v>
      </c>
      <c r="AE19" s="589" t="s">
        <v>2615</v>
      </c>
      <c r="AF19" s="1358" t="s">
        <v>2644</v>
      </c>
      <c r="AI19" s="567" t="s">
        <v>2614</v>
      </c>
      <c r="AJ19" s="567" t="s">
        <v>2611</v>
      </c>
    </row>
    <row r="20" spans="1:37" ht="23" thickBot="1">
      <c r="A20" s="500" t="s">
        <v>2463</v>
      </c>
      <c r="B20" s="995">
        <v>5.0000000000000001E-3</v>
      </c>
      <c r="C20" s="351" t="s">
        <v>548</v>
      </c>
      <c r="D20" s="351" t="s">
        <v>139</v>
      </c>
      <c r="E20" s="351" t="s">
        <v>1778</v>
      </c>
      <c r="F20" s="124" t="s">
        <v>1779</v>
      </c>
      <c r="G20" s="1" t="s">
        <v>1780</v>
      </c>
      <c r="H20" s="1" t="s">
        <v>970</v>
      </c>
      <c r="I20" s="291" t="s">
        <v>1781</v>
      </c>
      <c r="J20" s="291"/>
      <c r="K20" s="91" t="s">
        <v>178</v>
      </c>
      <c r="L20" s="834" t="str">
        <f ca="1"/>
        <v>LOCK</v>
      </c>
      <c r="M20" s="607" t="str">
        <f ca="1"/>
        <v>1,002/77,100=10,353</v>
      </c>
      <c r="N20" s="835"/>
      <c r="O20" s="900"/>
      <c r="P20" s="473" t="s">
        <v>676</v>
      </c>
      <c r="Q20" s="81">
        <f ca="1">ID_M</f>
        <v>99.43</v>
      </c>
      <c r="R20" s="566"/>
      <c r="S20" s="566"/>
      <c r="T20" s="856">
        <f>S21</f>
        <v>2000</v>
      </c>
      <c r="U20" s="487" cm="1">
        <f t="array" aca="1" ref="U20:X99" ca="1">_xlfn._xlws.SORT(Q20:T99)</f>
        <v>19.104759999999999</v>
      </c>
      <c r="V20" s="80">
        <f ca="1"/>
        <v>0</v>
      </c>
      <c r="W20" s="80">
        <f ca="1"/>
        <v>0</v>
      </c>
      <c r="X20" s="80">
        <f ca="1"/>
        <v>0</v>
      </c>
      <c r="Y20" s="81">
        <f ca="1">U20</f>
        <v>19.104759999999999</v>
      </c>
      <c r="Z20" s="840">
        <f ca="1">Q20</f>
        <v>99.43</v>
      </c>
      <c r="AA20" s="840">
        <v>9.9999999999999995E-7</v>
      </c>
      <c r="AB20" s="567" t="s">
        <v>2645</v>
      </c>
      <c r="AC20" s="740">
        <f>ID_A</f>
        <v>-67.009778907882335</v>
      </c>
      <c r="AD20" s="1316">
        <f>SUM(AD22:AD99)</f>
        <v>17000</v>
      </c>
      <c r="AE20" s="1316">
        <f ca="1">SUM(AE22:AE99)</f>
        <v>1690310</v>
      </c>
      <c r="AF20" s="1316">
        <f ca="1">SUMIF(AF22:AF99,"&gt;0",AF22:AF99)</f>
        <v>554097.91</v>
      </c>
      <c r="AG20" s="720" t="str">
        <f>"Sold "&amp;TEXT(SUM(AG22:AG99),"#,#0")</f>
        <v>Sold 47,000</v>
      </c>
      <c r="AH20" s="661" t="str">
        <f ca="1">"Avg.S_P="&amp;ROUND(AI20/SUM(AG22:AG99),2)</f>
        <v>Avg.S_P=99.43</v>
      </c>
      <c r="AI20" s="1316">
        <f ca="1">SUMIF((AI22:AI99),"&gt;0",(AI22:AI99))</f>
        <v>4673210</v>
      </c>
      <c r="AJ20" s="1316">
        <f ca="1">SUMIF((AJ22:AJ99),"&gt;0",(AJ22:AJ99))</f>
        <v>0</v>
      </c>
      <c r="AK20" s="1388">
        <f ca="1">AJ20/AI20</f>
        <v>0</v>
      </c>
    </row>
    <row r="21" spans="1:37" ht="23" thickBot="1">
      <c r="A21" s="120"/>
      <c r="B21" s="1365"/>
      <c r="C21" s="572">
        <v>15000</v>
      </c>
      <c r="D21" s="569">
        <v>-19.104759999999999</v>
      </c>
      <c r="E21" s="568">
        <v>0</v>
      </c>
      <c r="F21" s="816">
        <v>0</v>
      </c>
      <c r="G21" s="570">
        <f ca="1">IF(TabFIFO[[#This Row],[Price]]&gt;0,TabFIFO[[#This Row],[Number]]*TabFIFO[[#This Row],[Price]],0)*(1-Commission)*GBpScale</f>
        <v>0</v>
      </c>
      <c r="H21" s="570">
        <f ca="1">IF(TabFIFO[[#This Row],[Price]]&lt;0,TabFIFO[[#This Row],[Number]]*TabFIFO[[#This Row],[Price]],0)*(1+Commission)*GBpScale</f>
        <v>-287316.48563999997</v>
      </c>
      <c r="I21" s="817">
        <f ca="1">TabFIFO[[#This Row],[Remaining]]*ID_M*GBpScale</f>
        <v>0</v>
      </c>
      <c r="J21" s="1303"/>
      <c r="K21">
        <f>FirstLot</f>
        <v>15000</v>
      </c>
      <c r="L21" s="834"/>
      <c r="M21" s="607"/>
      <c r="N21" s="835"/>
      <c r="O21" s="900"/>
      <c r="P21" s="1306" t="s">
        <v>1565</v>
      </c>
      <c r="Q21" s="1307">
        <f>ABS(ID_A)</f>
        <v>67.009778907882335</v>
      </c>
      <c r="R21" s="1308"/>
      <c r="S21" s="1309">
        <f>MAX(R22:R99)</f>
        <v>2000</v>
      </c>
      <c r="T21" s="1308"/>
      <c r="U21" s="1310">
        <f ca="1"/>
        <v>37.18</v>
      </c>
      <c r="V21" s="1311">
        <f ca="1"/>
        <v>0</v>
      </c>
      <c r="W21" s="1311">
        <f ca="1"/>
        <v>0</v>
      </c>
      <c r="X21" s="1311">
        <f ca="1"/>
        <v>0</v>
      </c>
      <c r="Y21" s="1312">
        <f t="shared" ref="Y21:Y50" ca="1" si="0">U21</f>
        <v>37.18</v>
      </c>
      <c r="Z21" s="1313">
        <f>ABS(ID_A)</f>
        <v>67.009778907882335</v>
      </c>
      <c r="AA21" s="1313">
        <v>9.9999999999999995E-7</v>
      </c>
      <c r="AB21" s="826"/>
      <c r="AE21" s="1390">
        <f ca="1">AF20/AE20</f>
        <v>0.32780845525377006</v>
      </c>
      <c r="AF21" s="1316">
        <f ca="1">SUMIF(AF22:AF99,"&lt;0",AF22:AF99)</f>
        <v>0</v>
      </c>
      <c r="AI21" s="1389">
        <f ca="1">AJ21/AI20</f>
        <v>-0.44275249346808726</v>
      </c>
      <c r="AJ21" s="1316">
        <f ca="1">SUMIF((AJ22:AJ99),"&lt;0",(AJ22:AJ99))</f>
        <v>-2069075.3800000001</v>
      </c>
    </row>
    <row r="22" spans="1:37" ht="23" thickTop="1">
      <c r="A22" s="120"/>
      <c r="B22" s="160"/>
      <c r="C22" s="572">
        <v>2000</v>
      </c>
      <c r="D22" s="569">
        <v>-40.742199999999997</v>
      </c>
      <c r="E22" s="568">
        <v>0</v>
      </c>
      <c r="F22" s="816">
        <v>0</v>
      </c>
      <c r="G22" s="570">
        <f ca="1">IF(TabFIFO[[#This Row],[Price]]&gt;0,TabFIFO[[#This Row],[Number]]*TabFIFO[[#This Row],[Price]],0)*(1-Commission)*GBpScale</f>
        <v>0</v>
      </c>
      <c r="H22" s="570">
        <f ca="1">IF(TabFIFO[[#This Row],[Price]]&lt;0,TabFIFO[[#This Row],[Number]]*TabFIFO[[#This Row],[Price]],0)*(1+Commission)*GBpScale</f>
        <v>-81696.259439999994</v>
      </c>
      <c r="I22" s="577">
        <f ca="1">TabFIFO[[#This Row],[Remaining]]*ID_M*GBpScale</f>
        <v>0</v>
      </c>
      <c r="J22" s="1304"/>
      <c r="K22">
        <f>C21-SIGN(TabFIFO[[#This Row],[Price]])*TabFIFO[[#This Row],[Number]]</f>
        <v>17000</v>
      </c>
      <c r="L22" s="834"/>
      <c r="M22" s="607"/>
      <c r="N22" s="835"/>
      <c r="O22" s="900"/>
      <c r="P22" s="1305" t="s">
        <v>1859</v>
      </c>
      <c r="Q22" s="823" cm="1">
        <f t="array" ref="Q22:Q42">ABS(_xlfn._xlws.FILTER(TabFIFO[Price],TabFIFO[Price]&lt;0,NA()))</f>
        <v>19.104759999999999</v>
      </c>
      <c r="R22" s="1165" cm="1">
        <f t="array" ref="R22:R42">ABS(_xlfn._xlws.FILTER(TabFIFO[Remaining],TabFIFO[Price]&lt;0,0))</f>
        <v>0</v>
      </c>
      <c r="S22" s="1166"/>
      <c r="T22" s="1166"/>
      <c r="U22" s="1167">
        <f ca="1"/>
        <v>40.7333</v>
      </c>
      <c r="V22" s="824">
        <f ca="1"/>
        <v>0</v>
      </c>
      <c r="W22" s="824">
        <f ca="1"/>
        <v>0</v>
      </c>
      <c r="X22" s="824">
        <f ca="1"/>
        <v>0</v>
      </c>
      <c r="Y22" s="823">
        <f t="shared" ca="1" si="0"/>
        <v>40.7333</v>
      </c>
      <c r="Z22" s="360" cm="1">
        <f t="array" ref="Z22:AA99">_xlfn._xlws.SORT(_xlfn._xlws.FILTER(Q22:R99, R22:R99 &gt;=0), 1, 1)</f>
        <v>19.104759999999999</v>
      </c>
      <c r="AA22" s="824">
        <v>0</v>
      </c>
      <c r="AB22" s="714"/>
      <c r="AC22" s="1318" cm="1">
        <f t="array" ref="AC22:AD32">IFERROR(_xlfn._xlws.SORT(
    _xlfn._xlws.FILTER(TabFIFO[[Price]:[Remaining]], (TabFIFO[Price]&lt;0)*(TabFIFO[Remaining]&gt;0)),
    1, -1
),"Market price LT all purchase prices")</f>
        <v>-43.7</v>
      </c>
      <c r="AD22" s="1319">
        <v>2000</v>
      </c>
      <c r="AE22" s="1324">
        <f t="shared" ref="AE22:AE42" ca="1" si="1">AD22*ID_M*GBpScale</f>
        <v>198860</v>
      </c>
      <c r="AF22" s="1325">
        <f t="shared" ref="AF22:AF42" ca="1" si="2">IFERROR(AD22*(ID_M+AC22)*GBpScale,0)</f>
        <v>111460.00000000001</v>
      </c>
      <c r="AG22" s="1330" cm="1">
        <f t="array" ref="AG22:AH41">IFERROR(_xlfn._xlws.SORT(
    _xlfn._xlws.FILTER(TabFIFO[[Number]:[Price]], (TabFIFO[Price]&gt;0)*(TabFIFO[Remaining]=0)),
    2, -1
),"Market price GT all sale prices")</f>
        <v>1000</v>
      </c>
      <c r="AH22" s="1331">
        <v>99.35</v>
      </c>
      <c r="AI22" s="1334">
        <f t="shared" ref="AI22:AI41" ca="1" si="3">IFERROR(AG22*ID_M*GBpScale,AG22)</f>
        <v>99430</v>
      </c>
      <c r="AJ22" s="1335">
        <f ca="1">IFERROR(AG22*(AH22-ID_M)*GBpScale,0)</f>
        <v>-80.000000000012506</v>
      </c>
      <c r="AK22" t="str">
        <f t="shared" ref="AK22:AK42" ca="1" si="4">IF(AH22&gt;ID_M,"ReBUY","")</f>
        <v/>
      </c>
    </row>
    <row r="23" spans="1:37">
      <c r="A23" s="988"/>
      <c r="B23" s="983"/>
      <c r="C23" s="572">
        <v>7000</v>
      </c>
      <c r="D23" s="569">
        <v>41.96</v>
      </c>
      <c r="E23" s="568"/>
      <c r="F23" s="816">
        <v>159986.68000000002</v>
      </c>
      <c r="G23" s="570">
        <f ca="1">IF(TabFIFO[[#This Row],[Price]]&gt;0,TabFIFO[[#This Row],[Number]]*TabFIFO[[#This Row],[Price]],0)*(1-Commission)*GBpScale</f>
        <v>292956.32799999998</v>
      </c>
      <c r="H23" s="570">
        <f ca="1">IF(TabFIFO[[#This Row],[Price]]&lt;0,TabFIFO[[#This Row],[Number]]*TabFIFO[[#This Row],[Price]],0)*(1+Commission)*GBpScale</f>
        <v>0</v>
      </c>
      <c r="I23" s="577">
        <f ca="1">TabFIFO[[#This Row],[Remaining]]*ID_M*GBpScale</f>
        <v>0</v>
      </c>
      <c r="J23" s="1304"/>
      <c r="K23">
        <f>K22-SIGN(TabFIFO[[#This Row],[Price]])*TabFIFO[[#This Row],[Number]]</f>
        <v>10000</v>
      </c>
      <c r="L23" s="834"/>
      <c r="M23" s="898"/>
      <c r="N23" s="835"/>
      <c r="O23" s="900"/>
      <c r="P23" s="1163" t="s">
        <v>1860</v>
      </c>
      <c r="Q23" s="823">
        <v>40.742199999999997</v>
      </c>
      <c r="R23" s="1165">
        <v>0</v>
      </c>
      <c r="S23" s="1166"/>
      <c r="T23" s="1166">
        <f t="shared" ref="T23:T37" si="5">S23</f>
        <v>0</v>
      </c>
      <c r="U23" s="1167">
        <f ca="1"/>
        <v>40.742199999999997</v>
      </c>
      <c r="V23" s="824">
        <f ca="1"/>
        <v>0</v>
      </c>
      <c r="W23" s="824">
        <f ca="1"/>
        <v>0</v>
      </c>
      <c r="X23" s="824">
        <f ca="1"/>
        <v>0</v>
      </c>
      <c r="Y23" s="823">
        <f t="shared" ca="1" si="0"/>
        <v>40.742199999999997</v>
      </c>
      <c r="Z23" s="360">
        <v>37.18</v>
      </c>
      <c r="AA23" s="824">
        <v>0</v>
      </c>
      <c r="AB23" s="714"/>
      <c r="AC23" s="1320">
        <v>-49.98</v>
      </c>
      <c r="AD23" s="1321">
        <v>1000</v>
      </c>
      <c r="AE23" s="1326">
        <f t="shared" ca="1" si="1"/>
        <v>99430</v>
      </c>
      <c r="AF23" s="1327">
        <f t="shared" ca="1" si="2"/>
        <v>49450.000000000007</v>
      </c>
      <c r="AG23" s="1332">
        <v>1000</v>
      </c>
      <c r="AH23" s="1333">
        <v>94.22</v>
      </c>
      <c r="AI23" s="1336">
        <f t="shared" ca="1" si="3"/>
        <v>99430</v>
      </c>
      <c r="AJ23" s="1337">
        <f t="shared" ref="AJ23:AJ41" ca="1" si="6">IFERROR(AG23*(AH23-ID_M)*GBpScale,0)</f>
        <v>-5210.0000000000082</v>
      </c>
      <c r="AK23" t="str">
        <f t="shared" ca="1" si="4"/>
        <v/>
      </c>
    </row>
    <row r="24" spans="1:37">
      <c r="A24" s="120"/>
      <c r="B24" s="160"/>
      <c r="C24" s="572">
        <v>7000</v>
      </c>
      <c r="D24" s="569">
        <v>-40.7333</v>
      </c>
      <c r="E24" s="568">
        <v>0</v>
      </c>
      <c r="F24" s="816">
        <v>0</v>
      </c>
      <c r="G24" s="570">
        <f ca="1">IF(TabFIFO[[#This Row],[Price]]&gt;0,TabFIFO[[#This Row],[Number]]*TabFIFO[[#This Row],[Price]],0)*(1-Commission)*GBpScale</f>
        <v>0</v>
      </c>
      <c r="H24" s="570">
        <f ca="1">IF(TabFIFO[[#This Row],[Price]]&lt;0,TabFIFO[[#This Row],[Number]]*TabFIFO[[#This Row],[Price]],0)*(1+Commission)*GBpScale</f>
        <v>-285874.44605999993</v>
      </c>
      <c r="I24" s="577">
        <f ca="1">TabFIFO[[#This Row],[Remaining]]*ID_M*GBpScale</f>
        <v>0</v>
      </c>
      <c r="J24" s="1304"/>
      <c r="K24">
        <f>K23-SIGN(TabFIFO[[#This Row],[Price]])*TabFIFO[[#This Row],[Number]]</f>
        <v>17000</v>
      </c>
      <c r="L24" s="834"/>
      <c r="M24" s="898"/>
      <c r="N24" s="835"/>
      <c r="O24" s="900"/>
      <c r="P24" s="360"/>
      <c r="Q24" s="823">
        <v>40.7333</v>
      </c>
      <c r="R24" s="1165">
        <v>0</v>
      </c>
      <c r="S24" s="1166"/>
      <c r="T24" s="1166">
        <f t="shared" si="5"/>
        <v>0</v>
      </c>
      <c r="U24" s="1167">
        <f ca="1"/>
        <v>41.24</v>
      </c>
      <c r="V24" s="824">
        <f ca="1"/>
        <v>0</v>
      </c>
      <c r="W24" s="824">
        <f ca="1"/>
        <v>0</v>
      </c>
      <c r="X24" s="824">
        <f ca="1"/>
        <v>0</v>
      </c>
      <c r="Y24" s="823">
        <f t="shared" ca="1" si="0"/>
        <v>41.24</v>
      </c>
      <c r="Z24" s="360">
        <v>40.7333</v>
      </c>
      <c r="AA24" s="824">
        <v>0</v>
      </c>
      <c r="AB24" s="714"/>
      <c r="AC24" s="1320">
        <v>-50.63</v>
      </c>
      <c r="AD24" s="1321">
        <v>2000</v>
      </c>
      <c r="AE24" s="1326">
        <f t="shared" ca="1" si="1"/>
        <v>198860</v>
      </c>
      <c r="AF24" s="1327">
        <f t="shared" ca="1" si="2"/>
        <v>97600.000000000015</v>
      </c>
      <c r="AG24" s="1332">
        <v>2000</v>
      </c>
      <c r="AH24" s="1333">
        <v>90.41</v>
      </c>
      <c r="AI24" s="1336">
        <f t="shared" ca="1" si="3"/>
        <v>198860</v>
      </c>
      <c r="AJ24" s="1337">
        <f t="shared" ca="1" si="6"/>
        <v>-18040.000000000022</v>
      </c>
      <c r="AK24" t="str">
        <f t="shared" ca="1" si="4"/>
        <v/>
      </c>
    </row>
    <row r="25" spans="1:37">
      <c r="A25" s="988"/>
      <c r="B25" s="983"/>
      <c r="C25" s="572">
        <v>5000</v>
      </c>
      <c r="D25" s="569">
        <v>-42.017000000000003</v>
      </c>
      <c r="E25" s="568">
        <v>0</v>
      </c>
      <c r="F25" s="816">
        <v>0</v>
      </c>
      <c r="G25" s="570">
        <f ca="1">IF(TabFIFO[[#This Row],[Price]]&gt;0,TabFIFO[[#This Row],[Number]]*TabFIFO[[#This Row],[Price]],0)*(1-Commission)*GBpScale</f>
        <v>0</v>
      </c>
      <c r="H25" s="570">
        <f ca="1">IF(TabFIFO[[#This Row],[Price]]&lt;0,TabFIFO[[#This Row],[Number]]*TabFIFO[[#This Row],[Price]],0)*(1+Commission)*GBpScale</f>
        <v>-210631.22100000002</v>
      </c>
      <c r="I25" s="577">
        <f ca="1">TabFIFO[[#This Row],[Remaining]]*ID_M*GBpScale</f>
        <v>0</v>
      </c>
      <c r="J25" s="1304"/>
      <c r="K25">
        <f>K24-SIGN(TabFIFO[[#This Row],[Price]])*TabFIFO[[#This Row],[Number]]</f>
        <v>22000</v>
      </c>
      <c r="L25" s="834"/>
      <c r="M25" s="898"/>
      <c r="N25" s="835"/>
      <c r="O25" s="900"/>
      <c r="P25" s="360"/>
      <c r="Q25" s="823">
        <v>42.017000000000003</v>
      </c>
      <c r="R25" s="1165">
        <v>0</v>
      </c>
      <c r="S25" s="1166"/>
      <c r="T25" s="1166">
        <f t="shared" si="5"/>
        <v>0</v>
      </c>
      <c r="U25" s="1167">
        <f ca="1"/>
        <v>42.017000000000003</v>
      </c>
      <c r="V25" s="824">
        <f ca="1"/>
        <v>0</v>
      </c>
      <c r="W25" s="824">
        <f ca="1"/>
        <v>0</v>
      </c>
      <c r="X25" s="824">
        <f ca="1"/>
        <v>0</v>
      </c>
      <c r="Y25" s="823">
        <f t="shared" ca="1" si="0"/>
        <v>42.017000000000003</v>
      </c>
      <c r="Z25" s="360">
        <v>40.742199999999997</v>
      </c>
      <c r="AA25" s="824">
        <v>0</v>
      </c>
      <c r="AB25" s="714"/>
      <c r="AC25" s="1320">
        <v>-51.829875000000001</v>
      </c>
      <c r="AD25" s="1321">
        <v>2000</v>
      </c>
      <c r="AE25" s="1326">
        <f t="shared" ca="1" si="1"/>
        <v>198860</v>
      </c>
      <c r="AF25" s="1327">
        <f t="shared" ca="1" si="2"/>
        <v>95200.250000000015</v>
      </c>
      <c r="AG25" s="1332">
        <v>200</v>
      </c>
      <c r="AH25" s="1333">
        <v>85.32</v>
      </c>
      <c r="AI25" s="1336">
        <f t="shared" ca="1" si="3"/>
        <v>19886</v>
      </c>
      <c r="AJ25" s="1337">
        <f t="shared" ca="1" si="6"/>
        <v>-2822.0000000000027</v>
      </c>
      <c r="AK25" t="str">
        <f t="shared" ca="1" si="4"/>
        <v/>
      </c>
    </row>
    <row r="26" spans="1:37">
      <c r="A26" s="120"/>
      <c r="B26" s="160"/>
      <c r="C26" s="572">
        <v>3000</v>
      </c>
      <c r="D26" s="569">
        <v>-42.56</v>
      </c>
      <c r="E26" s="568">
        <v>0</v>
      </c>
      <c r="F26" s="816">
        <v>0</v>
      </c>
      <c r="G26" s="570">
        <f ca="1">IF(TabFIFO[[#This Row],[Price]]&gt;0,TabFIFO[[#This Row],[Number]]*TabFIFO[[#This Row],[Price]],0)*(1-Commission)*GBpScale</f>
        <v>0</v>
      </c>
      <c r="H26" s="570">
        <f ca="1">IF(TabFIFO[[#This Row],[Price]]&lt;0,TabFIFO[[#This Row],[Number]]*TabFIFO[[#This Row],[Price]],0)*(1+Commission)*GBpScale</f>
        <v>-128011.96799999999</v>
      </c>
      <c r="I26" s="577">
        <f ca="1">TabFIFO[[#This Row],[Remaining]]*ID_M*GBpScale</f>
        <v>0</v>
      </c>
      <c r="J26" s="1304"/>
      <c r="K26">
        <f>K25-SIGN(TabFIFO[[#This Row],[Price]])*TabFIFO[[#This Row],[Number]]</f>
        <v>25000</v>
      </c>
      <c r="L26" s="834"/>
      <c r="M26" s="898"/>
      <c r="N26" s="835"/>
      <c r="O26" s="900"/>
      <c r="P26" s="360"/>
      <c r="Q26" s="823">
        <v>42.56</v>
      </c>
      <c r="R26" s="1165">
        <v>0</v>
      </c>
      <c r="S26" s="1166"/>
      <c r="T26" s="1166">
        <f t="shared" si="5"/>
        <v>0</v>
      </c>
      <c r="U26" s="1167">
        <f ca="1"/>
        <v>42.56</v>
      </c>
      <c r="V26" s="824">
        <f ca="1"/>
        <v>0</v>
      </c>
      <c r="W26" s="824">
        <f ca="1"/>
        <v>0</v>
      </c>
      <c r="X26" s="824">
        <f ca="1"/>
        <v>0</v>
      </c>
      <c r="Y26" s="823">
        <f t="shared" ca="1" si="0"/>
        <v>42.56</v>
      </c>
      <c r="Z26" s="360">
        <v>41.24</v>
      </c>
      <c r="AA26" s="824">
        <v>0</v>
      </c>
      <c r="AB26" s="714"/>
      <c r="AC26" s="1320">
        <v>-55.97</v>
      </c>
      <c r="AD26" s="1321">
        <v>1000</v>
      </c>
      <c r="AE26" s="1326">
        <f t="shared" ca="1" si="1"/>
        <v>99430</v>
      </c>
      <c r="AF26" s="1327">
        <f t="shared" ca="1" si="2"/>
        <v>43460.000000000007</v>
      </c>
      <c r="AG26" s="1332">
        <v>2000</v>
      </c>
      <c r="AH26" s="1333">
        <v>81.47</v>
      </c>
      <c r="AI26" s="1336">
        <f t="shared" ca="1" si="3"/>
        <v>198860</v>
      </c>
      <c r="AJ26" s="1337">
        <f t="shared" ca="1" si="6"/>
        <v>-35920.000000000015</v>
      </c>
      <c r="AK26" t="str">
        <f t="shared" ca="1" si="4"/>
        <v/>
      </c>
    </row>
    <row r="27" spans="1:37">
      <c r="A27" s="988"/>
      <c r="B27" s="983"/>
      <c r="C27" s="572">
        <v>3000</v>
      </c>
      <c r="D27" s="569">
        <v>46.96</v>
      </c>
      <c r="E27" s="568"/>
      <c r="F27" s="816">
        <v>83565.72</v>
      </c>
      <c r="G27" s="570">
        <f ca="1">IF(TabFIFO[[#This Row],[Price]]&gt;0,TabFIFO[[#This Row],[Number]]*TabFIFO[[#This Row],[Price]],0)*(1-Commission)*GBpScale</f>
        <v>140513.712</v>
      </c>
      <c r="H27" s="570">
        <f ca="1">IF(TabFIFO[[#This Row],[Price]]&lt;0,TabFIFO[[#This Row],[Number]]*TabFIFO[[#This Row],[Price]],0)*(1+Commission)*GBpScale</f>
        <v>0</v>
      </c>
      <c r="I27" s="577">
        <f ca="1">TabFIFO[[#This Row],[Remaining]]*ID_M*GBpScale</f>
        <v>0</v>
      </c>
      <c r="J27" s="1304"/>
      <c r="K27">
        <f>K26-SIGN(TabFIFO[[#This Row],[Price]])*TabFIFO[[#This Row],[Number]]</f>
        <v>22000</v>
      </c>
      <c r="L27" s="834"/>
      <c r="M27" s="898"/>
      <c r="N27" s="835"/>
      <c r="O27" s="900"/>
      <c r="P27" s="360"/>
      <c r="Q27" s="823">
        <v>45.627899999999997</v>
      </c>
      <c r="R27" s="1165">
        <v>0</v>
      </c>
      <c r="S27" s="1166"/>
      <c r="T27" s="1166">
        <f t="shared" si="5"/>
        <v>0</v>
      </c>
      <c r="U27" s="1167">
        <f ca="1"/>
        <v>43.7</v>
      </c>
      <c r="V27" s="824">
        <f ca="1"/>
        <v>2000</v>
      </c>
      <c r="W27" s="824">
        <f ca="1"/>
        <v>0</v>
      </c>
      <c r="X27" s="824">
        <f ca="1"/>
        <v>0</v>
      </c>
      <c r="Y27" s="823">
        <f t="shared" ca="1" si="0"/>
        <v>43.7</v>
      </c>
      <c r="Z27" s="360">
        <v>42.017000000000003</v>
      </c>
      <c r="AA27" s="824">
        <v>0</v>
      </c>
      <c r="AB27" s="714"/>
      <c r="AC27" s="1320">
        <v>-78.88</v>
      </c>
      <c r="AD27" s="1321">
        <v>2000</v>
      </c>
      <c r="AE27" s="1326">
        <f t="shared" ca="1" si="1"/>
        <v>198860</v>
      </c>
      <c r="AF27" s="1327">
        <f t="shared" ca="1" si="2"/>
        <v>41100.000000000022</v>
      </c>
      <c r="AG27" s="1332">
        <v>2000</v>
      </c>
      <c r="AH27" s="1333">
        <v>79.260000000000005</v>
      </c>
      <c r="AI27" s="1336">
        <f t="shared" ca="1" si="3"/>
        <v>198860</v>
      </c>
      <c r="AJ27" s="1337">
        <f t="shared" ca="1" si="6"/>
        <v>-40340</v>
      </c>
      <c r="AK27" t="str">
        <f t="shared" ca="1" si="4"/>
        <v/>
      </c>
    </row>
    <row r="28" spans="1:37">
      <c r="A28" s="120"/>
      <c r="B28" s="160"/>
      <c r="C28" s="572">
        <v>3000</v>
      </c>
      <c r="D28" s="569">
        <v>-45.627899999999997</v>
      </c>
      <c r="E28" s="568">
        <v>0</v>
      </c>
      <c r="F28" s="816">
        <v>0</v>
      </c>
      <c r="G28" s="570">
        <f ca="1">IF(TabFIFO[[#This Row],[Price]]&gt;0,TabFIFO[[#This Row],[Number]]*TabFIFO[[#This Row],[Price]],0)*(1-Commission)*GBpScale</f>
        <v>0</v>
      </c>
      <c r="H28" s="570">
        <f ca="1">IF(TabFIFO[[#This Row],[Price]]&lt;0,TabFIFO[[#This Row],[Number]]*TabFIFO[[#This Row],[Price]],0)*(1+Commission)*GBpScale</f>
        <v>-137239.59761999999</v>
      </c>
      <c r="I28" s="577">
        <f ca="1">TabFIFO[[#This Row],[Remaining]]*ID_M*GBpScale</f>
        <v>0</v>
      </c>
      <c r="J28" s="1304"/>
      <c r="K28">
        <f>K27-SIGN(TabFIFO[[#This Row],[Price]])*TabFIFO[[#This Row],[Number]]</f>
        <v>25000</v>
      </c>
      <c r="L28" s="834"/>
      <c r="M28" s="898"/>
      <c r="N28" s="835"/>
      <c r="O28" s="900"/>
      <c r="P28" s="360"/>
      <c r="Q28" s="823">
        <v>51.36</v>
      </c>
      <c r="R28" s="1165">
        <v>0</v>
      </c>
      <c r="S28" s="1166"/>
      <c r="T28" s="1166">
        <f t="shared" si="5"/>
        <v>0</v>
      </c>
      <c r="U28" s="1167">
        <f ca="1"/>
        <v>45.34</v>
      </c>
      <c r="V28" s="824">
        <f ca="1"/>
        <v>0</v>
      </c>
      <c r="W28" s="824">
        <f ca="1"/>
        <v>0</v>
      </c>
      <c r="X28" s="824">
        <f ca="1"/>
        <v>0</v>
      </c>
      <c r="Y28" s="823">
        <f t="shared" ca="1" si="0"/>
        <v>45.34</v>
      </c>
      <c r="Z28" s="360">
        <v>42.56</v>
      </c>
      <c r="AA28" s="824">
        <v>0</v>
      </c>
      <c r="AB28" s="714"/>
      <c r="AC28" s="1320">
        <v>-79.599000000000004</v>
      </c>
      <c r="AD28" s="1321">
        <v>1000</v>
      </c>
      <c r="AE28" s="1326">
        <f t="shared" ca="1" si="1"/>
        <v>99430</v>
      </c>
      <c r="AF28" s="1327">
        <f t="shared" ca="1" si="2"/>
        <v>19831.000000000004</v>
      </c>
      <c r="AG28" s="1332">
        <v>2000</v>
      </c>
      <c r="AH28" s="1333">
        <v>70.12</v>
      </c>
      <c r="AI28" s="1336">
        <f t="shared" ca="1" si="3"/>
        <v>198860</v>
      </c>
      <c r="AJ28" s="1337">
        <f t="shared" ca="1" si="6"/>
        <v>-58620.000000000007</v>
      </c>
      <c r="AK28" t="str">
        <f t="shared" ca="1" si="4"/>
        <v/>
      </c>
    </row>
    <row r="29" spans="1:37">
      <c r="A29" s="988"/>
      <c r="B29" s="983"/>
      <c r="C29" s="572">
        <v>10000</v>
      </c>
      <c r="D29" s="569">
        <v>47.017462000000002</v>
      </c>
      <c r="E29" s="568"/>
      <c r="F29" s="816">
        <v>170966.52000000002</v>
      </c>
      <c r="G29" s="570">
        <f ca="1">IF(TabFIFO[[#This Row],[Price]]&gt;0,TabFIFO[[#This Row],[Number]]*TabFIFO[[#This Row],[Price]],0)*(1-Commission)*GBpScale</f>
        <v>468952.16598799999</v>
      </c>
      <c r="H29" s="570">
        <f ca="1">IF(TabFIFO[[#This Row],[Price]]&lt;0,TabFIFO[[#This Row],[Number]]*TabFIFO[[#This Row],[Price]],0)*(1+Commission)*GBpScale</f>
        <v>0</v>
      </c>
      <c r="I29" s="577">
        <f ca="1">TabFIFO[[#This Row],[Remaining]]*ID_M*GBpScale</f>
        <v>0</v>
      </c>
      <c r="J29" s="1304"/>
      <c r="K29">
        <f>K28-SIGN(TabFIFO[[#This Row],[Price]])*TabFIFO[[#This Row],[Number]]</f>
        <v>15000</v>
      </c>
      <c r="L29" s="834"/>
      <c r="M29" s="898"/>
      <c r="N29" s="835"/>
      <c r="O29" s="900"/>
      <c r="P29" s="360"/>
      <c r="Q29" s="823">
        <v>45.34</v>
      </c>
      <c r="R29" s="1165">
        <v>0</v>
      </c>
      <c r="S29" s="1166"/>
      <c r="T29" s="1166">
        <f t="shared" si="5"/>
        <v>0</v>
      </c>
      <c r="U29" s="1167">
        <f ca="1"/>
        <v>45.627899999999997</v>
      </c>
      <c r="V29" s="824">
        <f ca="1"/>
        <v>0</v>
      </c>
      <c r="W29" s="824">
        <f ca="1"/>
        <v>0</v>
      </c>
      <c r="X29" s="824">
        <f ca="1"/>
        <v>0</v>
      </c>
      <c r="Y29" s="823">
        <f t="shared" ca="1" si="0"/>
        <v>45.627899999999997</v>
      </c>
      <c r="Z29" s="360">
        <v>43.7</v>
      </c>
      <c r="AA29" s="824">
        <v>2000</v>
      </c>
      <c r="AB29" s="714"/>
      <c r="AC29" s="1320">
        <v>-79.88</v>
      </c>
      <c r="AD29" s="1321">
        <v>1000</v>
      </c>
      <c r="AE29" s="1326">
        <f t="shared" ca="1" si="1"/>
        <v>99430</v>
      </c>
      <c r="AF29" s="1327">
        <f t="shared" ca="1" si="2"/>
        <v>19550.000000000011</v>
      </c>
      <c r="AG29" s="1332">
        <v>800</v>
      </c>
      <c r="AH29" s="1333">
        <v>65.245000000000005</v>
      </c>
      <c r="AI29" s="1336">
        <f t="shared" ca="1" si="3"/>
        <v>79544</v>
      </c>
      <c r="AJ29" s="1337">
        <f t="shared" ca="1" si="6"/>
        <v>-27348</v>
      </c>
      <c r="AK29" t="str">
        <f t="shared" ca="1" si="4"/>
        <v/>
      </c>
    </row>
    <row r="30" spans="1:37">
      <c r="A30" s="120"/>
      <c r="B30" s="160"/>
      <c r="C30" s="572">
        <v>5000</v>
      </c>
      <c r="D30" s="569">
        <v>52.06</v>
      </c>
      <c r="E30" s="568"/>
      <c r="F30" s="816">
        <v>55349.799999999988</v>
      </c>
      <c r="G30" s="570">
        <f ca="1">IF(TabFIFO[[#This Row],[Price]]&gt;0,TabFIFO[[#This Row],[Number]]*TabFIFO[[#This Row],[Price]],0)*(1-Commission)*GBpScale</f>
        <v>259623.22</v>
      </c>
      <c r="H30" s="570">
        <f ca="1">IF(TabFIFO[[#This Row],[Price]]&lt;0,TabFIFO[[#This Row],[Number]]*TabFIFO[[#This Row],[Price]],0)*(1+Commission)*GBpScale</f>
        <v>0</v>
      </c>
      <c r="I30" s="577">
        <f ca="1">TabFIFO[[#This Row],[Remaining]]*ID_M*GBpScale</f>
        <v>0</v>
      </c>
      <c r="J30" s="1304"/>
      <c r="K30">
        <f>K29-SIGN(TabFIFO[[#This Row],[Price]])*TabFIFO[[#This Row],[Number]]</f>
        <v>10000</v>
      </c>
      <c r="L30" s="834"/>
      <c r="M30" s="898"/>
      <c r="N30" s="835"/>
      <c r="O30" s="900"/>
      <c r="P30" s="360"/>
      <c r="Q30" s="823">
        <v>41.24</v>
      </c>
      <c r="R30" s="1165">
        <v>0</v>
      </c>
      <c r="S30" s="1166"/>
      <c r="T30" s="1166">
        <f t="shared" si="5"/>
        <v>0</v>
      </c>
      <c r="U30" s="1167">
        <f ca="1"/>
        <v>49.98</v>
      </c>
      <c r="V30" s="824">
        <f ca="1"/>
        <v>1000</v>
      </c>
      <c r="W30" s="824">
        <f ca="1"/>
        <v>0</v>
      </c>
      <c r="X30" s="824">
        <f ca="1"/>
        <v>0</v>
      </c>
      <c r="Y30" s="823">
        <f t="shared" ca="1" si="0"/>
        <v>49.98</v>
      </c>
      <c r="Z30" s="360">
        <v>45.34</v>
      </c>
      <c r="AA30" s="824">
        <v>0</v>
      </c>
      <c r="AB30" s="714"/>
      <c r="AC30" s="1320">
        <v>-80.88</v>
      </c>
      <c r="AD30" s="1321">
        <v>1000</v>
      </c>
      <c r="AE30" s="1326">
        <f t="shared" ca="1" si="1"/>
        <v>99430</v>
      </c>
      <c r="AF30" s="1327">
        <f t="shared" ca="1" si="2"/>
        <v>18550.000000000011</v>
      </c>
      <c r="AG30" s="1332">
        <v>1000</v>
      </c>
      <c r="AH30" s="1333">
        <v>59.16</v>
      </c>
      <c r="AI30" s="1336">
        <f t="shared" ca="1" si="3"/>
        <v>99430</v>
      </c>
      <c r="AJ30" s="1337">
        <f t="shared" ca="1" si="6"/>
        <v>-40270.000000000007</v>
      </c>
      <c r="AK30" t="str">
        <f t="shared" ca="1" si="4"/>
        <v/>
      </c>
    </row>
    <row r="31" spans="1:37">
      <c r="A31" s="988"/>
      <c r="B31" s="983"/>
      <c r="C31" s="572">
        <v>5000</v>
      </c>
      <c r="D31" s="569">
        <v>-51.36</v>
      </c>
      <c r="E31" s="568">
        <v>0</v>
      </c>
      <c r="F31" s="816">
        <v>0</v>
      </c>
      <c r="G31" s="570">
        <f ca="1">IF(TabFIFO[[#This Row],[Price]]&gt;0,TabFIFO[[#This Row],[Number]]*TabFIFO[[#This Row],[Price]],0)*(1-Commission)*GBpScale</f>
        <v>0</v>
      </c>
      <c r="H31" s="570">
        <f ca="1">IF(TabFIFO[[#This Row],[Price]]&lt;0,TabFIFO[[#This Row],[Number]]*TabFIFO[[#This Row],[Price]],0)*(1+Commission)*GBpScale</f>
        <v>-257467.68</v>
      </c>
      <c r="I31" s="577">
        <f ca="1">TabFIFO[[#This Row],[Remaining]]*ID_M*GBpScale</f>
        <v>0</v>
      </c>
      <c r="J31" s="1304"/>
      <c r="K31">
        <f>K30-SIGN(TabFIFO[[#This Row],[Price]])*TabFIFO[[#This Row],[Number]]</f>
        <v>15000</v>
      </c>
      <c r="L31" s="834"/>
      <c r="M31" s="898"/>
      <c r="N31" s="835"/>
      <c r="O31" s="900"/>
      <c r="P31" s="360"/>
      <c r="Q31" s="823">
        <v>37.18</v>
      </c>
      <c r="R31" s="1165">
        <v>0</v>
      </c>
      <c r="S31" s="1166"/>
      <c r="T31" s="1166">
        <f t="shared" si="5"/>
        <v>0</v>
      </c>
      <c r="U31" s="1167">
        <f ca="1"/>
        <v>50.63</v>
      </c>
      <c r="V31" s="824">
        <f ca="1"/>
        <v>2000</v>
      </c>
      <c r="W31" s="824">
        <f ca="1"/>
        <v>0</v>
      </c>
      <c r="X31" s="824">
        <f ca="1"/>
        <v>0</v>
      </c>
      <c r="Y31" s="823">
        <f t="shared" ca="1" si="0"/>
        <v>50.63</v>
      </c>
      <c r="Z31" s="360">
        <v>45.627899999999997</v>
      </c>
      <c r="AA31" s="824">
        <v>0</v>
      </c>
      <c r="AB31" s="714"/>
      <c r="AC31" s="1320">
        <v>-83.501670000000004</v>
      </c>
      <c r="AD31" s="1321">
        <v>2000</v>
      </c>
      <c r="AE31" s="1326">
        <f t="shared" ca="1" si="1"/>
        <v>198860</v>
      </c>
      <c r="AF31" s="1327">
        <f t="shared" ca="1" si="2"/>
        <v>31856.660000000003</v>
      </c>
      <c r="AG31" s="1332">
        <v>1000</v>
      </c>
      <c r="AH31" s="1333">
        <v>58.125</v>
      </c>
      <c r="AI31" s="1336">
        <f t="shared" ca="1" si="3"/>
        <v>99430</v>
      </c>
      <c r="AJ31" s="1337">
        <f t="shared" ca="1" si="6"/>
        <v>-41305.000000000007</v>
      </c>
      <c r="AK31" t="str">
        <f t="shared" ca="1" si="4"/>
        <v/>
      </c>
    </row>
    <row r="32" spans="1:37">
      <c r="A32" s="120"/>
      <c r="B32" s="160"/>
      <c r="C32" s="572">
        <v>3000</v>
      </c>
      <c r="D32" s="569">
        <v>52.81</v>
      </c>
      <c r="E32" s="568"/>
      <c r="F32" s="816">
        <v>32378.999999999985</v>
      </c>
      <c r="G32" s="570">
        <f ca="1">IF(TabFIFO[[#This Row],[Price]]&gt;0,TabFIFO[[#This Row],[Number]]*TabFIFO[[#This Row],[Price]],0)*(1-Commission)*GBpScale</f>
        <v>158018.08199999999</v>
      </c>
      <c r="H32" s="570">
        <f ca="1">IF(TabFIFO[[#This Row],[Price]]&lt;0,TabFIFO[[#This Row],[Number]]*TabFIFO[[#This Row],[Price]],0)*(1+Commission)*GBpScale</f>
        <v>0</v>
      </c>
      <c r="I32" s="577">
        <f ca="1">TabFIFO[[#This Row],[Remaining]]*ID_M*GBpScale</f>
        <v>0</v>
      </c>
      <c r="J32" s="1304"/>
      <c r="K32">
        <f>K31-SIGN(TabFIFO[[#This Row],[Price]])*TabFIFO[[#This Row],[Number]]</f>
        <v>12000</v>
      </c>
      <c r="L32" s="901"/>
      <c r="M32" s="902"/>
      <c r="N32" s="835"/>
      <c r="O32" s="900"/>
      <c r="P32" s="360"/>
      <c r="Q32" s="823">
        <v>43.7</v>
      </c>
      <c r="R32" s="1165">
        <v>2000</v>
      </c>
      <c r="S32" s="1166"/>
      <c r="T32" s="1166">
        <f t="shared" si="5"/>
        <v>0</v>
      </c>
      <c r="U32" s="1167">
        <f ca="1"/>
        <v>51.36</v>
      </c>
      <c r="V32" s="824">
        <f ca="1"/>
        <v>0</v>
      </c>
      <c r="W32" s="824">
        <f ca="1"/>
        <v>0</v>
      </c>
      <c r="X32" s="824">
        <f ca="1"/>
        <v>0</v>
      </c>
      <c r="Y32" s="823">
        <f t="shared" ca="1" si="0"/>
        <v>51.36</v>
      </c>
      <c r="Z32" s="360">
        <v>49.98</v>
      </c>
      <c r="AA32" s="824">
        <v>1000</v>
      </c>
      <c r="AB32" s="714"/>
      <c r="AC32" s="1320">
        <v>-86.41</v>
      </c>
      <c r="AD32" s="1321">
        <v>2000</v>
      </c>
      <c r="AE32" s="1326">
        <f t="shared" ca="1" si="1"/>
        <v>198860</v>
      </c>
      <c r="AF32" s="1327">
        <f t="shared" ca="1" si="2"/>
        <v>26040.000000000022</v>
      </c>
      <c r="AG32" s="1332">
        <v>3000</v>
      </c>
      <c r="AH32" s="1333">
        <v>52.81</v>
      </c>
      <c r="AI32" s="1336">
        <f t="shared" ca="1" si="3"/>
        <v>298290</v>
      </c>
      <c r="AJ32" s="1337">
        <f t="shared" ca="1" si="6"/>
        <v>-139860</v>
      </c>
      <c r="AK32" t="str">
        <f t="shared" ca="1" si="4"/>
        <v/>
      </c>
    </row>
    <row r="33" spans="1:37">
      <c r="A33" s="988"/>
      <c r="B33" s="983"/>
      <c r="C33" s="572">
        <v>2000</v>
      </c>
      <c r="D33" s="569">
        <v>-45.34</v>
      </c>
      <c r="E33" s="568">
        <v>0</v>
      </c>
      <c r="F33" s="816">
        <v>0</v>
      </c>
      <c r="G33" s="570">
        <f ca="1">IF(TabFIFO[[#This Row],[Price]]&gt;0,TabFIFO[[#This Row],[Number]]*TabFIFO[[#This Row],[Price]],0)*(1-Commission)*GBpScale</f>
        <v>0</v>
      </c>
      <c r="H33" s="570">
        <f ca="1">IF(TabFIFO[[#This Row],[Price]]&lt;0,TabFIFO[[#This Row],[Number]]*TabFIFO[[#This Row],[Price]],0)*(1+Commission)*GBpScale</f>
        <v>-90915.767999999996</v>
      </c>
      <c r="I33" s="577">
        <f ca="1">TabFIFO[[#This Row],[Remaining]]*ID_M*GBpScale</f>
        <v>0</v>
      </c>
      <c r="J33" s="1304"/>
      <c r="K33">
        <f>K32-SIGN(TabFIFO[[#This Row],[Price]])*TabFIFO[[#This Row],[Number]]</f>
        <v>14000</v>
      </c>
      <c r="L33" s="901"/>
      <c r="M33" s="902"/>
      <c r="N33" s="835"/>
      <c r="O33" s="900"/>
      <c r="P33" s="360"/>
      <c r="Q33" s="823">
        <v>51.829875000000001</v>
      </c>
      <c r="R33" s="1165">
        <v>2000</v>
      </c>
      <c r="S33" s="1166"/>
      <c r="T33" s="1166">
        <f t="shared" si="5"/>
        <v>0</v>
      </c>
      <c r="U33" s="1167">
        <f ca="1"/>
        <v>51.829875000000001</v>
      </c>
      <c r="V33" s="824">
        <f ca="1"/>
        <v>2000</v>
      </c>
      <c r="W33" s="824">
        <f ca="1"/>
        <v>0</v>
      </c>
      <c r="X33" s="824">
        <f ca="1"/>
        <v>0</v>
      </c>
      <c r="Y33" s="823">
        <f t="shared" ca="1" si="0"/>
        <v>51.829875000000001</v>
      </c>
      <c r="Z33" s="360">
        <v>50.63</v>
      </c>
      <c r="AA33" s="824">
        <v>2000</v>
      </c>
      <c r="AB33" s="714"/>
      <c r="AC33" s="1320"/>
      <c r="AD33" s="1321"/>
      <c r="AE33" s="1326">
        <f t="shared" ca="1" si="1"/>
        <v>0</v>
      </c>
      <c r="AF33" s="1327">
        <f t="shared" ca="1" si="2"/>
        <v>0</v>
      </c>
      <c r="AG33" s="1332">
        <v>5000</v>
      </c>
      <c r="AH33" s="1333">
        <v>52.06</v>
      </c>
      <c r="AI33" s="1336">
        <f t="shared" ca="1" si="3"/>
        <v>497150.00000000006</v>
      </c>
      <c r="AJ33" s="1337">
        <f t="shared" ca="1" si="6"/>
        <v>-236850.00000000003</v>
      </c>
      <c r="AK33" t="str">
        <f t="shared" ca="1" si="4"/>
        <v/>
      </c>
    </row>
    <row r="34" spans="1:37">
      <c r="A34" s="120"/>
      <c r="B34" s="160"/>
      <c r="C34" s="572">
        <v>2000</v>
      </c>
      <c r="D34" s="569">
        <v>-41.24</v>
      </c>
      <c r="E34" s="568">
        <v>0</v>
      </c>
      <c r="F34" s="816">
        <v>0</v>
      </c>
      <c r="G34" s="570">
        <f ca="1">IF(TabFIFO[[#This Row],[Price]]&gt;0,TabFIFO[[#This Row],[Number]]*TabFIFO[[#This Row],[Price]],0)*(1-Commission)*GBpScale</f>
        <v>0</v>
      </c>
      <c r="H34" s="570">
        <f ca="1">IF(TabFIFO[[#This Row],[Price]]&lt;0,TabFIFO[[#This Row],[Number]]*TabFIFO[[#This Row],[Price]],0)*(1+Commission)*GBpScale</f>
        <v>-82694.447999999989</v>
      </c>
      <c r="I34" s="577">
        <f ca="1">TabFIFO[[#This Row],[Remaining]]*ID_M*GBpScale</f>
        <v>0</v>
      </c>
      <c r="J34" s="1304"/>
      <c r="K34">
        <f>K33-SIGN(TabFIFO[[#This Row],[Price]])*TabFIFO[[#This Row],[Number]]</f>
        <v>16000</v>
      </c>
      <c r="L34" s="901"/>
      <c r="M34" s="902"/>
      <c r="N34" s="835"/>
      <c r="O34" s="900"/>
      <c r="P34" s="360"/>
      <c r="Q34" s="823">
        <v>50.63</v>
      </c>
      <c r="R34" s="1165">
        <v>2000</v>
      </c>
      <c r="S34" s="1166"/>
      <c r="T34" s="1166">
        <f t="shared" si="5"/>
        <v>0</v>
      </c>
      <c r="U34" s="1167">
        <f ca="1"/>
        <v>55.97</v>
      </c>
      <c r="V34" s="824">
        <f ca="1"/>
        <v>1000</v>
      </c>
      <c r="W34" s="824">
        <f ca="1"/>
        <v>0</v>
      </c>
      <c r="X34" s="824">
        <f ca="1"/>
        <v>0</v>
      </c>
      <c r="Y34" s="823">
        <f t="shared" ca="1" si="0"/>
        <v>55.97</v>
      </c>
      <c r="Z34" s="360">
        <v>51.36</v>
      </c>
      <c r="AA34" s="824">
        <v>0</v>
      </c>
      <c r="AB34" s="714"/>
      <c r="AC34" s="1320"/>
      <c r="AD34" s="1321"/>
      <c r="AE34" s="1326">
        <f t="shared" ca="1" si="1"/>
        <v>0</v>
      </c>
      <c r="AF34" s="1327">
        <f t="shared" ca="1" si="2"/>
        <v>0</v>
      </c>
      <c r="AG34" s="1332">
        <v>1500</v>
      </c>
      <c r="AH34" s="1333">
        <v>47.96</v>
      </c>
      <c r="AI34" s="1336">
        <f t="shared" ca="1" si="3"/>
        <v>149145</v>
      </c>
      <c r="AJ34" s="1337">
        <f t="shared" ca="1" si="6"/>
        <v>-77205.000000000015</v>
      </c>
      <c r="AK34" t="str">
        <f t="shared" ca="1" si="4"/>
        <v/>
      </c>
    </row>
    <row r="35" spans="1:37">
      <c r="A35" s="988"/>
      <c r="B35" s="983"/>
      <c r="C35" s="572">
        <v>1000</v>
      </c>
      <c r="D35" s="569">
        <v>42.06</v>
      </c>
      <c r="E35" s="568"/>
      <c r="F35" s="816">
        <v>43</v>
      </c>
      <c r="G35" s="570">
        <f ca="1">IF(TabFIFO[[#This Row],[Price]]&gt;0,TabFIFO[[#This Row],[Number]]*TabFIFO[[#This Row],[Price]],0)*(1-Commission)*GBpScale</f>
        <v>41950.644</v>
      </c>
      <c r="H35" s="570">
        <f ca="1">IF(TabFIFO[[#This Row],[Price]]&lt;0,TabFIFO[[#This Row],[Number]]*TabFIFO[[#This Row],[Price]],0)*(1+Commission)*GBpScale</f>
        <v>0</v>
      </c>
      <c r="I35" s="577">
        <f ca="1">TabFIFO[[#This Row],[Remaining]]*ID_M*GBpScale</f>
        <v>0</v>
      </c>
      <c r="J35" s="1304"/>
      <c r="K35">
        <f>K34-SIGN(TabFIFO[[#This Row],[Price]])*TabFIFO[[#This Row],[Number]]</f>
        <v>15000</v>
      </c>
      <c r="L35" s="901"/>
      <c r="M35" s="902"/>
      <c r="N35" s="835"/>
      <c r="O35" s="900"/>
      <c r="P35" s="360"/>
      <c r="Q35" s="823">
        <v>49.98</v>
      </c>
      <c r="R35" s="360">
        <v>1000</v>
      </c>
      <c r="S35" s="1166"/>
      <c r="T35" s="1166">
        <f t="shared" si="5"/>
        <v>0</v>
      </c>
      <c r="U35" s="1167">
        <f ca="1"/>
        <v>67.009778907882335</v>
      </c>
      <c r="V35" s="824">
        <f ca="1"/>
        <v>0</v>
      </c>
      <c r="W35" s="824">
        <f ca="1"/>
        <v>2000</v>
      </c>
      <c r="X35" s="824">
        <f ca="1"/>
        <v>0</v>
      </c>
      <c r="Y35" s="823">
        <f t="shared" ca="1" si="0"/>
        <v>67.009778907882335</v>
      </c>
      <c r="Z35" s="360">
        <v>51.829875000000001</v>
      </c>
      <c r="AA35" s="824">
        <v>2000</v>
      </c>
      <c r="AB35" s="714"/>
      <c r="AC35" s="1320"/>
      <c r="AD35" s="1321"/>
      <c r="AE35" s="1326">
        <f t="shared" ca="1" si="1"/>
        <v>0</v>
      </c>
      <c r="AF35" s="1327">
        <f t="shared" ca="1" si="2"/>
        <v>0</v>
      </c>
      <c r="AG35" s="1332">
        <v>500</v>
      </c>
      <c r="AH35" s="1333">
        <v>47.6</v>
      </c>
      <c r="AI35" s="1336">
        <f t="shared" ca="1" si="3"/>
        <v>49715</v>
      </c>
      <c r="AJ35" s="1337">
        <f t="shared" ca="1" si="6"/>
        <v>-25915.000000000004</v>
      </c>
      <c r="AK35" t="str">
        <f t="shared" ca="1" si="4"/>
        <v/>
      </c>
    </row>
    <row r="36" spans="1:37">
      <c r="A36" s="120"/>
      <c r="B36" s="160"/>
      <c r="C36" s="572">
        <v>3000</v>
      </c>
      <c r="D36" s="569">
        <v>-37.18</v>
      </c>
      <c r="E36" s="568">
        <v>0</v>
      </c>
      <c r="F36" s="816">
        <v>0</v>
      </c>
      <c r="G36" s="570">
        <f ca="1">IF(TabFIFO[[#This Row],[Price]]&gt;0,TabFIFO[[#This Row],[Number]]*TabFIFO[[#This Row],[Price]],0)*(1-Commission)*GBpScale</f>
        <v>0</v>
      </c>
      <c r="H36" s="570">
        <f ca="1">IF(TabFIFO[[#This Row],[Price]]&lt;0,TabFIFO[[#This Row],[Number]]*TabFIFO[[#This Row],[Price]],0)*(1+Commission)*GBpScale</f>
        <v>-111830.00399999999</v>
      </c>
      <c r="I36" s="577">
        <f ca="1">TabFIFO[[#This Row],[Remaining]]*ID_M*GBpScale</f>
        <v>0</v>
      </c>
      <c r="J36" s="80"/>
      <c r="K36">
        <f>K35-SIGN(TabFIFO[[#This Row],[Price]])*TabFIFO[[#This Row],[Number]]</f>
        <v>18000</v>
      </c>
      <c r="L36" s="901"/>
      <c r="M36" s="902"/>
      <c r="N36" s="835"/>
      <c r="O36" s="900"/>
      <c r="P36" s="360"/>
      <c r="Q36" s="823">
        <v>55.97</v>
      </c>
      <c r="R36" s="1165">
        <v>1000</v>
      </c>
      <c r="S36" s="1166"/>
      <c r="T36" s="1166">
        <f t="shared" si="5"/>
        <v>0</v>
      </c>
      <c r="U36" s="1167">
        <f ca="1"/>
        <v>78.88</v>
      </c>
      <c r="V36" s="824">
        <f ca="1"/>
        <v>2000</v>
      </c>
      <c r="W36" s="824">
        <f ca="1"/>
        <v>0</v>
      </c>
      <c r="X36" s="824">
        <f ca="1"/>
        <v>0</v>
      </c>
      <c r="Y36" s="823">
        <f t="shared" ca="1" si="0"/>
        <v>78.88</v>
      </c>
      <c r="Z36" s="360">
        <v>55.97</v>
      </c>
      <c r="AA36" s="824">
        <v>1000</v>
      </c>
      <c r="AB36" s="714"/>
      <c r="AC36" s="1320"/>
      <c r="AD36" s="1321"/>
      <c r="AE36" s="1326">
        <f t="shared" ca="1" si="1"/>
        <v>0</v>
      </c>
      <c r="AF36" s="1327">
        <f t="shared" ca="1" si="2"/>
        <v>0</v>
      </c>
      <c r="AG36" s="1332">
        <v>10000</v>
      </c>
      <c r="AH36" s="1333">
        <v>47.017462000000002</v>
      </c>
      <c r="AI36" s="1336">
        <f t="shared" ca="1" si="3"/>
        <v>994300.00000000012</v>
      </c>
      <c r="AJ36" s="1337">
        <f t="shared" ca="1" si="6"/>
        <v>-524125.38000000006</v>
      </c>
      <c r="AK36" t="str">
        <f t="shared" ca="1" si="4"/>
        <v/>
      </c>
    </row>
    <row r="37" spans="1:37">
      <c r="A37" s="988"/>
      <c r="B37" s="983"/>
      <c r="C37" s="572">
        <v>1500</v>
      </c>
      <c r="D37" s="569">
        <v>38.51</v>
      </c>
      <c r="E37" s="568"/>
      <c r="F37" s="816">
        <v>-6075</v>
      </c>
      <c r="G37" s="570">
        <f ca="1">IF(TabFIFO[[#This Row],[Price]]&gt;0,TabFIFO[[#This Row],[Number]]*TabFIFO[[#This Row],[Price]],0)*(1-Commission)*GBpScale</f>
        <v>57614.810999999994</v>
      </c>
      <c r="H37" s="570">
        <f ca="1">IF(TabFIFO[[#This Row],[Price]]&lt;0,TabFIFO[[#This Row],[Number]]*TabFIFO[[#This Row],[Price]],0)*(1+Commission)*GBpScale</f>
        <v>0</v>
      </c>
      <c r="I37" s="577">
        <f ca="1">TabFIFO[[#This Row],[Remaining]]*ID_M*GBpScale</f>
        <v>0</v>
      </c>
      <c r="K37">
        <f>K36-SIGN(TabFIFO[[#This Row],[Price]])*TabFIFO[[#This Row],[Number]]</f>
        <v>16500</v>
      </c>
      <c r="L37" s="901"/>
      <c r="M37" s="902"/>
      <c r="N37" s="835"/>
      <c r="O37" s="900"/>
      <c r="P37" s="360"/>
      <c r="Q37" s="823">
        <v>86.41</v>
      </c>
      <c r="R37" s="1165">
        <v>2000</v>
      </c>
      <c r="S37" s="1166"/>
      <c r="T37" s="1166">
        <f t="shared" si="5"/>
        <v>0</v>
      </c>
      <c r="U37" s="1167">
        <f ca="1"/>
        <v>79.599000000000004</v>
      </c>
      <c r="V37" s="824">
        <f ca="1"/>
        <v>1000</v>
      </c>
      <c r="W37" s="824">
        <f ca="1"/>
        <v>0</v>
      </c>
      <c r="X37" s="824">
        <f ca="1"/>
        <v>0</v>
      </c>
      <c r="Y37" s="823">
        <f t="shared" ca="1" si="0"/>
        <v>79.599000000000004</v>
      </c>
      <c r="Z37" s="360">
        <v>78.88</v>
      </c>
      <c r="AA37" s="824">
        <v>2000</v>
      </c>
      <c r="AB37" s="714"/>
      <c r="AC37" s="1320"/>
      <c r="AD37" s="1321"/>
      <c r="AE37" s="1326">
        <f t="shared" ca="1" si="1"/>
        <v>0</v>
      </c>
      <c r="AF37" s="1327">
        <f t="shared" ca="1" si="2"/>
        <v>0</v>
      </c>
      <c r="AG37" s="1332">
        <v>3000</v>
      </c>
      <c r="AH37" s="1333">
        <v>46.96</v>
      </c>
      <c r="AI37" s="1336">
        <f t="shared" ca="1" si="3"/>
        <v>298290</v>
      </c>
      <c r="AJ37" s="1337">
        <f t="shared" ca="1" si="6"/>
        <v>-157410.00000000003</v>
      </c>
      <c r="AK37" t="str">
        <f t="shared" ca="1" si="4"/>
        <v/>
      </c>
    </row>
    <row r="38" spans="1:37">
      <c r="A38" s="120"/>
      <c r="B38" s="160"/>
      <c r="C38" s="572">
        <v>1500</v>
      </c>
      <c r="D38" s="569">
        <v>41.62</v>
      </c>
      <c r="E38" s="568"/>
      <c r="F38" s="816">
        <v>-1410.0000000000073</v>
      </c>
      <c r="G38" s="570">
        <f ca="1">IF(TabFIFO[[#This Row],[Price]]&gt;0,TabFIFO[[#This Row],[Number]]*TabFIFO[[#This Row],[Price]],0)*(1-Commission)*GBpScale</f>
        <v>62267.681999999993</v>
      </c>
      <c r="H38" s="570">
        <f ca="1">IF(TabFIFO[[#This Row],[Price]]&lt;0,TabFIFO[[#This Row],[Number]]*TabFIFO[[#This Row],[Price]],0)*(1+Commission)*GBpScale</f>
        <v>0</v>
      </c>
      <c r="I38" s="577">
        <f ca="1">TabFIFO[[#This Row],[Remaining]]*ID_M*GBpScale</f>
        <v>0</v>
      </c>
      <c r="K38">
        <f>K37-SIGN(TabFIFO[[#This Row],[Price]])*TabFIFO[[#This Row],[Number]]</f>
        <v>15000</v>
      </c>
      <c r="L38" s="901"/>
      <c r="M38" s="902"/>
      <c r="N38" s="903"/>
      <c r="O38" s="900"/>
      <c r="P38" s="360"/>
      <c r="Q38" s="823">
        <v>83.501670000000004</v>
      </c>
      <c r="R38" s="1165">
        <v>2000</v>
      </c>
      <c r="S38" s="1166"/>
      <c r="T38" s="1166"/>
      <c r="U38" s="360">
        <f ca="1"/>
        <v>79.88</v>
      </c>
      <c r="V38" s="360">
        <f ca="1"/>
        <v>1000</v>
      </c>
      <c r="W38" s="360">
        <f ca="1"/>
        <v>0</v>
      </c>
      <c r="X38" s="360">
        <f ca="1"/>
        <v>0</v>
      </c>
      <c r="Y38" s="823">
        <f t="shared" ca="1" si="0"/>
        <v>79.88</v>
      </c>
      <c r="Z38" s="360">
        <v>79.599000000000004</v>
      </c>
      <c r="AA38" s="824">
        <v>1000</v>
      </c>
      <c r="AB38" s="714"/>
      <c r="AC38" s="1320"/>
      <c r="AD38" s="1321"/>
      <c r="AE38" s="1326">
        <f t="shared" ca="1" si="1"/>
        <v>0</v>
      </c>
      <c r="AF38" s="1327">
        <f t="shared" ca="1" si="2"/>
        <v>0</v>
      </c>
      <c r="AG38" s="1332">
        <v>1000</v>
      </c>
      <c r="AH38" s="1333">
        <v>42.06</v>
      </c>
      <c r="AI38" s="1336">
        <f t="shared" ca="1" si="3"/>
        <v>99430</v>
      </c>
      <c r="AJ38" s="1337">
        <f t="shared" ca="1" si="6"/>
        <v>-57370.000000000007</v>
      </c>
      <c r="AK38" t="str">
        <f t="shared" ca="1" si="4"/>
        <v/>
      </c>
    </row>
    <row r="39" spans="1:37">
      <c r="A39" s="988"/>
      <c r="B39" s="983"/>
      <c r="C39" s="572">
        <v>1500</v>
      </c>
      <c r="D39" s="569">
        <v>47.96</v>
      </c>
      <c r="E39" s="568"/>
      <c r="F39" s="816">
        <v>3498.1500000000087</v>
      </c>
      <c r="G39" s="570">
        <f ca="1">IF(TabFIFO[[#This Row],[Price]]&gt;0,TabFIFO[[#This Row],[Number]]*TabFIFO[[#This Row],[Price]],0)*(1-Commission)*GBpScale</f>
        <v>71752.955999999991</v>
      </c>
      <c r="H39" s="570">
        <f ca="1">IF(TabFIFO[[#This Row],[Price]]&lt;0,TabFIFO[[#This Row],[Number]]*TabFIFO[[#This Row],[Price]],0)*(1+Commission)*GBpScale</f>
        <v>0</v>
      </c>
      <c r="I39" s="577">
        <f ca="1">TabFIFO[[#This Row],[Remaining]]*ID_M*GBpScale</f>
        <v>0</v>
      </c>
      <c r="K39">
        <f>K38-SIGN(TabFIFO[[#This Row],[Price]])*TabFIFO[[#This Row],[Number]]</f>
        <v>13500</v>
      </c>
      <c r="L39" s="901"/>
      <c r="M39" s="902"/>
      <c r="N39" s="903"/>
      <c r="O39" s="900"/>
      <c r="P39" s="360"/>
      <c r="Q39" s="823">
        <v>79.599000000000004</v>
      </c>
      <c r="R39" s="1165">
        <v>1000</v>
      </c>
      <c r="S39" s="1166"/>
      <c r="T39" s="1166"/>
      <c r="U39" s="360">
        <f ca="1"/>
        <v>80.88</v>
      </c>
      <c r="V39" s="360">
        <f ca="1"/>
        <v>1000</v>
      </c>
      <c r="W39" s="360">
        <f ca="1"/>
        <v>0</v>
      </c>
      <c r="X39" s="360">
        <f ca="1"/>
        <v>0</v>
      </c>
      <c r="Y39" s="823">
        <f t="shared" ca="1" si="0"/>
        <v>80.88</v>
      </c>
      <c r="Z39" s="360">
        <v>79.88</v>
      </c>
      <c r="AA39" s="824">
        <v>1000</v>
      </c>
      <c r="AB39" s="714"/>
      <c r="AC39" s="1320"/>
      <c r="AD39" s="1321"/>
      <c r="AE39" s="1326">
        <f t="shared" ca="1" si="1"/>
        <v>0</v>
      </c>
      <c r="AF39" s="1327">
        <f t="shared" ca="1" si="2"/>
        <v>0</v>
      </c>
      <c r="AG39" s="1332">
        <v>7000</v>
      </c>
      <c r="AH39" s="1333">
        <v>41.96</v>
      </c>
      <c r="AI39" s="1336">
        <f t="shared" ca="1" si="3"/>
        <v>696010</v>
      </c>
      <c r="AJ39" s="1337">
        <f t="shared" ca="1" si="6"/>
        <v>-402290.00000000006</v>
      </c>
      <c r="AK39" t="str">
        <f t="shared" ca="1" si="4"/>
        <v/>
      </c>
    </row>
    <row r="40" spans="1:37">
      <c r="A40" s="120"/>
      <c r="B40" s="160"/>
      <c r="C40" s="572">
        <v>2000</v>
      </c>
      <c r="D40" s="569">
        <v>-43.7</v>
      </c>
      <c r="E40" s="568">
        <v>2000</v>
      </c>
      <c r="F40" s="816">
        <v>0</v>
      </c>
      <c r="G40" s="570">
        <f ca="1">IF(TabFIFO[[#This Row],[Price]]&gt;0,TabFIFO[[#This Row],[Number]]*TabFIFO[[#This Row],[Price]],0)*(1-Commission)*GBpScale</f>
        <v>0</v>
      </c>
      <c r="H40" s="570">
        <f ca="1">IF(TabFIFO[[#This Row],[Price]]&lt;0,TabFIFO[[#This Row],[Number]]*TabFIFO[[#This Row],[Price]],0)*(1+Commission)*GBpScale</f>
        <v>-87627.239999999991</v>
      </c>
      <c r="I40" s="577">
        <f ca="1">TabFIFO[[#This Row],[Remaining]]*ID_M*GBpScale</f>
        <v>198860</v>
      </c>
      <c r="K40">
        <f>K39-SIGN(TabFIFO[[#This Row],[Price]])*TabFIFO[[#This Row],[Number]]</f>
        <v>15500</v>
      </c>
      <c r="L40" s="901"/>
      <c r="M40" s="902"/>
      <c r="N40" s="903"/>
      <c r="O40" s="900"/>
      <c r="P40" s="360"/>
      <c r="Q40" s="823">
        <v>80.88</v>
      </c>
      <c r="R40" s="1165">
        <v>1000</v>
      </c>
      <c r="S40" s="1166"/>
      <c r="T40" s="1166"/>
      <c r="U40" s="360">
        <f ca="1"/>
        <v>83.501670000000004</v>
      </c>
      <c r="V40" s="360">
        <f ca="1"/>
        <v>2000</v>
      </c>
      <c r="W40" s="360">
        <f ca="1"/>
        <v>0</v>
      </c>
      <c r="X40" s="360">
        <f ca="1"/>
        <v>0</v>
      </c>
      <c r="Y40" s="823">
        <f t="shared" ca="1" si="0"/>
        <v>83.501670000000004</v>
      </c>
      <c r="Z40" s="360">
        <v>80.88</v>
      </c>
      <c r="AA40" s="824">
        <v>1000</v>
      </c>
      <c r="AB40" s="714"/>
      <c r="AC40" s="1320"/>
      <c r="AD40" s="1321"/>
      <c r="AE40" s="1326">
        <f t="shared" ca="1" si="1"/>
        <v>0</v>
      </c>
      <c r="AF40" s="1327">
        <f t="shared" ca="1" si="2"/>
        <v>0</v>
      </c>
      <c r="AG40" s="1332">
        <v>1500</v>
      </c>
      <c r="AH40" s="1333">
        <v>41.62</v>
      </c>
      <c r="AI40" s="1336">
        <f t="shared" ca="1" si="3"/>
        <v>149145</v>
      </c>
      <c r="AJ40" s="1337">
        <f t="shared" ca="1" si="6"/>
        <v>-86715.000000000015</v>
      </c>
      <c r="AK40" t="str">
        <f t="shared" ca="1" si="4"/>
        <v/>
      </c>
    </row>
    <row r="41" spans="1:37">
      <c r="A41" s="988"/>
      <c r="B41" s="983"/>
      <c r="C41" s="572">
        <v>500</v>
      </c>
      <c r="D41" s="569">
        <v>47.6</v>
      </c>
      <c r="E41" s="568"/>
      <c r="F41" s="816">
        <v>986.05000000000291</v>
      </c>
      <c r="G41" s="570">
        <f ca="1">IF(TabFIFO[[#This Row],[Price]]&gt;0,TabFIFO[[#This Row],[Number]]*TabFIFO[[#This Row],[Price]],0)*(1-Commission)*GBpScale</f>
        <v>23738.12</v>
      </c>
      <c r="H41" s="570">
        <f ca="1">IF(TabFIFO[[#This Row],[Price]]&lt;0,TabFIFO[[#This Row],[Number]]*TabFIFO[[#This Row],[Price]],0)*(1+Commission)*GBpScale</f>
        <v>0</v>
      </c>
      <c r="I41" s="577">
        <f ca="1">TabFIFO[[#This Row],[Remaining]]*ID_M*GBpScale</f>
        <v>0</v>
      </c>
      <c r="K41">
        <f>K40-SIGN(TabFIFO[[#This Row],[Price]])*TabFIFO[[#This Row],[Number]]</f>
        <v>15000</v>
      </c>
      <c r="L41" s="901"/>
      <c r="M41" s="902"/>
      <c r="N41" s="903"/>
      <c r="O41" s="900"/>
      <c r="P41" s="360"/>
      <c r="Q41" s="823">
        <v>79.88</v>
      </c>
      <c r="R41" s="1165">
        <v>1000</v>
      </c>
      <c r="S41" s="1166"/>
      <c r="T41" s="1166"/>
      <c r="U41" s="360">
        <f ca="1"/>
        <v>86.41</v>
      </c>
      <c r="V41" s="360">
        <f ca="1"/>
        <v>2000</v>
      </c>
      <c r="W41" s="360">
        <f ca="1"/>
        <v>0</v>
      </c>
      <c r="X41" s="360">
        <f ca="1"/>
        <v>0</v>
      </c>
      <c r="Y41" s="823">
        <f t="shared" ca="1" si="0"/>
        <v>86.41</v>
      </c>
      <c r="Z41" s="360">
        <v>83.501670000000004</v>
      </c>
      <c r="AA41" s="824">
        <v>2000</v>
      </c>
      <c r="AB41" s="714"/>
      <c r="AC41" s="1320"/>
      <c r="AD41" s="1321"/>
      <c r="AE41" s="1326">
        <f t="shared" ca="1" si="1"/>
        <v>0</v>
      </c>
      <c r="AF41" s="1327">
        <f t="shared" ca="1" si="2"/>
        <v>0</v>
      </c>
      <c r="AG41" s="1332">
        <v>1500</v>
      </c>
      <c r="AH41" s="1333">
        <v>38.51</v>
      </c>
      <c r="AI41" s="1336">
        <f t="shared" ca="1" si="3"/>
        <v>149145</v>
      </c>
      <c r="AJ41" s="1337">
        <f t="shared" ca="1" si="6"/>
        <v>-91380.000000000015</v>
      </c>
      <c r="AK41" t="str">
        <f t="shared" ca="1" si="4"/>
        <v/>
      </c>
    </row>
    <row r="42" spans="1:37" ht="23" thickBot="1">
      <c r="A42" s="120"/>
      <c r="B42" s="160"/>
      <c r="C42" s="572">
        <v>2000</v>
      </c>
      <c r="D42" s="569">
        <v>-51.829875000000001</v>
      </c>
      <c r="E42" s="568">
        <v>2000</v>
      </c>
      <c r="F42" s="816">
        <v>0</v>
      </c>
      <c r="G42" s="570">
        <f ca="1">IF(TabFIFO[[#This Row],[Price]]&gt;0,TabFIFO[[#This Row],[Number]]*TabFIFO[[#This Row],[Price]],0)*(1-Commission)*GBpScale</f>
        <v>0</v>
      </c>
      <c r="H42" s="570">
        <f ca="1">IF(TabFIFO[[#This Row],[Price]]&lt;0,TabFIFO[[#This Row],[Number]]*TabFIFO[[#This Row],[Price]],0)*(1+Commission)*GBpScale</f>
        <v>-103929.26534999999</v>
      </c>
      <c r="I42" s="577">
        <f ca="1">TabFIFO[[#This Row],[Remaining]]*ID_M*GBpScale</f>
        <v>198860</v>
      </c>
      <c r="K42">
        <f>K41-SIGN(TabFIFO[[#This Row],[Price]])*TabFIFO[[#This Row],[Number]]</f>
        <v>17000</v>
      </c>
      <c r="L42" s="901"/>
      <c r="M42" s="902"/>
      <c r="N42" s="903"/>
      <c r="O42" s="900"/>
      <c r="P42" s="360"/>
      <c r="Q42" s="823">
        <v>78.88</v>
      </c>
      <c r="R42" s="1165">
        <v>2000</v>
      </c>
      <c r="S42" s="1165"/>
      <c r="T42" s="1165"/>
      <c r="U42" s="360">
        <f ca="1"/>
        <v>99.43</v>
      </c>
      <c r="V42" s="360">
        <f ca="1"/>
        <v>0</v>
      </c>
      <c r="W42" s="360">
        <f ca="1"/>
        <v>0</v>
      </c>
      <c r="X42" s="360">
        <f ca="1"/>
        <v>2000</v>
      </c>
      <c r="Y42" s="823">
        <f t="shared" ca="1" si="0"/>
        <v>99.43</v>
      </c>
      <c r="Z42" s="360">
        <v>86.41</v>
      </c>
      <c r="AA42" s="824">
        <v>2000</v>
      </c>
      <c r="AB42" s="714"/>
      <c r="AC42" s="1322"/>
      <c r="AD42" s="1323"/>
      <c r="AE42" s="1328">
        <f t="shared" ca="1" si="1"/>
        <v>0</v>
      </c>
      <c r="AF42" s="1329">
        <f t="shared" ca="1" si="2"/>
        <v>0</v>
      </c>
      <c r="AG42" s="1332"/>
      <c r="AH42" s="1333"/>
      <c r="AI42" s="1336">
        <f t="shared" ref="AI42:AI44" ca="1" si="7">IFERROR(AG42*ID_M*GBpScale,AG42)</f>
        <v>0</v>
      </c>
      <c r="AJ42" s="1337">
        <f t="shared" ref="AJ42:AJ44" ca="1" si="8">IFERROR(AG42*(AH42-ID_M)*GBpScale,0)</f>
        <v>0</v>
      </c>
      <c r="AK42" t="str">
        <f t="shared" ca="1" si="4"/>
        <v/>
      </c>
    </row>
    <row r="43" spans="1:37">
      <c r="A43" s="988"/>
      <c r="B43" s="983"/>
      <c r="C43" s="572">
        <v>2000</v>
      </c>
      <c r="D43" s="569">
        <v>-50.63</v>
      </c>
      <c r="E43" s="568">
        <v>2000</v>
      </c>
      <c r="F43" s="816">
        <v>0</v>
      </c>
      <c r="G43" s="570">
        <f ca="1">IF(TabFIFO[[#This Row],[Price]]&gt;0,TabFIFO[[#This Row],[Number]]*TabFIFO[[#This Row],[Price]],0)*(1-Commission)*GBpScale</f>
        <v>0</v>
      </c>
      <c r="H43" s="570">
        <f ca="1">IF(TabFIFO[[#This Row],[Price]]&lt;0,TabFIFO[[#This Row],[Number]]*TabFIFO[[#This Row],[Price]],0)*(1+Commission)*GBpScale</f>
        <v>-101523.276</v>
      </c>
      <c r="I43" s="577">
        <f ca="1">TabFIFO[[#This Row],[Remaining]]*ID_M*GBpScale</f>
        <v>198860</v>
      </c>
      <c r="K43">
        <f>K42-SIGN(TabFIFO[[#This Row],[Price]])*TabFIFO[[#This Row],[Number]]</f>
        <v>19000</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14">
        <f t="shared" ref="AF43:AF54" ca="1" si="10">AD43*(ID_M+AC43)</f>
        <v>0</v>
      </c>
      <c r="AG43" s="1332"/>
      <c r="AH43" s="1333"/>
      <c r="AI43" s="1336">
        <f t="shared" ca="1" si="7"/>
        <v>0</v>
      </c>
      <c r="AJ43" s="1337">
        <f t="shared" ca="1" si="8"/>
        <v>0</v>
      </c>
    </row>
    <row r="44" spans="1:37">
      <c r="A44" s="120"/>
      <c r="B44" s="160"/>
      <c r="C44" s="572">
        <v>1000</v>
      </c>
      <c r="D44" s="569">
        <v>-49.98</v>
      </c>
      <c r="E44" s="568">
        <v>1000</v>
      </c>
      <c r="F44" s="816">
        <v>0</v>
      </c>
      <c r="G44" s="570">
        <f ca="1">IF(TabFIFO[[#This Row],[Price]]&gt;0,TabFIFO[[#This Row],[Number]]*TabFIFO[[#This Row],[Price]],0)*(1-Commission)*GBpScale</f>
        <v>0</v>
      </c>
      <c r="H44" s="570">
        <f ca="1">IF(TabFIFO[[#This Row],[Price]]&lt;0,TabFIFO[[#This Row],[Number]]*TabFIFO[[#This Row],[Price]],0)*(1+Commission)*GBpScale</f>
        <v>-50109.947999999997</v>
      </c>
      <c r="I44" s="577">
        <f ca="1">TabFIFO[[#This Row],[Remaining]]*ID_M*GBpScale</f>
        <v>99430</v>
      </c>
      <c r="K44">
        <f>K43-SIGN(TabFIFO[[#This Row],[Price]])*TabFIFO[[#This Row],[Number]]</f>
        <v>20000</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14">
        <f t="shared" ca="1" si="10"/>
        <v>0</v>
      </c>
      <c r="AG44" s="1332"/>
      <c r="AH44" s="1333"/>
      <c r="AI44" s="1336">
        <f t="shared" ca="1" si="7"/>
        <v>0</v>
      </c>
      <c r="AJ44" s="1337">
        <f t="shared" ca="1" si="8"/>
        <v>0</v>
      </c>
    </row>
    <row r="45" spans="1:37">
      <c r="A45" s="988"/>
      <c r="B45" s="983"/>
      <c r="C45" s="572">
        <v>1000</v>
      </c>
      <c r="D45" s="569">
        <v>58.125</v>
      </c>
      <c r="E45" s="568"/>
      <c r="F45" s="816">
        <v>12497.100000000006</v>
      </c>
      <c r="G45" s="570">
        <f ca="1">IF(TabFIFO[[#This Row],[Price]]&gt;0,TabFIFO[[#This Row],[Number]]*TabFIFO[[#This Row],[Price]],0)*(1-Commission)*GBpScale</f>
        <v>57973.875</v>
      </c>
      <c r="H45" s="570">
        <f ca="1">IF(TabFIFO[[#This Row],[Price]]&lt;0,TabFIFO[[#This Row],[Number]]*TabFIFO[[#This Row],[Price]],0)*(1+Commission)*GBpScale</f>
        <v>0</v>
      </c>
      <c r="I45" s="577">
        <f ca="1">TabFIFO[[#This Row],[Remaining]]*ID_M*GBpScale</f>
        <v>0</v>
      </c>
      <c r="K45">
        <f>K44-SIGN(TabFIFO[[#This Row],[Price]])*TabFIFO[[#This Row],[Number]]</f>
        <v>19000</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14">
        <f t="shared" ca="1" si="10"/>
        <v>0</v>
      </c>
      <c r="AG45" s="1332"/>
      <c r="AH45" s="1333"/>
      <c r="AI45" s="1336">
        <f t="shared" ref="AI45:AI53" ca="1" si="11">AH45*ID_M</f>
        <v>0</v>
      </c>
      <c r="AJ45" s="1337">
        <f t="shared" ref="AJ45:AJ54" ca="1" si="12">AG45*(ID_M-AH45)</f>
        <v>0</v>
      </c>
    </row>
    <row r="46" spans="1:37">
      <c r="A46" s="120"/>
      <c r="B46" s="160"/>
      <c r="C46" s="572">
        <v>1000</v>
      </c>
      <c r="D46" s="569">
        <v>59.16</v>
      </c>
      <c r="E46" s="568"/>
      <c r="F46" s="816">
        <v>7800</v>
      </c>
      <c r="G46" s="570">
        <f ca="1">IF(TabFIFO[[#This Row],[Price]]&gt;0,TabFIFO[[#This Row],[Number]]*TabFIFO[[#This Row],[Price]],0)*(1-Commission)*GBpScale</f>
        <v>59006.183999999994</v>
      </c>
      <c r="H46" s="570">
        <f ca="1">IF(TabFIFO[[#This Row],[Price]]&lt;0,TabFIFO[[#This Row],[Number]]*TabFIFO[[#This Row],[Price]],0)*(1+Commission)*GBpScale</f>
        <v>0</v>
      </c>
      <c r="I46" s="577">
        <f ca="1">TabFIFO[[#This Row],[Remaining]]*ID_M*GBpScale</f>
        <v>0</v>
      </c>
      <c r="K46">
        <f>K45-SIGN(TabFIFO[[#This Row],[Price]])*TabFIFO[[#This Row],[Number]]</f>
        <v>18000</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14">
        <f t="shared" ca="1" si="10"/>
        <v>0</v>
      </c>
      <c r="AG46" s="1332"/>
      <c r="AH46" s="1333"/>
      <c r="AI46" s="1336">
        <f t="shared" ca="1" si="11"/>
        <v>0</v>
      </c>
      <c r="AJ46" s="1337">
        <f t="shared" ca="1" si="12"/>
        <v>0</v>
      </c>
    </row>
    <row r="47" spans="1:37" ht="23" thickBot="1">
      <c r="A47" s="988"/>
      <c r="B47" s="983"/>
      <c r="C47" s="572">
        <v>1000</v>
      </c>
      <c r="D47" s="569">
        <v>-55.97</v>
      </c>
      <c r="E47" s="568">
        <v>1000</v>
      </c>
      <c r="F47" s="816">
        <v>0</v>
      </c>
      <c r="G47" s="570">
        <f ca="1">IF(TabFIFO[[#This Row],[Price]]&gt;0,TabFIFO[[#This Row],[Number]]*TabFIFO[[#This Row],[Price]],0)*(1-Commission)*GBpScale</f>
        <v>0</v>
      </c>
      <c r="H47" s="570">
        <f ca="1">IF(TabFIFO[[#This Row],[Price]]&lt;0,TabFIFO[[#This Row],[Number]]*TabFIFO[[#This Row],[Price]],0)*(1+Commission)*GBpScale</f>
        <v>-56115.521999999997</v>
      </c>
      <c r="I47" s="577">
        <f ca="1">TabFIFO[[#This Row],[Remaining]]*ID_M*GBpScale</f>
        <v>99430</v>
      </c>
      <c r="K47">
        <f>K46-SIGN(TabFIFO[[#This Row],[Price]])*TabFIFO[[#This Row],[Number]]</f>
        <v>19000</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14">
        <f t="shared" ca="1" si="10"/>
        <v>0</v>
      </c>
      <c r="AG47" s="1332"/>
      <c r="AH47" s="1333"/>
      <c r="AI47" s="1336">
        <f t="shared" ca="1" si="11"/>
        <v>0</v>
      </c>
      <c r="AJ47" s="1337">
        <f t="shared" ca="1" si="12"/>
        <v>0</v>
      </c>
    </row>
    <row r="48" spans="1:37">
      <c r="A48" s="120"/>
      <c r="B48" s="160"/>
      <c r="C48" s="572">
        <v>800</v>
      </c>
      <c r="D48" s="569">
        <v>65.245000000000005</v>
      </c>
      <c r="E48" s="568"/>
      <c r="F48" s="816">
        <v>11108</v>
      </c>
      <c r="G48" s="570">
        <f ca="1">IF(TabFIFO[[#This Row],[Price]]&gt;0,TabFIFO[[#This Row],[Number]]*TabFIFO[[#This Row],[Price]],0)*(1-Commission)*GBpScale</f>
        <v>52060.290399999998</v>
      </c>
      <c r="H48" s="570">
        <f ca="1">IF(TabFIFO[[#This Row],[Price]]&lt;0,TabFIFO[[#This Row],[Number]]*TabFIFO[[#This Row],[Price]],0)*(1+Commission)*GBpScale</f>
        <v>0</v>
      </c>
      <c r="I48" s="577">
        <f ca="1">TabFIFO[[#This Row],[Remaining]]*ID_M*GBpScale</f>
        <v>0</v>
      </c>
      <c r="K48">
        <f>K47-SIGN(TabFIFO[[#This Row],[Price]])*TabFIFO[[#This Row],[Number]]</f>
        <v>18200</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14">
        <f t="shared" ca="1" si="10"/>
        <v>0</v>
      </c>
      <c r="AG48" s="1332"/>
      <c r="AH48" s="1333"/>
      <c r="AI48" s="1336">
        <f t="shared" ca="1" si="11"/>
        <v>0</v>
      </c>
      <c r="AJ48" s="1337">
        <f t="shared" ca="1" si="12"/>
        <v>0</v>
      </c>
    </row>
    <row r="49" spans="1:36">
      <c r="A49" s="988"/>
      <c r="B49" s="983"/>
      <c r="C49" s="572">
        <v>2000</v>
      </c>
      <c r="D49" s="569">
        <v>70.12</v>
      </c>
      <c r="E49" s="568"/>
      <c r="F49" s="816">
        <v>37520</v>
      </c>
      <c r="G49" s="570">
        <f ca="1">IF(TabFIFO[[#This Row],[Price]]&gt;0,TabFIFO[[#This Row],[Number]]*TabFIFO[[#This Row],[Price]],0)*(1-Commission)*GBpScale</f>
        <v>139875.37599999999</v>
      </c>
      <c r="H49" s="570">
        <f ca="1">IF(TabFIFO[[#This Row],[Price]]&lt;0,TabFIFO[[#This Row],[Number]]*TabFIFO[[#This Row],[Price]],0)*(1+Commission)*GBpScale</f>
        <v>0</v>
      </c>
      <c r="I49" s="577">
        <f ca="1">TabFIFO[[#This Row],[Remaining]]*ID_M*GBpScale</f>
        <v>0</v>
      </c>
      <c r="K49">
        <f>K48-SIGN(TabFIFO[[#This Row],[Price]])*TabFIFO[[#This Row],[Number]]</f>
        <v>16200</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14">
        <f t="shared" ca="1" si="10"/>
        <v>0</v>
      </c>
      <c r="AG49" s="1332"/>
      <c r="AH49" s="1333"/>
      <c r="AI49" s="1336">
        <f t="shared" ca="1" si="11"/>
        <v>0</v>
      </c>
      <c r="AJ49" s="1337">
        <f t="shared" ca="1" si="12"/>
        <v>0</v>
      </c>
    </row>
    <row r="50" spans="1:36">
      <c r="A50" s="120"/>
      <c r="B50" s="160"/>
      <c r="C50" s="572">
        <v>2000</v>
      </c>
      <c r="D50" s="569">
        <v>79.260000000000005</v>
      </c>
      <c r="E50" s="568"/>
      <c r="F50" s="816">
        <v>60616</v>
      </c>
      <c r="G50" s="570">
        <f ca="1">IF(TabFIFO[[#This Row],[Price]]&gt;0,TabFIFO[[#This Row],[Number]]*TabFIFO[[#This Row],[Price]],0)*(1-Commission)*GBpScale</f>
        <v>158107.848</v>
      </c>
      <c r="H50" s="570">
        <f ca="1">IF(TabFIFO[[#This Row],[Price]]&lt;0,TabFIFO[[#This Row],[Number]]*TabFIFO[[#This Row],[Price]],0)*(1+Commission)*GBpScale</f>
        <v>0</v>
      </c>
      <c r="I50" s="577">
        <f ca="1">TabFIFO[[#This Row],[Remaining]]*ID_M*GBpScale</f>
        <v>0</v>
      </c>
      <c r="K50">
        <f>K49-SIGN(TabFIFO[[#This Row],[Price]])*TabFIFO[[#This Row],[Number]]</f>
        <v>14200</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14">
        <f t="shared" ca="1" si="10"/>
        <v>0</v>
      </c>
      <c r="AG50" s="1332"/>
      <c r="AH50" s="1333"/>
      <c r="AI50" s="1336">
        <f t="shared" ca="1" si="11"/>
        <v>0</v>
      </c>
      <c r="AJ50" s="1337">
        <f t="shared" ca="1" si="12"/>
        <v>0</v>
      </c>
    </row>
    <row r="51" spans="1:36">
      <c r="A51" s="988"/>
      <c r="B51" s="983"/>
      <c r="C51" s="572">
        <v>200</v>
      </c>
      <c r="D51" s="569">
        <v>85.32</v>
      </c>
      <c r="E51" s="568"/>
      <c r="F51" s="816">
        <v>7996</v>
      </c>
      <c r="G51" s="570">
        <f ca="1">IF(TabFIFO[[#This Row],[Price]]&gt;0,TabFIFO[[#This Row],[Number]]*TabFIFO[[#This Row],[Price]],0)*(1-Commission)*GBpScale</f>
        <v>17019.633599999997</v>
      </c>
      <c r="H51" s="570">
        <f ca="1">IF(TabFIFO[[#This Row],[Price]]&lt;0,TabFIFO[[#This Row],[Number]]*TabFIFO[[#This Row],[Price]],0)*(1+Commission)*GBpScale</f>
        <v>0</v>
      </c>
      <c r="I51" s="577">
        <f ca="1">TabFIFO[[#This Row],[Remaining]]*ID_M*GBpScale</f>
        <v>0</v>
      </c>
      <c r="K51">
        <f>K50-SIGN(TabFIFO[[#This Row],[Price]])*TabFIFO[[#This Row],[Number]]</f>
        <v>14000</v>
      </c>
      <c r="P51" s="16"/>
      <c r="R51" s="1165"/>
      <c r="S51" s="1165"/>
      <c r="T51" s="1165"/>
      <c r="U51">
        <f ca="1"/>
        <v>0</v>
      </c>
      <c r="V51">
        <f ca="1"/>
        <v>0</v>
      </c>
      <c r="W51">
        <f ca="1"/>
        <v>0</v>
      </c>
      <c r="X51">
        <f ca="1"/>
        <v>0</v>
      </c>
      <c r="Z51">
        <v>0</v>
      </c>
      <c r="AA51">
        <v>0</v>
      </c>
      <c r="AB51" s="714"/>
      <c r="AE51" s="714">
        <f t="shared" ca="1" si="9"/>
        <v>0</v>
      </c>
      <c r="AF51" s="1314">
        <f t="shared" ca="1" si="10"/>
        <v>0</v>
      </c>
      <c r="AG51" s="1332"/>
      <c r="AH51" s="1333"/>
      <c r="AI51" s="1336">
        <f t="shared" ca="1" si="11"/>
        <v>0</v>
      </c>
      <c r="AJ51" s="1337">
        <f t="shared" ca="1" si="12"/>
        <v>0</v>
      </c>
    </row>
    <row r="52" spans="1:36">
      <c r="A52" s="120"/>
      <c r="B52" s="160"/>
      <c r="C52" s="572">
        <v>1000</v>
      </c>
      <c r="D52" s="569">
        <v>94.22</v>
      </c>
      <c r="E52" s="568"/>
      <c r="F52" s="816">
        <v>48880</v>
      </c>
      <c r="G52" s="570">
        <f ca="1">IF(TabFIFO[[#This Row],[Price]]&gt;0,TabFIFO[[#This Row],[Number]]*TabFIFO[[#This Row],[Price]],0)*(1-Commission)*GBpScale</f>
        <v>93975.027999999991</v>
      </c>
      <c r="H52" s="570">
        <f ca="1">IF(TabFIFO[[#This Row],[Price]]&lt;0,TabFIFO[[#This Row],[Number]]*TabFIFO[[#This Row],[Price]],0)*(1+Commission)*GBpScale</f>
        <v>0</v>
      </c>
      <c r="I52" s="577">
        <f ca="1">TabFIFO[[#This Row],[Remaining]]*ID_M*GBpScale</f>
        <v>0</v>
      </c>
      <c r="K52">
        <f>K51-SIGN(TabFIFO[[#This Row],[Price]])*TabFIFO[[#This Row],[Number]]</f>
        <v>13000</v>
      </c>
      <c r="P52" s="16"/>
      <c r="R52" s="1164"/>
      <c r="S52" s="1164"/>
      <c r="T52" s="1164"/>
      <c r="U52">
        <f ca="1"/>
        <v>0</v>
      </c>
      <c r="V52">
        <f ca="1"/>
        <v>0</v>
      </c>
      <c r="W52">
        <f ca="1"/>
        <v>0</v>
      </c>
      <c r="X52">
        <f ca="1"/>
        <v>0</v>
      </c>
      <c r="Z52">
        <v>0</v>
      </c>
      <c r="AA52">
        <v>0</v>
      </c>
      <c r="AB52" s="714"/>
      <c r="AE52" s="714">
        <f t="shared" ca="1" si="9"/>
        <v>0</v>
      </c>
      <c r="AF52" s="1314">
        <f t="shared" ca="1" si="10"/>
        <v>0</v>
      </c>
      <c r="AG52" s="1332"/>
      <c r="AH52" s="1333"/>
      <c r="AI52" s="1336">
        <f t="shared" ca="1" si="11"/>
        <v>0</v>
      </c>
      <c r="AJ52" s="1337">
        <f t="shared" ca="1" si="12"/>
        <v>0</v>
      </c>
    </row>
    <row r="53" spans="1:36">
      <c r="A53" s="988"/>
      <c r="B53" s="983"/>
      <c r="C53" s="572">
        <v>2000</v>
      </c>
      <c r="D53" s="569">
        <v>-86.41</v>
      </c>
      <c r="E53" s="568">
        <v>2000</v>
      </c>
      <c r="F53" s="816">
        <v>0</v>
      </c>
      <c r="G53" s="570">
        <f ca="1">IF(TabFIFO[[#This Row],[Price]]&gt;0,TabFIFO[[#This Row],[Number]]*TabFIFO[[#This Row],[Price]],0)*(1-Commission)*GBpScale</f>
        <v>0</v>
      </c>
      <c r="H53" s="570">
        <f ca="1">IF(TabFIFO[[#This Row],[Price]]&lt;0,TabFIFO[[#This Row],[Number]]*TabFIFO[[#This Row],[Price]],0)*(1+Commission)*GBpScale</f>
        <v>-173269.33199999999</v>
      </c>
      <c r="I53" s="577">
        <f ca="1">TabFIFO[[#This Row],[Remaining]]*ID_M*GBpScale</f>
        <v>198860</v>
      </c>
      <c r="K53">
        <f>K52-SIGN(TabFIFO[[#This Row],[Price]])*TabFIFO[[#This Row],[Number]]</f>
        <v>15000</v>
      </c>
      <c r="P53" s="16"/>
      <c r="R53" s="811"/>
      <c r="S53" s="811"/>
      <c r="T53" s="811"/>
      <c r="U53">
        <f ca="1"/>
        <v>0</v>
      </c>
      <c r="V53">
        <f ca="1"/>
        <v>0</v>
      </c>
      <c r="W53">
        <f ca="1"/>
        <v>0</v>
      </c>
      <c r="X53">
        <f ca="1"/>
        <v>0</v>
      </c>
      <c r="Z53">
        <v>0</v>
      </c>
      <c r="AA53">
        <v>0</v>
      </c>
      <c r="AB53" s="714"/>
      <c r="AE53" s="714">
        <f t="shared" ca="1" si="9"/>
        <v>0</v>
      </c>
      <c r="AF53" s="1314">
        <f t="shared" ca="1" si="10"/>
        <v>0</v>
      </c>
      <c r="AG53" s="1332"/>
      <c r="AH53" s="1333"/>
      <c r="AI53" s="1336">
        <f t="shared" ca="1" si="11"/>
        <v>0</v>
      </c>
      <c r="AJ53" s="1337">
        <f t="shared" ca="1" si="12"/>
        <v>0</v>
      </c>
    </row>
    <row r="54" spans="1:36">
      <c r="A54" s="120"/>
      <c r="B54" s="160"/>
      <c r="C54" s="572">
        <v>2000</v>
      </c>
      <c r="D54" s="569">
        <v>-83.501670000000004</v>
      </c>
      <c r="E54" s="568">
        <v>2000</v>
      </c>
      <c r="F54" s="816">
        <v>0</v>
      </c>
      <c r="G54" s="570">
        <f ca="1">IF(TabFIFO[[#This Row],[Price]]&gt;0,TabFIFO[[#This Row],[Number]]*TabFIFO[[#This Row],[Price]],0)*(1-Commission)*GBpScale</f>
        <v>0</v>
      </c>
      <c r="H54" s="570">
        <f ca="1">IF(TabFIFO[[#This Row],[Price]]&lt;0,TabFIFO[[#This Row],[Number]]*TabFIFO[[#This Row],[Price]],0)*(1+Commission)*GBpScale</f>
        <v>-167437.54868399998</v>
      </c>
      <c r="I54" s="577">
        <f ca="1">TabFIFO[[#This Row],[Remaining]]*ID_M*GBpScale</f>
        <v>198860</v>
      </c>
      <c r="K54">
        <f>K53-SIGN(TabFIFO[[#This Row],[Price]])*TabFIFO[[#This Row],[Number]]</f>
        <v>17000</v>
      </c>
      <c r="P54" s="16"/>
      <c r="R54" s="811"/>
      <c r="S54" s="811"/>
      <c r="T54" s="811"/>
      <c r="U54">
        <f ca="1"/>
        <v>0</v>
      </c>
      <c r="V54">
        <f ca="1"/>
        <v>0</v>
      </c>
      <c r="W54">
        <f ca="1"/>
        <v>0</v>
      </c>
      <c r="X54">
        <f ca="1"/>
        <v>0</v>
      </c>
      <c r="Z54">
        <v>0</v>
      </c>
      <c r="AA54">
        <v>0</v>
      </c>
      <c r="AB54" s="714"/>
      <c r="AE54" s="714">
        <f t="shared" ref="AE54:AE85" ca="1" si="13">AD54*ID_M</f>
        <v>0</v>
      </c>
      <c r="AF54" s="1314">
        <f t="shared" ca="1" si="10"/>
        <v>0</v>
      </c>
      <c r="AG54" s="1332"/>
      <c r="AH54" s="1333"/>
      <c r="AI54" s="1336">
        <f t="shared" ref="AI54:AI85" ca="1" si="14">AH54*ID_M</f>
        <v>0</v>
      </c>
      <c r="AJ54" s="1337">
        <f t="shared" ca="1" si="12"/>
        <v>0</v>
      </c>
    </row>
    <row r="55" spans="1:36">
      <c r="A55" s="988"/>
      <c r="B55" s="983"/>
      <c r="C55" s="572">
        <v>1000</v>
      </c>
      <c r="D55" s="569">
        <v>-79.599000000000004</v>
      </c>
      <c r="E55" s="568">
        <v>1000</v>
      </c>
      <c r="F55" s="816">
        <v>0</v>
      </c>
      <c r="G55" s="570">
        <f ca="1">IF(TabFIFO[[#This Row],[Price]]&gt;0,TabFIFO[[#This Row],[Number]]*TabFIFO[[#This Row],[Price]],0)*(1-Commission)*GBpScale</f>
        <v>0</v>
      </c>
      <c r="H55" s="570">
        <f ca="1">IF(TabFIFO[[#This Row],[Price]]&lt;0,TabFIFO[[#This Row],[Number]]*TabFIFO[[#This Row],[Price]],0)*(1+Commission)*GBpScale</f>
        <v>-79805.957399999999</v>
      </c>
      <c r="I55" s="577">
        <f ca="1">TabFIFO[[#This Row],[Remaining]]*ID_M*GBpScale</f>
        <v>99430</v>
      </c>
      <c r="K55">
        <f>K54-SIGN(TabFIFO[[#This Row],[Price]])*TabFIFO[[#This Row],[Number]]</f>
        <v>18000</v>
      </c>
      <c r="P55" s="16"/>
      <c r="R55" s="811"/>
      <c r="S55" s="811"/>
      <c r="T55" s="811"/>
      <c r="U55">
        <f ca="1"/>
        <v>0</v>
      </c>
      <c r="V55">
        <f ca="1"/>
        <v>0</v>
      </c>
      <c r="W55">
        <f ca="1"/>
        <v>0</v>
      </c>
      <c r="X55">
        <f ca="1"/>
        <v>0</v>
      </c>
      <c r="Z55">
        <v>0</v>
      </c>
      <c r="AA55">
        <v>0</v>
      </c>
      <c r="AB55" s="714"/>
      <c r="AE55" s="714">
        <f t="shared" ca="1" si="13"/>
        <v>0</v>
      </c>
      <c r="AF55" s="1314">
        <f t="shared" ref="AF55:AF86" ca="1" si="15">AD55*(ID_M+AC55)</f>
        <v>0</v>
      </c>
      <c r="AG55" s="1332"/>
      <c r="AH55" s="1333"/>
      <c r="AI55" s="1336">
        <f t="shared" ca="1" si="14"/>
        <v>0</v>
      </c>
      <c r="AJ55" s="1337">
        <f t="shared" ref="AJ55:AJ86" ca="1" si="16">AG55*(ID_M-AH55)</f>
        <v>0</v>
      </c>
    </row>
    <row r="56" spans="1:36">
      <c r="A56" s="120"/>
      <c r="B56" s="160"/>
      <c r="C56" s="572">
        <v>1000</v>
      </c>
      <c r="D56" s="569">
        <v>-80.88</v>
      </c>
      <c r="E56" s="568">
        <v>1000</v>
      </c>
      <c r="F56" s="816">
        <v>0</v>
      </c>
      <c r="G56" s="570">
        <f ca="1">IF(TabFIFO[[#This Row],[Price]]&gt;0,TabFIFO[[#This Row],[Number]]*TabFIFO[[#This Row],[Price]],0)*(1-Commission)*GBpScale</f>
        <v>0</v>
      </c>
      <c r="H56" s="570">
        <f ca="1">IF(TabFIFO[[#This Row],[Price]]&lt;0,TabFIFO[[#This Row],[Number]]*TabFIFO[[#This Row],[Price]],0)*(1+Commission)*GBpScale</f>
        <v>-81090.288</v>
      </c>
      <c r="I56" s="577">
        <f ca="1">TabFIFO[[#This Row],[Remaining]]*ID_M*GBpScale</f>
        <v>99430</v>
      </c>
      <c r="K56">
        <f>K55-SIGN(TabFIFO[[#This Row],[Price]])*TabFIFO[[#This Row],[Number]]</f>
        <v>19000</v>
      </c>
      <c r="P56" s="16"/>
      <c r="R56" s="811"/>
      <c r="S56" s="811"/>
      <c r="T56" s="811"/>
      <c r="U56">
        <f ca="1"/>
        <v>0</v>
      </c>
      <c r="V56">
        <f ca="1"/>
        <v>0</v>
      </c>
      <c r="W56">
        <f ca="1"/>
        <v>0</v>
      </c>
      <c r="X56">
        <f ca="1"/>
        <v>0</v>
      </c>
      <c r="Z56">
        <v>0</v>
      </c>
      <c r="AA56">
        <v>0</v>
      </c>
      <c r="AB56" s="714"/>
      <c r="AE56" s="714">
        <f t="shared" ca="1" si="13"/>
        <v>0</v>
      </c>
      <c r="AF56" s="1314">
        <f t="shared" ca="1" si="15"/>
        <v>0</v>
      </c>
      <c r="AG56" s="1332"/>
      <c r="AH56" s="1333"/>
      <c r="AI56" s="1336">
        <f t="shared" ca="1" si="14"/>
        <v>0</v>
      </c>
      <c r="AJ56" s="1337">
        <f t="shared" ca="1" si="16"/>
        <v>0</v>
      </c>
    </row>
    <row r="57" spans="1:36">
      <c r="A57" s="988"/>
      <c r="B57" s="983"/>
      <c r="C57" s="572">
        <v>1000</v>
      </c>
      <c r="D57" s="569">
        <v>-79.88</v>
      </c>
      <c r="E57" s="568">
        <v>1000</v>
      </c>
      <c r="F57" s="816">
        <v>0</v>
      </c>
      <c r="G57" s="570">
        <f ca="1">IF(TabFIFO[[#This Row],[Price]]&gt;0,TabFIFO[[#This Row],[Number]]*TabFIFO[[#This Row],[Price]],0)*(1-Commission)*GBpScale</f>
        <v>0</v>
      </c>
      <c r="H57" s="570">
        <f ca="1">IF(TabFIFO[[#This Row],[Price]]&lt;0,TabFIFO[[#This Row],[Number]]*TabFIFO[[#This Row],[Price]],0)*(1+Commission)*GBpScale</f>
        <v>-80087.687999999995</v>
      </c>
      <c r="I57" s="577">
        <f ca="1">TabFIFO[[#This Row],[Remaining]]*ID_M*GBpScale</f>
        <v>99430</v>
      </c>
      <c r="K57">
        <f>K56-SIGN(TabFIFO[[#This Row],[Price]])*TabFIFO[[#This Row],[Number]]</f>
        <v>20000</v>
      </c>
      <c r="P57" s="16"/>
      <c r="R57" s="811"/>
      <c r="S57" s="811"/>
      <c r="T57" s="811"/>
      <c r="U57">
        <f ca="1"/>
        <v>0</v>
      </c>
      <c r="V57">
        <f ca="1"/>
        <v>0</v>
      </c>
      <c r="W57">
        <f ca="1"/>
        <v>0</v>
      </c>
      <c r="X57">
        <f ca="1"/>
        <v>0</v>
      </c>
      <c r="Z57">
        <v>0</v>
      </c>
      <c r="AA57">
        <v>0</v>
      </c>
      <c r="AB57" s="714"/>
      <c r="AE57" s="714">
        <f t="shared" ca="1" si="13"/>
        <v>0</v>
      </c>
      <c r="AF57" s="1314">
        <f t="shared" ca="1" si="15"/>
        <v>0</v>
      </c>
      <c r="AG57" s="1332"/>
      <c r="AH57" s="1333"/>
      <c r="AI57" s="1336">
        <f t="shared" ca="1" si="14"/>
        <v>0</v>
      </c>
      <c r="AJ57" s="1337">
        <f t="shared" ca="1" si="16"/>
        <v>0</v>
      </c>
    </row>
    <row r="58" spans="1:36">
      <c r="A58" s="120"/>
      <c r="B58" s="773"/>
      <c r="C58" s="572">
        <v>2000</v>
      </c>
      <c r="D58" s="569">
        <v>-78.88</v>
      </c>
      <c r="E58" s="568">
        <v>2000</v>
      </c>
      <c r="F58" s="816">
        <v>0</v>
      </c>
      <c r="G58" s="570">
        <f ca="1">IF(TabFIFO[[#This Row],[Price]]&gt;0,TabFIFO[[#This Row],[Number]]*TabFIFO[[#This Row],[Price]],0)*(1-Commission)*GBpScale</f>
        <v>0</v>
      </c>
      <c r="H58" s="570">
        <f ca="1">IF(TabFIFO[[#This Row],[Price]]&lt;0,TabFIFO[[#This Row],[Number]]*TabFIFO[[#This Row],[Price]],0)*(1+Commission)*GBpScale</f>
        <v>-158170.17599999998</v>
      </c>
      <c r="I58" s="577">
        <f ca="1">TabFIFO[[#This Row],[Remaining]]*ID_M*GBpScale</f>
        <v>198860</v>
      </c>
      <c r="K58">
        <f>K57-SIGN(TabFIFO[[#This Row],[Price]])*TabFIFO[[#This Row],[Number]]</f>
        <v>22000</v>
      </c>
      <c r="P58" s="16"/>
      <c r="R58" s="811"/>
      <c r="S58" s="811"/>
      <c r="T58" s="811"/>
      <c r="U58">
        <f ca="1"/>
        <v>0</v>
      </c>
      <c r="V58">
        <f ca="1"/>
        <v>0</v>
      </c>
      <c r="W58">
        <f ca="1"/>
        <v>0</v>
      </c>
      <c r="X58">
        <f ca="1"/>
        <v>0</v>
      </c>
      <c r="Z58">
        <v>0</v>
      </c>
      <c r="AA58">
        <v>0</v>
      </c>
      <c r="AB58" s="714"/>
      <c r="AE58" s="714">
        <f t="shared" ca="1" si="13"/>
        <v>0</v>
      </c>
      <c r="AF58" s="1314">
        <f t="shared" ca="1" si="15"/>
        <v>0</v>
      </c>
      <c r="AG58" s="1332"/>
      <c r="AH58" s="1333"/>
      <c r="AI58" s="1336">
        <f t="shared" ca="1" si="14"/>
        <v>0</v>
      </c>
      <c r="AJ58" s="1337">
        <f t="shared" ca="1" si="16"/>
        <v>0</v>
      </c>
    </row>
    <row r="59" spans="1:36">
      <c r="A59" s="988"/>
      <c r="B59" s="773"/>
      <c r="C59" s="572">
        <v>2000</v>
      </c>
      <c r="D59" s="569">
        <v>81.47</v>
      </c>
      <c r="E59" s="568"/>
      <c r="F59" s="816">
        <v>80460</v>
      </c>
      <c r="G59" s="570">
        <f ca="1">IF(TabFIFO[[#This Row],[Price]]&gt;0,TabFIFO[[#This Row],[Number]]*TabFIFO[[#This Row],[Price]],0)*(1-Commission)*GBpScale</f>
        <v>162516.356</v>
      </c>
      <c r="H59" s="570">
        <f ca="1">IF(TabFIFO[[#This Row],[Price]]&lt;0,TabFIFO[[#This Row],[Number]]*TabFIFO[[#This Row],[Price]],0)*(1+Commission)*GBpScale</f>
        <v>0</v>
      </c>
      <c r="I59" s="577">
        <f ca="1">TabFIFO[[#This Row],[Remaining]]*ID_M*GBpScale</f>
        <v>0</v>
      </c>
      <c r="K59">
        <f>K58-SIGN(TabFIFO[[#This Row],[Price]])*TabFIFO[[#This Row],[Number]]</f>
        <v>20000</v>
      </c>
      <c r="P59" s="16"/>
      <c r="R59" s="811"/>
      <c r="S59" s="811"/>
      <c r="T59" s="811"/>
      <c r="U59">
        <f ca="1"/>
        <v>0</v>
      </c>
      <c r="V59">
        <f ca="1"/>
        <v>0</v>
      </c>
      <c r="W59">
        <f ca="1"/>
        <v>0</v>
      </c>
      <c r="X59">
        <f ca="1"/>
        <v>0</v>
      </c>
      <c r="Z59">
        <v>0</v>
      </c>
      <c r="AA59">
        <v>0</v>
      </c>
      <c r="AB59" s="714"/>
      <c r="AE59" s="714">
        <f t="shared" ca="1" si="13"/>
        <v>0</v>
      </c>
      <c r="AF59" s="1314">
        <f t="shared" ca="1" si="15"/>
        <v>0</v>
      </c>
      <c r="AG59" s="1332"/>
      <c r="AH59" s="1333"/>
      <c r="AI59" s="1336">
        <f t="shared" ca="1" si="14"/>
        <v>0</v>
      </c>
      <c r="AJ59" s="1337">
        <f t="shared" ca="1" si="16"/>
        <v>0</v>
      </c>
    </row>
    <row r="60" spans="1:36">
      <c r="A60" s="120"/>
      <c r="B60" s="773"/>
      <c r="C60" s="572">
        <v>2000</v>
      </c>
      <c r="D60" s="569">
        <v>90.41</v>
      </c>
      <c r="E60" s="568"/>
      <c r="F60" s="816">
        <v>106460</v>
      </c>
      <c r="G60" s="570">
        <f ca="1">IF(TabFIFO[[#This Row],[Price]]&gt;0,TabFIFO[[#This Row],[Number]]*TabFIFO[[#This Row],[Price]],0)*(1-Commission)*GBpScale</f>
        <v>180349.86799999999</v>
      </c>
      <c r="H60" s="570">
        <f ca="1">IF(TabFIFO[[#This Row],[Price]]&lt;0,TabFIFO[[#This Row],[Number]]*TabFIFO[[#This Row],[Price]],0)*(1+Commission)*GBpScale</f>
        <v>0</v>
      </c>
      <c r="I60" s="577">
        <f ca="1">TabFIFO[[#This Row],[Remaining]]*ID_M*GBpScale</f>
        <v>0</v>
      </c>
      <c r="K60">
        <f>K59-SIGN(TabFIFO[[#This Row],[Price]])*TabFIFO[[#This Row],[Number]]</f>
        <v>18000</v>
      </c>
      <c r="P60" s="16"/>
      <c r="R60" s="811"/>
      <c r="S60" s="811"/>
      <c r="T60" s="811"/>
      <c r="U60">
        <f ca="1"/>
        <v>0</v>
      </c>
      <c r="V60">
        <f ca="1"/>
        <v>0</v>
      </c>
      <c r="W60">
        <f ca="1"/>
        <v>0</v>
      </c>
      <c r="X60">
        <f ca="1"/>
        <v>0</v>
      </c>
      <c r="Z60">
        <v>0</v>
      </c>
      <c r="AA60">
        <v>0</v>
      </c>
      <c r="AB60" s="714"/>
      <c r="AE60" s="714">
        <f t="shared" ca="1" si="13"/>
        <v>0</v>
      </c>
      <c r="AF60" s="1314">
        <f t="shared" ca="1" si="15"/>
        <v>0</v>
      </c>
      <c r="AG60" s="1332"/>
      <c r="AH60" s="1333"/>
      <c r="AI60" s="1336">
        <f t="shared" ca="1" si="14"/>
        <v>0</v>
      </c>
      <c r="AJ60" s="1337">
        <f t="shared" ca="1" si="16"/>
        <v>0</v>
      </c>
    </row>
    <row r="61" spans="1:36">
      <c r="A61" s="988"/>
      <c r="B61" s="773"/>
      <c r="C61" s="572">
        <v>1000</v>
      </c>
      <c r="D61" s="569">
        <v>99.35</v>
      </c>
      <c r="E61" s="568"/>
      <c r="F61" s="816">
        <v>62170</v>
      </c>
      <c r="G61" s="570">
        <f ca="1">IF(TabFIFO[[#This Row],[Price]]&gt;0,TabFIFO[[#This Row],[Number]]*TabFIFO[[#This Row],[Price]],0)*(1-Commission)*GBpScale</f>
        <v>99091.69</v>
      </c>
      <c r="H61" s="570">
        <f ca="1">IF(TabFIFO[[#This Row],[Price]]&lt;0,TabFIFO[[#This Row],[Number]]*TabFIFO[[#This Row],[Price]],0)*(1+Commission)*GBpScale</f>
        <v>0</v>
      </c>
      <c r="I61" s="577">
        <f ca="1">TabFIFO[[#This Row],[Remaining]]*ID_M*GBpScale</f>
        <v>0</v>
      </c>
      <c r="K61">
        <f>K60-SIGN(TabFIFO[[#This Row],[Price]])*TabFIFO[[#This Row],[Number]]</f>
        <v>17000</v>
      </c>
      <c r="P61" s="16"/>
      <c r="R61" s="811"/>
      <c r="S61" s="811"/>
      <c r="T61" s="811"/>
      <c r="U61">
        <f ca="1"/>
        <v>0</v>
      </c>
      <c r="V61">
        <f ca="1"/>
        <v>0</v>
      </c>
      <c r="W61">
        <f ca="1"/>
        <v>0</v>
      </c>
      <c r="X61">
        <f ca="1"/>
        <v>0</v>
      </c>
      <c r="Z61">
        <v>0</v>
      </c>
      <c r="AA61">
        <v>0</v>
      </c>
      <c r="AB61" s="714"/>
      <c r="AE61" s="714">
        <f t="shared" ca="1" si="13"/>
        <v>0</v>
      </c>
      <c r="AF61" s="1314">
        <f t="shared" ca="1" si="15"/>
        <v>0</v>
      </c>
      <c r="AG61" s="1332"/>
      <c r="AH61" s="1333"/>
      <c r="AI61" s="1336">
        <f t="shared" ca="1" si="14"/>
        <v>0</v>
      </c>
      <c r="AJ61" s="1337">
        <f t="shared" ca="1" si="16"/>
        <v>0</v>
      </c>
    </row>
    <row r="62" spans="1:36">
      <c r="A62" s="120"/>
      <c r="B62" s="773"/>
      <c r="C62" s="818">
        <f>SUBTOTAL(109,TabFIFO[Number])</f>
        <v>111000</v>
      </c>
      <c r="D62" s="571"/>
      <c r="E62" s="576">
        <f>SUBTOTAL(109,TabFIFO[Remaining])</f>
        <v>17000</v>
      </c>
      <c r="F62" s="255">
        <f>SUBTOTAL(109,TabFIFO[Profit/Loss])</f>
        <v>934797.02</v>
      </c>
      <c r="G62" s="255">
        <f ca="1">SUBTOTAL(109,TabFIFO[Income])</f>
        <v>2597363.869988</v>
      </c>
      <c r="H62" s="255">
        <f ca="1">SUBTOTAL(109,TabFIFO[Cost])</f>
        <v>-2812844.1191940005</v>
      </c>
      <c r="I62" s="255">
        <f ca="1">SUBTOTAL(109,TabFIFO[M-VALUE Now])</f>
        <v>1690310</v>
      </c>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14">
        <f t="shared" ca="1" si="15"/>
        <v>0</v>
      </c>
      <c r="AG62" s="1332"/>
      <c r="AH62" s="1333"/>
      <c r="AI62" s="1336">
        <f t="shared" ca="1" si="14"/>
        <v>0</v>
      </c>
      <c r="AJ62" s="1337">
        <f t="shared" ca="1" si="16"/>
        <v>0</v>
      </c>
    </row>
    <row r="63" spans="1:36">
      <c r="A63" s="988"/>
      <c r="B63" s="773"/>
      <c r="E63" s="572"/>
      <c r="F63">
        <v>0</v>
      </c>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14">
        <f t="shared" ca="1" si="15"/>
        <v>0</v>
      </c>
      <c r="AG63" s="1332"/>
      <c r="AH63" s="1333"/>
      <c r="AI63" s="1336">
        <f t="shared" ca="1" si="14"/>
        <v>0</v>
      </c>
      <c r="AJ63" s="1337">
        <f t="shared" ca="1" si="16"/>
        <v>0</v>
      </c>
    </row>
    <row r="64" spans="1:36">
      <c r="A64" s="120"/>
      <c r="B64" s="773"/>
      <c r="F64">
        <v>0</v>
      </c>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14">
        <f t="shared" ca="1" si="15"/>
        <v>0</v>
      </c>
      <c r="AI64" s="714">
        <f t="shared" ca="1" si="14"/>
        <v>0</v>
      </c>
      <c r="AJ64" s="714">
        <f t="shared" ca="1" si="16"/>
        <v>0</v>
      </c>
    </row>
    <row r="65" spans="1:36">
      <c r="A65" s="988"/>
      <c r="B65" s="773"/>
      <c r="F65">
        <v>0</v>
      </c>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14">
        <f t="shared" ca="1" si="15"/>
        <v>0</v>
      </c>
      <c r="AI65" s="714">
        <f t="shared" ca="1" si="14"/>
        <v>0</v>
      </c>
      <c r="AJ65" s="714">
        <f t="shared" ca="1" si="16"/>
        <v>0</v>
      </c>
    </row>
    <row r="66" spans="1:36">
      <c r="A66" s="120"/>
      <c r="B66" s="773"/>
      <c r="F66">
        <v>0</v>
      </c>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14">
        <f t="shared" ca="1" si="15"/>
        <v>0</v>
      </c>
      <c r="AI66" s="714">
        <f t="shared" ca="1" si="14"/>
        <v>0</v>
      </c>
      <c r="AJ66" s="714">
        <f t="shared" ca="1" si="16"/>
        <v>0</v>
      </c>
    </row>
    <row r="67" spans="1:36">
      <c r="A67" s="988"/>
      <c r="B67" s="773"/>
      <c r="F67">
        <v>0</v>
      </c>
      <c r="H67" s="810"/>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14">
        <f t="shared" ca="1" si="15"/>
        <v>0</v>
      </c>
      <c r="AI67" s="714">
        <f t="shared" ca="1" si="14"/>
        <v>0</v>
      </c>
      <c r="AJ67" s="714">
        <f t="shared" ca="1" si="16"/>
        <v>0</v>
      </c>
    </row>
    <row r="68" spans="1:36">
      <c r="A68" s="120"/>
      <c r="B68" s="773"/>
      <c r="F68">
        <v>0</v>
      </c>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14">
        <f t="shared" ca="1" si="15"/>
        <v>0</v>
      </c>
      <c r="AI68" s="714">
        <f t="shared" ca="1" si="14"/>
        <v>0</v>
      </c>
      <c r="AJ68" s="714">
        <f t="shared" ca="1" si="16"/>
        <v>0</v>
      </c>
    </row>
    <row r="69" spans="1:36">
      <c r="A69" s="988"/>
      <c r="B69" s="773"/>
      <c r="F69">
        <v>0</v>
      </c>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14">
        <f t="shared" ca="1" si="15"/>
        <v>0</v>
      </c>
      <c r="AI69" s="714">
        <f t="shared" ca="1" si="14"/>
        <v>0</v>
      </c>
      <c r="AJ69" s="714">
        <f t="shared" ca="1" si="16"/>
        <v>0</v>
      </c>
    </row>
    <row r="70" spans="1:36">
      <c r="A70" s="120"/>
      <c r="B70" s="773"/>
      <c r="F70">
        <v>0</v>
      </c>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14">
        <f t="shared" ca="1" si="15"/>
        <v>0</v>
      </c>
      <c r="AI70" s="714">
        <f t="shared" ca="1" si="14"/>
        <v>0</v>
      </c>
      <c r="AJ70" s="714">
        <f t="shared" ca="1" si="16"/>
        <v>0</v>
      </c>
    </row>
    <row r="71" spans="1:36">
      <c r="A71" s="988"/>
      <c r="B71" s="773"/>
      <c r="F71">
        <v>0</v>
      </c>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14">
        <f t="shared" ca="1" si="15"/>
        <v>0</v>
      </c>
      <c r="AI71" s="714">
        <f t="shared" ca="1" si="14"/>
        <v>0</v>
      </c>
      <c r="AJ71" s="714">
        <f t="shared" ca="1" si="16"/>
        <v>0</v>
      </c>
    </row>
    <row r="72" spans="1:36">
      <c r="A72" s="120"/>
      <c r="B72" s="773"/>
      <c r="F72">
        <v>0</v>
      </c>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14">
        <f t="shared" ca="1" si="15"/>
        <v>0</v>
      </c>
      <c r="AI72" s="714">
        <f t="shared" ca="1" si="14"/>
        <v>0</v>
      </c>
      <c r="AJ72" s="714">
        <f t="shared" ca="1" si="16"/>
        <v>0</v>
      </c>
    </row>
    <row r="73" spans="1:36">
      <c r="A73" s="988"/>
      <c r="B73" s="773"/>
      <c r="F73">
        <v>0</v>
      </c>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14">
        <f t="shared" ca="1" si="15"/>
        <v>0</v>
      </c>
      <c r="AI73" s="714">
        <f t="shared" ca="1" si="14"/>
        <v>0</v>
      </c>
      <c r="AJ73" s="714">
        <f t="shared" ca="1" si="16"/>
        <v>0</v>
      </c>
    </row>
    <row r="74" spans="1:36">
      <c r="A74" s="120"/>
      <c r="B74" s="773"/>
      <c r="F74">
        <v>0</v>
      </c>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14">
        <f t="shared" ca="1" si="15"/>
        <v>0</v>
      </c>
      <c r="AI74" s="714">
        <f t="shared" ca="1" si="14"/>
        <v>0</v>
      </c>
      <c r="AJ74" s="714">
        <f t="shared" ca="1" si="16"/>
        <v>0</v>
      </c>
    </row>
    <row r="75" spans="1:36">
      <c r="A75" s="988"/>
      <c r="B75" s="773"/>
      <c r="F75">
        <v>0</v>
      </c>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14">
        <f t="shared" ca="1" si="15"/>
        <v>0</v>
      </c>
      <c r="AI75" s="714">
        <f t="shared" ca="1" si="14"/>
        <v>0</v>
      </c>
      <c r="AJ75" s="714">
        <f t="shared" ca="1" si="16"/>
        <v>0</v>
      </c>
    </row>
    <row r="76" spans="1:36">
      <c r="F76">
        <v>0</v>
      </c>
      <c r="K76" s="810"/>
      <c r="P76" s="16"/>
      <c r="R76" s="811"/>
      <c r="S76" s="811"/>
      <c r="T76" s="811"/>
      <c r="U76">
        <f ca="1"/>
        <v>0</v>
      </c>
      <c r="V76">
        <f ca="1"/>
        <v>0</v>
      </c>
      <c r="W76">
        <f ca="1"/>
        <v>0</v>
      </c>
      <c r="X76">
        <f ca="1"/>
        <v>0</v>
      </c>
      <c r="Z76">
        <v>0</v>
      </c>
      <c r="AA76">
        <v>0</v>
      </c>
      <c r="AB76" s="714"/>
      <c r="AE76" s="714">
        <f t="shared" ca="1" si="13"/>
        <v>0</v>
      </c>
      <c r="AF76" s="1314">
        <f t="shared" ca="1" si="15"/>
        <v>0</v>
      </c>
      <c r="AI76" s="714">
        <f t="shared" ca="1" si="14"/>
        <v>0</v>
      </c>
      <c r="AJ76" s="714">
        <f t="shared" ca="1" si="16"/>
        <v>0</v>
      </c>
    </row>
    <row r="77" spans="1:36">
      <c r="F77">
        <v>0</v>
      </c>
      <c r="K77" s="810"/>
      <c r="P77" s="16"/>
      <c r="R77" s="811"/>
      <c r="S77" s="811"/>
      <c r="T77" s="811"/>
      <c r="U77">
        <f ca="1"/>
        <v>0</v>
      </c>
      <c r="V77">
        <f ca="1"/>
        <v>0</v>
      </c>
      <c r="W77">
        <f ca="1"/>
        <v>0</v>
      </c>
      <c r="X77">
        <f ca="1"/>
        <v>0</v>
      </c>
      <c r="Z77">
        <v>0</v>
      </c>
      <c r="AA77">
        <v>0</v>
      </c>
      <c r="AB77" s="714"/>
      <c r="AE77" s="714">
        <f t="shared" ca="1" si="13"/>
        <v>0</v>
      </c>
      <c r="AF77" s="1314">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14">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14">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14">
        <f t="shared" ca="1" si="15"/>
        <v>0</v>
      </c>
      <c r="AI80" s="714">
        <f t="shared" ca="1" si="14"/>
        <v>0</v>
      </c>
      <c r="AJ80" s="714">
        <f t="shared" ca="1" si="16"/>
        <v>0</v>
      </c>
    </row>
    <row r="81" spans="16:36">
      <c r="P81" s="16"/>
      <c r="R81" s="811"/>
      <c r="S81" s="811"/>
      <c r="T81" s="811"/>
      <c r="U81">
        <f ca="1"/>
        <v>0</v>
      </c>
      <c r="V81">
        <f ca="1"/>
        <v>0</v>
      </c>
      <c r="W81">
        <f ca="1"/>
        <v>0</v>
      </c>
      <c r="X81">
        <f ca="1"/>
        <v>0</v>
      </c>
      <c r="Z81">
        <v>0</v>
      </c>
      <c r="AA81">
        <v>0</v>
      </c>
      <c r="AB81" s="714"/>
      <c r="AE81" s="714">
        <f t="shared" ca="1" si="13"/>
        <v>0</v>
      </c>
      <c r="AF81" s="1314">
        <f t="shared" ca="1" si="15"/>
        <v>0</v>
      </c>
      <c r="AI81" s="714">
        <f t="shared" ca="1" si="14"/>
        <v>0</v>
      </c>
      <c r="AJ81" s="714">
        <f t="shared" ca="1" si="16"/>
        <v>0</v>
      </c>
    </row>
    <row r="82" spans="16:36">
      <c r="P82" s="16"/>
      <c r="R82" s="811"/>
      <c r="S82" s="811"/>
      <c r="T82" s="811"/>
      <c r="U82">
        <f ca="1"/>
        <v>0</v>
      </c>
      <c r="V82">
        <f ca="1"/>
        <v>0</v>
      </c>
      <c r="W82">
        <f ca="1"/>
        <v>0</v>
      </c>
      <c r="X82">
        <f ca="1"/>
        <v>0</v>
      </c>
      <c r="Z82">
        <v>0</v>
      </c>
      <c r="AA82">
        <v>0</v>
      </c>
      <c r="AB82" s="714"/>
      <c r="AE82" s="714">
        <f t="shared" ca="1" si="13"/>
        <v>0</v>
      </c>
      <c r="AF82" s="1314">
        <f t="shared" ca="1" si="15"/>
        <v>0</v>
      </c>
      <c r="AI82" s="714">
        <f t="shared" ca="1" si="14"/>
        <v>0</v>
      </c>
      <c r="AJ82" s="714">
        <f t="shared" ca="1" si="16"/>
        <v>0</v>
      </c>
    </row>
    <row r="83" spans="16:36">
      <c r="P83" s="16"/>
      <c r="R83" s="811"/>
      <c r="S83" s="811"/>
      <c r="T83" s="811"/>
      <c r="U83">
        <f ca="1"/>
        <v>0</v>
      </c>
      <c r="V83">
        <f ca="1"/>
        <v>0</v>
      </c>
      <c r="W83">
        <f ca="1"/>
        <v>0</v>
      </c>
      <c r="X83">
        <f ca="1"/>
        <v>0</v>
      </c>
      <c r="Z83">
        <v>0</v>
      </c>
      <c r="AA83">
        <v>0</v>
      </c>
      <c r="AB83" s="714"/>
      <c r="AE83" s="714">
        <f t="shared" ca="1" si="13"/>
        <v>0</v>
      </c>
      <c r="AF83" s="1314">
        <f t="shared" ca="1" si="15"/>
        <v>0</v>
      </c>
      <c r="AI83" s="714">
        <f t="shared" ca="1" si="14"/>
        <v>0</v>
      </c>
      <c r="AJ83" s="714">
        <f t="shared" ca="1" si="16"/>
        <v>0</v>
      </c>
    </row>
    <row r="84" spans="16:36">
      <c r="P84" s="16"/>
      <c r="R84" s="811"/>
      <c r="S84" s="811"/>
      <c r="T84" s="811"/>
      <c r="U84">
        <f ca="1"/>
        <v>0</v>
      </c>
      <c r="V84">
        <f ca="1"/>
        <v>0</v>
      </c>
      <c r="W84">
        <f ca="1"/>
        <v>0</v>
      </c>
      <c r="X84">
        <f ca="1"/>
        <v>0</v>
      </c>
      <c r="Z84">
        <v>0</v>
      </c>
      <c r="AA84">
        <v>0</v>
      </c>
      <c r="AB84" s="714"/>
      <c r="AE84" s="714">
        <f t="shared" ca="1" si="13"/>
        <v>0</v>
      </c>
      <c r="AF84" s="1314">
        <f t="shared" ca="1" si="15"/>
        <v>0</v>
      </c>
      <c r="AI84" s="714">
        <f t="shared" ca="1" si="14"/>
        <v>0</v>
      </c>
      <c r="AJ84" s="714">
        <f t="shared" ca="1" si="16"/>
        <v>0</v>
      </c>
    </row>
    <row r="85" spans="16:36">
      <c r="P85" s="16"/>
      <c r="R85" s="811"/>
      <c r="S85" s="811"/>
      <c r="T85" s="811"/>
      <c r="U85">
        <f ca="1"/>
        <v>0</v>
      </c>
      <c r="V85">
        <f ca="1"/>
        <v>0</v>
      </c>
      <c r="W85">
        <f ca="1"/>
        <v>0</v>
      </c>
      <c r="X85">
        <f ca="1"/>
        <v>0</v>
      </c>
      <c r="Z85">
        <v>0</v>
      </c>
      <c r="AA85">
        <v>0</v>
      </c>
      <c r="AB85" s="714"/>
      <c r="AE85" s="714">
        <f t="shared" ca="1" si="13"/>
        <v>0</v>
      </c>
      <c r="AF85" s="1314">
        <f t="shared" ca="1" si="15"/>
        <v>0</v>
      </c>
      <c r="AI85" s="714">
        <f t="shared" ca="1" si="14"/>
        <v>0</v>
      </c>
      <c r="AJ85" s="714">
        <f t="shared" ca="1" si="16"/>
        <v>0</v>
      </c>
    </row>
    <row r="86" spans="16:36">
      <c r="P86" s="16"/>
      <c r="R86" s="811"/>
      <c r="S86" s="811"/>
      <c r="T86" s="811"/>
      <c r="U86">
        <f ca="1"/>
        <v>0</v>
      </c>
      <c r="V86">
        <f ca="1"/>
        <v>0</v>
      </c>
      <c r="W86">
        <f ca="1"/>
        <v>0</v>
      </c>
      <c r="X86">
        <f ca="1"/>
        <v>0</v>
      </c>
      <c r="Z86">
        <v>0</v>
      </c>
      <c r="AA86">
        <v>0</v>
      </c>
      <c r="AB86" s="714"/>
      <c r="AE86" s="714">
        <f t="shared" ref="AE86:AE99" ca="1" si="17">AD86*ID_M</f>
        <v>0</v>
      </c>
      <c r="AF86" s="1314">
        <f t="shared" ca="1" si="15"/>
        <v>0</v>
      </c>
      <c r="AI86" s="714">
        <f t="shared" ref="AI86:AI99" ca="1" si="18">AH86*ID_M</f>
        <v>0</v>
      </c>
      <c r="AJ86" s="714">
        <f t="shared" ca="1" si="16"/>
        <v>0</v>
      </c>
    </row>
    <row r="87" spans="16:36">
      <c r="P87" s="16"/>
      <c r="R87" s="811"/>
      <c r="S87" s="811"/>
      <c r="T87" s="811"/>
      <c r="U87">
        <f ca="1"/>
        <v>0</v>
      </c>
      <c r="V87">
        <f ca="1"/>
        <v>0</v>
      </c>
      <c r="W87">
        <f ca="1"/>
        <v>0</v>
      </c>
      <c r="X87">
        <f ca="1"/>
        <v>0</v>
      </c>
      <c r="Z87">
        <v>0</v>
      </c>
      <c r="AA87">
        <v>0</v>
      </c>
      <c r="AB87" s="714"/>
      <c r="AE87" s="714">
        <f t="shared" ca="1" si="17"/>
        <v>0</v>
      </c>
      <c r="AF87" s="1314">
        <f t="shared" ref="AF87:AF99" ca="1" si="19">AD87*(ID_M+AC87)</f>
        <v>0</v>
      </c>
      <c r="AI87" s="714">
        <f t="shared" ca="1" si="18"/>
        <v>0</v>
      </c>
      <c r="AJ87" s="714">
        <f t="shared" ref="AJ87:AJ99" ca="1" si="20">AG87*(ID_M-AH87)</f>
        <v>0</v>
      </c>
    </row>
    <row r="88" spans="16:36">
      <c r="P88" s="16"/>
      <c r="R88" s="811"/>
      <c r="S88" s="811"/>
      <c r="T88" s="811"/>
      <c r="U88">
        <f ca="1"/>
        <v>0</v>
      </c>
      <c r="V88">
        <f ca="1"/>
        <v>0</v>
      </c>
      <c r="W88">
        <f ca="1"/>
        <v>0</v>
      </c>
      <c r="X88">
        <f ca="1"/>
        <v>0</v>
      </c>
      <c r="Z88">
        <v>0</v>
      </c>
      <c r="AA88">
        <v>0</v>
      </c>
      <c r="AB88" s="714"/>
      <c r="AE88" s="714">
        <f t="shared" ca="1" si="17"/>
        <v>0</v>
      </c>
      <c r="AF88" s="1314">
        <f t="shared" ca="1" si="19"/>
        <v>0</v>
      </c>
      <c r="AI88" s="714">
        <f t="shared" ca="1" si="18"/>
        <v>0</v>
      </c>
      <c r="AJ88" s="714">
        <f t="shared" ca="1" si="20"/>
        <v>0</v>
      </c>
    </row>
    <row r="89" spans="16:36">
      <c r="P89" s="16"/>
      <c r="R89" s="811"/>
      <c r="S89" s="811"/>
      <c r="T89" s="811"/>
      <c r="U89">
        <f ca="1"/>
        <v>0</v>
      </c>
      <c r="V89">
        <f ca="1"/>
        <v>0</v>
      </c>
      <c r="W89">
        <f ca="1"/>
        <v>0</v>
      </c>
      <c r="X89">
        <f ca="1"/>
        <v>0</v>
      </c>
      <c r="Z89">
        <v>0</v>
      </c>
      <c r="AA89">
        <v>0</v>
      </c>
      <c r="AB89" s="714"/>
      <c r="AE89" s="714">
        <f t="shared" ca="1" si="17"/>
        <v>0</v>
      </c>
      <c r="AF89" s="1314">
        <f t="shared" ca="1" si="19"/>
        <v>0</v>
      </c>
      <c r="AI89" s="714">
        <f t="shared" ca="1" si="18"/>
        <v>0</v>
      </c>
      <c r="AJ89" s="714">
        <f t="shared" ca="1" si="20"/>
        <v>0</v>
      </c>
    </row>
    <row r="90" spans="16:36">
      <c r="P90" s="16"/>
      <c r="R90" s="811"/>
      <c r="S90" s="811"/>
      <c r="T90" s="811"/>
      <c r="U90">
        <f ca="1"/>
        <v>0</v>
      </c>
      <c r="V90">
        <f ca="1"/>
        <v>0</v>
      </c>
      <c r="W90">
        <f ca="1"/>
        <v>0</v>
      </c>
      <c r="X90">
        <f ca="1"/>
        <v>0</v>
      </c>
      <c r="Z90">
        <v>0</v>
      </c>
      <c r="AA90">
        <v>0</v>
      </c>
      <c r="AB90" s="714"/>
      <c r="AE90" s="714">
        <f t="shared" ca="1" si="17"/>
        <v>0</v>
      </c>
      <c r="AF90" s="1314">
        <f t="shared" ca="1" si="19"/>
        <v>0</v>
      </c>
      <c r="AI90" s="714">
        <f t="shared" ca="1" si="18"/>
        <v>0</v>
      </c>
      <c r="AJ90" s="714">
        <f t="shared" ca="1" si="20"/>
        <v>0</v>
      </c>
    </row>
    <row r="91" spans="16:36">
      <c r="P91" s="16"/>
      <c r="R91" s="811"/>
      <c r="S91" s="811"/>
      <c r="T91" s="811"/>
      <c r="U91">
        <f ca="1"/>
        <v>0</v>
      </c>
      <c r="V91">
        <f ca="1"/>
        <v>0</v>
      </c>
      <c r="W91">
        <f ca="1"/>
        <v>0</v>
      </c>
      <c r="X91">
        <f ca="1"/>
        <v>0</v>
      </c>
      <c r="Z91">
        <v>0</v>
      </c>
      <c r="AA91">
        <v>0</v>
      </c>
      <c r="AB91" s="714"/>
      <c r="AE91" s="714">
        <f t="shared" ca="1" si="17"/>
        <v>0</v>
      </c>
      <c r="AF91" s="1314">
        <f t="shared" ca="1" si="19"/>
        <v>0</v>
      </c>
      <c r="AI91" s="714">
        <f t="shared" ca="1" si="18"/>
        <v>0</v>
      </c>
      <c r="AJ91" s="714">
        <f t="shared" ca="1" si="20"/>
        <v>0</v>
      </c>
    </row>
    <row r="92" spans="16:36">
      <c r="P92" s="16"/>
      <c r="R92" s="811"/>
      <c r="S92" s="811"/>
      <c r="T92" s="811"/>
      <c r="U92">
        <f ca="1"/>
        <v>0</v>
      </c>
      <c r="V92">
        <f ca="1"/>
        <v>0</v>
      </c>
      <c r="W92">
        <f ca="1"/>
        <v>0</v>
      </c>
      <c r="X92">
        <f ca="1"/>
        <v>0</v>
      </c>
      <c r="Z92">
        <v>0</v>
      </c>
      <c r="AA92">
        <v>0</v>
      </c>
      <c r="AB92" s="714"/>
      <c r="AE92" s="714">
        <f t="shared" ca="1" si="17"/>
        <v>0</v>
      </c>
      <c r="AF92" s="1314">
        <f t="shared" ca="1" si="19"/>
        <v>0</v>
      </c>
      <c r="AI92" s="714">
        <f t="shared" ca="1" si="18"/>
        <v>0</v>
      </c>
      <c r="AJ92" s="714">
        <f t="shared" ca="1" si="20"/>
        <v>0</v>
      </c>
    </row>
    <row r="93" spans="16:36">
      <c r="P93" s="16"/>
      <c r="R93" s="811"/>
      <c r="S93" s="811"/>
      <c r="T93" s="811"/>
      <c r="U93">
        <f ca="1"/>
        <v>0</v>
      </c>
      <c r="V93">
        <f ca="1"/>
        <v>0</v>
      </c>
      <c r="W93">
        <f ca="1"/>
        <v>0</v>
      </c>
      <c r="X93">
        <f ca="1"/>
        <v>0</v>
      </c>
      <c r="Z93">
        <v>0</v>
      </c>
      <c r="AA93">
        <v>0</v>
      </c>
      <c r="AB93" s="714"/>
      <c r="AE93" s="714">
        <f t="shared" ca="1" si="17"/>
        <v>0</v>
      </c>
      <c r="AF93" s="1314">
        <f t="shared" ca="1" si="19"/>
        <v>0</v>
      </c>
      <c r="AI93" s="714">
        <f t="shared" ca="1" si="18"/>
        <v>0</v>
      </c>
      <c r="AJ93" s="714">
        <f t="shared" ca="1" si="20"/>
        <v>0</v>
      </c>
    </row>
    <row r="94" spans="16:36">
      <c r="P94" s="16"/>
      <c r="R94" s="811"/>
      <c r="S94" s="811"/>
      <c r="T94" s="811"/>
      <c r="U94">
        <f ca="1"/>
        <v>0</v>
      </c>
      <c r="V94">
        <f ca="1"/>
        <v>0</v>
      </c>
      <c r="W94">
        <f ca="1"/>
        <v>0</v>
      </c>
      <c r="X94">
        <f ca="1"/>
        <v>0</v>
      </c>
      <c r="Z94">
        <v>0</v>
      </c>
      <c r="AA94">
        <v>0</v>
      </c>
      <c r="AB94" s="714"/>
      <c r="AE94" s="714">
        <f t="shared" ca="1" si="17"/>
        <v>0</v>
      </c>
      <c r="AF94" s="1314">
        <f t="shared" ca="1" si="19"/>
        <v>0</v>
      </c>
      <c r="AI94" s="714">
        <f t="shared" ca="1" si="18"/>
        <v>0</v>
      </c>
      <c r="AJ94" s="714">
        <f t="shared" ca="1" si="20"/>
        <v>0</v>
      </c>
    </row>
    <row r="95" spans="16:36">
      <c r="P95" s="16"/>
      <c r="R95" s="811"/>
      <c r="S95" s="811"/>
      <c r="T95" s="811"/>
      <c r="U95">
        <f ca="1"/>
        <v>0</v>
      </c>
      <c r="V95">
        <f ca="1"/>
        <v>0</v>
      </c>
      <c r="W95">
        <f ca="1"/>
        <v>0</v>
      </c>
      <c r="X95">
        <f ca="1"/>
        <v>0</v>
      </c>
      <c r="Z95">
        <v>0</v>
      </c>
      <c r="AA95">
        <v>0</v>
      </c>
      <c r="AB95" s="714"/>
      <c r="AE95" s="714">
        <f t="shared" ca="1" si="17"/>
        <v>0</v>
      </c>
      <c r="AF95" s="1314">
        <f t="shared" ca="1" si="19"/>
        <v>0</v>
      </c>
      <c r="AI95" s="714">
        <f t="shared" ca="1" si="18"/>
        <v>0</v>
      </c>
      <c r="AJ95" s="714">
        <f t="shared" ca="1" si="20"/>
        <v>0</v>
      </c>
    </row>
    <row r="96" spans="16:36">
      <c r="P96" s="16"/>
      <c r="R96" s="811"/>
      <c r="S96" s="811"/>
      <c r="T96" s="811"/>
      <c r="U96">
        <f ca="1"/>
        <v>0</v>
      </c>
      <c r="V96">
        <f ca="1"/>
        <v>0</v>
      </c>
      <c r="W96">
        <f ca="1"/>
        <v>0</v>
      </c>
      <c r="X96">
        <f ca="1"/>
        <v>0</v>
      </c>
      <c r="Z96">
        <v>0</v>
      </c>
      <c r="AA96">
        <v>0</v>
      </c>
      <c r="AB96" s="714"/>
      <c r="AE96" s="714">
        <f t="shared" ca="1" si="17"/>
        <v>0</v>
      </c>
      <c r="AF96" s="1314">
        <f t="shared" ca="1" si="19"/>
        <v>0</v>
      </c>
      <c r="AI96" s="714">
        <f t="shared" ca="1" si="18"/>
        <v>0</v>
      </c>
      <c r="AJ96" s="714">
        <f t="shared" ca="1" si="20"/>
        <v>0</v>
      </c>
    </row>
    <row r="97" spans="15:36">
      <c r="P97" s="16"/>
      <c r="R97" s="811"/>
      <c r="S97" s="811"/>
      <c r="T97" s="811"/>
      <c r="U97">
        <f ca="1"/>
        <v>0</v>
      </c>
      <c r="V97">
        <f ca="1"/>
        <v>0</v>
      </c>
      <c r="W97">
        <f ca="1"/>
        <v>0</v>
      </c>
      <c r="X97">
        <f ca="1"/>
        <v>0</v>
      </c>
      <c r="Z97">
        <v>0</v>
      </c>
      <c r="AA97">
        <v>0</v>
      </c>
      <c r="AB97" s="714"/>
      <c r="AE97" s="714">
        <f t="shared" ca="1" si="17"/>
        <v>0</v>
      </c>
      <c r="AF97" s="1314">
        <f t="shared" ca="1" si="19"/>
        <v>0</v>
      </c>
      <c r="AI97" s="714">
        <f t="shared" ca="1" si="18"/>
        <v>0</v>
      </c>
      <c r="AJ97" s="714">
        <f t="shared" ca="1" si="20"/>
        <v>0</v>
      </c>
    </row>
    <row r="98" spans="15:36">
      <c r="P98" s="16"/>
      <c r="R98" s="811"/>
      <c r="S98" s="811"/>
      <c r="T98" s="811"/>
      <c r="U98">
        <f ca="1"/>
        <v>0</v>
      </c>
      <c r="V98">
        <f ca="1"/>
        <v>0</v>
      </c>
      <c r="W98">
        <f ca="1"/>
        <v>0</v>
      </c>
      <c r="X98">
        <f ca="1"/>
        <v>0</v>
      </c>
      <c r="Z98">
        <v>0</v>
      </c>
      <c r="AA98">
        <v>0</v>
      </c>
      <c r="AB98" s="714"/>
      <c r="AE98" s="714">
        <f t="shared" ca="1" si="17"/>
        <v>0</v>
      </c>
      <c r="AF98" s="1314">
        <f t="shared" ca="1" si="19"/>
        <v>0</v>
      </c>
      <c r="AI98" s="714">
        <f t="shared" ca="1" si="18"/>
        <v>0</v>
      </c>
      <c r="AJ98" s="714">
        <f t="shared" ca="1" si="20"/>
        <v>0</v>
      </c>
    </row>
    <row r="99" spans="15:36" ht="23" thickBot="1">
      <c r="P99" s="825"/>
      <c r="Q99" s="826"/>
      <c r="R99" s="811"/>
      <c r="S99" s="811"/>
      <c r="T99" s="811"/>
      <c r="U99" s="826">
        <f ca="1"/>
        <v>0</v>
      </c>
      <c r="V99" s="826">
        <f ca="1"/>
        <v>0</v>
      </c>
      <c r="W99" s="826">
        <f ca="1"/>
        <v>0</v>
      </c>
      <c r="X99" s="826">
        <f ca="1"/>
        <v>0</v>
      </c>
      <c r="Y99" s="826"/>
      <c r="Z99" s="826">
        <v>0</v>
      </c>
      <c r="AA99" s="826">
        <v>0</v>
      </c>
      <c r="AB99" s="1486"/>
      <c r="AC99" s="826"/>
      <c r="AD99" s="826"/>
      <c r="AE99" s="1486">
        <f t="shared" ca="1" si="17"/>
        <v>0</v>
      </c>
      <c r="AF99" s="1487">
        <f t="shared" ca="1" si="19"/>
        <v>0</v>
      </c>
      <c r="AG99" s="826"/>
      <c r="AH99" s="826"/>
      <c r="AI99" s="1486">
        <f t="shared" ca="1" si="18"/>
        <v>0</v>
      </c>
      <c r="AJ99" s="1486">
        <f t="shared" ca="1" si="20"/>
        <v>0</v>
      </c>
    </row>
    <row r="100" spans="15:36" ht="23" thickTop="1">
      <c r="AF100" s="1315"/>
    </row>
    <row r="101" spans="15:36">
      <c r="O101" t="s">
        <v>2848</v>
      </c>
      <c r="P101" cm="1">
        <f t="array" aca="1" ref="P101:AJ101" ca="1">_xlfn.XLOOKUP(IDTICKER,DataShift!A205:A298,Tab1Price[])</f>
        <v>81.62</v>
      </c>
      <c r="Q101">
        <f ca="1"/>
        <v>82.614800000000002</v>
      </c>
      <c r="R101">
        <f ca="1"/>
        <v>83.35</v>
      </c>
      <c r="S101">
        <f ca="1"/>
        <v>87.8</v>
      </c>
      <c r="T101">
        <f ca="1"/>
        <v>86.61</v>
      </c>
      <c r="U101">
        <f ca="1"/>
        <v>87.594999999999999</v>
      </c>
      <c r="V101">
        <f ca="1"/>
        <v>82.87</v>
      </c>
      <c r="W101">
        <f ca="1"/>
        <v>83.62</v>
      </c>
      <c r="X101">
        <f ca="1"/>
        <v>90.45</v>
      </c>
      <c r="Y101">
        <f ca="1"/>
        <v>90.52</v>
      </c>
      <c r="Z101">
        <f ca="1"/>
        <v>90.73</v>
      </c>
      <c r="AA101">
        <f ca="1"/>
        <v>92</v>
      </c>
      <c r="AB101">
        <f ca="1"/>
        <v>90.454999999999998</v>
      </c>
      <c r="AC101">
        <f ca="1"/>
        <v>91.18</v>
      </c>
      <c r="AD101">
        <f ca="1"/>
        <v>89.67</v>
      </c>
      <c r="AE101">
        <f ca="1"/>
        <v>90.555000000000007</v>
      </c>
      <c r="AF101">
        <f ca="1"/>
        <v>89.76</v>
      </c>
      <c r="AG101">
        <f ca="1"/>
        <v>92.64</v>
      </c>
      <c r="AH101">
        <f ca="1"/>
        <v>94.415000000000006</v>
      </c>
      <c r="AI101">
        <f ca="1"/>
        <v>99.43</v>
      </c>
      <c r="AJ101">
        <f ca="1"/>
        <v>99.43</v>
      </c>
    </row>
    <row r="102" spans="15:36">
      <c r="O102" t="s">
        <v>2864</v>
      </c>
      <c r="P102" s="308" cm="1">
        <f t="array" aca="1" ref="P102:AJ102" ca="1">_xlfn.XLOOKUP(IDTICKER,DataShift!A205:A298,Tab1ChangePercent[])</f>
        <v>3.4473999999999998E-2</v>
      </c>
      <c r="Q102" s="308">
        <f ca="1"/>
        <v>1.2063999999999998E-2</v>
      </c>
      <c r="R102" s="308">
        <f ca="1"/>
        <v>9.9360000000000004E-3</v>
      </c>
      <c r="S102" s="308">
        <f ca="1"/>
        <v>-2.1400000000000002E-2</v>
      </c>
      <c r="T102" s="308">
        <f ca="1"/>
        <v>-5.5120000000000004E-3</v>
      </c>
      <c r="U102" s="308">
        <f ca="1"/>
        <v>1.149E-2</v>
      </c>
      <c r="V102" s="308">
        <f ca="1"/>
        <v>-5.3023000000000001E-2</v>
      </c>
      <c r="W102" s="308">
        <f ca="1"/>
        <v>1.9755999999999999E-2</v>
      </c>
      <c r="X102" s="308">
        <f ca="1"/>
        <v>5.1500000000000004E-2</v>
      </c>
      <c r="Y102" s="308">
        <f ca="1"/>
        <v>5.2312999999999998E-2</v>
      </c>
      <c r="Z102" s="308">
        <f ca="1"/>
        <v>2.32E-3</v>
      </c>
      <c r="AA102" s="308">
        <f ca="1"/>
        <v>1.3998E-2</v>
      </c>
      <c r="AB102" s="308">
        <f ca="1"/>
        <v>-1.4973E-2</v>
      </c>
      <c r="AC102">
        <f ca="1"/>
        <v>7.7370000000000008E-3</v>
      </c>
      <c r="AD102">
        <f ca="1"/>
        <v>-8.9519999999999999E-3</v>
      </c>
      <c r="AE102">
        <f ca="1"/>
        <v>1.0095E-2</v>
      </c>
      <c r="AF102">
        <f ca="1"/>
        <v>-1.0582000000000001E-2</v>
      </c>
      <c r="AG102">
        <f ca="1"/>
        <v>4.0898999999999998E-2</v>
      </c>
      <c r="AH102">
        <f ca="1"/>
        <v>3.454E-3</v>
      </c>
      <c r="AI102">
        <f ca="1"/>
        <v>5.3284000000000005E-2</v>
      </c>
      <c r="AJ102">
        <f ca="1"/>
        <v>5.3284000000000005E-2</v>
      </c>
    </row>
    <row r="129" spans="3:4">
      <c r="C129" s="86"/>
      <c r="D129" s="80"/>
    </row>
    <row r="130" spans="3:4">
      <c r="C130" s="86"/>
      <c r="D130" s="80"/>
    </row>
    <row r="131" spans="3:4">
      <c r="C131" s="86"/>
      <c r="D131" s="80"/>
    </row>
    <row r="132" spans="3:4">
      <c r="C132" s="86"/>
      <c r="D132" s="80"/>
    </row>
    <row r="133" spans="3:4">
      <c r="C133" s="86"/>
      <c r="D133" s="80"/>
    </row>
    <row r="134" spans="3:4">
      <c r="C134" s="86"/>
      <c r="D134" s="80"/>
    </row>
    <row r="135" spans="3:4">
      <c r="C135" s="86"/>
      <c r="D135" s="80"/>
    </row>
    <row r="136" spans="3:4">
      <c r="C136" s="86"/>
      <c r="D136" s="80"/>
    </row>
    <row r="137" spans="3:4">
      <c r="C137" s="86"/>
      <c r="D137" s="80"/>
    </row>
    <row r="138" spans="3:4">
      <c r="C138" s="86"/>
      <c r="D138" s="80"/>
    </row>
    <row r="139" spans="3:4">
      <c r="C139" s="86"/>
      <c r="D139" s="80"/>
    </row>
    <row r="140" spans="3:4">
      <c r="C140" s="86"/>
      <c r="D140" s="80"/>
    </row>
    <row r="141" spans="3:4">
      <c r="C141" s="86"/>
      <c r="D141" s="80"/>
    </row>
    <row r="142" spans="3:4">
      <c r="C142" s="86"/>
      <c r="D142" s="80"/>
    </row>
    <row r="143" spans="3:4">
      <c r="C143" s="86"/>
      <c r="D143" s="80"/>
    </row>
    <row r="144" spans="3:4">
      <c r="C144" s="86"/>
      <c r="D144" s="80"/>
    </row>
    <row r="145" spans="3:4">
      <c r="C145" s="86"/>
      <c r="D145" s="80"/>
    </row>
    <row r="146" spans="3:4">
      <c r="C146" s="86"/>
      <c r="D146" s="80"/>
    </row>
    <row r="147" spans="3:4">
      <c r="C147" s="86"/>
      <c r="D147" s="80"/>
    </row>
  </sheetData>
  <autoFilter ref="L3:M24" xr:uid="{EF59AA03-5DFB-5944-9EED-C02761F17A18}"/>
  <mergeCells count="2">
    <mergeCell ref="L1:O1"/>
    <mergeCell ref="AC16:AC17"/>
  </mergeCells>
  <phoneticPr fontId="50" type="noConversion"/>
  <conditionalFormatting sqref="C15">
    <cfRule type="cellIs" dxfId="771" priority="38" operator="greaterThan">
      <formula>0</formula>
    </cfRule>
    <cfRule type="cellIs" dxfId="770" priority="39" operator="lessThan">
      <formula>0</formula>
    </cfRule>
  </conditionalFormatting>
  <conditionalFormatting sqref="H16:J16">
    <cfRule type="expression" dxfId="769" priority="15">
      <formula>$I$16&gt;$I$15</formula>
    </cfRule>
    <cfRule type="cellIs" dxfId="768" priority="36" operator="greaterThan">
      <formula>0</formula>
    </cfRule>
    <cfRule type="cellIs" dxfId="767" priority="37" operator="lessThan">
      <formula>0</formula>
    </cfRule>
  </conditionalFormatting>
  <conditionalFormatting sqref="C16">
    <cfRule type="cellIs" dxfId="766" priority="35" operator="lessThan">
      <formula>"-"</formula>
    </cfRule>
  </conditionalFormatting>
  <conditionalFormatting sqref="A8">
    <cfRule type="cellIs" dxfId="765" priority="16" operator="lessThan">
      <formula>0</formula>
    </cfRule>
    <cfRule type="cellIs" dxfId="764" priority="17" operator="greaterThan">
      <formula>0</formula>
    </cfRule>
  </conditionalFormatting>
  <conditionalFormatting sqref="A6">
    <cfRule type="expression" dxfId="763" priority="1834">
      <formula>AND($A$6&gt;0,$A$6&lt;$E$19)</formula>
    </cfRule>
    <cfRule type="containsText" dxfId="762" priority="1835" operator="containsText" text="n/a">
      <formula>NOT(ISERROR(SEARCH("n/a",A6)))</formula>
    </cfRule>
  </conditionalFormatting>
  <conditionalFormatting sqref="D17:D18">
    <cfRule type="expression" dxfId="761" priority="10">
      <formula>$D$16&gt;0</formula>
    </cfRule>
  </conditionalFormatting>
  <conditionalFormatting sqref="C9:C11 F9:F11">
    <cfRule type="cellIs" dxfId="760" priority="8" operator="lessThan">
      <formula>0.5</formula>
    </cfRule>
    <cfRule type="cellIs" dxfId="759" priority="12" stopIfTrue="1" operator="greaterThan">
      <formula>0.5</formula>
    </cfRule>
  </conditionalFormatting>
  <conditionalFormatting sqref="U20:U99">
    <cfRule type="cellIs" dxfId="758" priority="6" operator="equal">
      <formula>$K$5</formula>
    </cfRule>
    <cfRule type="cellIs" dxfId="757" priority="7" operator="equal">
      <formula>$Q$21</formula>
    </cfRule>
  </conditionalFormatting>
  <conditionalFormatting sqref="AB19:AC19">
    <cfRule type="expression" dxfId="756"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E8" sqref="E8"/>
    </sheetView>
  </sheetViews>
  <sheetFormatPr baseColWidth="10" defaultRowHeight="22"/>
  <cols>
    <col min="9" max="9" width="25.5" bestFit="1" customWidth="1"/>
    <col min="10" max="10" width="28" bestFit="1" customWidth="1"/>
    <col min="14" max="14" width="26.625" bestFit="1" customWidth="1"/>
    <col min="15" max="15" width="18.75" bestFit="1" customWidth="1"/>
  </cols>
  <sheetData>
    <row r="1" spans="1:93">
      <c r="A1" t="s">
        <v>2915</v>
      </c>
      <c r="H1" t="s">
        <v>2079</v>
      </c>
      <c r="M1" s="220" t="s">
        <v>2932</v>
      </c>
    </row>
    <row r="2" spans="1:93">
      <c r="K2" s="91"/>
      <c r="M2" s="220">
        <v>0.01</v>
      </c>
      <c r="P2" s="91"/>
      <c r="R2" s="1560"/>
      <c r="S2" s="1560"/>
      <c r="T2" s="1560"/>
      <c r="U2" s="1560"/>
      <c r="V2" s="1560"/>
      <c r="X2" s="1560"/>
      <c r="Y2" s="81"/>
      <c r="Z2" s="974"/>
      <c r="AA2" s="91"/>
      <c r="AB2" s="219"/>
      <c r="AC2" s="91"/>
      <c r="AE2" s="81"/>
      <c r="AF2" s="141"/>
      <c r="AG2" s="141"/>
      <c r="AH2" s="974"/>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60"/>
      <c r="BV2" s="91"/>
      <c r="BW2" s="897"/>
      <c r="BX2" s="1560"/>
      <c r="BY2" s="1560"/>
      <c r="BZ2" s="91"/>
      <c r="CA2" s="91"/>
      <c r="CB2" s="1560"/>
      <c r="CD2" s="1560"/>
      <c r="CE2" s="897"/>
      <c r="CF2" s="1560"/>
      <c r="CG2" s="1560"/>
      <c r="CH2" s="1560"/>
      <c r="CI2" s="1560"/>
      <c r="CJ2" s="1560"/>
      <c r="CK2" s="1560"/>
      <c r="CL2" s="80"/>
      <c r="CM2" s="1560"/>
      <c r="CN2" s="1560"/>
      <c r="CO2" s="1560"/>
    </row>
    <row r="3" spans="1:93">
      <c r="A3" s="783" t="str" cm="1">
        <f t="array" aca="1" ref="A3:D26"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3" t="str">
        <f ca="1"/>
        <v>A</v>
      </c>
      <c r="C3" s="783" t="str">
        <f ca="1"/>
        <v>M</v>
      </c>
      <c r="D3" s="784" t="str">
        <f ca="1"/>
        <v>Y</v>
      </c>
      <c r="E3" s="784"/>
      <c r="F3" s="784"/>
      <c r="G3" s="784"/>
      <c r="H3" s="1840" t="str" cm="1">
        <f t="array" aca="1" ref="H3:K18" ca="1">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Show</v>
      </c>
      <c r="I3" s="1840" t="str">
        <f ca="1"/>
        <v>LBnxp_NA</v>
      </c>
      <c r="J3" s="1840" t="str">
        <f ca="1"/>
        <v>Re_Sale_GL_An_AMY</v>
      </c>
      <c r="K3" s="1840" t="str">
        <f ca="1"/>
        <v>nM_YestM</v>
      </c>
      <c r="L3" s="784"/>
      <c r="M3" s="784" t="str" cm="1">
        <f t="array" aca="1" ref="M3:P4" ca="1">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Show</v>
      </c>
      <c r="N3" s="784" t="str">
        <f ca="1"/>
        <v>LBnxp_NA</v>
      </c>
      <c r="O3" s="784" t="str">
        <f ca="1"/>
        <v>Re_Sale_GL_An_AMY</v>
      </c>
      <c r="P3" s="784" t="str">
        <f ca="1"/>
        <v>nM_YestM</v>
      </c>
      <c r="Q3" s="784"/>
      <c r="R3" s="784"/>
      <c r="S3" s="784"/>
      <c r="T3" s="784"/>
      <c r="U3" s="784"/>
      <c r="V3" s="784"/>
      <c r="W3" s="784"/>
      <c r="X3" s="784"/>
      <c r="Y3" s="784"/>
    </row>
    <row r="4" spans="1:93">
      <c r="A4" s="487" t="str">
        <f ca="1"/>
        <v>AAPL</v>
      </c>
      <c r="B4" s="487">
        <f ca="1"/>
        <v>212.5699443985263</v>
      </c>
      <c r="C4" s="487">
        <f ca="1"/>
        <v>278.02999999999997</v>
      </c>
      <c r="D4" s="487">
        <f ca="1"/>
        <v>283.57733000000002</v>
      </c>
      <c r="H4" t="str">
        <f ca="1"/>
        <v>C</v>
      </c>
      <c r="I4" s="11" t="str">
        <f ca="1"/>
        <v>100 x 100.93     /       105 x 99.37</v>
      </c>
      <c r="J4" s="11" t="str">
        <f ca="1"/>
        <v>1,076 @ 111.75 : (9.7%, 104.3%)</v>
      </c>
      <c r="K4" s="11" t="str">
        <f ca="1"/>
        <v>0.6%</v>
      </c>
      <c r="M4" t="str">
        <f ca="1"/>
        <v>AET</v>
      </c>
      <c r="N4" t="str">
        <f ca="1"/>
        <v>10,000 x 45.60     /       820,000 x 49.37</v>
      </c>
      <c r="O4" t="str">
        <f ca="1"/>
        <v xml:space="preserve">  49.37 -  39.00 -  95.26</v>
      </c>
      <c r="P4" t="str">
        <f ca="1"/>
        <v>-2.7%</v>
      </c>
    </row>
    <row r="5" spans="1:93">
      <c r="A5" s="487" t="str">
        <f ca="1"/>
        <v>AMZN</v>
      </c>
      <c r="B5" s="487">
        <f ca="1"/>
        <v>203.686777269</v>
      </c>
      <c r="C5" s="487">
        <f ca="1"/>
        <v>230.28</v>
      </c>
      <c r="D5" s="487">
        <f ca="1"/>
        <v>295.03167999999999</v>
      </c>
      <c r="H5" t="str">
        <f ca="1"/>
        <v>DXC</v>
      </c>
      <c r="I5" s="11" t="str">
        <f ca="1"/>
        <v>4,000 x 14.48     /       6,000 x 15.88</v>
      </c>
      <c r="J5" s="11" t="str">
        <f ca="1"/>
        <v>3,023 @ 15.24 : (5.0%, 13.2%)</v>
      </c>
      <c r="K5" s="11" t="str">
        <f ca="1"/>
        <v>0.8%</v>
      </c>
    </row>
    <row r="6" spans="1:93">
      <c r="A6" s="487" t="str">
        <f ca="1"/>
        <v>AVGO</v>
      </c>
      <c r="B6" s="487">
        <f ca="1"/>
        <v>332.49223799999999</v>
      </c>
      <c r="C6" s="487">
        <f ca="1"/>
        <v>406.37</v>
      </c>
      <c r="D6" s="487">
        <f ca="1"/>
        <v>409.27733999999998</v>
      </c>
      <c r="H6" t="str">
        <f ca="1"/>
        <v>HPE</v>
      </c>
      <c r="I6" s="11" t="str">
        <f ca="1"/>
        <v>5,000 x 21.96     /       14,200 x 20.99</v>
      </c>
      <c r="J6" s="11" t="str">
        <f ca="1"/>
        <v>12,830 @ 24.54 : (10.5%, 469.9%)</v>
      </c>
      <c r="K6" s="11" t="str">
        <f ca="1"/>
        <v>-2.9%</v>
      </c>
    </row>
    <row r="7" spans="1:93">
      <c r="A7" s="487" t="str">
        <f ca="1"/>
        <v>AZN</v>
      </c>
      <c r="B7" s="487">
        <f ca="1"/>
        <v>70.021584000000004</v>
      </c>
      <c r="C7" s="487">
        <f ca="1"/>
        <v>90.29</v>
      </c>
      <c r="D7" s="487">
        <f ca="1"/>
        <v>96.864549999999994</v>
      </c>
      <c r="H7" t="str">
        <f ca="1"/>
        <v>HPQ</v>
      </c>
      <c r="I7" s="11" t="str">
        <f ca="1"/>
        <v>4,000 x 25.28     /       9,000 x 25.80</v>
      </c>
      <c r="J7" s="11" t="str">
        <f ca="1"/>
        <v>497 @ 25.41 : (0.5%, 22.3%)</v>
      </c>
      <c r="K7" s="11" t="str">
        <f ca="1"/>
        <v>0.9%</v>
      </c>
    </row>
    <row r="8" spans="1:93">
      <c r="A8" s="487" t="str">
        <f ca="1"/>
        <v>CSCO</v>
      </c>
      <c r="B8" s="487">
        <f ca="1"/>
        <v>67.374719999999996</v>
      </c>
      <c r="C8" s="487">
        <f ca="1"/>
        <v>79.27</v>
      </c>
      <c r="D8" s="487">
        <f ca="1"/>
        <v>84.814760000000007</v>
      </c>
      <c r="H8" t="str">
        <f ca="1"/>
        <v>KR</v>
      </c>
      <c r="I8" s="11" t="str">
        <f ca="1"/>
        <v>2,000 x 61.98     /       7,000 x 65.18</v>
      </c>
      <c r="J8" s="11" t="str">
        <f ca="1"/>
        <v>467 @ 62.22 : (0.4%, 19.5%)</v>
      </c>
      <c r="K8" s="11" t="str">
        <f ca="1"/>
        <v>1.6%</v>
      </c>
    </row>
    <row r="9" spans="1:93">
      <c r="A9" s="487" t="str">
        <f ca="1"/>
        <v>CVS</v>
      </c>
      <c r="B9" s="487">
        <f ca="1"/>
        <v>56.201936093999997</v>
      </c>
      <c r="C9" s="487">
        <f ca="1"/>
        <v>80.83</v>
      </c>
      <c r="D9" s="487">
        <f ca="1"/>
        <v>91.84</v>
      </c>
      <c r="H9" t="str">
        <f ca="1"/>
        <v>MSFT</v>
      </c>
      <c r="I9" s="11" t="str">
        <f ca="1"/>
        <v>200 x 478.88     /       10,000 x 337.75</v>
      </c>
      <c r="J9" s="11" t="str">
        <f ca="1"/>
        <v>913 @ 483.47 : (0.9%, 43.1%)</v>
      </c>
      <c r="K9" s="11" t="str">
        <f ca="1"/>
        <v>1.0%</v>
      </c>
    </row>
    <row r="10" spans="1:93">
      <c r="A10" s="487" t="str">
        <f ca="1"/>
        <v>GM</v>
      </c>
      <c r="B10" s="487">
        <f ca="1"/>
        <v>46.797357599999998</v>
      </c>
      <c r="C10" s="487">
        <f ca="1"/>
        <v>80.844999999999999</v>
      </c>
      <c r="D10" s="487">
        <f ca="1"/>
        <v>74.269229999999993</v>
      </c>
      <c r="H10" t="str">
        <f ca="1"/>
        <v>NFLX</v>
      </c>
      <c r="I10" s="11" t="str">
        <f ca="1"/>
        <v>1,000 x 92.48     /       36,000 x 111.39</v>
      </c>
      <c r="J10" s="11" t="str">
        <f ca="1"/>
        <v>1,601 @ 94.09 : (1.7%, 626.7%)</v>
      </c>
      <c r="K10" s="11" t="str">
        <f ca="1"/>
        <v>1.5%</v>
      </c>
    </row>
    <row r="11" spans="1:93">
      <c r="A11" s="487" t="str">
        <f ca="1"/>
        <v>LUMN</v>
      </c>
      <c r="B11" s="487">
        <f ca="1"/>
        <v>5.0814775799999996</v>
      </c>
      <c r="C11" s="487">
        <f ca="1"/>
        <v>8.65</v>
      </c>
      <c r="D11" s="487">
        <f ca="1"/>
        <v>7.2329999999999997</v>
      </c>
      <c r="H11" t="str">
        <f ca="1"/>
        <v>POET</v>
      </c>
      <c r="I11" s="11" t="str">
        <f ca="1"/>
        <v>2,500 x 4.98     /       47,500 x 5.70</v>
      </c>
      <c r="J11" s="11" t="str">
        <f ca="1"/>
        <v>5,572 @ 7.22 : (31.0%, 558.8%)</v>
      </c>
      <c r="K11" s="11" t="str">
        <f ca="1"/>
        <v>1.0%</v>
      </c>
    </row>
    <row r="12" spans="1:93">
      <c r="A12" s="487" t="str">
        <f ca="1"/>
        <v>NEM</v>
      </c>
      <c r="B12" s="487">
        <f ca="1"/>
        <v>67.009778907882335</v>
      </c>
      <c r="C12" s="487">
        <f ca="1"/>
        <v>99.43</v>
      </c>
      <c r="D12" s="487">
        <f ca="1"/>
        <v>104.779</v>
      </c>
      <c r="H12" t="str">
        <f ca="1"/>
        <v>UN0</v>
      </c>
      <c r="I12" s="11" t="str">
        <f ca="1"/>
        <v>350 x 37.24     /       3,000 x 41.71</v>
      </c>
      <c r="J12" s="11" t="str">
        <f ca="1"/>
        <v>177 @ 37.75 : (1.3%, 3.4%)</v>
      </c>
      <c r="K12" s="11" t="str">
        <f ca="1"/>
        <v>-0.8%</v>
      </c>
    </row>
    <row r="13" spans="1:93">
      <c r="A13" s="487" t="str">
        <f ca="1"/>
        <v>PAAS</v>
      </c>
      <c r="B13" s="487">
        <f ca="1"/>
        <v>35.812871999999999</v>
      </c>
      <c r="C13" s="487">
        <f ca="1"/>
        <v>50.34</v>
      </c>
      <c r="D13" s="487">
        <f ca="1"/>
        <v>47.75</v>
      </c>
      <c r="H13" t="str">
        <f ca="1"/>
        <v>XOM</v>
      </c>
      <c r="I13" s="11" t="str">
        <f ca="1"/>
        <v>300 x 117.49     /       500 x 113.22</v>
      </c>
      <c r="J13" s="11" t="str">
        <f ca="1"/>
        <v>614 @ 119.55 : (1.7%, 8.3%)</v>
      </c>
      <c r="K13" s="11" t="str">
        <f ca="1"/>
        <v>0.0%</v>
      </c>
    </row>
    <row r="14" spans="1:93">
      <c r="A14" s="487" t="str">
        <f ca="1"/>
        <v>PROF</v>
      </c>
      <c r="B14" s="487">
        <f ca="1"/>
        <v>5.2034940000000001</v>
      </c>
      <c r="C14" s="487">
        <f ca="1"/>
        <v>7.43</v>
      </c>
      <c r="D14" s="487">
        <f ca="1"/>
        <v>12.1</v>
      </c>
      <c r="H14" t="str">
        <f ca="1"/>
        <v>MVESAP</v>
      </c>
      <c r="I14" s="11" t="str">
        <f ca="1"/>
        <v>499 x 206.43     /       900 x 228.78</v>
      </c>
      <c r="J14" s="11" t="str">
        <f ca="1"/>
        <v>1,424 @ 209.30 : (1.4%, 62.6%)</v>
      </c>
      <c r="K14" s="11" t="str">
        <f ca="1"/>
        <v>-0.8%</v>
      </c>
    </row>
    <row r="15" spans="1:93">
      <c r="A15" s="487" t="str">
        <f ca="1"/>
        <v>RWE</v>
      </c>
      <c r="B15" s="487">
        <f ca="1"/>
        <v>28.443761999999996</v>
      </c>
      <c r="C15" s="487">
        <f ca="1"/>
        <v>43.29</v>
      </c>
      <c r="D15" s="487">
        <f ca="1"/>
        <v>48.176470000000002</v>
      </c>
      <c r="H15" t="str">
        <f ca="1"/>
        <v>MVEUN0</v>
      </c>
      <c r="I15" s="11" t="str">
        <f ca="1"/>
        <v>39 x 37.43     /       560 x 42.05</v>
      </c>
      <c r="J15" s="11" t="str">
        <f ca="1"/>
        <v>12 @ 37.75 : (0.9%, 2.1%)</v>
      </c>
      <c r="K15" s="11" t="str">
        <f ca="1"/>
        <v>-0.8%</v>
      </c>
    </row>
    <row r="16" spans="1:93">
      <c r="A16" s="487" t="str">
        <f ca="1"/>
        <v>TSLA</v>
      </c>
      <c r="B16" s="487">
        <f ca="1"/>
        <v>337.38492599999995</v>
      </c>
      <c r="C16" s="487">
        <f ca="1"/>
        <v>446.86590000000001</v>
      </c>
      <c r="D16" s="487">
        <f ca="1"/>
        <v>392.92779999999999</v>
      </c>
      <c r="H16" t="str">
        <f ca="1"/>
        <v>LUV</v>
      </c>
      <c r="I16" s="11" t="str">
        <f ca="1"/>
        <v>900 x 37.81     /       2,100 x 33.83</v>
      </c>
      <c r="J16" s="11" t="str">
        <f ca="1"/>
        <v>2,622 @ 40.74 : (7.2%, 465.0%)</v>
      </c>
      <c r="K16" s="11" t="str">
        <f ca="1"/>
        <v>2.3%</v>
      </c>
    </row>
    <row r="17" spans="1:98">
      <c r="A17" s="487" t="str">
        <f ca="1"/>
        <v>TSM</v>
      </c>
      <c r="B17" s="487">
        <f ca="1"/>
        <v>206.38565559999998</v>
      </c>
      <c r="C17" s="487">
        <f ca="1"/>
        <v>304.92</v>
      </c>
      <c r="D17" s="487">
        <f ca="1"/>
        <v>341.90667999999999</v>
      </c>
      <c r="H17" t="str">
        <f ca="1"/>
        <v>PFE</v>
      </c>
      <c r="I17" s="11" t="str">
        <f ca="1"/>
        <v>2,000 x 25.73     /       2,000 x 25.80</v>
      </c>
      <c r="J17" s="11" t="str">
        <f ca="1"/>
        <v>159 @ 25.81 : (0.3%, 7.5%)</v>
      </c>
      <c r="K17" s="11" t="str">
        <f ca="1"/>
        <v>0.1%</v>
      </c>
    </row>
    <row r="18" spans="1:98">
      <c r="A18" s="487" t="str">
        <f ca="1"/>
        <v>VLVLY</v>
      </c>
      <c r="B18" s="487">
        <f ca="1"/>
        <v>26.439718846153845</v>
      </c>
      <c r="C18" s="487">
        <f ca="1"/>
        <v>32.045000000000002</v>
      </c>
      <c r="D18" s="487">
        <f ca="1"/>
        <v>35</v>
      </c>
      <c r="H18" t="str">
        <f ca="1"/>
        <v>LOCK</v>
      </c>
      <c r="I18" s="11" t="str">
        <f ca="1"/>
        <v>77,100 x 5.34     /       77,100 x 5.35</v>
      </c>
      <c r="J18" s="11" t="str">
        <f ca="1"/>
        <v>382,500 @ 10.33 : (48.3%, 25.9%)</v>
      </c>
      <c r="K18" s="11" t="str">
        <f ca="1"/>
        <v>0.9%</v>
      </c>
    </row>
    <row r="19" spans="1:98">
      <c r="A19" s="487" t="str">
        <f ca="1"/>
        <v>VTRS</v>
      </c>
      <c r="B19" s="487">
        <f ca="1"/>
        <v>9.4845959999999998</v>
      </c>
      <c r="C19" s="487">
        <f ca="1"/>
        <v>11.59</v>
      </c>
      <c r="D19" s="487">
        <f ca="1"/>
        <v>12.125</v>
      </c>
      <c r="I19" s="11"/>
      <c r="J19" s="11"/>
      <c r="K19" s="11"/>
    </row>
    <row r="20" spans="1:98">
      <c r="A20" s="487" t="str">
        <f ca="1"/>
        <v>WBA</v>
      </c>
      <c r="B20" s="487">
        <f ca="1"/>
        <v>10.086055739999999</v>
      </c>
      <c r="C20" s="487">
        <f ca="1"/>
        <v>11.98</v>
      </c>
      <c r="D20" s="487">
        <f ca="1"/>
        <v>0</v>
      </c>
      <c r="I20" s="11"/>
      <c r="J20" s="11"/>
      <c r="K20" s="11"/>
    </row>
    <row r="21" spans="1:98">
      <c r="A21" s="487" t="str">
        <f ca="1"/>
        <v>MVEEOAN</v>
      </c>
      <c r="B21" s="487">
        <f ca="1"/>
        <v>11.088756</v>
      </c>
      <c r="C21" s="487">
        <f ca="1"/>
        <v>15.035</v>
      </c>
      <c r="D21" s="487">
        <f ca="1"/>
        <v>16.934180000000001</v>
      </c>
      <c r="I21" s="11"/>
      <c r="J21" s="11"/>
      <c r="K21" s="11"/>
    </row>
    <row r="22" spans="1:98">
      <c r="A22" s="487" t="str">
        <f ca="1"/>
        <v>MVEGLE</v>
      </c>
      <c r="B22" s="487">
        <f ca="1"/>
        <v>56.702042999999996</v>
      </c>
      <c r="C22" s="487">
        <f ca="1"/>
        <v>64.36</v>
      </c>
      <c r="D22" s="487">
        <f ca="1"/>
        <v>66.033330000000007</v>
      </c>
      <c r="I22" s="11"/>
      <c r="J22" s="11"/>
      <c r="K22" s="11"/>
    </row>
    <row r="23" spans="1:98">
      <c r="A23" s="487" t="str">
        <f ca="1"/>
        <v>MVERWE</v>
      </c>
      <c r="B23" s="487">
        <f ca="1"/>
        <v>33.181047</v>
      </c>
      <c r="C23" s="487">
        <f ca="1"/>
        <v>43.29</v>
      </c>
      <c r="D23" s="487">
        <f ca="1"/>
        <v>48.176470000000002</v>
      </c>
      <c r="I23" s="11"/>
      <c r="J23" s="11"/>
      <c r="K23" s="11"/>
    </row>
    <row r="24" spans="1:98">
      <c r="A24" s="487" t="str">
        <f ca="1"/>
        <v>SAFAAPL</v>
      </c>
      <c r="B24" s="487">
        <f ca="1"/>
        <v>200.37378998262852</v>
      </c>
      <c r="C24" s="487">
        <f ca="1"/>
        <v>278.02999999999997</v>
      </c>
      <c r="D24" s="487">
        <f ca="1"/>
        <v>283.57733000000002</v>
      </c>
      <c r="I24" s="11"/>
      <c r="J24" s="11"/>
      <c r="K24" s="11"/>
    </row>
    <row r="25" spans="1:98">
      <c r="A25" s="487" t="str">
        <f ca="1"/>
        <v>SAFAMZN</v>
      </c>
      <c r="B25" s="487">
        <f ca="1"/>
        <v>205.23221999999998</v>
      </c>
      <c r="C25" s="487">
        <f ca="1"/>
        <v>230.28</v>
      </c>
      <c r="D25" s="487">
        <f ca="1"/>
        <v>295.03167999999999</v>
      </c>
      <c r="I25" s="11"/>
      <c r="J25" s="11"/>
      <c r="K25" s="11"/>
    </row>
    <row r="26" spans="1:98">
      <c r="A26" s="487" t="str">
        <f ca="1"/>
        <v>X</v>
      </c>
      <c r="B26" s="487">
        <f ca="1"/>
        <v>31.037694735599995</v>
      </c>
      <c r="C26" s="487">
        <f ca="1"/>
        <v>54.84</v>
      </c>
      <c r="D26" s="487">
        <f ca="1"/>
        <v>0</v>
      </c>
      <c r="I26" s="11"/>
      <c r="J26" s="11"/>
      <c r="K26" s="11"/>
    </row>
    <row r="27" spans="1:98">
      <c r="A27" s="487"/>
      <c r="B27" s="487"/>
      <c r="C27" s="487"/>
      <c r="D27" s="487"/>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LBnxp_NA</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c r="A28" s="487"/>
      <c r="B28" s="487"/>
      <c r="C28" s="487"/>
      <c r="I28" s="11"/>
      <c r="J28" s="11"/>
      <c r="K28" s="11"/>
      <c r="M28" cm="1">
        <f t="array" aca="1" ref="M28:M29" ca="1">_xlfn.UNIQUE(Tab_NewTRADER[Scale])</f>
        <v>1</v>
      </c>
    </row>
    <row r="29" spans="1:98">
      <c r="A29" s="487"/>
      <c r="B29" s="487"/>
      <c r="C29" s="487"/>
      <c r="I29" s="11"/>
      <c r="J29" s="11"/>
      <c r="K29" s="11"/>
      <c r="M29">
        <f ca="1"/>
        <v>0.01</v>
      </c>
    </row>
    <row r="30" spans="1:98">
      <c r="A30" s="487"/>
      <c r="B30" s="487"/>
      <c r="C30" s="487"/>
      <c r="I30" s="11"/>
      <c r="J30" s="11"/>
      <c r="K30" s="11"/>
      <c r="M30">
        <f>LEN(NewTrader!A2)</f>
        <v>5</v>
      </c>
    </row>
    <row r="31" spans="1:98">
      <c r="A31" s="487"/>
      <c r="B31" s="487"/>
      <c r="C31" s="487"/>
      <c r="I31" s="11"/>
      <c r="J31" s="11"/>
      <c r="K31" s="11"/>
      <c r="M31">
        <f ca="1">LEN(NewTrader!A6)</f>
        <v>1</v>
      </c>
    </row>
    <row r="32" spans="1:98">
      <c r="A32" s="487"/>
      <c r="B32" s="487"/>
      <c r="C32" s="487"/>
      <c r="I32" s="11"/>
      <c r="J32" s="11"/>
      <c r="K32" s="11"/>
    </row>
    <row r="33" spans="1:11">
      <c r="A33" s="487"/>
      <c r="B33" s="487"/>
      <c r="C33" s="487"/>
      <c r="I33" s="11"/>
      <c r="J33" s="11"/>
      <c r="K33" s="11"/>
    </row>
    <row r="34" spans="1:11">
      <c r="A34" s="487"/>
      <c r="B34" s="487"/>
      <c r="C34" s="487"/>
      <c r="I34" s="11"/>
      <c r="J34" s="11"/>
      <c r="K34" s="11"/>
    </row>
    <row r="35" spans="1:11">
      <c r="A35" s="487"/>
      <c r="B35" s="487"/>
      <c r="C35" s="487"/>
      <c r="I35" s="11"/>
      <c r="J35" s="11"/>
      <c r="K35" s="11"/>
    </row>
    <row r="36" spans="1:11">
      <c r="A36" s="487"/>
      <c r="B36" s="487"/>
      <c r="C36" s="487"/>
      <c r="I36" s="11"/>
      <c r="J36" s="11"/>
      <c r="K36" s="11"/>
    </row>
    <row r="37" spans="1:11">
      <c r="A37" s="487"/>
      <c r="B37" s="487"/>
      <c r="C37" s="487"/>
      <c r="I37" s="11"/>
      <c r="J37" s="11"/>
      <c r="K37" s="11"/>
    </row>
    <row r="38" spans="1:11">
      <c r="A38" s="487"/>
      <c r="B38" s="487"/>
      <c r="C38" s="487"/>
      <c r="I38" s="11"/>
      <c r="J38" s="11"/>
      <c r="K38" s="11"/>
    </row>
    <row r="39" spans="1:11">
      <c r="A39" s="487"/>
      <c r="B39" s="487"/>
      <c r="C39" s="487"/>
      <c r="I39" s="11"/>
      <c r="J39" s="11"/>
      <c r="K39" s="11"/>
    </row>
    <row r="40" spans="1:11">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AD1" zoomScale="80" zoomScaleNormal="80" workbookViewId="0">
      <pane ySplit="1" topLeftCell="A2" activePane="bottomLeft" state="frozen"/>
      <selection activeCell="AI1" sqref="AI1"/>
      <selection pane="bottomLeft" activeCell="AY121" sqref="AY121"/>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1" bestFit="1" customWidth="1"/>
    <col min="18" max="18" width="11.375" style="661" customWidth="1"/>
    <col min="19" max="19" width="13" customWidth="1"/>
    <col min="20" max="20" width="11.37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3" width="29"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9.5" bestFit="1"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I1" t="b">
        <f ca="1">ISNUMBER(A5)</f>
        <v>1</v>
      </c>
      <c r="L1" s="99"/>
      <c r="O1" s="706" t="s">
        <v>2078</v>
      </c>
      <c r="P1" s="1853" t="s">
        <v>2179</v>
      </c>
      <c r="Q1" s="1854"/>
      <c r="R1" s="1854"/>
      <c r="S1" s="1855"/>
      <c r="T1" s="779" t="s">
        <v>182</v>
      </c>
      <c r="U1" s="691" t="s">
        <v>2547</v>
      </c>
      <c r="V1" s="1317" t="s">
        <v>1875</v>
      </c>
      <c r="W1" s="778" t="s">
        <v>681</v>
      </c>
      <c r="X1" s="1416" t="s">
        <v>2666</v>
      </c>
      <c r="Y1" s="1503"/>
      <c r="Z1" s="829" t="s">
        <v>2220</v>
      </c>
      <c r="AA1" s="821" t="s">
        <v>2266</v>
      </c>
      <c r="AB1" s="829" t="s">
        <v>96</v>
      </c>
      <c r="AC1" s="407" t="s">
        <v>964</v>
      </c>
      <c r="AE1" s="769" t="s">
        <v>2064</v>
      </c>
      <c r="AF1" s="1501" t="s">
        <v>2651</v>
      </c>
      <c r="AG1" s="1864" t="s">
        <v>2863</v>
      </c>
      <c r="AH1" s="1865"/>
      <c r="AI1" s="1504" t="s">
        <v>2899</v>
      </c>
      <c r="AJ1" s="1862" t="s">
        <v>2881</v>
      </c>
      <c r="AK1" s="1862"/>
      <c r="AL1" s="1863"/>
      <c r="AM1" s="1500"/>
      <c r="AN1" s="1510" t="s">
        <v>1875</v>
      </c>
      <c r="AO1" s="1502" t="str">
        <f ca="1">AF12&amp;" Criteria M,A,Y    N*M (A)"</f>
        <v>Buy More Criteria M,A,Y    N*M (A)</v>
      </c>
      <c r="AP1" s="1500"/>
      <c r="AQ1" s="1866" t="s">
        <v>2663</v>
      </c>
      <c r="AR1" s="1867"/>
      <c r="AS1" s="1867" t="s">
        <v>2887</v>
      </c>
      <c r="AT1" s="1867"/>
      <c r="AU1" s="1867"/>
      <c r="AV1" s="1417" t="s">
        <v>1565</v>
      </c>
      <c r="AW1" s="1124"/>
      <c r="AX1" s="1124"/>
      <c r="AY1" s="1124"/>
      <c r="AZ1" s="1856" t="s">
        <v>2502</v>
      </c>
      <c r="BA1" s="1856"/>
      <c r="BB1" s="933"/>
      <c r="BC1" s="933"/>
      <c r="BD1" s="1857" t="s">
        <v>2308</v>
      </c>
      <c r="BE1" s="1858"/>
      <c r="BF1" s="1859" t="s">
        <v>2214</v>
      </c>
      <c r="BG1" s="1859"/>
      <c r="BH1" s="795" t="s">
        <v>2213</v>
      </c>
      <c r="BI1" s="1860" t="s">
        <v>2491</v>
      </c>
      <c r="BJ1" s="1861"/>
      <c r="BK1" s="1861"/>
      <c r="BL1" s="1850" t="s">
        <v>2180</v>
      </c>
      <c r="BM1" s="1851"/>
      <c r="BN1" s="1851"/>
      <c r="BO1" s="1852"/>
      <c r="BP1" s="689" t="s">
        <v>2084</v>
      </c>
      <c r="BQ1" s="794" t="s">
        <v>1903</v>
      </c>
      <c r="BR1" s="749"/>
      <c r="BS1" s="749"/>
    </row>
    <row r="2" spans="1:87" ht="29" thickBot="1">
      <c r="A2" s="1837" t="s">
        <v>546</v>
      </c>
      <c r="B2" s="1561" t="s">
        <v>1862</v>
      </c>
      <c r="C2" s="1562" t="s">
        <v>1674</v>
      </c>
      <c r="D2" s="1563" t="s">
        <v>2063</v>
      </c>
      <c r="E2" s="1564" t="s">
        <v>1870</v>
      </c>
      <c r="F2" s="1565" t="s">
        <v>1538</v>
      </c>
      <c r="G2" s="1566" t="s">
        <v>1866</v>
      </c>
      <c r="H2" s="1567" t="s">
        <v>1868</v>
      </c>
      <c r="I2" s="1568" t="s">
        <v>1539</v>
      </c>
      <c r="J2" s="1569" t="s">
        <v>701</v>
      </c>
      <c r="K2" s="1570" t="s">
        <v>1515</v>
      </c>
      <c r="L2" s="1570" t="s">
        <v>1516</v>
      </c>
      <c r="M2" s="1570" t="s">
        <v>660</v>
      </c>
      <c r="N2" s="1570" t="s">
        <v>661</v>
      </c>
      <c r="O2" s="1571" t="s">
        <v>2134</v>
      </c>
      <c r="P2" s="1572" t="s">
        <v>1670</v>
      </c>
      <c r="Q2" s="1573" t="s">
        <v>1675</v>
      </c>
      <c r="R2" s="1574" t="s">
        <v>1863</v>
      </c>
      <c r="S2" s="1575" t="s">
        <v>2388</v>
      </c>
      <c r="T2" s="1576" t="s">
        <v>543</v>
      </c>
      <c r="U2" s="1577" t="s">
        <v>2267</v>
      </c>
      <c r="V2" s="1578" t="s">
        <v>2118</v>
      </c>
      <c r="W2" s="1579" t="s">
        <v>681</v>
      </c>
      <c r="X2" s="1580" t="s">
        <v>1565</v>
      </c>
      <c r="Y2" s="1581" t="s">
        <v>676</v>
      </c>
      <c r="Z2" s="1582" t="s">
        <v>2219</v>
      </c>
      <c r="AA2" s="1583" t="s">
        <v>2265</v>
      </c>
      <c r="AB2" s="1584" t="s">
        <v>1593</v>
      </c>
      <c r="AC2" s="1584" t="s">
        <v>2854</v>
      </c>
      <c r="AD2" s="1585" t="s">
        <v>2688</v>
      </c>
      <c r="AE2" s="1586" t="s">
        <v>1113</v>
      </c>
      <c r="AF2" s="1587" t="s">
        <v>2916</v>
      </c>
      <c r="AG2" s="1588" t="s">
        <v>2917</v>
      </c>
      <c r="AH2" s="1589" t="s">
        <v>2918</v>
      </c>
      <c r="AI2" s="1590" t="s">
        <v>2919</v>
      </c>
      <c r="AJ2" s="1591" t="s">
        <v>2933</v>
      </c>
      <c r="AK2" s="1591" t="s">
        <v>2934</v>
      </c>
      <c r="AL2" s="1591" t="s">
        <v>2882</v>
      </c>
      <c r="AM2" s="1592" t="s">
        <v>2879</v>
      </c>
      <c r="AN2" s="1593" t="s">
        <v>2689</v>
      </c>
      <c r="AO2" s="1594" t="s">
        <v>2897</v>
      </c>
      <c r="AP2" s="1595" t="s">
        <v>2883</v>
      </c>
      <c r="AQ2" s="1596" t="s">
        <v>2898</v>
      </c>
      <c r="AR2" s="1596" t="s">
        <v>2892</v>
      </c>
      <c r="AS2" s="1597" t="s">
        <v>2885</v>
      </c>
      <c r="AT2" s="1597" t="s">
        <v>2886</v>
      </c>
      <c r="AU2" s="1597" t="s">
        <v>958</v>
      </c>
      <c r="AV2" s="1598" t="s">
        <v>2690</v>
      </c>
      <c r="AW2" s="1599" t="s">
        <v>2586</v>
      </c>
      <c r="AX2" s="1599" t="s">
        <v>2400</v>
      </c>
      <c r="AY2" s="1600" t="s">
        <v>2396</v>
      </c>
      <c r="AZ2" s="1600" t="s">
        <v>2397</v>
      </c>
      <c r="BA2" s="1601" t="s">
        <v>2520</v>
      </c>
      <c r="BB2" s="1602" t="s">
        <v>2650</v>
      </c>
      <c r="BC2" s="1603" t="s">
        <v>2398</v>
      </c>
      <c r="BD2" s="1603" t="s">
        <v>2399</v>
      </c>
      <c r="BE2" s="1580" t="s">
        <v>2217</v>
      </c>
      <c r="BF2" s="1580" t="s">
        <v>2218</v>
      </c>
      <c r="BG2" s="1599" t="s">
        <v>2183</v>
      </c>
      <c r="BH2" s="1604" t="s">
        <v>2130</v>
      </c>
      <c r="BI2" s="1605" t="s">
        <v>2128</v>
      </c>
      <c r="BJ2" s="1606" t="s">
        <v>2088</v>
      </c>
      <c r="BK2" s="1607" t="s">
        <v>1432</v>
      </c>
      <c r="BL2" s="1608" t="s">
        <v>1672</v>
      </c>
      <c r="BM2" s="1609" t="s">
        <v>1865</v>
      </c>
      <c r="BN2" s="1610" t="s">
        <v>2387</v>
      </c>
      <c r="BO2" s="1611" t="s">
        <v>2065</v>
      </c>
      <c r="BP2" s="1612" t="s">
        <v>1864</v>
      </c>
      <c r="BQ2" s="1613" t="s">
        <v>2200</v>
      </c>
      <c r="BR2" s="1614" t="s">
        <v>2072</v>
      </c>
      <c r="BS2" s="1614" t="s">
        <v>1014</v>
      </c>
      <c r="BT2" s="1615" t="s">
        <v>1871</v>
      </c>
      <c r="BU2" s="235" t="s">
        <v>1867</v>
      </c>
      <c r="BV2" s="1615" t="s">
        <v>2127</v>
      </c>
      <c r="BW2" s="1616" t="s">
        <v>2564</v>
      </c>
      <c r="BX2" s="1613" t="s">
        <v>2198</v>
      </c>
      <c r="BY2" s="1613" t="s">
        <v>2309</v>
      </c>
      <c r="BZ2" s="1613" t="s">
        <v>2310</v>
      </c>
      <c r="CA2" s="1617" t="s">
        <v>2066</v>
      </c>
      <c r="CB2" s="1613" t="s">
        <v>2070</v>
      </c>
      <c r="CC2" s="1613" t="s">
        <v>2862</v>
      </c>
      <c r="CD2" s="1618" t="s">
        <v>2565</v>
      </c>
      <c r="CE2" s="1612" t="s">
        <v>187</v>
      </c>
      <c r="CF2" s="1613" t="s">
        <v>2849</v>
      </c>
      <c r="CG2" s="1619" t="s">
        <v>2861</v>
      </c>
      <c r="CH2" s="1841" t="s">
        <v>186</v>
      </c>
    </row>
    <row r="3" spans="1:87" ht="23" thickBot="1">
      <c r="A3" s="1838">
        <f ca="1">IF(_xlfn.XLOOKUP(NewTrader!$V3,TabCalc[Ticker],TabCalc[Cur])="GBp",0.01,1)</f>
        <v>1</v>
      </c>
      <c r="B3" s="1620" t="str">
        <f ca="1">IFERROR(TRUNC(_xlfn.XLOOKUP(NewTrader!$V3,TabCalc[Ticker],ListLastBuyp),2)&amp;"x"&amp;_xlfn.XLOOKUP(NewTrader!$V3,TabCalc[Ticker],ListLastBuyn)&amp;"=    "&amp;IF(_xlfn.XLOOKUP(NewTrader!$V3,TabCalc[Ticker],ListReverseS)&gt;0,"+","")&amp;TEXT(_xlfn.XLOOKUP(NewTrader!$V3,TabCalc[Ticker],ListReverseS),"#,#0")&amp;" "&amp;#REF!,"")</f>
        <v/>
      </c>
      <c r="C3" s="1621" t="str">
        <f ca="1">_xlfn.XLOOKUP(NewTrader!$V3,TabCalc[Ticker],ListResale)&amp;" @ "&amp;TEXT((_xlfn.XLOOKUP(NewTrader!$V3,TabCalc[Ticker],TabCalc[L_Bp])+_xlfn.XLOOKUP(NewTrader!$V3,TabCalc[Ticker],TabCalc[M]))/_xlfn.XLOOKUP(NewTrader!$V3,TabCalc[Ticker],TabCalc[M]),"#0.0%")</f>
        <v>Sell @ 10.6%</v>
      </c>
      <c r="D3" s="1622"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169/9,500=47,108</v>
      </c>
      <c r="E3" s="1623" t="str">
        <f ca="1">IF(      AND(NewTrader!$X3&lt;NewTrader!$Y3,    _xlfn.XLOOKUP(NewTrader!$V3,TabCalc[Ticker],TabCalc[L_Sp])&gt;NewTrader!$Y3),"BUY  "&amp;TEXT(DesiredBuyGain/NewTrader!$A3/(_xlfn.XLOOKUP(NewTrader!$V3,TabCalc[Ticker],TabCalc[L_Sp])-NewTrader!$Y3),"#,##0"),"")</f>
        <v/>
      </c>
      <c r="F3" s="1620" t="str">
        <f ca="1">TRUNC(TabCalc[[#This Row],[L_B1p]],2)&amp;"x"&amp;TabCalc[[#This Row],[L_B1n]]&amp;"=   "&amp;TEXT(TabCalc[[#This Row],[ReverseS1]],"#,#0")&amp;"$"</f>
        <v>-200.7x300=   23,199$</v>
      </c>
      <c r="G3" s="1624" t="str">
        <f ca="1">IFERROR(TRUNC(_xlfn.XLOOKUP(NewTrader!$V3,TabCalc[Ticker],ListLastSalep),2)&amp;"x"&amp;_xlfn.XLOOKUP(NewTrader!$V3,TabCalc[Ticker],ListLastSalen)&amp;"=   "&amp;TEXT(-_xlfn.XLOOKUP(NewTrader!$V3,TabCalc[Ticker],ListReverseB),"#,#0")&amp;"$","")</f>
        <v>270.04x500=   3,995$</v>
      </c>
      <c r="H3" s="1625"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-2.9% = 0</v>
      </c>
      <c r="I3" s="1620" t="str">
        <f ca="1">IFERROR(TRUNC(TabCalc[[#This Row],[L_S1p]],2)&amp;"x"&amp;TabCalc[[#This Row],[L_S1n]]&amp;"=   "&amp;TEXT(TabCalc[[#This Row],[ReverseB1]],"#,#0"),"")</f>
        <v>263.58x500=   -7,225</v>
      </c>
      <c r="J3" s="1626">
        <f ca="1">_xlfn.XLOOKUP(NewTrader!$V3,TabCalc[Ticker],ListGravity)</f>
        <v>1.0199522713376257</v>
      </c>
      <c r="K3" s="1627" cm="1">
        <f t="array" aca="1" ref="K3" ca="1">IF(_xlfn.XLOOKUP(NewTrader!$V3,NewTrader!$V$3:$V$96,ListExtra_n)&gt;0,_xlfn.XLOOKUP(NewTrader!$V3,NewTrader!$V$3:$V$96,ListExtra_n),"")</f>
        <v>4500</v>
      </c>
      <c r="L3" s="1628">
        <f ca="1">IF(_xlfn.XLOOKUP(NewTrader!$V3,TabCalc[Ticker],ListExtra_n)&gt;0,_xlfn.XLOOKUP(NewTrader!$V3,TabCalc[Ticker],ListExtra_n)*NewTrader!$Y3*_xlfn.XLOOKUP(NewTrader!$V3,TabCalc[Ticker],ListScale),"")</f>
        <v>1251134.9999999998</v>
      </c>
      <c r="M3" s="1629">
        <f ca="1">_xlfn.XLOOKUP(NewTrader!$V3,TabCalc[Ticker],TabCalc[Agiotage])</f>
        <v>0.70047433150034832</v>
      </c>
      <c r="N3" s="1630" cm="1">
        <f t="array" aca="1" ref="N3" ca="1">_xlfn.XLOOKUP(NewTrader!$V3,ListTickers,Tab2RSIConventional[RSIConv20])</f>
        <v>59</v>
      </c>
      <c r="O3" s="1631" t="str">
        <f ca="1">TEXT(_xlfn.XLOOKUP(NewTrader!$V3,TabCalc[Ticker],TabCalc[Nbegin]),"#,#0")&amp;": "&amp;_xlfn.XLOOKUP(NewTrader!$V3,TabCalc[Ticker],TabCalc[Pile?])</f>
        <v xml:space="preserve">5,000: </v>
      </c>
      <c r="P3" s="1632">
        <f ca="1">_xlfn.XLOOKUP(NewTrader!$V3,TabCalc[Ticker],TabCalc[L_Bn])</f>
        <v>200</v>
      </c>
      <c r="Q3" s="1633">
        <f ca="1">_xlfn.XLOOKUP(NewTrader!$V3,TabCalc[Ticker],TabCalc[L_Bp])</f>
        <v>-248.52</v>
      </c>
      <c r="R3" s="1634">
        <f ca="1">(NewTrader!$Y3+NewTrader!$Q3)/ABS(NewTrader!$Q3)</f>
        <v>0.11874295831321408</v>
      </c>
      <c r="S3" s="259">
        <f ca="1">INT(_xlfn.XLOOKUP(NewTrader!$V3,TabCalc[Ticker],TabCalc[Rev(MinStock)])*Comm_Net)</f>
        <v>5870</v>
      </c>
      <c r="T3" s="1635">
        <f ca="1">_xlfn.XLOOKUP(NewTrader!$V3,TabCalc[Ticker],TabCalc[Agiotage])</f>
        <v>0.70047433150034832</v>
      </c>
      <c r="U3" s="1636"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-9,120/-9,120=&gt;-0.3% / -0.3%</v>
      </c>
      <c r="V3" s="1578" t="str">
        <f ca="1">SORTING!B3</f>
        <v>AAPL</v>
      </c>
      <c r="W3" s="1637">
        <f ca="1">_xlfn.XLOOKUP(NewTrader!$V3,TabCalc[Ticker],TabCalc[Y])</f>
        <v>283.57733000000002</v>
      </c>
      <c r="X3" s="1638">
        <f ca="1">-_xlfn.XLOOKUP(NewTrader!$V3&amp;2,Consolid!B$3:JZ$3,Consolid!B$4:JZ$4)</f>
        <v>212.5699443985263</v>
      </c>
      <c r="Y3" s="1639">
        <f ca="1">_xlfn.XLOOKUP(NewTrader!$V3,TabCalc[Ticker],TabCalc[M])</f>
        <v>278.02999999999997</v>
      </c>
      <c r="Z3" s="1640">
        <f ca="1">_xlfn.XLOOKUP(NewTrader!$V3,[1]!RTData[Ticker_Symbol],[1]!RTData[YTChange])</f>
        <v>0.15599580123109541</v>
      </c>
      <c r="AA3" s="1640" cm="1">
        <f t="array" aca="1" ref="AA3" ca="1">_xlfn.XLOOKUP(NewTrader!$V3,ListTickers,Tab1ChangePercent[Change%19])</f>
        <v>-2.6900000000000001E-3</v>
      </c>
      <c r="AB3" s="1641">
        <f ca="1">_xlfn.XLOOKUP(NewTrader!$V3,TabCalc[Ticker],TabCalc[NAfter])</f>
        <v>9500</v>
      </c>
      <c r="AC3" s="1641">
        <f ca="1">_xlfn.XLOOKUP(NewTrader!$V3,TabCalc[Ticker],TabCalc[Nbegin])</f>
        <v>5000</v>
      </c>
      <c r="AD3" s="1642" t="str">
        <f ca="1">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f>
        <v xml:space="preserve"> ^1,211K / 2,634 K$</v>
      </c>
      <c r="AE3" s="1643" t="str">
        <f ca="1">_xlfn.XLOOKUP(NewTrader!$V3,[1]!RTData[Ticker_Symbol],[1]!RTData[Currency])</f>
        <v>USD</v>
      </c>
      <c r="AF3" s="1644"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4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646" t="str" cm="1">
        <f t="array" aca="1" ref="AH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212.57 - 278.03 - 283.58</v>
      </c>
      <c r="AI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 s="1647" t="str" cm="1">
        <f t="array" aca="1" ref="AJ3" ca="1">_xlfn.IFS(Tab_NewTRADER[[#This Row],[State]]="Sell More",TEXT(MIN(Tab_NewTRADER[[#This Row],[N]],Tab_NewTRADER[[#This Row],[L_Bn]])*(Tab_NewTRADER[[#This Row],[M]]-Tab_NewTRADER[[#This Row],[L_Sp]])*Tab_NewTRADER[[#This Row],[Scale]]*ComFactor,"#,#0"), TRUE,"M= "&amp;TEXT(Tab_NewTRADER[[#This Row],[M]],"#,#0.00"))</f>
        <v>1,594</v>
      </c>
      <c r="AK3" s="1648" t="str" cm="1">
        <f t="array" aca="1" ref="AK3" ca="1">_xlfn.IFS(Tab_NewTRADER[[#This Row],[Y]]&gt;Tab_NewTRADER[[#This Row],[A]],                 TEXT(MIN(Tab_NewTRADER[[#This Row],[L_Bn]],Tab_NewTRADER[[#This Row],[N]])*(Tab_NewTRADER[[#This Row],[M]]-Tab_NewTRADER[[#This Row],[A]])*Tab_NewTRADER[[#This Row],[Scale]]*ComFactor,"#,#0"), TRUE,0)</f>
        <v>13,058</v>
      </c>
      <c r="AL3" s="1649" cm="1">
        <f t="array" aca="1" ref="AL3" ca="1">_xlfn.IFS(Tab_NewTRADER[[#This Row],[M]]&gt;Tab_NewTRADER[[#This Row],[A]],                  Tab_NewTRADER[[#This Row],[N]]*(Tab_NewTRADER[[#This Row],[M]]-Tab_NewTRADER[[#This Row],[A]])*Tab_NewTRADER[[#This Row],[Scale]]*ComFactor, TRUE,0)</f>
        <v>620253.66484064341</v>
      </c>
      <c r="AM3" s="1592" t="str">
        <f ca="1">_xlfn.XLOOKUP(Tab_NewTRADER[[#This Row],[Show]],TabCalc[Ticker],TabCalc[Max_Bn])&amp;" x "&amp;TEXT(_xlfn.XLOOKUP(Tab_NewTRADER[[#This Row],[Show]],TabCalc[Ticker],TabCalc[Max_Bp]),"#,#0.00")</f>
        <v>200 x 248.52</v>
      </c>
      <c r="AN3" s="1650" t="str">
        <f ca="1">NewTrader!$V3</f>
        <v>AAPL</v>
      </c>
      <c r="AO3" s="1651" t="str">
        <f ca="1">TEXT(_xlfn.XLOOKUP(Tab_NewTRADER[[#This Row],[ClickTick]],TabCalc[Ticker],TabCalc[NAfter]),"#,#0")&amp;"x"&amp;_xlfn.XLOOKUP(Tab_NewTRADER[[#This Row],[ClickTick]],TabCalc[Ticker],TabCalc[M])&amp;"           (A: "&amp;TEXT(-_xlfn.XLOOKUP(Tab_NewTRADER[[#This Row],[ClickTick]]&amp;2,Consolid!B$3:JZ$3,Consolid!B$4:JZ$4),"#,??0.00")&amp;")"</f>
        <v>9,500x278.03           (A: 212.57)</v>
      </c>
      <c r="AP3" s="1592" t="str">
        <f ca="1">_xlfn.XLOOKUP(Tab_NewTRADER[[#This Row],[Show]],TabCalc[Ticker],TabCalc[Min_Sn])&amp;" x "&amp;TEXT(_xlfn.XLOOKUP(Tab_NewTRADER[[#This Row],[Show]],TabCalc[Ticker],TabCalc[Min_Sp]),"#,#0.00")</f>
        <v>200 x 193.66</v>
      </c>
      <c r="AQ3" s="165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53" t="str" cm="1">
        <f t="array" aca="1" ref="AR3" ca="1">_xlfn.IFS(Tab_NewTRADER[[#This Row],[State]]="Reverse Buy",TEXT(-Tab_NewTRADER[[#This Row],[Buy_Back]],"#,#0")&amp;" / "&amp;TEXT(Tab_NewTRADER[[#This Row],[Rev_Buy]],"#,#0.0%"),TRUE,Tab_NewTRADER[[#This Row],[AMY]])</f>
        <v xml:space="preserve"> 212.57 - 278.03 - 283.58</v>
      </c>
      <c r="AS3" s="1651"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54"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54" t="str" cm="1">
        <f t="array" aca="1" ref="AU3" ca="1">_xlfn.IFS(Tab_NewTRADER[[#This Row],[M]]&lt;Tab_NewTRADER[[#This Row],[A]],TEXT(Tab_NewTRADER[[#This Row],[N]]*Tab_NewTRADER[[#This Row],[M]]*Tab_NewTRADER[[#This Row],[Scale]]*Comm_Net,"#,#0")&amp;" @ "&amp;TEXT(Tab_NewTRADER[[#This Row],[M]],"#,#0.#0"),TRUE,"M: "&amp; Tab_NewTRADER[[#This Row],[M]])</f>
        <v>M: 278.03</v>
      </c>
      <c r="AV3" s="1655" cm="1">
        <f t="array" aca="1" ref="AV3" ca="1">-_xlfn.XLOOKUP(
    Tab_NewTRADER[[#This Row],[Show]] &amp; 2,
    TabConsolid[#Headers],
    INDEX(TabConsolid[], 1, 0)
)</f>
        <v>212.5699443985263</v>
      </c>
      <c r="AW3" s="1656">
        <f ca="1">Tab_NewTRADER[[#This Row],[M]]*Tab_NewTRADER[[#This Row],[N]]*(1-Commission)*Tab_NewTRADER[[#This Row],[Scale]]</f>
        <v>2634417.6589999995</v>
      </c>
      <c r="AX3" s="1657"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57"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58" t="str" cm="1">
        <f t="array" aca="1" ref="AZ3" ca="1">_xlfn.IFS(   Tab_NewTRADER[[#This Row],[State]]=SellMorePercentGain,                     MIN(Tab_NewTRADER[[#This Row],[L_Sn]],Tab_NewTRADER[[#This Row],[N]])*(Tab_NewTRADER[[#This Row],[M]]-Tab_NewTRADER[[#This Row],[L_Sp]])*(1-Commission)*Tab_NewTRADER[[#This Row],[Scale]],                    TRUE,"")</f>
        <v/>
      </c>
      <c r="BA3" s="1659">
        <f ca="1">_xlfn.XLOOKUP(NewTrader!$V3,TabCalc[Ticker],TabCalc[Ann%RevLB])</f>
        <v>0.7245333049619842</v>
      </c>
      <c r="BB3" s="1660" t="str">
        <f ca="1">_xlfn.XLOOKUP(NewTrader!$V3,TabCalc[Ticker],TabCalc[Up20])</f>
        <v>/50/%</v>
      </c>
      <c r="BC3" s="1661"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58" t="str" cm="1">
        <f t="array" aca="1" ref="BD3" ca="1">_xlfn.IFS(         NewTrader!$AF3=MDown,NewTrader!$P3*NewTrader!$Y3*(-(NewTrader!$Q3+NewTrader!$Y3)/NewTrader!$Y3)*(1-Commission)*NewTrader!$A3,                               TRUE,"")</f>
        <v/>
      </c>
      <c r="BE3" s="1657" t="str" cm="1">
        <f t="array" aca="1" ref="BE3" ca="1">_xlfn.IFS(   NewTrader!$AF3=MUp,NewTrader!$BP3-Commission,        NewTrader!$AF3=MDown,(NewTrader!$X3-NewTrader!$Y3)/NewTrader!$Y3-Commission,                              TRUE,"")</f>
        <v/>
      </c>
      <c r="BF3" s="1658" cm="1">
        <f t="array" aca="1" ref="BF3" ca="1">_xlfn.IFS(   OR(NewTrader!$AF3=MUp,NewTrader!$AF3=Sale_Back), NewTrader!$AB3*NewTrader!$Y3*NewTrader!$BP3,       NewTrader!$AF3=MDown,NewTrader!$AB3*(NewTrader!$X3-NewTrader!$Y3),        NewTrader!$AF3=RePurchaseGain,NewTrader!$AB3*(NewTrader!$Y3-NewTrader!$X3),       TRUE,0)*(1-Commission)*NewTrader!$A3</f>
        <v>0</v>
      </c>
      <c r="BG3" s="1656" t="e" cm="1">
        <f t="array" aca="1" ref="BG3" ca="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f>
        <v>#VALUE!</v>
      </c>
      <c r="BH3" s="1662"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200x65.46</v>
      </c>
      <c r="BI3" s="1663" cm="1">
        <f t="array" aca="1" ref="BI3" ca="1">_xlfn.IFS(NewTrader!$AF3=Sale_Back,"",         NewTrader!$AF3=MDown, (NewTrader!$Y3-NewTrader!$X3)/NewTrader!$X3*ComFactor,             TRUE, IFERROR((NewTrader!$Y3-NewTrader!$X3)/NewTrader!$X3*ComFactor,""))</f>
        <v>0.30714530053460598</v>
      </c>
      <c r="BJ3" s="1664" cm="1">
        <f t="array" aca="1" ref="BJ3" ca="1">_xlfn.IFS(               NewTrader!$AF3=NoStock,(NewTrader!$BL3-NewTrader!$Y3)/NewTrader!$Y3-Commission,             NewTrader!$X3&lt;&gt;0,(NewTrader!$X3-NewTrader!$Y3)/NewTrader!$Y3-Commission)</f>
        <v>-0.2380424184493532</v>
      </c>
      <c r="BK3" s="1665">
        <f ca="1">_xlfn.XLOOKUP(NewTrader!$V3,TabCalc[Ticker],TabCalc[L_Sn])</f>
        <v>500</v>
      </c>
      <c r="BL3" s="1666">
        <f ca="1">_xlfn.XLOOKUP(NewTrader!$V3,TabCalc[Ticker],TabCalc[L_Sp])</f>
        <v>270.04000000000002</v>
      </c>
      <c r="BM3" s="1667">
        <f ca="1">-IFERROR((Tab_NewTRADER[[#This Row],[M]]-Tab_NewTRADER[[#This Row],[L_Sp]])/Tab_NewTRADER[[#This Row],[L_Sp]],0)</f>
        <v>-2.9588209154199199E-2</v>
      </c>
      <c r="BN3" s="1668">
        <f ca="1">MIN(Tab_NewTRADER[[#This Row],[L_Sn]],Tab_NewTRADER[[#This Row],[N]])*(Tab_NewTRADER[[#This Row],[M]]-Tab_NewTRADER[[#This Row],[L_Sp]])*Comm_Net*Tab_NewTRADER[[#This Row],[Scale]]</f>
        <v>3984.2134999999762</v>
      </c>
      <c r="BO3" s="1669">
        <f ca="1">Tab_NewTRADER[[#This Row],[L_Sn]]*(Tab_NewTRADER[[#This Row],[Agiotage]]-Tab_NewTRADER[[#This Row],[M]])/(Tab_NewTRADER[[#This Row],[L_Bn]]*Tab_NewTRADER[[#This Row],[M]])</f>
        <v>-2.4937014500998065</v>
      </c>
      <c r="BP3" s="1670">
        <f ca="1">IFERROR((Tab_NewTRADER[[#This Row],[M]]-Tab_NewTRADER[[#This Row],[A]])/Tab_NewTRADER[[#This Row],[A]],0)</f>
        <v>0.30794596003068575</v>
      </c>
      <c r="BQ3" s="1671" t="str">
        <f ca="1">TEXT(_xlfn.XLOOKUP(Tab_NewTRADER[[#This Row],[ClickTick]],TabCalc[Ticker],TabCalc[NAfter]),"#,#0")&amp;" : "&amp;TEXT(_xlfn.XLOOKUP(Tab_NewTRADER[[#This Row],[ClickTick]],TabCalc[Ticker],TabCalc[NAfter])*(Tab_NewTRADER[[#This Row],[M]]-Tab_NewTRADER[[#This Row],[A]])*(1-Commission)*Tab_NewTRADER[[#This Row],[Scale]],"#,#0$")</f>
        <v>9,500 : 620,254$</v>
      </c>
      <c r="BR3" s="259">
        <f ca="1">_xlfn.XLOOKUP(Tab_NewTRADER[[#This Row],[ClickTick]],TabCalc[[#This Row],[Ticker]],TabCalc[[#This Row],[GL]])*(1-Commission)</f>
        <v>1207596.1651362306</v>
      </c>
      <c r="BS3" s="259"/>
      <c r="BT3" s="1672" t="str">
        <f ca="1">Tab_NewTRADER[[#This Row],[Show]]&amp;": "&amp;_xlfn.XLOOKUP(Tab_NewTRADER[[#This Row],[Show]],TabCalc[Ticker],TabCalc[Pile?])</f>
        <v xml:space="preserve">AAPL: </v>
      </c>
      <c r="BU3" s="1673" t="s">
        <v>2046</v>
      </c>
      <c r="BV3" s="1674" t="str" cm="1">
        <f t="array" aca="1" ref="BV3" ca="1">_xlfn.TEXTJOIN("",,INDEX({"M","A","Y"}, _xlfn.SORTBY({1,2,3}, -CHOOSE({1,2,3}, Tab_NewTRADER[[#This Row],[M]], Tab_NewTRADER[[#This Row],[A]], Tab_NewTRADER[[#This Row],[Y]]))))</f>
        <v>YMA</v>
      </c>
      <c r="BW3" s="1675"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76">
        <f ca="1">Tab_NewTRADER[[#This Row],[L_Sn]]*Tab_NewTRADER[[#This Row],[L_Sp]]+Tab_NewTRADER[[#This Row],[SellMore]]*Tab_NewTRADER[[#This Row],[M]]</f>
        <v>190626</v>
      </c>
      <c r="BY3" s="1676">
        <f ca="1">INDEX(
  INDEX(TabConsolid[], , _xlfn.XMATCH(Tab_NewTRADER[[#This Row],[ClickTick]]&amp;1, TabConsolid[#Headers])),
  MATCH(
    -Tab_NewTRADER[[#This Row],[M]],
    INDEX(TabConsolid[], , _xlfn.XMATCH(Tab_NewTRADER[[#This Row],[ClickTick]]&amp;2, TabConsolid[#Headers])),
    -1
  )
)</f>
        <v>200</v>
      </c>
      <c r="BZ3" s="1676"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77">
        <f ca="1">Tab_NewTRADER[[#This Row],[ReBuy]]/(Tab_NewTRADER[[#This Row],[L_Sn]]+Tab_NewTRADER[[#This Row],[SellMore]])</f>
        <v>272.32285714285712</v>
      </c>
      <c r="CB3" s="1678">
        <f ca="1">((_xlfn.XLOOKUP(Tab_NewTRADER[[#This Row],[Show]],TabCalc[Ticker],TabCalc[NAfter])+Tab_NewTRADER[[#This Row],[L_Sn]])*(Tab_NewTRADER[[#This Row],[Agiotage]]-Tab_NewTRADER[[#This Row],[M]]))/(Tab_NewTRADER[[#This Row],[L_Sn]]*_xlfn.XLOOKUP(Tab_NewTRADER[[#This Row],[Show]],TabCalc[Ticker],TabCalc[NAfter]))</f>
        <v>-0.58385163298631504</v>
      </c>
      <c r="CC3" s="1677">
        <f ca="1">INDEX(Tab1Price[Price19], MATCH(Tab_NewTRADER[[#This Row],[Show]], Tab_NewTRADER[Show], 0))</f>
        <v>278.02999999999997</v>
      </c>
      <c r="CD3" s="1679">
        <f ca="1">_xlfn.XMATCH(Tab_NewTRADER[[#This Row],[Show]]&amp;1, TabConsolid[#Headers])</f>
        <v>2</v>
      </c>
      <c r="CE3" s="1678"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78" t="str" cm="1">
        <f t="array" aca="1" ref="CF3" ca="1">_xlfn.LET(
    _xlpm.FMT, _xlfn.LAMBDA(_xlpm.n, REPT(" ", 7 - LEN(TEXT(_xlpm.n,"0.00"))) &amp; TEXT(_xlpm.n,"0.00")),
    _xlpm.FMT(Tab_NewTRADER[[#This Row],[A]]) &amp; " -" &amp; _xlpm.FMT(Tab_NewTRADER[[#This Row],[M]]) &amp; " -" &amp; _xlpm.FMT(Tab_NewTRADER[[#This Row],[Y]])
)</f>
        <v xml:space="preserve"> 212.57 - 278.03 - 283.58</v>
      </c>
      <c r="CG3" s="1680" t="str" cm="1">
        <f t="array" aca="1" ref="CG3" ca="1">_xlfn.LET(
    _xlpm.W, 7,
    _xlpm.FMT, _xlfn.LAMBDA(_xlpm.n, REPT(" ", _xlpm.W - LEN(TEXT(_xlpm.n,"0.00"))) &amp; TEXT(_xlpm.n,"0.00")),
    _xlpm.FMT(Tab_NewTRADER[[#This Row],[A]]) &amp; " * " &amp; _xlpm.FMT(Tab_NewTRADER[[#This Row],[M]]) &amp; " * " &amp; _xlpm.FMT(Tab_NewTRADER[[#This Row],[Y]])
)</f>
        <v xml:space="preserve"> 212.57 *  278.03 *  283.58</v>
      </c>
      <c r="CH3" s="1842">
        <f>0</f>
        <v>0</v>
      </c>
      <c r="CI3" t="b">
        <f ca="1">IF(ABS(NewTrader!$Q3)&gt;=NewTrader!$Y3,"OK")</f>
        <v>0</v>
      </c>
    </row>
    <row r="4" spans="1:87" ht="23" hidden="1" thickBot="1">
      <c r="A4" s="1839">
        <f ca="1">IF(_xlfn.XLOOKUP(NewTrader!$V4,TabCalc[Ticker],TabCalc[Cur])="GBp",0.01,1)</f>
        <v>1</v>
      </c>
      <c r="B4" s="1681" t="str">
        <f ca="1">IFERROR(TRUNC(_xlfn.XLOOKUP(NewTrader!$V4,TabCalc[Ticker],ListLastBuyp),2)&amp;"x"&amp;_xlfn.XLOOKUP(NewTrader!$V4,TabCalc[Ticker],ListLastBuyn)&amp;"=    "&amp;IF(_xlfn.XLOOKUP(NewTrader!$V4,TabCalc[Ticker],ListReverseS)&gt;0,"+","")&amp;TEXT(_xlfn.XLOOKUP(NewTrader!$V4,TabCalc[Ticker],ListReverseS),"#,#0")&amp;" "&amp;#REF!,"")</f>
        <v/>
      </c>
      <c r="C4" s="1682" t="str">
        <f ca="1">_xlfn.XLOOKUP(NewTrader!$V4,TabCalc[Ticker],ListResale)&amp;" @ "&amp;TEXT((_xlfn.XLOOKUP(NewTrader!$V4,TabCalc[Ticker],TabCalc[L_Bp])+_xlfn.XLOOKUP(NewTrader!$V4,TabCalc[Ticker],TabCalc[M]))/_xlfn.XLOOKUP(NewTrader!$V4,TabCalc[Ticker],TabCalc[M]),"#0.0%")</f>
        <v>Sell @ -5.1%</v>
      </c>
      <c r="D4" s="1683"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84" t="str">
        <f ca="1">IF(      AND(NewTrader!$X4&lt;NewTrader!$Y4,    _xlfn.XLOOKUP(NewTrader!$V4,TabCalc[Ticker],TabCalc[L_Sp])&gt;NewTrader!$Y4),"BUY  "&amp;TEXT(DesiredBuyGain/NewTrader!$A4/(_xlfn.XLOOKUP(NewTrader!$V4,TabCalc[Ticker],TabCalc[L_Sp])-NewTrader!$Y4),"#,##0"),"")</f>
        <v>BUY  1,515</v>
      </c>
      <c r="F4" s="1681" t="str">
        <f ca="1">TRUNC(TabCalc[[#This Row],[L_B1p]],2)&amp;"x"&amp;TabCalc[[#This Row],[L_B1n]]&amp;"=   "&amp;TEXT(TabCalc[[#This Row],[ReverseS1]],"#,#0")&amp;"$"</f>
        <v>-13.02x2800=   1,512$</v>
      </c>
      <c r="G4" s="1685" t="str">
        <f ca="1">IFERROR(TRUNC(_xlfn.XLOOKUP(NewTrader!$V4,TabCalc[Ticker],ListLastSalep),2)&amp;"x"&amp;_xlfn.XLOOKUP(NewTrader!$V4,TabCalc[Ticker],ListLastSalen)&amp;"=   "&amp;TEXT(-_xlfn.XLOOKUP(NewTrader!$V4,TabCalc[Ticker],ListReverseB),"#,#0")&amp;"$","")</f>
        <v>16.86x1000=   -3,300$</v>
      </c>
      <c r="H4" s="1686"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Buy @ 24.3% = 1,515</v>
      </c>
      <c r="I4" s="1681" t="str">
        <f ca="1">IFERROR(TRUNC(TabCalc[[#This Row],[L_S1p]],2)&amp;"x"&amp;TabCalc[[#This Row],[L_S1n]]&amp;"=   "&amp;TEXT(TabCalc[[#This Row],[ReverseB1]],"#,#0"),"")</f>
        <v>16.67x2990=   9,299</v>
      </c>
      <c r="J4" s="1687">
        <f ca="1">_xlfn.XLOOKUP(NewTrader!$V4,TabCalc[Ticker],ListGravity)</f>
        <v>1.4564896755162242</v>
      </c>
      <c r="K4" s="1688" t="str" cm="1">
        <f t="array" aca="1" ref="K4" ca="1">IF(_xlfn.XLOOKUP(NewTrader!$V4,NewTrader!$V$3:$V$96,ListExtra_n)&gt;0,_xlfn.XLOOKUP(NewTrader!$V4,NewTrader!$V$3:$V$96,ListExtra_n),"")</f>
        <v/>
      </c>
      <c r="L4" s="1689" t="str">
        <f ca="1">IF(_xlfn.XLOOKUP(NewTrader!$V4,TabCalc[Ticker],ListExtra_n)&gt;0,_xlfn.XLOOKUP(NewTrader!$V4,TabCalc[Ticker],ListExtra_n)*NewTrader!$Y4*_xlfn.XLOOKUP(NewTrader!$V4,TabCalc[Ticker],ListScale),"")</f>
        <v/>
      </c>
      <c r="M4" s="1690">
        <f ca="1">_xlfn.XLOOKUP(NewTrader!$V4,TabCalc[Ticker],TabCalc[Agiotage])</f>
        <v>0.7583713347621871</v>
      </c>
      <c r="N4" s="1691" cm="1">
        <f t="array" aca="1" ref="N4" ca="1">_xlfn.XLOOKUP(NewTrader!$V4,ListTickers,Tab2RSIConventional[RSIConv20])</f>
        <v>83</v>
      </c>
      <c r="O4" s="1631" t="str">
        <f ca="1">TEXT(_xlfn.XLOOKUP(NewTrader!$V4,TabCalc[Ticker],TabCalc[Nbegin]),"#,#0")&amp;": "&amp;_xlfn.XLOOKUP(NewTrader!$V4,TabCalc[Ticker],TabCalc[Pile?])</f>
        <v xml:space="preserve">9,000: </v>
      </c>
      <c r="P4" s="1692">
        <f ca="1">_xlfn.XLOOKUP(NewTrader!$V4,TabCalc[Ticker],TabCalc[L_Bn])</f>
        <v>190</v>
      </c>
      <c r="Q4" s="1693">
        <f ca="1">_xlfn.XLOOKUP(NewTrader!$V4,TabCalc[Ticker],TabCalc[L_Bp])</f>
        <v>-14.25</v>
      </c>
      <c r="R4" s="1694">
        <f ca="1">(NewTrader!$Y4+NewTrader!$Q4)/ABS(NewTrader!$Q4)</f>
        <v>-4.8421052631578913E-2</v>
      </c>
      <c r="S4" s="262">
        <f ca="1">INT(_xlfn.XLOOKUP(NewTrader!$V4,TabCalc[Ticker],TabCalc[Rev(MinStock)])*Comm_Net)</f>
        <v>-131</v>
      </c>
      <c r="T4" s="1635">
        <f ca="1">_xlfn.XLOOKUP(NewTrader!$V4,TabCalc[Ticker],TabCalc[Agiotage])</f>
        <v>0.7583713347621871</v>
      </c>
      <c r="U4" s="1695"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300/300=&gt;0.3% / 0.3%</v>
      </c>
      <c r="V4" s="1578" t="str">
        <f ca="1">SORTING!B4</f>
        <v>ADEA</v>
      </c>
      <c r="W4" s="1637">
        <f ca="1">_xlfn.XLOOKUP(NewTrader!$V4,TabCalc[Ticker],TabCalc[Y])</f>
        <v>19.75</v>
      </c>
      <c r="X4" s="1639">
        <f ca="1">-_xlfn.XLOOKUP(NewTrader!$V4&amp;2,Consolid!B$3:JZ$3,Consolid!B$4:JZ$4)</f>
        <v>13.108774427999998</v>
      </c>
      <c r="Y4" s="1639">
        <f ca="1">_xlfn.XLOOKUP(NewTrader!$V4,TabCalc[Ticker],TabCalc[M])</f>
        <v>13.56</v>
      </c>
      <c r="Z4" s="1640">
        <f ca="1">_xlfn.XLOOKUP(NewTrader!$V4,[1]!RTData[Ticker_Symbol],[1]!RTData[YTChange])</f>
        <v>0.28832354859752118</v>
      </c>
      <c r="AA4" s="1640" cm="1">
        <f t="array" aca="1" ref="AA4" ca="1">_xlfn.XLOOKUP(NewTrader!$V4,ListTickers,Tab1ChangePercent[Change%19])</f>
        <v>2.9589999999999998E-3</v>
      </c>
      <c r="AB4" s="1641">
        <f ca="1">_xlfn.XLOOKUP(NewTrader!$V4,TabCalc[Ticker],TabCalc[NAfter])</f>
        <v>5000</v>
      </c>
      <c r="AC4" s="1641">
        <f ca="1">_xlfn.XLOOKUP(NewTrader!$V4,TabCalc[Ticker],TabCalc[Nbegin])</f>
        <v>9000</v>
      </c>
      <c r="AD4" s="1642" t="str">
        <f ca="1">_xlfn.LET(_xlpm.PILE,_xlfn.XLOOKUP(NewTrader!$V4,TabCalc[Ticker],TabCalc[Pile?]),                    _xlpm.GL,_xlfn.XLOOKUP(NewTrader!$V4,TabCalc[Ticker],TabCalc[GL]),                        _xlpm.GLK,_xlfn.XLOOKUP(NewTrader!$V4,TabCalc[Ticker],TabCalc[GL])/1000,                             _xlpm.MVal,_xlfn.XLOOKUP(NewTrader!$V4,TabCalc[Ticker],TabCalc[M_V])/1000,                   _xlpm.PILE&amp;" "&amp;IF(_xlpm.GL&lt;0,TEXT(_xlpm.GLK,"#,#0")&amp;"K /"&amp;TEXT(_xlpm.MVal,"#,#0")&amp;" K$","^"&amp;TEXT(_xlpm.GLK,"#,#0")&amp;"K / "&amp;TEXT(_xlpm.MVal,"#,#0")&amp;" K$"))</f>
        <v xml:space="preserve"> ^38K / 68 K$</v>
      </c>
      <c r="AE4" s="1643" t="str">
        <f ca="1">_xlfn.XLOOKUP(NewTrader!$V4,[1]!RTData[Ticker_Symbol],[1]!RTData[Currency])</f>
        <v>USD</v>
      </c>
      <c r="AF4" s="1696"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698" t="str" cm="1">
        <f t="array" aca="1" ref="AH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13.56 -  19.75</v>
      </c>
      <c r="AI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 s="1651" t="str" cm="1">
        <f t="array" aca="1" ref="AJ4" ca="1">_xlfn.IFS(Tab_NewTRADER[[#This Row],[State]]="Sell More",TEXT(MIN(Tab_NewTRADER[[#This Row],[N]],Tab_NewTRADER[[#This Row],[L_Bn]])*(Tab_NewTRADER[[#This Row],[M]]-Tab_NewTRADER[[#This Row],[L_Sp]])*Tab_NewTRADER[[#This Row],[Scale]]*ComFactor,"#,#0"), TRUE,"M= "&amp;TEXT(Tab_NewTRADER[[#This Row],[M]],"#,#0.00"))</f>
        <v>M= 13.56</v>
      </c>
      <c r="AK4" s="1699" t="str" cm="1">
        <f t="array" aca="1" ref="AK4" ca="1">_xlfn.IFS(Tab_NewTRADER[[#This Row],[Y]]&gt;Tab_NewTRADER[[#This Row],[A]],                 TEXT(MIN(Tab_NewTRADER[[#This Row],[L_Bn]],Tab_NewTRADER[[#This Row],[N]])*(Tab_NewTRADER[[#This Row],[M]]-Tab_NewTRADER[[#This Row],[A]])*Tab_NewTRADER[[#This Row],[Scale]]*ComFactor,"#,#0"), TRUE,0)</f>
        <v>86</v>
      </c>
      <c r="AL4" s="1700" cm="1">
        <f t="array" aca="1" ref="AL4" ca="1">_xlfn.IFS(Tab_NewTRADER[[#This Row],[M]]&gt;Tab_NewTRADER[[#This Row],[A]],                  Tab_NewTRADER[[#This Row],[N]]*(Tab_NewTRADER[[#This Row],[M]]-Tab_NewTRADER[[#This Row],[A]])*Tab_NewTRADER[[#This Row],[Scale]]*ComFactor, TRUE,0)</f>
        <v>2250.26192756401</v>
      </c>
      <c r="AM4" s="1592" t="str">
        <f ca="1">_xlfn.XLOOKUP(Tab_NewTRADER[[#This Row],[Show]],TabCalc[Ticker],TabCalc[Max_Bn])&amp;" x "&amp;TEXT(_xlfn.XLOOKUP(Tab_NewTRADER[[#This Row],[Show]],TabCalc[Ticker],TabCalc[Max_Bp]),"#,#0.00")</f>
        <v>190 x 14.25</v>
      </c>
      <c r="AN4" s="1650" t="str">
        <f ca="1">NewTrader!$V4</f>
        <v>ADEA</v>
      </c>
      <c r="AO4" s="1651" t="str">
        <f ca="1">TEXT(_xlfn.XLOOKUP(Tab_NewTRADER[[#This Row],[ClickTick]],TabCalc[Ticker],TabCalc[NAfter]),"#,#0")&amp;"x"&amp;_xlfn.XLOOKUP(Tab_NewTRADER[[#This Row],[ClickTick]],TabCalc[Ticker],TabCalc[M])&amp;"           (A: "&amp;TEXT(-_xlfn.XLOOKUP(Tab_NewTRADER[[#This Row],[ClickTick]]&amp;2,Consolid!B$3:JZ$3,Consolid!B$4:JZ$4),"#,??0.00")&amp;")"</f>
        <v>5,000x13.56           (A:  13.11)</v>
      </c>
      <c r="AP4" s="1592" t="str">
        <f ca="1">_xlfn.XLOOKUP(Tab_NewTRADER[[#This Row],[Show]],TabCalc[Ticker],TabCalc[Min_Sn])&amp;" x "&amp;TEXT(_xlfn.XLOOKUP(Tab_NewTRADER[[#This Row],[Show]],TabCalc[Ticker],TabCalc[Min_Sp]),"#,#0.00")</f>
        <v>1000 x 10.83</v>
      </c>
      <c r="AQ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702" t="str" cm="1">
        <f t="array" aca="1" ref="AR4" ca="1">_xlfn.IFS(Tab_NewTRADER[[#This Row],[State]]="Reverse Buy",TEXT(-Tab_NewTRADER[[#This Row],[Buy_Back]],"#,#0")&amp;" / "&amp;TEXT(Tab_NewTRADER[[#This Row],[Rev_Buy]],"#,#0.0%"),TRUE,Tab_NewTRADER[[#This Row],[AMY]])</f>
        <v>3,291 / 19.6%</v>
      </c>
      <c r="AS4" s="1651"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0</v>
      </c>
      <c r="AT4" s="1699" cm="1">
        <f t="array" aca="1" ref="AT4" ca="1">_xlfn.IFS(Tab_NewTRADER[[#This Row],[M]]&lt;Tab_NewTRADER[[#This Row],[A]],            TEXT(Tab_NewTRADER[[#This Row],[N]]*(Tab_NewTRADER[[#This Row],[M]]-Tab_NewTRADER[[#This Row],[A]])*Tab_NewTRADER[[#This Row],[Scale]]*ComFactor,"#,#0")&amp;"   / "&amp;TEXT((Tab_NewTRADER[[#This Row],[M]]-Tab_NewTRADER[[#This Row],[A]])/Tab_NewTRADER[[#This Row],[M]],"#,#0.0%"),TRUE,0)</f>
        <v>0</v>
      </c>
      <c r="AU4" s="1699" t="str" cm="1">
        <f t="array" aca="1" ref="AU4" ca="1">_xlfn.IFS(Tab_NewTRADER[[#This Row],[M]]&lt;Tab_NewTRADER[[#This Row],[A]],TEXT(Tab_NewTRADER[[#This Row],[N]]*Tab_NewTRADER[[#This Row],[M]]*Tab_NewTRADER[[#This Row],[Scale]]*Comm_Net,"#,#0")&amp;" @ "&amp;TEXT(Tab_NewTRADER[[#This Row],[M]],"#,#0.#0"),TRUE,"M: "&amp; Tab_NewTRADER[[#This Row],[M]])</f>
        <v>M: 13.56</v>
      </c>
      <c r="AV4" s="1703" cm="1">
        <f t="array" aca="1" ref="AV4" ca="1">-_xlfn.XLOOKUP(
    Tab_NewTRADER[[#This Row],[Show]] &amp; 2,
    TabConsolid[#Headers],
    INDEX(TabConsolid[], 1, 0)
)</f>
        <v>13.108774427999998</v>
      </c>
      <c r="AW4" s="1704">
        <f ca="1">Tab_NewTRADER[[#This Row],[M]]*Tab_NewTRADER[[#This Row],[N]]*(1-Commission)*Tab_NewTRADER[[#This Row],[Scale]]</f>
        <v>67623.72</v>
      </c>
      <c r="AX4" s="1705"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705"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706" t="str" cm="1">
        <f t="array" aca="1" ref="AZ4" ca="1">_xlfn.IFS(   Tab_NewTRADER[[#This Row],[State]]=SellMorePercentGain,                     MIN(Tab_NewTRADER[[#This Row],[L_Sn]],Tab_NewTRADER[[#This Row],[N]])*(Tab_NewTRADER[[#This Row],[M]]-Tab_NewTRADER[[#This Row],[L_Sp]])*(1-Commission)*Tab_NewTRADER[[#This Row],[Scale]],                    TRUE,"")</f>
        <v/>
      </c>
      <c r="BA4" s="1707">
        <f ca="1">_xlfn.XLOOKUP(NewTrader!$V4,TabCalc[Ticker],TabCalc[Ann%RevLB])</f>
        <v>-0.11858216970998918</v>
      </c>
      <c r="BB4" s="1708" t="str">
        <f ca="1">_xlfn.XLOOKUP(NewTrader!$V4,TabCalc[Ticker],TabCalc[Up20])</f>
        <v>/100/%</v>
      </c>
      <c r="BC4" s="1709"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706" t="str" cm="1">
        <f t="array" aca="1" ref="BD4" ca="1">_xlfn.IFS(         NewTrader!$AF4=MDown,NewTrader!$P4*NewTrader!$Y4*(-(NewTrader!$Q4+NewTrader!$Y4)/NewTrader!$Y4)*(1-Commission)*NewTrader!$A4,                               TRUE,"")</f>
        <v/>
      </c>
      <c r="BE4" s="1705" t="str" cm="1">
        <f t="array" aca="1" ref="BE4" ca="1">_xlfn.IFS(   NewTrader!$AF4=MUp,NewTrader!$BP4-Commission,        NewTrader!$AF4=MDown,(NewTrader!$X4-NewTrader!$Y4)/NewTrader!$Y4-Commission,                              TRUE,"")</f>
        <v/>
      </c>
      <c r="BF4" s="1706" cm="1">
        <f t="array" aca="1" ref="BF4" ca="1">_xlfn.IFS(   OR(NewTrader!$AF4=MUp,NewTrader!$AF4=Sale_Back), NewTrader!$AB4*NewTrader!$Y4*NewTrader!$BP4,       NewTrader!$AF4=MDown,NewTrader!$AB4*(NewTrader!$X4-NewTrader!$Y4),        NewTrader!$AF4=RePurchaseGain,NewTrader!$AB4*(NewTrader!$Y4-NewTrader!$X4),       TRUE,0)*(1-Commission)*NewTrader!$A4</f>
        <v>0</v>
      </c>
      <c r="BG4" s="1710" t="e" cm="1">
        <f t="array" aca="1" ref="BG4" ca="1">_xlfn.LET(_xlpm.SumChTxt,TEXT(_xlfn.XLOOKUP(NewTrader!$V4,ListTickers,Tab2SumChangePercent[AVGChan20]),"#0.0%"),
      _xlfn.IFS(NewTrader!$AF4=NoStock,_xlpm.SumChTxt,
      TRUE, IF(NewTrader!$AF4=SellMorePercentGain,             "SumChange "&amp;_xlpm.SumChTxt,                         "&lt;"&amp;INT(_xlfn.XLOOKUP(NewTrader!$V4,ListTickers,Tab2ReverseGL[Rev_GL19]))&amp;    "&lt;"&amp;INT(_xlfn.XLOOKUP(NewTrader!$V4,ListTickers,Tab2ReverseGL[Rev_GL18]))&amp;":      "&amp;_xlpm.SumChTxt)))</f>
        <v>#VALUE!</v>
      </c>
      <c r="BH4" s="1711"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712" cm="1">
        <f t="array" aca="1" ref="BI4" ca="1">_xlfn.IFS(NewTrader!$AF4=Sale_Back,"",         NewTrader!$AF4=MDown, (NewTrader!$Y4-NewTrader!$X4)/NewTrader!$X4*ComFactor,             TRUE, IFERROR((NewTrader!$Y4-NewTrader!$X4)/NewTrader!$X4*ComFactor,""))</f>
        <v>3.4332148133657862E-2</v>
      </c>
      <c r="BJ4" s="1664" cm="1">
        <f t="array" aca="1" ref="BJ4" ca="1">_xlfn.IFS(               NewTrader!$AF4=NoStock,(NewTrader!$BL4-NewTrader!$Y4)/NewTrader!$Y4-Commission,             NewTrader!$X4&lt;&gt;0,(NewTrader!$X4-NewTrader!$Y4)/NewTrader!$Y4-Commission)</f>
        <v>-3.587622212389395E-2</v>
      </c>
      <c r="BK4" s="1713">
        <f ca="1">_xlfn.XLOOKUP(NewTrader!$V4,TabCalc[Ticker],TabCalc[L_Sn])</f>
        <v>1000</v>
      </c>
      <c r="BL4" s="1693">
        <f ca="1">_xlfn.XLOOKUP(NewTrader!$V4,TabCalc[Ticker],TabCalc[L_Sp])</f>
        <v>16.86</v>
      </c>
      <c r="BM4" s="1694">
        <f ca="1">-IFERROR((Tab_NewTRADER[[#This Row],[M]]-Tab_NewTRADER[[#This Row],[L_Sp]])/Tab_NewTRADER[[#This Row],[L_Sp]],0)</f>
        <v>0.195729537366548</v>
      </c>
      <c r="BN4" s="1714">
        <f ca="1">MIN(Tab_NewTRADER[[#This Row],[L_Sn]],Tab_NewTRADER[[#This Row],[N]])*(Tab_NewTRADER[[#This Row],[M]]-Tab_NewTRADER[[#This Row],[L_Sp]])*Comm_Net*Tab_NewTRADER[[#This Row],[Scale]]</f>
        <v>-3291.0899999999988</v>
      </c>
      <c r="BO4" s="1715">
        <f ca="1">Tab_NewTRADER[[#This Row],[L_Sn]]*(Tab_NewTRADER[[#This Row],[Agiotage]]-Tab_NewTRADER[[#This Row],[M]])/(Tab_NewTRADER[[#This Row],[L_Bn]]*Tab_NewTRADER[[#This Row],[M]])</f>
        <v>-4.9688047916619373</v>
      </c>
      <c r="BP4" s="1716">
        <f ca="1">IFERROR((Tab_NewTRADER[[#This Row],[M]]-Tab_NewTRADER[[#This Row],[A]])/Tab_NewTRADER[[#This Row],[A]],0)</f>
        <v>3.4421644409121578E-2</v>
      </c>
      <c r="BQ4" s="1671" t="str">
        <f ca="1">TEXT(_xlfn.XLOOKUP(Tab_NewTRADER[[#This Row],[ClickTick]],TabCalc[Ticker],TabCalc[NAfter]),"#,#0")&amp;" : "&amp;TEXT(_xlfn.XLOOKUP(Tab_NewTRADER[[#This Row],[ClickTick]],TabCalc[Ticker],TabCalc[NAfter])*(Tab_NewTRADER[[#This Row],[M]]-Tab_NewTRADER[[#This Row],[A]])*(1-Commission)*Tab_NewTRADER[[#This Row],[Scale]],"#,#0$")</f>
        <v>5,000 : 2,250$</v>
      </c>
      <c r="BR4" s="262">
        <f ca="1">_xlfn.XLOOKUP(NewTrader!$V4,TabCalc[[#This Row],[Ticker]],TabCalc[[#This Row],[GL]])*(1-Commission)</f>
        <v>37682.083971712331</v>
      </c>
      <c r="BS4" s="262"/>
      <c r="BT4" s="1672" t="str">
        <f ca="1">Tab_NewTRADER[[#This Row],[Show]]&amp;": "&amp;_xlfn.XLOOKUP(Tab_NewTRADER[[#This Row],[Show]],TabCalc[Ticker],TabCalc[Pile?])</f>
        <v xml:space="preserve">ADEA: </v>
      </c>
      <c r="BU4" s="1717" t="s">
        <v>2025</v>
      </c>
      <c r="BV4" s="1674" t="str" cm="1">
        <f t="array" aca="1" ref="BV4" ca="1">_xlfn.TEXTJOIN("",,INDEX({"M","A","Y"}, _xlfn.SORTBY({1,2,3}, -CHOOSE({1,2,3}, Tab_NewTRADER[[#This Row],[M]], Tab_NewTRADER[[#This Row],[A]], Tab_NewTRADER[[#This Row],[Y]]))))</f>
        <v>YMA</v>
      </c>
      <c r="BW4" s="1675"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76">
        <f ca="1">Tab_NewTRADER[[#This Row],[L_Sn]]*Tab_NewTRADER[[#This Row],[L_Sp]]+Tab_NewTRADER[[#This Row],[SellMore]]*Tab_NewTRADER[[#This Row],[M]]</f>
        <v>44115.600000000006</v>
      </c>
      <c r="BY4" s="1676">
        <f ca="1">INDEX(
  INDEX(TabConsolid[], , _xlfn.XMATCH(Tab_NewTRADER[[#This Row],[ClickTick]]&amp;1, TabConsolid[#Headers])),
  MATCH(
    -Tab_NewTRADER[[#This Row],[M]],
    INDEX(TabConsolid[], , _xlfn.XMATCH(Tab_NewTRADER[[#This Row],[ClickTick]]&amp;2, TabConsolid[#Headers])),
    -1
  )
)</f>
        <v>2010</v>
      </c>
      <c r="BZ4" s="1676"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9.9999999999999995E-7</v>
      </c>
      <c r="CA4" s="1677">
        <f ca="1">Tab_NewTRADER[[#This Row],[ReBuy]]/(Tab_NewTRADER[[#This Row],[L_Sn]]+Tab_NewTRADER[[#This Row],[SellMore]])</f>
        <v>14.656345514950168</v>
      </c>
      <c r="CB4" s="1678">
        <f ca="1">((_xlfn.XLOOKUP(Tab_NewTRADER[[#This Row],[Show]],TabCalc[Ticker],TabCalc[NAfter])+Tab_NewTRADER[[#This Row],[L_Sn]])*(Tab_NewTRADER[[#This Row],[Agiotage]]-Tab_NewTRADER[[#This Row],[M]]))/(Tab_NewTRADER[[#This Row],[L_Sn]]*_xlfn.XLOOKUP(Tab_NewTRADER[[#This Row],[Show]],TabCalc[Ticker],TabCalc[NAfter]))</f>
        <v>-1.5361954398285376E-2</v>
      </c>
      <c r="CC4" s="1677">
        <f ca="1">INDEX(Tab1Price[Price19], MATCH(Tab_NewTRADER[[#This Row],[Show]], Tab_NewTRADER[Show], 0))</f>
        <v>13.56</v>
      </c>
      <c r="CD4" s="1679">
        <f ca="1">_xlfn.XMATCH(Tab_NewTRADER[[#This Row],[Show]]&amp;1, TabConsolid[#Headers])</f>
        <v>5</v>
      </c>
      <c r="CE4" s="1678"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678" t="str" cm="1">
        <f t="array" aca="1" ref="CF4" ca="1">_xlfn.LET(
    _xlpm.FMT, _xlfn.LAMBDA(_xlpm.n, REPT(" ", 7 - LEN(TEXT(_xlpm.n,"0.00"))) &amp; TEXT(_xlpm.n,"0.00")),
    _xlpm.FMT(Tab_NewTRADER[[#This Row],[A]]) &amp; " -" &amp; _xlpm.FMT(Tab_NewTRADER[[#This Row],[M]]) &amp; " -" &amp; _xlpm.FMT(Tab_NewTRADER[[#This Row],[Y]])
)</f>
        <v xml:space="preserve">  13.11 -  13.56 -  19.75</v>
      </c>
      <c r="CG4" s="1680" t="str" cm="1">
        <f t="array" aca="1" ref="CG4" ca="1">_xlfn.LET(
    _xlpm.W, 7,
    _xlpm.FMT, _xlfn.LAMBDA(_xlpm.n, REPT(" ", _xlpm.W - LEN(TEXT(_xlpm.n,"0.00"))) &amp; TEXT(_xlpm.n,"0.00")),
    _xlpm.FMT(Tab_NewTRADER[[#This Row],[A]]) &amp; " * " &amp; _xlpm.FMT(Tab_NewTRADER[[#This Row],[M]]) &amp; " * " &amp; _xlpm.FMT(Tab_NewTRADER[[#This Row],[Y]])
)</f>
        <v xml:space="preserve">  13.11 *   13.56 *   19.75</v>
      </c>
      <c r="CH4" s="1842">
        <f>0</f>
        <v>0</v>
      </c>
      <c r="CI4" t="str">
        <f ca="1">IF(ABS(NewTrader!$Q4)&gt;=NewTrader!$Y4,"OK")</f>
        <v>OK</v>
      </c>
    </row>
    <row r="5" spans="1:87" ht="23" hidden="1" thickBot="1">
      <c r="A5" s="1838">
        <f ca="1">IF(_xlfn.XLOOKUP(NewTrader!$V5,TabCalc[Ticker],TabCalc[Cur])="GBp",0.01,1)</f>
        <v>0.01</v>
      </c>
      <c r="B5" s="1620" t="str">
        <f ca="1">IFERROR(TRUNC(_xlfn.XLOOKUP(NewTrader!$V5,TabCalc[Ticker],ListLastBuyp),2)&amp;"x"&amp;_xlfn.XLOOKUP(NewTrader!$V5,TabCalc[Ticker],ListLastBuyn)&amp;"=    "&amp;IF(_xlfn.XLOOKUP(NewTrader!$V5,TabCalc[Ticker],ListReverseS)&gt;0,"+","")&amp;TEXT(_xlfn.XLOOKUP(NewTrader!$V5,TabCalc[Ticker],ListReverseS),"#,#0")&amp;" "&amp;#REF!,"")</f>
        <v/>
      </c>
      <c r="C5" s="1621" t="str">
        <f ca="1">_xlfn.XLOOKUP(NewTrader!$V5,TabCalc[Ticker],ListResale)&amp;" @ "&amp;TEXT((_xlfn.XLOOKUP(NewTrader!$V5,TabCalc[Ticker],TabCalc[L_Bp])+_xlfn.XLOOKUP(NewTrader!$V5,TabCalc[Ticker],TabCalc[M]))/_xlfn.XLOOKUP(NewTrader!$V5,TabCalc[Ticker],TabCalc[M]),"#0.0%")</f>
        <v>B_more @ -16.9%</v>
      </c>
      <c r="D5" s="1622"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718" t="str">
        <f ca="1">IF(      AND(NewTrader!$X5&lt;NewTrader!$Y5,    _xlfn.XLOOKUP(NewTrader!$V5,TabCalc[Ticker],TabCalc[L_Sp])&gt;NewTrader!$Y5),"BUY  "&amp;TEXT(DesiredBuyGain/NewTrader!$A5/(_xlfn.XLOOKUP(NewTrader!$V5,TabCalc[Ticker],TabCalc[L_Sp])-NewTrader!$Y5),"#,##0"),"")</f>
        <v/>
      </c>
      <c r="F5" s="1620" t="str">
        <f ca="1">TRUNC(TabCalc[[#This Row],[L_B1p]],2)&amp;"x"&amp;TabCalc[[#This Row],[L_B1n]]&amp;"=   "&amp;TEXT(TabCalc[[#This Row],[ReverseS1]],"#,#0")&amp;"$"</f>
        <v>-45.8x10000=   -680$</v>
      </c>
      <c r="G5" s="1624" t="str">
        <f ca="1">IFERROR(TRUNC(_xlfn.XLOOKUP(NewTrader!$V5,TabCalc[Ticker],ListLastSalep),2)&amp;"x"&amp;_xlfn.XLOOKUP(NewTrader!$V5,TabCalc[Ticker],ListLastSalen)&amp;"=   "&amp;TEXT(-_xlfn.XLOOKUP(NewTrader!$V5,TabCalc[Ticker],ListReverseB),"#,#0")&amp;"$","")</f>
        <v>52.01x20000=   -2,602$</v>
      </c>
      <c r="H5" s="1625"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33.4% = 384</v>
      </c>
      <c r="I5" s="1620" t="str">
        <f ca="1">IFERROR(TRUNC(TabCalc[[#This Row],[L_S1p]],2)&amp;"x"&amp;TabCalc[[#This Row],[L_S1n]]&amp;"=   "&amp;TEXT(TabCalc[[#This Row],[ReverseB1]],"#,#0"),"")</f>
        <v>53.62x90000=   13,158</v>
      </c>
      <c r="J5" s="1626">
        <f ca="1">_xlfn.XLOOKUP(NewTrader!$V5,TabCalc[Ticker],ListGravity)</f>
        <v>2.4425641025641025</v>
      </c>
      <c r="K5" s="1627" cm="1">
        <f t="array" aca="1" ref="K5" ca="1">IF(_xlfn.XLOOKUP(NewTrader!$V5,NewTrader!$V$3:$V$96,ListExtra_n)&gt;0,_xlfn.XLOOKUP(NewTrader!$V5,NewTrader!$V$3:$V$96,ListExtra_n),"")</f>
        <v>420000</v>
      </c>
      <c r="L5" s="1628">
        <f ca="1">IF(_xlfn.XLOOKUP(NewTrader!$V5,TabCalc[Ticker],ListExtra_n)&gt;0,_xlfn.XLOOKUP(NewTrader!$V5,TabCalc[Ticker],ListExtra_n)*NewTrader!$Y5*_xlfn.XLOOKUP(NewTrader!$V5,TabCalc[Ticker],ListScale),"")</f>
        <v>163800</v>
      </c>
      <c r="M5" s="1629">
        <f ca="1">_xlfn.XLOOKUP(NewTrader!$V5,TabCalc[Ticker],TabCalc[Agiotage])</f>
        <v>0.93109744244814086</v>
      </c>
      <c r="N5" s="1630" cm="1">
        <f t="array" aca="1" ref="N5" ca="1">_xlfn.XLOOKUP(NewTrader!$V5,ListTickers,Tab2RSIConventional[RSIConv20])</f>
        <v>41</v>
      </c>
      <c r="O5" s="1631" t="str">
        <f ca="1">TEXT(_xlfn.XLOOKUP(NewTrader!$V5,TabCalc[Ticker],TabCalc[Nbegin]),"#,#0")&amp;": "&amp;_xlfn.XLOOKUP(NewTrader!$V5,TabCalc[Ticker],TabCalc[Pile?])</f>
        <v>400,000: Pile</v>
      </c>
      <c r="P5" s="1630">
        <f ca="1">_xlfn.XLOOKUP(NewTrader!$V5,TabCalc[Ticker],TabCalc[L_Bn])</f>
        <v>10000</v>
      </c>
      <c r="Q5" s="1633">
        <f ca="1">_xlfn.XLOOKUP(NewTrader!$V5,TabCalc[Ticker],TabCalc[L_Bp])</f>
        <v>-45.6</v>
      </c>
      <c r="R5" s="1634">
        <f ca="1">(NewTrader!$Y5+NewTrader!$Q5)/ABS(NewTrader!$Q5)</f>
        <v>-0.14473684210526319</v>
      </c>
      <c r="S5" s="259">
        <f ca="1">INT(_xlfn.XLOOKUP(NewTrader!$V5,TabCalc[Ticker],TabCalc[Rev(MinStock)])*Comm_Net)</f>
        <v>-658</v>
      </c>
      <c r="T5" s="1635">
        <f ca="1">_xlfn.XLOOKUP(NewTrader!$V5,TabCalc[Ticker],TabCalc[Agiotage])</f>
        <v>0.93109744244814086</v>
      </c>
      <c r="U5" s="1719"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-8,200/-8,200=&gt;-2.7% / -2.7%</v>
      </c>
      <c r="V5" s="1578" t="str">
        <f ca="1">SORTING!B5</f>
        <v>AET</v>
      </c>
      <c r="W5" s="1637">
        <f ca="1">_xlfn.XLOOKUP(NewTrader!$V5,TabCalc[Ticker],TabCalc[Y])</f>
        <v>95.26</v>
      </c>
      <c r="X5" s="1639">
        <f ca="1">-_xlfn.XLOOKUP(NewTrader!$V5&amp;2,Consolid!B$3:JZ$3,Consolid!B$4:JZ$4)</f>
        <v>49.365044175841241</v>
      </c>
      <c r="Y5" s="1639">
        <f ca="1">_xlfn.XLOOKUP(NewTrader!$V5,TabCalc[Ticker],TabCalc[M])</f>
        <v>39</v>
      </c>
      <c r="Z5" s="1640">
        <f ca="1">_xlfn.XLOOKUP(NewTrader!$V5,[1]!RTData[Ticker_Symbol],[1]!RTData[YTChange])</f>
        <v>3.5885167464114957E-2</v>
      </c>
      <c r="AA5" s="1640" cm="1">
        <f t="array" aca="1" ref="AA5" ca="1">_xlfn.XLOOKUP(NewTrader!$V5,ListTickers,Tab1ChangePercent[Change%19])</f>
        <v>-2.7431000000000001E-2</v>
      </c>
      <c r="AB5" s="1641">
        <f ca="1">_xlfn.XLOOKUP(NewTrader!$V5,TabCalc[Ticker],TabCalc[NAfter])</f>
        <v>820000</v>
      </c>
      <c r="AC5" s="1641">
        <f ca="1">_xlfn.XLOOKUP(NewTrader!$V5,TabCalc[Ticker],TabCalc[Nbegin])</f>
        <v>400000</v>
      </c>
      <c r="AD5" s="1642" t="str">
        <f ca="1">_xlfn.LET(_xlpm.PILE,_xlfn.XLOOKUP(NewTrader!$V5,TabCalc[Ticker],TabCalc[Pile?]),                    _xlpm.GL,_xlfn.XLOOKUP(NewTrader!$V5,TabCalc[Ticker],TabCalc[GL]),                        _xlpm.GLK,_xlfn.XLOOKUP(NewTrader!$V5,TabCalc[Ticker],TabCalc[GL])/1000,                             _xlpm.MVal,_xlfn.XLOOKUP(NewTrader!$V5,TabCalc[Ticker],TabCalc[M_V])/1000,                   _xlpm.PILE&amp;" "&amp;IF(_xlpm.GL&lt;0,TEXT(_xlpm.GLK,"#,#0")&amp;"K /"&amp;TEXT(_xlpm.MVal,"#,#0")&amp;" K$","^"&amp;TEXT(_xlpm.GLK,"#,#0")&amp;"K / "&amp;TEXT(_xlpm.MVal,"#,#0")&amp;" K$"))</f>
        <v>Pile -26K /319 K$</v>
      </c>
      <c r="AE5" s="1720" t="str">
        <f ca="1">_xlfn.XLOOKUP(NewTrader!$V5,[1]!RTData[Ticker_Symbol],[1]!RTData[Currency])</f>
        <v>GBp</v>
      </c>
      <c r="AF5" s="1721"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698" t="str" cm="1">
        <f t="array" aca="1" ref="AH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39.00 -  95.26</v>
      </c>
      <c r="AI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5" s="1651" t="str" cm="1">
        <f t="array" aca="1" ref="AJ5" ca="1">_xlfn.IFS(Tab_NewTRADER[[#This Row],[State]]="Sell More",TEXT(MIN(Tab_NewTRADER[[#This Row],[N]],Tab_NewTRADER[[#This Row],[L_Bn]])*(Tab_NewTRADER[[#This Row],[M]]-Tab_NewTRADER[[#This Row],[L_Sp]])*Tab_NewTRADER[[#This Row],[Scale]]*ComFactor,"#,#0"), TRUE,"M= "&amp;TEXT(Tab_NewTRADER[[#This Row],[M]],"#,#0.00"))</f>
        <v>M= 39.00</v>
      </c>
      <c r="AK5" s="1699" t="str" cm="1">
        <f t="array" aca="1" ref="AK5" ca="1">_xlfn.IFS(Tab_NewTRADER[[#This Row],[Y]]&gt;Tab_NewTRADER[[#This Row],[A]],                 TEXT(MIN(Tab_NewTRADER[[#This Row],[L_Bn]],Tab_NewTRADER[[#This Row],[N]])*(Tab_NewTRADER[[#This Row],[M]]-Tab_NewTRADER[[#This Row],[A]])*Tab_NewTRADER[[#This Row],[Scale]]*ComFactor,"#,#0"), TRUE,0)</f>
        <v>-1,034</v>
      </c>
      <c r="AL5" s="1700" cm="1">
        <f t="array" aca="1" ref="AL5" ca="1">_xlfn.IFS(Tab_NewTRADER[[#This Row],[M]]&gt;Tab_NewTRADER[[#This Row],[A]],                  Tab_NewTRADER[[#This Row],[N]]*(Tab_NewTRADER[[#This Row],[M]]-Tab_NewTRADER[[#This Row],[A]])*Tab_NewTRADER[[#This Row],[Scale]]*ComFactor, TRUE,0)</f>
        <v>0</v>
      </c>
      <c r="AM5" s="1592" t="str">
        <f ca="1">_xlfn.XLOOKUP(Tab_NewTRADER[[#This Row],[Show]],TabCalc[Ticker],TabCalc[Max_Bn])&amp;" x "&amp;TEXT(_xlfn.XLOOKUP(Tab_NewTRADER[[#This Row],[Show]],TabCalc[Ticker],TabCalc[Max_Bp]),"#,#0.00")</f>
        <v>180000 x 53.11</v>
      </c>
      <c r="AN5" s="1650" t="str">
        <f ca="1">NewTrader!$V5</f>
        <v>AET</v>
      </c>
      <c r="AO5" s="1651" t="str">
        <f ca="1">TEXT(_xlfn.XLOOKUP(Tab_NewTRADER[[#This Row],[ClickTick]],TabCalc[Ticker],TabCalc[NAfter]),"#,#0")&amp;"x"&amp;_xlfn.XLOOKUP(Tab_NewTRADER[[#This Row],[ClickTick]],TabCalc[Ticker],TabCalc[M])&amp;"           (A: "&amp;TEXT(-_xlfn.XLOOKUP(Tab_NewTRADER[[#This Row],[ClickTick]]&amp;2,Consolid!B$3:JZ$3,Consolid!B$4:JZ$4),"#,??0.00")&amp;")"</f>
        <v>820,000x39           (A:  49.37)</v>
      </c>
      <c r="AP5" s="1592" t="str">
        <f ca="1">_xlfn.XLOOKUP(Tab_NewTRADER[[#This Row],[Show]],TabCalc[Ticker],TabCalc[Min_Sn])&amp;" x "&amp;TEXT(_xlfn.XLOOKUP(Tab_NewTRADER[[#This Row],[Show]],TabCalc[Ticker],TabCalc[Min_Sp]),"#,#0.00")</f>
        <v>20000 x 52.01</v>
      </c>
      <c r="AQ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702" t="str" cm="1">
        <f t="array" aca="1" ref="AR5" ca="1">_xlfn.IFS(Tab_NewTRADER[[#This Row],[State]]="Reverse Buy",TEXT(-Tab_NewTRADER[[#This Row],[Buy_Back]],"#,#0")&amp;" / "&amp;TEXT(Tab_NewTRADER[[#This Row],[Rev_Buy]],"#,#0.0%"),TRUE,Tab_NewTRADER[[#This Row],[AMY]])</f>
        <v xml:space="preserve">  49.37 -  39.00 -  95.26</v>
      </c>
      <c r="AS5" s="1651"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53,979       / 16.9%</v>
      </c>
      <c r="AT5" s="1699"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-84,772   / -26.6%</v>
      </c>
      <c r="AU5" s="1699" t="str" cm="1">
        <f t="array" aca="1" ref="AU5" ca="1">_xlfn.IFS(Tab_NewTRADER[[#This Row],[M]]&lt;Tab_NewTRADER[[#This Row],[A]],TEXT(Tab_NewTRADER[[#This Row],[N]]*Tab_NewTRADER[[#This Row],[M]]*Tab_NewTRADER[[#This Row],[Scale]]*Comm_Net,"#,#0")&amp;" @ "&amp;TEXT(Tab_NewTRADER[[#This Row],[M]],"#,#0.#0"),TRUE,"M: "&amp; Tab_NewTRADER[[#This Row],[M]])</f>
        <v>318,937 @ 39.0</v>
      </c>
      <c r="AV5" s="1722" cm="1">
        <f t="array" aca="1" ref="AV5" ca="1">-_xlfn.XLOOKUP(
    Tab_NewTRADER[[#This Row],[Show]] &amp; 2,
    TabConsolid[#Headers],
    INDEX(TabConsolid[], 1, 0)
)</f>
        <v>49.365044175841241</v>
      </c>
      <c r="AW5" s="1710">
        <f ca="1">Tab_NewTRADER[[#This Row],[M]]*Tab_NewTRADER[[#This Row],[N]]*(1-Commission)*Tab_NewTRADER[[#This Row],[Scale]]</f>
        <v>318968.52</v>
      </c>
      <c r="AX5" s="1705"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705"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706" t="str" cm="1">
        <f t="array" aca="1" ref="AZ5" ca="1">_xlfn.IFS(   Tab_NewTRADER[[#This Row],[State]]=SellMorePercentGain,                     MIN(Tab_NewTRADER[[#This Row],[L_Sn]],Tab_NewTRADER[[#This Row],[N]])*(Tab_NewTRADER[[#This Row],[M]]-Tab_NewTRADER[[#This Row],[L_Sp]])*(1-Commission)*Tab_NewTRADER[[#This Row],[Scale]],                    TRUE,"")</f>
        <v/>
      </c>
      <c r="BA5" s="1723">
        <f ca="1">_xlfn.XLOOKUP(NewTrader!$V5,TabCalc[Ticker],TabCalc[Ann%RevLB])</f>
        <v>-0.85418464193270072</v>
      </c>
      <c r="BB5" s="1724" t="str">
        <f ca="1">_xlfn.XLOOKUP(NewTrader!$V5,TabCalc[Ticker],TabCalc[Up20])</f>
        <v>/25/%</v>
      </c>
      <c r="BC5" s="1725"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706" t="str" cm="1">
        <f t="array" aca="1" ref="BD5" ca="1">_xlfn.IFS(         NewTrader!$AF5=MDown,NewTrader!$P5*NewTrader!$Y5*(-(NewTrader!$Q5+NewTrader!$Y5)/NewTrader!$Y5)*(1-Commission)*NewTrader!$A5,                               TRUE,"")</f>
        <v/>
      </c>
      <c r="BE5" s="1705" t="str" cm="1">
        <f t="array" aca="1" ref="BE5" ca="1">_xlfn.IFS(   NewTrader!$AF5=MUp,NewTrader!$BP5-Commission,        NewTrader!$AF5=MDown,(NewTrader!$X5-NewTrader!$Y5)/NewTrader!$Y5-Commission,                              TRUE,"")</f>
        <v/>
      </c>
      <c r="BF5" s="1710" cm="1">
        <f t="array" aca="1" ref="BF5" ca="1">_xlfn.IFS(   OR(NewTrader!$AF5=MUp,NewTrader!$AF5=Sale_Back), NewTrader!$AB5*NewTrader!$Y5*NewTrader!$BP5,       NewTrader!$AF5=MDown,NewTrader!$AB5*(NewTrader!$X5-NewTrader!$Y5),        NewTrader!$AF5=RePurchaseGain,NewTrader!$AB5*(NewTrader!$Y5-NewTrader!$X5),       TRUE,0)*(1-Commission)*NewTrader!$A5</f>
        <v>0</v>
      </c>
      <c r="BG5" s="1710" t="e" cm="1">
        <f t="array" aca="1" ref="BG5" ca="1">_xlfn.LET(_xlpm.SumChTxt,TEXT(_xlfn.XLOOKUP(NewTrader!$V5,ListTickers,Tab2SumChangePercent[AVGChan20]),"#0.0%"),
      _xlfn.IFS(NewTrader!$AF5=NoStock,_xlpm.SumChTxt,
      TRUE, IF(NewTrader!$AF5=SellMorePercentGain,             "SumChange "&amp;_xlpm.SumChTxt,                         "&lt;"&amp;INT(_xlfn.XLOOKUP(NewTrader!$V5,ListTickers,Tab2ReverseGL[Rev_GL19]))&amp;    "&lt;"&amp;INT(_xlfn.XLOOKUP(NewTrader!$V5,ListTickers,Tab2ReverseGL[Rev_GL18]))&amp;":      "&amp;_xlpm.SumChTxt)))</f>
        <v>#VALUE!</v>
      </c>
      <c r="BH5" s="1711"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-6.6000000000000003E-2</v>
      </c>
      <c r="BI5" s="1712" cm="1">
        <f t="array" aca="1" ref="BI5" ca="1">_xlfn.IFS(NewTrader!$AF5=Sale_Back,"",         NewTrader!$AF5=MDown, (NewTrader!$Y5-NewTrader!$X5)/NewTrader!$X5*ComFactor,             TRUE, IFERROR((NewTrader!$Y5-NewTrader!$X5)/NewTrader!$X5*ComFactor,""))</f>
        <v>-0.20942136756039637</v>
      </c>
      <c r="BJ5" s="1664" cm="1">
        <f t="array" aca="1" ref="BJ5" ca="1">_xlfn.IFS(               NewTrader!$AF5=NoStock,(NewTrader!$BL5-NewTrader!$Y5)/NewTrader!$Y5-Commission,             NewTrader!$X5&lt;&gt;0,(NewTrader!$X5-NewTrader!$Y5)/NewTrader!$Y5-Commission)</f>
        <v>0.26317036348310874</v>
      </c>
      <c r="BK5" s="1726">
        <f ca="1">_xlfn.XLOOKUP(NewTrader!$V5,TabCalc[Ticker],TabCalc[L_Sn])</f>
        <v>20000</v>
      </c>
      <c r="BL5" s="1727">
        <f ca="1">_xlfn.XLOOKUP(NewTrader!$V5,TabCalc[Ticker],TabCalc[L_Sp])</f>
        <v>52.01</v>
      </c>
      <c r="BM5" s="1634">
        <f ca="1">-IFERROR((Tab_NewTRADER[[#This Row],[M]]-Tab_NewTRADER[[#This Row],[L_Sp]])/Tab_NewTRADER[[#This Row],[L_Sp]],0)</f>
        <v>0.25014420303787732</v>
      </c>
      <c r="BN5" s="1728">
        <f ca="1">MIN(Tab_NewTRADER[[#This Row],[L_Sn]],Tab_NewTRADER[[#This Row],[N]])*(Tab_NewTRADER[[#This Row],[M]]-Tab_NewTRADER[[#This Row],[L_Sp]])*Comm_Net*Tab_NewTRADER[[#This Row],[Scale]]</f>
        <v>-2594.9745999999996</v>
      </c>
      <c r="BO5" s="1715">
        <f ca="1">Tab_NewTRADER[[#This Row],[L_Sn]]*(Tab_NewTRADER[[#This Row],[Agiotage]]-Tab_NewTRADER[[#This Row],[M]])/(Tab_NewTRADER[[#This Row],[L_Bn]]*Tab_NewTRADER[[#This Row],[M]])</f>
        <v>-1.9522514132077877</v>
      </c>
      <c r="BP5" s="1670">
        <f ca="1">IFERROR((Tab_NewTRADER[[#This Row],[M]]-Tab_NewTRADER[[#This Row],[A]])/Tab_NewTRADER[[#This Row],[A]],0)</f>
        <v>-0.20996728249488308</v>
      </c>
      <c r="BQ5" s="1671" t="str">
        <f ca="1">TEXT(_xlfn.XLOOKUP(Tab_NewTRADER[[#This Row],[ClickTick]],TabCalc[Ticker],TabCalc[NAfter]),"#,#0")&amp;" : "&amp;TEXT(_xlfn.XLOOKUP(Tab_NewTRADER[[#This Row],[ClickTick]],TabCalc[Ticker],TabCalc[NAfter])*(Tab_NewTRADER[[#This Row],[M]]-Tab_NewTRADER[[#This Row],[A]])*(1-Commission)*Tab_NewTRADER[[#This Row],[Scale]],"#,#0$")</f>
        <v>820,000 : -84,772$</v>
      </c>
      <c r="BR5" s="259">
        <f ca="1">_xlfn.XLOOKUP(NewTrader!$V5,TabCalc[[#This Row],[Ticker]],TabCalc[[#This Row],[GL]])*(1-Commission)</f>
        <v>-25478.492739387581</v>
      </c>
      <c r="BS5" s="259"/>
      <c r="BT5" s="1672" t="str">
        <f ca="1">Tab_NewTRADER[[#This Row],[Show]]&amp;": "&amp;_xlfn.XLOOKUP(Tab_NewTRADER[[#This Row],[Show]],TabCalc[Ticker],TabCalc[Pile?])</f>
        <v>AET: Pile</v>
      </c>
      <c r="BU5" s="1717" t="s">
        <v>2044</v>
      </c>
      <c r="BV5" s="1674" t="str" cm="1">
        <f t="array" aca="1" ref="BV5" ca="1">_xlfn.TEXTJOIN("",,INDEX({"M","A","Y"}, _xlfn.SORTBY({1,2,3}, -CHOOSE({1,2,3}, Tab_NewTRADER[[#This Row],[M]], Tab_NewTRADER[[#This Row],[A]], Tab_NewTRADER[[#This Row],[Y]]))))</f>
        <v>YAM</v>
      </c>
      <c r="BW5" s="1675"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76" t="e">
        <f ca="1">Tab_NewTRADER[[#This Row],[L_Sn]]*Tab_NewTRADER[[#This Row],[L_Sp]]+Tab_NewTRADER[[#This Row],[SellMore]]*Tab_NewTRADER[[#This Row],[M]]</f>
        <v>#N/A</v>
      </c>
      <c r="BY5" s="1676" t="e">
        <f ca="1">INDEX(
  INDEX(TabConsolid[], , _xlfn.XMATCH(Tab_NewTRADER[[#This Row],[ClickTick]]&amp;1, TabConsolid[#Headers])),
  MATCH(
    -Tab_NewTRADER[[#This Row],[M]],
    INDEX(TabConsolid[], , _xlfn.XMATCH(Tab_NewTRADER[[#This Row],[ClickTick]]&amp;2, TabConsolid[#Headers])),
    -1
  )
)</f>
        <v>#N/A</v>
      </c>
      <c r="BZ5" s="1676"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77" t="e">
        <f ca="1">Tab_NewTRADER[[#This Row],[ReBuy]]/(Tab_NewTRADER[[#This Row],[L_Sn]]+Tab_NewTRADER[[#This Row],[SellMore]])</f>
        <v>#N/A</v>
      </c>
      <c r="CB5" s="1678">
        <f ca="1">((_xlfn.XLOOKUP(Tab_NewTRADER[[#This Row],[Show]],TabCalc[Ticker],TabCalc[NAfter])+Tab_NewTRADER[[#This Row],[L_Sn]])*(Tab_NewTRADER[[#This Row],[Agiotage]]-Tab_NewTRADER[[#This Row],[M]]))/(Tab_NewTRADER[[#This Row],[L_Sn]]*_xlfn.XLOOKUP(Tab_NewTRADER[[#This Row],[Show]],TabCalc[Ticker],TabCalc[NAfter]))</f>
        <v>-1.9498706188014366E-3</v>
      </c>
      <c r="CC5" s="1677">
        <f ca="1">INDEX(Tab1Price[Price19], MATCH(Tab_NewTRADER[[#This Row],[Show]], Tab_NewTRADER[Show], 0))</f>
        <v>39</v>
      </c>
      <c r="CD5" s="1679">
        <f ca="1">_xlfn.XMATCH(Tab_NewTRADER[[#This Row],[Show]]&amp;1, TabConsolid[#Headers])</f>
        <v>8</v>
      </c>
      <c r="CE5" s="1678"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729" t="str" cm="1">
        <f t="array" aca="1" ref="CF5" ca="1">_xlfn.LET(
    _xlpm.FMT, _xlfn.LAMBDA(_xlpm.n, REPT(" ", 7 - LEN(TEXT(_xlpm.n,"0.00"))) &amp; TEXT(_xlpm.n,"0.00")),
    _xlpm.FMT(Tab_NewTRADER[[#This Row],[A]]) &amp; " -" &amp; _xlpm.FMT(Tab_NewTRADER[[#This Row],[M]]) &amp; " -" &amp; _xlpm.FMT(Tab_NewTRADER[[#This Row],[Y]])
)</f>
        <v xml:space="preserve">  49.37 -  39.00 -  95.26</v>
      </c>
      <c r="CG5" s="1730" t="str" cm="1">
        <f t="array" aca="1" ref="CG5" ca="1">_xlfn.LET(
    _xlpm.W, 7,
    _xlpm.FMT, _xlfn.LAMBDA(_xlpm.n, REPT(" ", _xlpm.W - LEN(TEXT(_xlpm.n,"0.00"))) &amp; TEXT(_xlpm.n,"0.00")),
    _xlpm.FMT(Tab_NewTRADER[[#This Row],[A]]) &amp; " * " &amp; _xlpm.FMT(Tab_NewTRADER[[#This Row],[M]]) &amp; " * " &amp; _xlpm.FMT(Tab_NewTRADER[[#This Row],[Y]])
)</f>
        <v xml:space="preserve">  49.37 *   39.00 *   95.26</v>
      </c>
      <c r="CH5" s="1842">
        <f>0</f>
        <v>0</v>
      </c>
      <c r="CI5" t="str">
        <f ca="1">IF(ABS(NewTrader!$Q5)&gt;=NewTrader!$Y5,"OK")</f>
        <v>OK</v>
      </c>
    </row>
    <row r="6" spans="1:87" ht="23" thickBot="1">
      <c r="A6" s="1839">
        <f ca="1">IF(_xlfn.XLOOKUP(NewTrader!$V6,TabCalc[Ticker],TabCalc[Cur])="GBp",0.01,1)</f>
        <v>1</v>
      </c>
      <c r="B6" s="1681" t="str">
        <f ca="1">IFERROR(TRUNC(_xlfn.XLOOKUP(NewTrader!$V6,TabCalc[Ticker],ListLastBuyp),2)&amp;"x"&amp;_xlfn.XLOOKUP(NewTrader!$V6,TabCalc[Ticker],ListLastBuyn)&amp;"=    "&amp;IF(_xlfn.XLOOKUP(NewTrader!$V6,TabCalc[Ticker],ListReverseS)&gt;0,"+","")&amp;TEXT(_xlfn.XLOOKUP(NewTrader!$V6,TabCalc[Ticker],ListReverseS),"#,#0")&amp;" "&amp;#REF!,"")</f>
        <v/>
      </c>
      <c r="C6" s="1682" t="str">
        <f ca="1">_xlfn.XLOOKUP(NewTrader!$V6,TabCalc[Ticker],ListResale)&amp;" @ "&amp;TEXT((_xlfn.XLOOKUP(NewTrader!$V6,TabCalc[Ticker],TabCalc[L_Bp])+_xlfn.XLOOKUP(NewTrader!$V6,TabCalc[Ticker],TabCalc[M]))/_xlfn.XLOOKUP(NewTrader!$V6,TabCalc[Ticker],TabCalc[M]),"#0.0%")</f>
        <v>Sell @ 6.6%</v>
      </c>
      <c r="D6" s="1683"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328/12,000=75,452</v>
      </c>
      <c r="E6" s="1684" t="str">
        <f ca="1">IF(      AND(NewTrader!$X6&lt;NewTrader!$Y6,    _xlfn.XLOOKUP(NewTrader!$V6,TabCalc[Ticker],TabCalc[L_Sp])&gt;NewTrader!$Y6),"BUY  "&amp;TEXT(DesiredBuyGain/NewTrader!$A6/(_xlfn.XLOOKUP(NewTrader!$V6,TabCalc[Ticker],TabCalc[L_Sp])-NewTrader!$Y6),"#,##0"),"")</f>
        <v/>
      </c>
      <c r="F6" s="1681" t="str">
        <f ca="1">TRUNC(TabCalc[[#This Row],[L_B1p]],2)&amp;"x"&amp;TabCalc[[#This Row],[L_B1n]]&amp;"=   "&amp;TEXT(TabCalc[[#This Row],[ReverseS1]],"#,#0")&amp;"$"</f>
        <v>-212.98x500=   8,650$</v>
      </c>
      <c r="G6" s="1685" t="str">
        <f ca="1">IFERROR(TRUNC(_xlfn.XLOOKUP(NewTrader!$V6,TabCalc[Ticker],ListLastSalep),2)&amp;"x"&amp;_xlfn.XLOOKUP(NewTrader!$V6,TabCalc[Ticker],ListLastSalen)&amp;"=   "&amp;TEXT(-_xlfn.XLOOKUP(NewTrader!$V6,TabCalc[Ticker],ListReverseB),"#,#0")&amp;"$","")</f>
        <v>221.51x200=   1,753$</v>
      </c>
      <c r="H6" s="1686"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-3.8% = 0</v>
      </c>
      <c r="I6" s="1681" t="str">
        <f ca="1">IFERROR(TRUNC(TabCalc[[#This Row],[L_S1p]],2)&amp;"x"&amp;TabCalc[[#This Row],[L_S1n]]&amp;"=   "&amp;TEXT(TabCalc[[#This Row],[ReverseB1]],"#,#0"),"")</f>
        <v>234.24x500=   1,980</v>
      </c>
      <c r="J6" s="1687">
        <f ca="1">_xlfn.XLOOKUP(NewTrader!$V6,TabCalc[Ticker],ListGravity)</f>
        <v>1.2811867291992356</v>
      </c>
      <c r="K6" s="1688" cm="1">
        <f t="array" aca="1" ref="K6" ca="1">IF(_xlfn.XLOOKUP(NewTrader!$V6,NewTrader!$V$3:$V$96,ListExtra_n)&gt;0,_xlfn.XLOOKUP(NewTrader!$V6,NewTrader!$V$3:$V$96,ListExtra_n),"")</f>
        <v>4000</v>
      </c>
      <c r="L6" s="1689">
        <f ca="1">IF(_xlfn.XLOOKUP(NewTrader!$V6,TabCalc[Ticker],ListExtra_n)&gt;0,_xlfn.XLOOKUP(NewTrader!$V6,TabCalc[Ticker],ListExtra_n)*NewTrader!$Y6*_xlfn.XLOOKUP(NewTrader!$V6,TabCalc[Ticker],ListScale),"")</f>
        <v>921120</v>
      </c>
      <c r="M6" s="1690">
        <f ca="1">_xlfn.XLOOKUP(NewTrader!$V6,TabCalc[Ticker],TabCalc[Agiotage])</f>
        <v>0.6326482224746578</v>
      </c>
      <c r="N6" s="1691" cm="1">
        <f t="array" aca="1" ref="N6" ca="1">_xlfn.XLOOKUP(NewTrader!$V6,ListTickers,Tab2RSIConventional[RSIConv20])</f>
        <v>49</v>
      </c>
      <c r="O6" s="1631" t="str">
        <f ca="1">TEXT(_xlfn.XLOOKUP(NewTrader!$V6,TabCalc[Ticker],TabCalc[Nbegin]),"#,#0")&amp;": "&amp;_xlfn.XLOOKUP(NewTrader!$V6,TabCalc[Ticker],TabCalc[Pile?])</f>
        <v xml:space="preserve">8,000: </v>
      </c>
      <c r="P6" s="1692">
        <f ca="1">_xlfn.XLOOKUP(NewTrader!$V6,TabCalc[Ticker],TabCalc[L_Bn])</f>
        <v>2000</v>
      </c>
      <c r="Q6" s="1731">
        <f ca="1">_xlfn.XLOOKUP(NewTrader!$V6,TabCalc[Ticker],TabCalc[L_Bp])</f>
        <v>-215.02</v>
      </c>
      <c r="R6" s="1694">
        <f ca="1">(NewTrader!$Y6+NewTrader!$Q6)/ABS(NewTrader!$Q6)</f>
        <v>7.0970142312342999E-2</v>
      </c>
      <c r="S6" s="262">
        <f ca="1">INT(_xlfn.XLOOKUP(NewTrader!$V6,TabCalc[Ticker],TabCalc[Rev(MinStock)])*Comm_Net)</f>
        <v>30354</v>
      </c>
      <c r="T6" s="1635">
        <f ca="1">_xlfn.XLOOKUP(NewTrader!$V6,TabCalc[Ticker],TabCalc[Agiotage])</f>
        <v>0.6326482224746578</v>
      </c>
      <c r="U6" s="1695"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-8,040/-8,040=&gt;-0.6% / -0.6%</v>
      </c>
      <c r="V6" s="1578" t="str">
        <f ca="1">SORTING!B6</f>
        <v>AMZN</v>
      </c>
      <c r="W6" s="1637">
        <f ca="1">_xlfn.XLOOKUP(NewTrader!$V6,TabCalc[Ticker],TabCalc[Y])</f>
        <v>295.03167999999999</v>
      </c>
      <c r="X6" s="1639">
        <f ca="1">-_xlfn.XLOOKUP(NewTrader!$V6&amp;2,Consolid!B$3:JZ$3,Consolid!B$4:JZ$4)</f>
        <v>203.686777269</v>
      </c>
      <c r="Y6" s="1639">
        <f ca="1">_xlfn.XLOOKUP(NewTrader!$V6,TabCalc[Ticker],TabCalc[M])</f>
        <v>230.28</v>
      </c>
      <c r="Z6" s="1640">
        <f ca="1">_xlfn.XLOOKUP(NewTrader!$V6,[1]!RTData[Ticker_Symbol],[1]!RTData[YTChange])</f>
        <v>0.23464881151657174</v>
      </c>
      <c r="AA6" s="1640" cm="1">
        <f t="array" aca="1" ref="AA6" ca="1">_xlfn.XLOOKUP(NewTrader!$V6,ListTickers,Tab1ChangePercent[Change%19])</f>
        <v>-6.4720000000000003E-3</v>
      </c>
      <c r="AB6" s="1641">
        <f ca="1">_xlfn.XLOOKUP(NewTrader!$V6,TabCalc[Ticker],TabCalc[NAfter])</f>
        <v>12000</v>
      </c>
      <c r="AC6" s="1641">
        <f ca="1">_xlfn.XLOOKUP(NewTrader!$V6,TabCalc[Ticker],TabCalc[Nbegin])</f>
        <v>8000</v>
      </c>
      <c r="AD6" s="1642" t="str">
        <f ca="1">_xlfn.LET(_xlpm.PILE,_xlfn.XLOOKUP(NewTrader!$V6,TabCalc[Ticker],TabCalc[Pile?]),                    _xlpm.GL,_xlfn.XLOOKUP(NewTrader!$V6,TabCalc[Ticker],TabCalc[GL]),                        _xlpm.GLK,_xlfn.XLOOKUP(NewTrader!$V6,TabCalc[Ticker],TabCalc[GL])/1000,                             _xlpm.MVal,_xlfn.XLOOKUP(NewTrader!$V6,TabCalc[Ticker],TabCalc[M_V])/1000,                   _xlpm.PILE&amp;" "&amp;IF(_xlpm.GL&lt;0,TEXT(_xlpm.GLK,"#,#0")&amp;"K /"&amp;TEXT(_xlpm.MVal,"#,#0")&amp;" K$","^"&amp;TEXT(_xlpm.GLK,"#,#0")&amp;"K / "&amp;TEXT(_xlpm.MVal,"#,#0")&amp;" K$"))</f>
        <v xml:space="preserve"> ^781K / 2,756 K$</v>
      </c>
      <c r="AE6" s="1720" t="str">
        <f ca="1">_xlfn.XLOOKUP(NewTrader!$V6,[1]!RTData[Ticker_Symbol],[1]!RTData[Currency])</f>
        <v>USD</v>
      </c>
      <c r="AF6" s="1721"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733" t="str" cm="1">
        <f t="array" aca="1" ref="AH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203.69 - 230.28 - 295.03</v>
      </c>
      <c r="AI6"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 s="1735" t="str" cm="1">
        <f t="array" aca="1" ref="AJ6" ca="1">_xlfn.IFS(Tab_NewTRADER[[#This Row],[State]]="Sell More",TEXT(MIN(Tab_NewTRADER[[#This Row],[N]],Tab_NewTRADER[[#This Row],[L_Bn]])*(Tab_NewTRADER[[#This Row],[M]]-Tab_NewTRADER[[#This Row],[L_Sp]])*Tab_NewTRADER[[#This Row],[Scale]]*ComFactor,"#,#0"), TRUE,"M= "&amp;TEXT(Tab_NewTRADER[[#This Row],[M]],"#,#0.00"))</f>
        <v>17,484</v>
      </c>
      <c r="AK6" s="1735" t="str" cm="1">
        <f t="array" aca="1" ref="AK6" ca="1">_xlfn.IFS(Tab_NewTRADER[[#This Row],[Y]]&gt;Tab_NewTRADER[[#This Row],[A]],                 TEXT(MIN(Tab_NewTRADER[[#This Row],[L_Bn]],Tab_NewTRADER[[#This Row],[N]])*(Tab_NewTRADER[[#This Row],[M]]-Tab_NewTRADER[[#This Row],[A]])*Tab_NewTRADER[[#This Row],[Scale]]*ComFactor,"#,#0"), TRUE,0)</f>
        <v>53,048</v>
      </c>
      <c r="AL6" s="1736" cm="1">
        <f t="array" aca="1" ref="AL6" ca="1">_xlfn.IFS(Tab_NewTRADER[[#This Row],[M]]&gt;Tab_NewTRADER[[#This Row],[A]],                  Tab_NewTRADER[[#This Row],[N]]*(Tab_NewTRADER[[#This Row],[M]]-Tab_NewTRADER[[#This Row],[A]])*Tab_NewTRADER[[#This Row],[Scale]]*ComFactor, TRUE,0)</f>
        <v>318288.96422279277</v>
      </c>
      <c r="AM6" s="1592" t="str">
        <f ca="1">_xlfn.XLOOKUP(Tab_NewTRADER[[#This Row],[Show]],TabCalc[Ticker],TabCalc[Max_Bn])&amp;" x "&amp;TEXT(_xlfn.XLOOKUP(Tab_NewTRADER[[#This Row],[Show]],TabCalc[Ticker],TabCalc[Max_Bp]),"#,#0.00")</f>
        <v>400 x 236.71</v>
      </c>
      <c r="AN6" s="1650" t="str">
        <f ca="1">NewTrader!$V6</f>
        <v>AMZN</v>
      </c>
      <c r="AO6" s="1735" t="str">
        <f ca="1">TEXT(_xlfn.XLOOKUP(Tab_NewTRADER[[#This Row],[ClickTick]],TabCalc[Ticker],TabCalc[NAfter]),"#,#0")&amp;"x"&amp;_xlfn.XLOOKUP(Tab_NewTRADER[[#This Row],[ClickTick]],TabCalc[Ticker],TabCalc[M])&amp;"           (A: "&amp;TEXT(-_xlfn.XLOOKUP(Tab_NewTRADER[[#This Row],[ClickTick]]&amp;2,Consolid!B$3:JZ$3,Consolid!B$4:JZ$4),"#,??0.00")&amp;")"</f>
        <v>12,000x230.28           (A: 203.69)</v>
      </c>
      <c r="AP6" s="1592" t="str">
        <f ca="1">_xlfn.XLOOKUP(Tab_NewTRADER[[#This Row],[Show]],TabCalc[Ticker],TabCalc[Min_Sn])&amp;" x "&amp;TEXT(_xlfn.XLOOKUP(Tab_NewTRADER[[#This Row],[Show]],TabCalc[Ticker],TabCalc[Min_Sp]),"#,#0.00")</f>
        <v>200 x 166.94</v>
      </c>
      <c r="AQ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702" t="str" cm="1">
        <f t="array" aca="1" ref="AR6" ca="1">_xlfn.IFS(Tab_NewTRADER[[#This Row],[State]]="Reverse Buy",TEXT(-Tab_NewTRADER[[#This Row],[Buy_Back]],"#,#0")&amp;" / "&amp;TEXT(Tab_NewTRADER[[#This Row],[Rev_Buy]],"#,#0.0%"),TRUE,Tab_NewTRADER[[#This Row],[AMY]])</f>
        <v xml:space="preserve"> 203.69 - 230.28 - 295.03</v>
      </c>
      <c r="AS6" s="1651"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735"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735" t="str" cm="1">
        <f t="array" aca="1" ref="AU6" ca="1">_xlfn.IFS(Tab_NewTRADER[[#This Row],[M]]&lt;Tab_NewTRADER[[#This Row],[A]],TEXT(Tab_NewTRADER[[#This Row],[N]]*Tab_NewTRADER[[#This Row],[M]]*Tab_NewTRADER[[#This Row],[Scale]]*Comm_Net,"#,#0")&amp;" @ "&amp;TEXT(Tab_NewTRADER[[#This Row],[M]],"#,#0.#0"),TRUE,"M: "&amp; Tab_NewTRADER[[#This Row],[M]])</f>
        <v>M: 230.28</v>
      </c>
      <c r="AV6" s="1703" cm="1">
        <f t="array" aca="1" ref="AV6" ca="1">-_xlfn.XLOOKUP(
    Tab_NewTRADER[[#This Row],[Show]] &amp; 2,
    TabConsolid[#Headers],
    INDEX(TabConsolid[], 1, 0)
)</f>
        <v>203.686777269</v>
      </c>
      <c r="AW6" s="1704">
        <f ca="1">Tab_NewTRADER[[#This Row],[M]]*Tab_NewTRADER[[#This Row],[N]]*(1-Commission)*Tab_NewTRADER[[#This Row],[Scale]]</f>
        <v>2756175.264</v>
      </c>
      <c r="AX6" s="1705"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705"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706" t="str" cm="1">
        <f t="array" aca="1" ref="AZ6" ca="1">_xlfn.IFS(   Tab_NewTRADER[[#This Row],[State]]=SellMorePercentGain,                     MIN(Tab_NewTRADER[[#This Row],[L_Sn]],Tab_NewTRADER[[#This Row],[N]])*(Tab_NewTRADER[[#This Row],[M]]-Tab_NewTRADER[[#This Row],[L_Sp]])*(1-Commission)*Tab_NewTRADER[[#This Row],[Scale]],                    TRUE,"")</f>
        <v/>
      </c>
      <c r="BA6" s="1707">
        <f ca="1">_xlfn.XLOOKUP(NewTrader!$V6,TabCalc[Ticker],TabCalc[Ann%RevLB])</f>
        <v>0.19355493357911729</v>
      </c>
      <c r="BB6" s="1708" t="str">
        <f ca="1">_xlfn.XLOOKUP(NewTrader!$V6,TabCalc[Ticker],TabCalc[Up20])</f>
        <v>//%</v>
      </c>
      <c r="BC6" s="1709"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706" t="str" cm="1">
        <f t="array" aca="1" ref="BD6" ca="1">_xlfn.IFS(         NewTrader!$AF6=MDown,NewTrader!$P6*NewTrader!$Y6*(-(NewTrader!$Q6+NewTrader!$Y6)/NewTrader!$Y6)*(1-Commission)*NewTrader!$A6,                               TRUE,"")</f>
        <v/>
      </c>
      <c r="BE6" s="1705" t="str" cm="1">
        <f t="array" aca="1" ref="BE6" ca="1">_xlfn.IFS(   NewTrader!$AF6=MUp,NewTrader!$BP6-Commission,        NewTrader!$AF6=MDown,(NewTrader!$X6-NewTrader!$Y6)/NewTrader!$Y6-Commission,                              TRUE,"")</f>
        <v/>
      </c>
      <c r="BF6" s="1710" cm="1">
        <f t="array" aca="1" ref="BF6" ca="1">_xlfn.IFS(   OR(NewTrader!$AF6=MUp,NewTrader!$AF6=Sale_Back), NewTrader!$AB6*NewTrader!$Y6*NewTrader!$BP6,       NewTrader!$AF6=MDown,NewTrader!$AB6*(NewTrader!$X6-NewTrader!$Y6),        NewTrader!$AF6=RePurchaseGain,NewTrader!$AB6*(NewTrader!$Y6-NewTrader!$X6),       TRUE,0)*(1-Commission)*NewTrader!$A6</f>
        <v>0</v>
      </c>
      <c r="BG6" s="1710" t="e" cm="1">
        <f t="array" aca="1" ref="BG6" ca="1">_xlfn.LET(_xlpm.SumChTxt,TEXT(_xlfn.XLOOKUP(NewTrader!$V6,ListTickers,Tab2SumChangePercent[AVGChan20]),"#0.0%"),
      _xlfn.IFS(NewTrader!$AF6=NoStock,_xlpm.SumChTxt,
      TRUE, IF(NewTrader!$AF6=SellMorePercentGain,             "SumChange "&amp;_xlpm.SumChTxt,                         "&lt;"&amp;INT(_xlfn.XLOOKUP(NewTrader!$V6,ListTickers,Tab2ReverseGL[Rev_GL19]))&amp;    "&lt;"&amp;INT(_xlfn.XLOOKUP(NewTrader!$V6,ListTickers,Tab2ReverseGL[Rev_GL18]))&amp;":      "&amp;_xlpm.SumChTxt)))</f>
        <v>#VALUE!</v>
      </c>
      <c r="BH6" s="1711"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2,000x26.59</v>
      </c>
      <c r="BI6" s="1712" cm="1">
        <f t="array" aca="1" ref="BI6" ca="1">_xlfn.IFS(NewTrader!$AF6=Sale_Back,"",         NewTrader!$AF6=MDown, (NewTrader!$Y6-NewTrader!$X6)/NewTrader!$X6*ComFactor,             TRUE, IFERROR((NewTrader!$Y6-NewTrader!$X6)/NewTrader!$X6*ComFactor,""))</f>
        <v>0.13021994214612287</v>
      </c>
      <c r="BJ6" s="1664" cm="1">
        <f t="array" aca="1" ref="BJ6" ca="1">_xlfn.IFS(               NewTrader!$AF6=NoStock,(NewTrader!$BL6-NewTrader!$Y6)/NewTrader!$Y6-Commission,             NewTrader!$X6&lt;&gt;0,(NewTrader!$X6-NewTrader!$Y6)/NewTrader!$Y6-Commission)</f>
        <v>-0.11808212059666492</v>
      </c>
      <c r="BK6" s="1713">
        <f ca="1">_xlfn.XLOOKUP(NewTrader!$V6,TabCalc[Ticker],TabCalc[L_Sn])</f>
        <v>200</v>
      </c>
      <c r="BL6" s="1693">
        <f ca="1">_xlfn.XLOOKUP(NewTrader!$V6,TabCalc[Ticker],TabCalc[L_Sp])</f>
        <v>221.51499999999999</v>
      </c>
      <c r="BM6" s="1694">
        <f ca="1">-IFERROR((Tab_NewTRADER[[#This Row],[M]]-Tab_NewTRADER[[#This Row],[L_Sp]])/Tab_NewTRADER[[#This Row],[L_Sp]],0)</f>
        <v>-3.9568426517391668E-2</v>
      </c>
      <c r="BN6" s="1714">
        <f ca="1">MIN(Tab_NewTRADER[[#This Row],[L_Sn]],Tab_NewTRADER[[#This Row],[N]])*(Tab_NewTRADER[[#This Row],[M]]-Tab_NewTRADER[[#This Row],[L_Sp]])*Comm_Net*Tab_NewTRADER[[#This Row],[Scale]]</f>
        <v>1748.2669000000028</v>
      </c>
      <c r="BO6" s="1715">
        <f ca="1">Tab_NewTRADER[[#This Row],[L_Sn]]*(Tab_NewTRADER[[#This Row],[Agiotage]]-Tab_NewTRADER[[#This Row],[M]])/(Tab_NewTRADER[[#This Row],[L_Bn]]*Tab_NewTRADER[[#This Row],[M]])</f>
        <v>-9.9725270009347458E-2</v>
      </c>
      <c r="BP6" s="1716">
        <f ca="1">IFERROR((Tab_NewTRADER[[#This Row],[M]]-Tab_NewTRADER[[#This Row],[A]])/Tab_NewTRADER[[#This Row],[A]],0)</f>
        <v>0.13055939657722365</v>
      </c>
      <c r="BQ6" s="1671" t="str">
        <f ca="1">TEXT(_xlfn.XLOOKUP(Tab_NewTRADER[[#This Row],[ClickTick]],TabCalc[Ticker],TabCalc[NAfter]),"#,#0")&amp;" : "&amp;TEXT(_xlfn.XLOOKUP(Tab_NewTRADER[[#This Row],[ClickTick]],TabCalc[Ticker],TabCalc[NAfter])*(Tab_NewTRADER[[#This Row],[M]]-Tab_NewTRADER[[#This Row],[A]])*(1-Commission)*Tab_NewTRADER[[#This Row],[Scale]],"#,#0$")</f>
        <v>12,000 : 318,289$</v>
      </c>
      <c r="BR6" s="262">
        <f ca="1">_xlfn.XLOOKUP(NewTrader!$V6,TabCalc[[#This Row],[Ticker]],TabCalc[[#This Row],[GL]])*(1-Commission)</f>
        <v>779235.92903328035</v>
      </c>
      <c r="BS6" s="262"/>
      <c r="BT6" s="1672" t="str">
        <f ca="1">Tab_NewTRADER[[#This Row],[Show]]&amp;": "&amp;_xlfn.XLOOKUP(Tab_NewTRADER[[#This Row],[Show]],TabCalc[Ticker],TabCalc[Pile?])</f>
        <v xml:space="preserve">AMZN: </v>
      </c>
      <c r="BU6" s="1717" t="s">
        <v>1987</v>
      </c>
      <c r="BV6" s="1674" t="str" cm="1">
        <f t="array" aca="1" ref="BV6" ca="1">_xlfn.TEXTJOIN("",,INDEX({"M","A","Y"}, _xlfn.SORTBY({1,2,3}, -CHOOSE({1,2,3}, Tab_NewTRADER[[#This Row],[M]], Tab_NewTRADER[[#This Row],[A]], Tab_NewTRADER[[#This Row],[Y]]))))</f>
        <v>YMA</v>
      </c>
      <c r="BW6" s="1675"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76">
        <f ca="1">Tab_NewTRADER[[#This Row],[L_Sn]]*Tab_NewTRADER[[#This Row],[L_Sp]]+Tab_NewTRADER[[#This Row],[SellMore]]*Tab_NewTRADER[[#This Row],[M]]</f>
        <v>136415</v>
      </c>
      <c r="BY6" s="1676">
        <f ca="1">INDEX(
  INDEX(TabConsolid[], , _xlfn.XMATCH(Tab_NewTRADER[[#This Row],[ClickTick]]&amp;1, TabConsolid[#Headers])),
  MATCH(
    -Tab_NewTRADER[[#This Row],[M]],
    INDEX(TabConsolid[], , _xlfn.XMATCH(Tab_NewTRADER[[#This Row],[ClickTick]]&amp;2, TabConsolid[#Headers])),
    -1
  )
)</f>
        <v>400</v>
      </c>
      <c r="BZ6" s="1676"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400</v>
      </c>
      <c r="CA6" s="1677">
        <f ca="1">Tab_NewTRADER[[#This Row],[ReBuy]]/(Tab_NewTRADER[[#This Row],[L_Sn]]+Tab_NewTRADER[[#This Row],[SellMore]])</f>
        <v>227.35833333333332</v>
      </c>
      <c r="CB6" s="1678">
        <f ca="1">((_xlfn.XLOOKUP(Tab_NewTRADER[[#This Row],[Show]],TabCalc[Ticker],TabCalc[NAfter])+Tab_NewTRADER[[#This Row],[L_Sn]])*(Tab_NewTRADER[[#This Row],[Agiotage]]-Tab_NewTRADER[[#This Row],[M]]))/(Tab_NewTRADER[[#This Row],[L_Sn]]*_xlfn.XLOOKUP(Tab_NewTRADER[[#This Row],[Show]],TabCalc[Ticker],TabCalc[NAfter]))</f>
        <v>-1.1673740382024202</v>
      </c>
      <c r="CC6" s="1677">
        <f ca="1">INDEX(Tab1Price[Price19], MATCH(Tab_NewTRADER[[#This Row],[Show]], Tab_NewTRADER[Show], 0))</f>
        <v>230.28</v>
      </c>
      <c r="CD6" s="1679">
        <f ca="1">_xlfn.XMATCH(Tab_NewTRADER[[#This Row],[Show]]&amp;1, TabConsolid[#Headers])</f>
        <v>11</v>
      </c>
      <c r="CE6" s="1678"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729" t="str" cm="1">
        <f t="array" aca="1" ref="CF6" ca="1">_xlfn.LET(
    _xlpm.FMT, _xlfn.LAMBDA(_xlpm.n, REPT(" ", 7 - LEN(TEXT(_xlpm.n,"0.00"))) &amp; TEXT(_xlpm.n,"0.00")),
    _xlpm.FMT(Tab_NewTRADER[[#This Row],[A]]) &amp; " -" &amp; _xlpm.FMT(Tab_NewTRADER[[#This Row],[M]]) &amp; " -" &amp; _xlpm.FMT(Tab_NewTRADER[[#This Row],[Y]])
)</f>
        <v xml:space="preserve"> 203.69 - 230.28 - 295.03</v>
      </c>
      <c r="CG6" s="1730" t="str" cm="1">
        <f t="array" aca="1" ref="CG6" ca="1">_xlfn.LET(
    _xlpm.W, 7,
    _xlpm.FMT, _xlfn.LAMBDA(_xlpm.n, REPT(" ", _xlpm.W - LEN(TEXT(_xlpm.n,"0.00"))) &amp; TEXT(_xlpm.n,"0.00")),
    _xlpm.FMT(Tab_NewTRADER[[#This Row],[A]]) &amp; " * " &amp; _xlpm.FMT(Tab_NewTRADER[[#This Row],[M]]) &amp; " * " &amp; _xlpm.FMT(Tab_NewTRADER[[#This Row],[Y]])
)</f>
        <v xml:space="preserve"> 203.69 *  230.28 *  295.03</v>
      </c>
      <c r="CH6" s="1842">
        <f>0</f>
        <v>0</v>
      </c>
      <c r="CI6" t="b">
        <f ca="1">IF(ABS(NewTrader!$Q6)&gt;=NewTrader!$Y6,"OK")</f>
        <v>0</v>
      </c>
    </row>
    <row r="7" spans="1:87" ht="23" hidden="1" thickBot="1">
      <c r="A7" s="1838">
        <f ca="1">IF(_xlfn.XLOOKUP(NewTrader!$V7,TabCalc[Ticker],TabCalc[Cur])="GBp",0.01,1)</f>
        <v>1</v>
      </c>
      <c r="B7" s="1620" t="str">
        <f ca="1">IFERROR(TRUNC(_xlfn.XLOOKUP(NewTrader!$V7,TabCalc[Ticker],ListLastBuyp),2)&amp;"x"&amp;_xlfn.XLOOKUP(NewTrader!$V7,TabCalc[Ticker],ListLastBuyn)&amp;"=    "&amp;IF(_xlfn.XLOOKUP(NewTrader!$V7,TabCalc[Ticker],ListReverseS)&gt;0,"+","")&amp;TEXT(_xlfn.XLOOKUP(NewTrader!$V7,TabCalc[Ticker],ListReverseS),"#,#0")&amp;" "&amp;#REF!,"")</f>
        <v/>
      </c>
      <c r="C7" s="1621" t="str">
        <f ca="1">_xlfn.XLOOKUP(NewTrader!$V7,TabCalc[Ticker],ListResale)&amp;" @ "&amp;TEXT((_xlfn.XLOOKUP(NewTrader!$V7,TabCalc[Ticker],TabCalc[L_Bp])+_xlfn.XLOOKUP(NewTrader!$V7,TabCalc[Ticker],TabCalc[M]))/_xlfn.XLOOKUP(NewTrader!$V7,TabCalc[Ticker],TabCalc[M]),"#0.0%")</f>
        <v>B_more @ -69.1%</v>
      </c>
      <c r="D7" s="1622"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718" t="str">
        <f ca="1">IF(      AND(NewTrader!$X7&lt;NewTrader!$Y7,    _xlfn.XLOOKUP(NewTrader!$V7,TabCalc[Ticker],TabCalc[L_Sp])&gt;NewTrader!$Y7),"BUY  "&amp;TEXT(DesiredBuyGain/NewTrader!$A7/(_xlfn.XLOOKUP(NewTrader!$V7,TabCalc[Ticker],TabCalc[L_Sp])-NewTrader!$Y7),"#,##0"),"")</f>
        <v/>
      </c>
      <c r="F7" s="1620" t="str">
        <f ca="1">TRUNC(TabCalc[[#This Row],[L_B1p]],2)&amp;"x"&amp;TabCalc[[#This Row],[L_B1n]]&amp;"=   "&amp;TEXT(TabCalc[[#This Row],[ReverseS1]],"#,#0")&amp;"$"</f>
        <v>-1.2x15000=   -9,750$</v>
      </c>
      <c r="G7" s="1624" t="str">
        <f ca="1">IFERROR(TRUNC(_xlfn.XLOOKUP(NewTrader!$V7,TabCalc[Ticker],ListLastSalep),2)&amp;"x"&amp;_xlfn.XLOOKUP(NewTrader!$V7,TabCalc[Ticker],ListLastSalen)&amp;"=   "&amp;TEXT(-_xlfn.XLOOKUP(NewTrader!$V7,TabCalc[Ticker],ListReverseB),"#,#0")&amp;"$","")</f>
        <v>0x0=   0$</v>
      </c>
      <c r="H7" s="1625"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620" t="str">
        <f ca="1">IFERROR(TRUNC(TabCalc[[#This Row],[L_S1p]],2)&amp;"x"&amp;TabCalc[[#This Row],[L_S1n]]&amp;"=   "&amp;TEXT(TabCalc[[#This Row],[ReverseB1]],"#,#0"),"")</f>
        <v>0x0=   0</v>
      </c>
      <c r="J7" s="1626">
        <f ca="1">_xlfn.XLOOKUP(NewTrader!$V7,TabCalc[Ticker],ListGravity)</f>
        <v>2.8484909090909087</v>
      </c>
      <c r="K7" s="1627" cm="1">
        <f t="array" aca="1" ref="K7" ca="1">IF(_xlfn.XLOOKUP(NewTrader!$V7,NewTrader!$V$3:$V$96,ListExtra_n)&gt;0,_xlfn.XLOOKUP(NewTrader!$V7,NewTrader!$V$3:$V$96,ListExtra_n),"")</f>
        <v>81950</v>
      </c>
      <c r="L7" s="1628">
        <f ca="1">IF(_xlfn.XLOOKUP(NewTrader!$V7,TabCalc[Ticker],ListExtra_n)&gt;0,_xlfn.XLOOKUP(NewTrader!$V7,TabCalc[Ticker],ListExtra_n)*NewTrader!$Y7*_xlfn.XLOOKUP(NewTrader!$V7,TabCalc[Ticker],ListScale),"")</f>
        <v>45072.500000000007</v>
      </c>
      <c r="M7" s="1629">
        <f ca="1">_xlfn.XLOOKUP(NewTrader!$V7,TabCalc[Ticker],TabCalc[Agiotage])</f>
        <v>0.95520716685330342</v>
      </c>
      <c r="N7" s="1630" cm="1">
        <f t="array" aca="1" ref="N7" ca="1">_xlfn.XLOOKUP(NewTrader!$V7,ListTickers,Tab2RSIConventional[RSIConv20])</f>
        <v>20</v>
      </c>
      <c r="O7" s="1631" t="str">
        <f ca="1">TEXT(_xlfn.XLOOKUP(NewTrader!$V7,TabCalc[Ticker],TabCalc[Nbegin]),"#,#0")&amp;": "&amp;_xlfn.XLOOKUP(NewTrader!$V7,TabCalc[Ticker],TabCalc[Pile?])</f>
        <v>2,448,050: Pile</v>
      </c>
      <c r="P7" s="1737">
        <f ca="1">_xlfn.XLOOKUP(NewTrader!$V7,TabCalc[Ticker],TabCalc[L_Bn])</f>
        <v>15000</v>
      </c>
      <c r="Q7" s="1727">
        <f ca="1">_xlfn.XLOOKUP(NewTrader!$V7,TabCalc[Ticker],TabCalc[L_Bp])</f>
        <v>-0.93</v>
      </c>
      <c r="R7" s="1634">
        <f ca="1">(NewTrader!$Y7+NewTrader!$Q7)/ABS(NewTrader!$Q7)</f>
        <v>-0.40860215053763438</v>
      </c>
      <c r="S7" s="259">
        <f ca="1">INT(_xlfn.XLOOKUP(NewTrader!$V7,TabCalc[Ticker],TabCalc[Rev(MinStock)])*Comm_Net)</f>
        <v>-5670</v>
      </c>
      <c r="T7" s="1635">
        <f ca="1">_xlfn.XLOOKUP(NewTrader!$V7,TabCalc[Ticker],TabCalc[Agiotage])</f>
        <v>0.95520716685330342</v>
      </c>
      <c r="U7" s="1719"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-91,080/-91,080=&gt;-8.0% / -8.0%</v>
      </c>
      <c r="V7" s="1578" t="str">
        <f ca="1">SORTING!B7</f>
        <v>ALDNE</v>
      </c>
      <c r="W7" s="1637">
        <f ca="1">_xlfn.XLOOKUP(NewTrader!$V7,TabCalc[Ticker],TabCalc[Y])</f>
        <v>1.56667</v>
      </c>
      <c r="X7" s="1639">
        <f ca="1">-_xlfn.XLOOKUP(NewTrader!$V7&amp;2,Consolid!B$3:JZ$3,Consolid!B$4:JZ$4)</f>
        <v>1.1699989470241117</v>
      </c>
      <c r="Y7" s="1639">
        <f ca="1">_xlfn.XLOOKUP(NewTrader!$V7,TabCalc[Ticker],TabCalc[M])</f>
        <v>0.55000000000000004</v>
      </c>
      <c r="Z7" s="1640">
        <f ca="1">_xlfn.XLOOKUP(NewTrader!$V7,[1]!RTData[Ticker_Symbol],[1]!RTData[YTChange])</f>
        <v>-0.59517571059431518</v>
      </c>
      <c r="AA7" s="1640" cm="1">
        <f t="array" aca="1" ref="AA7" ca="1">_xlfn.XLOOKUP(NewTrader!$V7,ListTickers,Tab1ChangePercent[Change%19])</f>
        <v>-8.0267999999999992E-2</v>
      </c>
      <c r="AB7" s="1641">
        <f ca="1">_xlfn.XLOOKUP(NewTrader!$V7,TabCalc[Ticker],TabCalc[NAfter])</f>
        <v>2530000</v>
      </c>
      <c r="AC7" s="1641">
        <f ca="1">_xlfn.XLOOKUP(NewTrader!$V7,TabCalc[Ticker],TabCalc[Nbegin])</f>
        <v>2448050</v>
      </c>
      <c r="AD7" s="1642" t="str">
        <f ca="1">_xlfn.LET(_xlpm.PILE,_xlfn.XLOOKUP(NewTrader!$V7,TabCalc[Ticker],TabCalc[Pile?]),                    _xlpm.GL,_xlfn.XLOOKUP(NewTrader!$V7,TabCalc[Ticker],TabCalc[GL]),                        _xlpm.GLK,_xlfn.XLOOKUP(NewTrader!$V7,TabCalc[Ticker],TabCalc[GL])/1000,                             _xlpm.MVal,_xlfn.XLOOKUP(NewTrader!$V7,TabCalc[Ticker],TabCalc[M_V])/1000,                   _xlpm.PILE&amp;" "&amp;IF(_xlpm.GL&lt;0,TEXT(_xlpm.GLK,"#,#0")&amp;"K /"&amp;TEXT(_xlpm.MVal,"#,#0")&amp;" K$","^"&amp;TEXT(_xlpm.GLK,"#,#0")&amp;"K / "&amp;TEXT(_xlpm.MVal,"#,#0")&amp;" K$"))</f>
        <v>Pile -1,576K /1,388 K$</v>
      </c>
      <c r="AE7" s="1720" t="str">
        <f ca="1">_xlfn.XLOOKUP(NewTrader!$V7,[1]!RTData[Ticker_Symbol],[1]!RTData[Currency])</f>
        <v>EUR</v>
      </c>
      <c r="AF7" s="1696"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646" t="str" cm="1">
        <f t="array" aca="1" ref="AH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0.55 -   1.57</v>
      </c>
      <c r="AI7"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v>
      </c>
      <c r="AJ7" s="1651" t="str" cm="1">
        <f t="array" aca="1" ref="AJ7" ca="1">_xlfn.IFS(Tab_NewTRADER[[#This Row],[State]]="Sell More",TEXT(MIN(Tab_NewTRADER[[#This Row],[N]],Tab_NewTRADER[[#This Row],[L_Bn]])*(Tab_NewTRADER[[#This Row],[M]]-Tab_NewTRADER[[#This Row],[L_Sp]])*Tab_NewTRADER[[#This Row],[Scale]]*ComFactor,"#,#0"), TRUE,"M= "&amp;TEXT(Tab_NewTRADER[[#This Row],[M]],"#,#0.00"))</f>
        <v>M= 0.55</v>
      </c>
      <c r="AK7" s="1699" t="str" cm="1">
        <f t="array" aca="1" ref="AK7" ca="1">_xlfn.IFS(Tab_NewTRADER[[#This Row],[Y]]&gt;Tab_NewTRADER[[#This Row],[A]],                 TEXT(MIN(Tab_NewTRADER[[#This Row],[L_Bn]],Tab_NewTRADER[[#This Row],[N]])*(Tab_NewTRADER[[#This Row],[M]]-Tab_NewTRADER[[#This Row],[A]])*Tab_NewTRADER[[#This Row],[Scale]]*ComFactor,"#,#0"), TRUE,0)</f>
        <v>-9,276</v>
      </c>
      <c r="AL7" s="1700" cm="1">
        <f t="array" aca="1" ref="AL7" ca="1">_xlfn.IFS(Tab_NewTRADER[[#This Row],[M]]&gt;Tab_NewTRADER[[#This Row],[A]],                  Tab_NewTRADER[[#This Row],[N]]*(Tab_NewTRADER[[#This Row],[M]]-Tab_NewTRADER[[#This Row],[A]])*Tab_NewTRADER[[#This Row],[Scale]]*ComFactor, TRUE,0)</f>
        <v>0</v>
      </c>
      <c r="AM7" s="1592" t="str">
        <f ca="1">_xlfn.XLOOKUP(Tab_NewTRADER[[#This Row],[Show]],TabCalc[Ticker],TabCalc[Max_Bn])&amp;" x "&amp;TEXT(_xlfn.XLOOKUP(Tab_NewTRADER[[#This Row],[Show]],TabCalc[Ticker],TabCalc[Max_Bp]),"#,#0.00")</f>
        <v>2275 x 3.37</v>
      </c>
      <c r="AN7" s="1650" t="str">
        <f ca="1">NewTrader!$V7</f>
        <v>ALDNE</v>
      </c>
      <c r="AO7" s="1651" t="str">
        <f ca="1">TEXT(_xlfn.XLOOKUP(Tab_NewTRADER[[#This Row],[ClickTick]],TabCalc[Ticker],TabCalc[NAfter]),"#,#0")&amp;"x"&amp;_xlfn.XLOOKUP(Tab_NewTRADER[[#This Row],[ClickTick]],TabCalc[Ticker],TabCalc[M])&amp;"           (A: "&amp;TEXT(-_xlfn.XLOOKUP(Tab_NewTRADER[[#This Row],[ClickTick]]&amp;2,Consolid!B$3:JZ$3,Consolid!B$4:JZ$4),"#,??0.00")&amp;")"</f>
        <v>2,530,000x0.55           (A:   1.17)</v>
      </c>
      <c r="AP7" s="1592" t="str">
        <f ca="1">_xlfn.XLOOKUP(Tab_NewTRADER[[#This Row],[Show]],TabCalc[Ticker],TabCalc[Min_Sn])&amp;" x "&amp;TEXT(_xlfn.XLOOKUP(Tab_NewTRADER[[#This Row],[Show]],TabCalc[Ticker],TabCalc[Min_Sp]),"#,#0.00")</f>
        <v>0 x 0.00</v>
      </c>
      <c r="AQ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702" t="str" cm="1">
        <f t="array" aca="1" ref="AR7" ca="1">_xlfn.IFS(Tab_NewTRADER[[#This Row],[State]]="Reverse Buy",TEXT(-Tab_NewTRADER[[#This Row],[Buy_Back]],"#,#0")&amp;" / "&amp;TEXT(Tab_NewTRADER[[#This Row],[Rev_Buy]],"#,#0.0%"),TRUE,Tab_NewTRADER[[#This Row],[AMY]])</f>
        <v xml:space="preserve">   1.17 -   0.55 -   1.57</v>
      </c>
      <c r="AS7" s="1651"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958,900       / 69.1%</v>
      </c>
      <c r="AT7" s="1699"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-1,564,519   / -112.7%</v>
      </c>
      <c r="AU7" s="1699" t="str" cm="1">
        <f t="array" aca="1" ref="AU7" ca="1">_xlfn.IFS(Tab_NewTRADER[[#This Row],[M]]&lt;Tab_NewTRADER[[#This Row],[A]],TEXT(Tab_NewTRADER[[#This Row],[N]]*Tab_NewTRADER[[#This Row],[M]]*Tab_NewTRADER[[#This Row],[Scale]]*Comm_Net,"#,#0")&amp;" @ "&amp;TEXT(Tab_NewTRADER[[#This Row],[M]],"#,#0.#0"),TRUE,"M: "&amp; Tab_NewTRADER[[#This Row],[M]])</f>
        <v>1,387,743 @ 0.55</v>
      </c>
      <c r="AV7" s="1722" cm="1">
        <f t="array" aca="1" ref="AV7" ca="1">-_xlfn.XLOOKUP(
    Tab_NewTRADER[[#This Row],[Show]] &amp; 2,
    TabConsolid[#Headers],
    INDEX(TabConsolid[], 1, 0)
)</f>
        <v>1.1699989470241117</v>
      </c>
      <c r="AW7" s="1710">
        <f ca="1">Tab_NewTRADER[[#This Row],[M]]*Tab_NewTRADER[[#This Row],[N]]*(1-Commission)*Tab_NewTRADER[[#This Row],[Scale]]</f>
        <v>1387882.0999999999</v>
      </c>
      <c r="AX7" s="1705"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705"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706" t="str" cm="1">
        <f t="array" aca="1" ref="AZ7" ca="1">_xlfn.IFS(   Tab_NewTRADER[[#This Row],[State]]=SellMorePercentGain,                     MIN(Tab_NewTRADER[[#This Row],[L_Sn]],Tab_NewTRADER[[#This Row],[N]])*(Tab_NewTRADER[[#This Row],[M]]-Tab_NewTRADER[[#This Row],[L_Sp]])*(1-Commission)*Tab_NewTRADER[[#This Row],[Scale]],                    TRUE,"")</f>
        <v/>
      </c>
      <c r="BA7" s="1707">
        <f ca="1">_xlfn.XLOOKUP(NewTrader!$V7,TabCalc[Ticker],TabCalc[Ann%RevLB])</f>
        <v>-0.54886856042368792</v>
      </c>
      <c r="BB7" s="1708" t="str">
        <f ca="1">_xlfn.XLOOKUP(NewTrader!$V7,TabCalc[Ticker],TabCalc[Up20])</f>
        <v>//%</v>
      </c>
      <c r="BC7" s="1725"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706" t="str" cm="1">
        <f t="array" aca="1" ref="BD7" ca="1">_xlfn.IFS(         NewTrader!$AF7=MDown,NewTrader!$P7*NewTrader!$Y7*(-(NewTrader!$Q7+NewTrader!$Y7)/NewTrader!$Y7)*(1-Commission)*NewTrader!$A7,                               TRUE,"")</f>
        <v/>
      </c>
      <c r="BE7" s="1705" t="str" cm="1">
        <f t="array" aca="1" ref="BE7" ca="1">_xlfn.IFS(   NewTrader!$AF7=MUp,NewTrader!$BP7-Commission,        NewTrader!$AF7=MDown,(NewTrader!$X7-NewTrader!$Y7)/NewTrader!$Y7-Commission,                              TRUE,"")</f>
        <v/>
      </c>
      <c r="BF7" s="1706" cm="1">
        <f t="array" aca="1" ref="BF7" ca="1">_xlfn.IFS(   OR(NewTrader!$AF7=MUp,NewTrader!$AF7=Sale_Back), NewTrader!$AB7*NewTrader!$Y7*NewTrader!$BP7,       NewTrader!$AF7=MDown,NewTrader!$AB7*(NewTrader!$X7-NewTrader!$Y7),        NewTrader!$AF7=RePurchaseGain,NewTrader!$AB7*(NewTrader!$Y7-NewTrader!$X7),       TRUE,0)*(1-Commission)*NewTrader!$A7</f>
        <v>0</v>
      </c>
      <c r="BG7" s="1710" t="e" cm="1">
        <f t="array" aca="1" ref="BG7" ca="1">_xlfn.LET(_xlpm.SumChTxt,TEXT(_xlfn.XLOOKUP(NewTrader!$V7,ListTickers,Tab2SumChangePercent[AVGChan20]),"#0.0%"),
      _xlfn.IFS(NewTrader!$AF7=NoStock,_xlpm.SumChTxt,
      TRUE, IF(NewTrader!$AF7=SellMorePercentGain,             "SumChange "&amp;_xlpm.SumChTxt,                         "&lt;"&amp;INT(_xlfn.XLOOKUP(NewTrader!$V7,ListTickers,Tab2ReverseGL[Rev_GL19]))&amp;    "&lt;"&amp;INT(_xlfn.XLOOKUP(NewTrader!$V7,ListTickers,Tab2ReverseGL[Rev_GL18]))&amp;":      "&amp;_xlpm.SumChTxt)))</f>
        <v>#VALUE!</v>
      </c>
      <c r="BH7" s="1711"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-0.38</v>
      </c>
      <c r="BI7" s="1712" cm="1">
        <f t="array" aca="1" ref="BI7" ca="1">_xlfn.IFS(NewTrader!$AF7=Sale_Back,"",         NewTrader!$AF7=MDown, (NewTrader!$Y7-NewTrader!$X7)/NewTrader!$X7*ComFactor,             TRUE, IFERROR((NewTrader!$Y7-NewTrader!$X7)/NewTrader!$X7*ComFactor,""))</f>
        <v>-0.52853633016911161</v>
      </c>
      <c r="BJ7" s="1664" cm="1">
        <f t="array" aca="1" ref="BJ7" ca="1">_xlfn.IFS(               NewTrader!$AF7=NoStock,(NewTrader!$BL7-NewTrader!$Y7)/NewTrader!$Y7-Commission,             NewTrader!$X7&lt;&gt;0,(NewTrader!$X7-NewTrader!$Y7)/NewTrader!$Y7-Commission)</f>
        <v>1.124670812771112</v>
      </c>
      <c r="BK7" s="1726">
        <f ca="1">_xlfn.XLOOKUP(NewTrader!$V7,TabCalc[Ticker],TabCalc[L_Sn])</f>
        <v>0</v>
      </c>
      <c r="BL7" s="1727">
        <f ca="1">_xlfn.XLOOKUP(NewTrader!$V7,TabCalc[Ticker],TabCalc[L_Sp])</f>
        <v>0</v>
      </c>
      <c r="BM7" s="1634">
        <f ca="1">-IFERROR((Tab_NewTRADER[[#This Row],[M]]-Tab_NewTRADER[[#This Row],[L_Sp]])/Tab_NewTRADER[[#This Row],[L_Sp]],0)</f>
        <v>0</v>
      </c>
      <c r="BN7" s="1728">
        <f ca="1">MIN(Tab_NewTRADER[[#This Row],[L_Sn]],Tab_NewTRADER[[#This Row],[N]])*(Tab_NewTRADER[[#This Row],[M]]-Tab_NewTRADER[[#This Row],[L_Sp]])*Comm_Net*Tab_NewTRADER[[#This Row],[Scale]]</f>
        <v>0</v>
      </c>
      <c r="BO7" s="1715">
        <f ca="1">Tab_NewTRADER[[#This Row],[L_Sn]]*(Tab_NewTRADER[[#This Row],[Agiotage]]-Tab_NewTRADER[[#This Row],[M]])/(Tab_NewTRADER[[#This Row],[L_Bn]]*Tab_NewTRADER[[#This Row],[M]])</f>
        <v>0</v>
      </c>
      <c r="BP7" s="1670">
        <f ca="1">IFERROR((Tab_NewTRADER[[#This Row],[M]]-Tab_NewTRADER[[#This Row],[A]])/Tab_NewTRADER[[#This Row],[A]],0)</f>
        <v>-0.52991410684691365</v>
      </c>
      <c r="BQ7" s="1671" t="str">
        <f ca="1">TEXT(_xlfn.XLOOKUP(Tab_NewTRADER[[#This Row],[ClickTick]],TabCalc[Ticker],TabCalc[NAfter]),"#,#0")&amp;" : "&amp;TEXT(_xlfn.XLOOKUP(Tab_NewTRADER[[#This Row],[ClickTick]],TabCalc[Ticker],TabCalc[NAfter])*(Tab_NewTRADER[[#This Row],[M]]-Tab_NewTRADER[[#This Row],[A]])*(1-Commission)*Tab_NewTRADER[[#This Row],[Scale]],"#,#0$")</f>
        <v>2,530,000 : -1,564,519$</v>
      </c>
      <c r="BR7" s="259">
        <f ca="1">_xlfn.XLOOKUP(NewTrader!$V7,TabCalc[[#This Row],[Ticker]],TabCalc[[#This Row],[GL]])*(1-Commission)</f>
        <v>-1571865.0150951359</v>
      </c>
      <c r="BS7" s="259"/>
      <c r="BT7" s="1672" t="str">
        <f ca="1">Tab_NewTRADER[[#This Row],[Show]]&amp;": "&amp;_xlfn.XLOOKUP(Tab_NewTRADER[[#This Row],[Show]],TabCalc[Ticker],TabCalc[Pile?])</f>
        <v>ALDNE: Pile</v>
      </c>
      <c r="BU7" s="1717" t="s">
        <v>2062</v>
      </c>
      <c r="BV7" s="1674" t="str" cm="1">
        <f t="array" aca="1" ref="BV7" ca="1">_xlfn.TEXTJOIN("",,INDEX({"M","A","Y"}, _xlfn.SORTBY({1,2,3}, -CHOOSE({1,2,3}, Tab_NewTRADER[[#This Row],[M]], Tab_NewTRADER[[#This Row],[A]], Tab_NewTRADER[[#This Row],[Y]]))))</f>
        <v>YAM</v>
      </c>
      <c r="BW7" s="1675"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76" t="e">
        <f ca="1">Tab_NewTRADER[[#This Row],[L_Sn]]*Tab_NewTRADER[[#This Row],[L_Sp]]+Tab_NewTRADER[[#This Row],[SellMore]]*Tab_NewTRADER[[#This Row],[M]]</f>
        <v>#N/A</v>
      </c>
      <c r="BY7" s="1676" t="e">
        <f ca="1">INDEX(
  INDEX(TabConsolid[], , _xlfn.XMATCH(Tab_NewTRADER[[#This Row],[ClickTick]]&amp;1, TabConsolid[#Headers])),
  MATCH(
    -Tab_NewTRADER[[#This Row],[M]],
    INDEX(TabConsolid[], , _xlfn.XMATCH(Tab_NewTRADER[[#This Row],[ClickTick]]&amp;2, TabConsolid[#Headers])),
    -1
  )
)</f>
        <v>#N/A</v>
      </c>
      <c r="BZ7" s="1676"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77" t="e">
        <f ca="1">Tab_NewTRADER[[#This Row],[ReBuy]]/(Tab_NewTRADER[[#This Row],[L_Sn]]+Tab_NewTRADER[[#This Row],[SellMore]])</f>
        <v>#N/A</v>
      </c>
      <c r="CB7" s="1678" t="e">
        <f ca="1">((_xlfn.XLOOKUP(Tab_NewTRADER[[#This Row],[Show]],TabCalc[Ticker],TabCalc[NAfter])+Tab_NewTRADER[[#This Row],[L_Sn]])*(Tab_NewTRADER[[#This Row],[Agiotage]]-Tab_NewTRADER[[#This Row],[M]]))/(Tab_NewTRADER[[#This Row],[L_Sn]]*_xlfn.XLOOKUP(Tab_NewTRADER[[#This Row],[Show]],TabCalc[Ticker],TabCalc[NAfter]))</f>
        <v>#DIV/0!</v>
      </c>
      <c r="CC7" s="1677">
        <f ca="1">INDEX(Tab1Price[Price19], MATCH(Tab_NewTRADER[[#This Row],[Show]], Tab_NewTRADER[Show], 0))</f>
        <v>0.55000000000000004</v>
      </c>
      <c r="CD7" s="1679">
        <f ca="1">_xlfn.XMATCH(Tab_NewTRADER[[#This Row],[Show]]&amp;1, TabConsolid[#Headers])</f>
        <v>14</v>
      </c>
      <c r="CE7" s="1678"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729" t="str" cm="1">
        <f t="array" aca="1" ref="CF7" ca="1">_xlfn.LET(
    _xlpm.FMT, _xlfn.LAMBDA(_xlpm.n, REPT(" ", 7 - LEN(TEXT(_xlpm.n,"0.00"))) &amp; TEXT(_xlpm.n,"0.00")),
    _xlpm.FMT(Tab_NewTRADER[[#This Row],[A]]) &amp; " -" &amp; _xlpm.FMT(Tab_NewTRADER[[#This Row],[M]]) &amp; " -" &amp; _xlpm.FMT(Tab_NewTRADER[[#This Row],[Y]])
)</f>
        <v xml:space="preserve">   1.17 -   0.55 -   1.57</v>
      </c>
      <c r="CG7" s="1730" t="str" cm="1">
        <f t="array" aca="1" ref="CG7" ca="1">_xlfn.LET(
    _xlpm.W, 7,
    _xlpm.FMT, _xlfn.LAMBDA(_xlpm.n, REPT(" ", _xlpm.W - LEN(TEXT(_xlpm.n,"0.00"))) &amp; TEXT(_xlpm.n,"0.00")),
    _xlpm.FMT(Tab_NewTRADER[[#This Row],[A]]) &amp; " * " &amp; _xlpm.FMT(Tab_NewTRADER[[#This Row],[M]]) &amp; " * " &amp; _xlpm.FMT(Tab_NewTRADER[[#This Row],[Y]])
)</f>
        <v xml:space="preserve">   1.17 *    0.55 *    1.57</v>
      </c>
      <c r="CH7" s="1842">
        <f>0</f>
        <v>0</v>
      </c>
      <c r="CI7" t="str">
        <f ca="1">IF(ABS(NewTrader!$Q7)&gt;=NewTrader!$Y7,"OK")</f>
        <v>OK</v>
      </c>
    </row>
    <row r="8" spans="1:87" ht="23" hidden="1" thickBot="1">
      <c r="A8" s="1839">
        <f ca="1">IF(_xlfn.XLOOKUP(NewTrader!$V8,TabCalc[Ticker],TabCalc[Cur])="GBp",0.01,1)</f>
        <v>1</v>
      </c>
      <c r="B8" s="1681" t="str">
        <f ca="1">IFERROR(TRUNC(_xlfn.XLOOKUP(NewTrader!$V8,TabCalc[Ticker],ListLastBuyp),2)&amp;"x"&amp;_xlfn.XLOOKUP(NewTrader!$V8,TabCalc[Ticker],ListLastBuyn)&amp;"=    "&amp;IF(_xlfn.XLOOKUP(NewTrader!$V8,TabCalc[Ticker],ListReverseS)&gt;0,"+","")&amp;TEXT(_xlfn.XLOOKUP(NewTrader!$V8,TabCalc[Ticker],ListReverseS),"#,#0")&amp;" "&amp;#REF!,"")</f>
        <v/>
      </c>
      <c r="C8" s="1682" t="str">
        <f ca="1">_xlfn.XLOOKUP(NewTrader!$V8,TabCalc[Ticker],ListResale)&amp;" @ "&amp;TEXT((_xlfn.XLOOKUP(NewTrader!$V8,TabCalc[Ticker],TabCalc[L_Bp])+_xlfn.XLOOKUP(NewTrader!$V8,TabCalc[Ticker],TabCalc[M]))/_xlfn.XLOOKUP(NewTrader!$V8,TabCalc[Ticker],TabCalc[M]),"#0.0%")</f>
        <v>Sell @ 5.8%</v>
      </c>
      <c r="D8" s="1683"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92/2,800=86,799</v>
      </c>
      <c r="E8" s="1684" t="str">
        <f ca="1">IF(      AND(NewTrader!$X8&lt;NewTrader!$Y8,    _xlfn.XLOOKUP(NewTrader!$V8,TabCalc[Ticker],TabCalc[L_Sp])&gt;NewTrader!$Y8),"BUY  "&amp;TEXT(DesiredBuyGain/NewTrader!$A8/(_xlfn.XLOOKUP(NewTrader!$V8,TabCalc[Ticker],TabCalc[L_Sp])-NewTrader!$Y8),"#,##0"),"")</f>
        <v>BUY  248</v>
      </c>
      <c r="F8" s="1681" t="str">
        <f ca="1">TRUNC(TabCalc[[#This Row],[L_B1p]],2)&amp;"x"&amp;TabCalc[[#This Row],[L_B1n]]&amp;"=   "&amp;TEXT(TabCalc[[#This Row],[ReverseS1]],"#,#0")&amp;"$"</f>
        <v>-813.9x200=   25,400$</v>
      </c>
      <c r="G8" s="1685" t="str">
        <f ca="1">IFERROR(TRUNC(_xlfn.XLOOKUP(NewTrader!$V8,TabCalc[Ticker],ListLastSalep),2)&amp;"x"&amp;_xlfn.XLOOKUP(NewTrader!$V8,TabCalc[Ticker],ListLastSalen)&amp;"=   "&amp;TEXT(-_xlfn.XLOOKUP(NewTrader!$V8,TabCalc[Ticker],ListReverseB),"#,#0")&amp;"$","")</f>
        <v>961.05x100=   -2,015$</v>
      </c>
      <c r="H8" s="1686"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2.1% = 248</v>
      </c>
      <c r="I8" s="1681" t="str">
        <f ca="1">IFERROR(TRUNC(TabCalc[[#This Row],[L_S1p]],2)&amp;"x"&amp;TabCalc[[#This Row],[L_S1n]]&amp;"=   "&amp;TEXT(TabCalc[[#This Row],[ReverseB1]],"#,#0"),"")</f>
        <v>960.8x100=   1,990</v>
      </c>
      <c r="J8" s="1687">
        <f ca="1">_xlfn.XLOOKUP(NewTrader!$V8,TabCalc[Ticker],ListGravity)</f>
        <v>1.0451901371027739</v>
      </c>
      <c r="K8" s="1688" cm="1">
        <f t="array" aca="1" ref="K8" ca="1">IF(_xlfn.XLOOKUP(NewTrader!$V8,NewTrader!$V$3:$V$96,ListExtra_n)&gt;0,_xlfn.XLOOKUP(NewTrader!$V8,NewTrader!$V$3:$V$96,ListExtra_n),"")</f>
        <v>2300</v>
      </c>
      <c r="L8" s="1689">
        <f ca="1">IF(_xlfn.XLOOKUP(NewTrader!$V8,TabCalc[Ticker],ListExtra_n)&gt;0,_xlfn.XLOOKUP(NewTrader!$V8,TabCalc[Ticker],ListExtra_n)*NewTrader!$Y8*_xlfn.XLOOKUP(NewTrader!$V8,TabCalc[Ticker],ListScale),"")</f>
        <v>2164070</v>
      </c>
      <c r="M8" s="1690">
        <f ca="1">_xlfn.XLOOKUP(NewTrader!$V8,TabCalc[Ticker],TabCalc[Agiotage])</f>
        <v>0.96938852069526071</v>
      </c>
      <c r="N8" s="1691" cm="1">
        <f t="array" aca="1" ref="N8" ca="1">_xlfn.XLOOKUP(NewTrader!$V8,ListTickers,Tab2RSIConventional[RSIConv20])</f>
        <v>57</v>
      </c>
      <c r="O8" s="1631" t="str">
        <f ca="1">TEXT(_xlfn.XLOOKUP(NewTrader!$V8,TabCalc[Ticker],TabCalc[Nbegin]),"#,#0")&amp;": "&amp;_xlfn.XLOOKUP(NewTrader!$V8,TabCalc[Ticker],TabCalc[Pile?])</f>
        <v xml:space="preserve">500: </v>
      </c>
      <c r="P8" s="1692">
        <f ca="1">_xlfn.XLOOKUP(NewTrader!$V8,TabCalc[Ticker],TabCalc[L_Bn])</f>
        <v>100</v>
      </c>
      <c r="Q8" s="1693">
        <f ca="1">_xlfn.XLOOKUP(NewTrader!$V8,TabCalc[Ticker],TabCalc[L_Bp])</f>
        <v>-886.7</v>
      </c>
      <c r="R8" s="1694">
        <f ca="1">(NewTrader!$Y8+NewTrader!$Q8)/ABS(NewTrader!$Q8)</f>
        <v>6.1125521596932367E-2</v>
      </c>
      <c r="S8" s="262">
        <f ca="1">INT(_xlfn.XLOOKUP(NewTrader!$V8,TabCalc[Ticker],TabCalc[Rev(MinStock)])*Comm_Net)</f>
        <v>5390</v>
      </c>
      <c r="T8" s="1635">
        <f ca="1">_xlfn.XLOOKUP(NewTrader!$V8,TabCalc[Ticker],TabCalc[Agiotage])</f>
        <v>0.96938852069526071</v>
      </c>
      <c r="U8" s="1695"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-11,760/-11,760=&gt;-0.5% / -0.5%</v>
      </c>
      <c r="V8" s="1578" t="str">
        <f ca="1">SORTING!B8</f>
        <v>ASML</v>
      </c>
      <c r="W8" s="1637">
        <f ca="1">_xlfn.XLOOKUP(NewTrader!$V8,TabCalc[Ticker],TabCalc[Y])</f>
        <v>983.4194</v>
      </c>
      <c r="X8" s="1639">
        <f ca="1">-_xlfn.XLOOKUP(NewTrader!$V8&amp;2,Consolid!B$3:JZ$3,Consolid!B$4:JZ$4)</f>
        <v>662.57179071428573</v>
      </c>
      <c r="Y8" s="1639">
        <f ca="1">_xlfn.XLOOKUP(NewTrader!$V8,TabCalc[Ticker],TabCalc[M])</f>
        <v>940.9</v>
      </c>
      <c r="Z8" s="1640">
        <f ca="1">_xlfn.XLOOKUP(NewTrader!$V8,[1]!RTData[Ticker_Symbol],[1]!RTData[YTChange])</f>
        <v>0.16026734939474735</v>
      </c>
      <c r="AA8" s="1640" cm="1">
        <f t="array" aca="1" ref="AA8" ca="1">_xlfn.XLOOKUP(NewTrader!$V8,ListTickers,Tab1ChangePercent[Change%19])</f>
        <v>-5.391E-3</v>
      </c>
      <c r="AB8" s="1641">
        <f ca="1">_xlfn.XLOOKUP(NewTrader!$V8,TabCalc[Ticker],TabCalc[NAfter])</f>
        <v>2800</v>
      </c>
      <c r="AC8" s="1641">
        <f ca="1">_xlfn.XLOOKUP(NewTrader!$V8,TabCalc[Ticker],TabCalc[Nbegin])</f>
        <v>500</v>
      </c>
      <c r="AD8" s="1642" t="str">
        <f ca="1">_xlfn.LET(_xlpm.PILE,_xlfn.XLOOKUP(NewTrader!$V8,TabCalc[Ticker],TabCalc[Pile?]),                    _xlpm.GL,_xlfn.XLOOKUP(NewTrader!$V8,TabCalc[Ticker],TabCalc[GL]),                        _xlpm.GLK,_xlfn.XLOOKUP(NewTrader!$V8,TabCalc[Ticker],TabCalc[GL])/1000,                             _xlpm.MVal,_xlfn.XLOOKUP(NewTrader!$V8,TabCalc[Ticker],TabCalc[M_V])/1000,                   _xlpm.PILE&amp;" "&amp;IF(_xlpm.GL&lt;0,TEXT(_xlpm.GLK,"#,#0")&amp;"K /"&amp;TEXT(_xlpm.MVal,"#,#0")&amp;" K$","^"&amp;TEXT(_xlpm.GLK,"#,#0")&amp;"K / "&amp;TEXT(_xlpm.MVal,"#,#0")&amp;" K$"))</f>
        <v xml:space="preserve"> ^1,000K / 2,627 K$</v>
      </c>
      <c r="AE8" s="1643" t="str">
        <f ca="1">_xlfn.XLOOKUP(NewTrader!$V8,[1]!RTData[Ticker_Symbol],[1]!RTData[Currency])</f>
        <v>EUR</v>
      </c>
      <c r="AF8" s="1721"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Buy</v>
      </c>
      <c r="AG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698" t="str" cm="1">
        <f t="array" aca="1" ref="AH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662.57 - 940.90 - 983.42</v>
      </c>
      <c r="AI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8" s="1651" t="str" cm="1">
        <f t="array" aca="1" ref="AJ8" ca="1">_xlfn.IFS(Tab_NewTRADER[[#This Row],[State]]="Sell More",TEXT(MIN(Tab_NewTRADER[[#This Row],[N]],Tab_NewTRADER[[#This Row],[L_Bn]])*(Tab_NewTRADER[[#This Row],[M]]-Tab_NewTRADER[[#This Row],[L_Sp]])*Tab_NewTRADER[[#This Row],[Scale]]*ComFactor,"#,#0"), TRUE,"M= "&amp;TEXT(Tab_NewTRADER[[#This Row],[M]],"#,#0.00"))</f>
        <v>M= 940.90</v>
      </c>
      <c r="AK8" s="1699" t="str" cm="1">
        <f t="array" aca="1" ref="AK8" ca="1">_xlfn.IFS(Tab_NewTRADER[[#This Row],[Y]]&gt;Tab_NewTRADER[[#This Row],[A]],                 TEXT(MIN(Tab_NewTRADER[[#This Row],[L_Bn]],Tab_NewTRADER[[#This Row],[N]])*(Tab_NewTRADER[[#This Row],[M]]-Tab_NewTRADER[[#This Row],[A]])*Tab_NewTRADER[[#This Row],[Scale]]*ComFactor,"#,#0"), TRUE,0)</f>
        <v>27,760</v>
      </c>
      <c r="AL8" s="1700" cm="1">
        <f t="array" aca="1" ref="AL8" ca="1">_xlfn.IFS(Tab_NewTRADER[[#This Row],[M]]&gt;Tab_NewTRADER[[#This Row],[A]],                  Tab_NewTRADER[[#This Row],[N]]*(Tab_NewTRADER[[#This Row],[M]]-Tab_NewTRADER[[#This Row],[A]])*Tab_NewTRADER[[#This Row],[Scale]]*ComFactor, TRUE,0)</f>
        <v>777292.75663639989</v>
      </c>
      <c r="AM8" s="1592" t="str">
        <f ca="1">_xlfn.XLOOKUP(Tab_NewTRADER[[#This Row],[Show]],TabCalc[Ticker],TabCalc[Max_Bn])&amp;" x "&amp;TEXT(_xlfn.XLOOKUP(Tab_NewTRADER[[#This Row],[Show]],TabCalc[Ticker],TabCalc[Max_Bp]),"#,#0.00")</f>
        <v>100 x 886.70</v>
      </c>
      <c r="AN8" s="1650" t="str">
        <f ca="1">NewTrader!$V8</f>
        <v>ASML</v>
      </c>
      <c r="AO8" s="1651" t="str">
        <f ca="1">TEXT(_xlfn.XLOOKUP(Tab_NewTRADER[[#This Row],[ClickTick]],TabCalc[Ticker],TabCalc[NAfter]),"#,#0")&amp;"x"&amp;_xlfn.XLOOKUP(Tab_NewTRADER[[#This Row],[ClickTick]],TabCalc[Ticker],TabCalc[M])&amp;"           (A: "&amp;TEXT(-_xlfn.XLOOKUP(Tab_NewTRADER[[#This Row],[ClickTick]]&amp;2,Consolid!B$3:JZ$3,Consolid!B$4:JZ$4),"#,??0.00")&amp;")"</f>
        <v>2,800x940.9           (A: 662.57)</v>
      </c>
      <c r="AP8" s="1592" t="str">
        <f ca="1">_xlfn.XLOOKUP(Tab_NewTRADER[[#This Row],[Show]],TabCalc[Ticker],TabCalc[Min_Sn])&amp;" x "&amp;TEXT(_xlfn.XLOOKUP(Tab_NewTRADER[[#This Row],[Show]],TabCalc[Ticker],TabCalc[Min_Sp]),"#,#0.00")</f>
        <v>100 x 636.70</v>
      </c>
      <c r="AQ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2,800 x 662.57</v>
      </c>
      <c r="AR8" s="1702" t="str" cm="1">
        <f t="array" aca="1" ref="AR8" ca="1">_xlfn.IFS(Tab_NewTRADER[[#This Row],[State]]="Reverse Buy",TEXT(-Tab_NewTRADER[[#This Row],[Buy_Back]],"#,#0")&amp;" / "&amp;TEXT(Tab_NewTRADER[[#This Row],[Rev_Buy]],"#,#0.0%"),TRUE,Tab_NewTRADER[[#This Row],[AMY]])</f>
        <v>2,010 / 2.1%</v>
      </c>
      <c r="AS8" s="1651"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99"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99" t="str" cm="1">
        <f t="array" aca="1" ref="AU8" ca="1">_xlfn.IFS(Tab_NewTRADER[[#This Row],[M]]&lt;Tab_NewTRADER[[#This Row],[A]],TEXT(Tab_NewTRADER[[#This Row],[N]]*Tab_NewTRADER[[#This Row],[M]]*Tab_NewTRADER[[#This Row],[Scale]]*Comm_Net,"#,#0")&amp;" @ "&amp;TEXT(Tab_NewTRADER[[#This Row],[M]],"#,#0.#0"),TRUE,"M: "&amp; Tab_NewTRADER[[#This Row],[M]])</f>
        <v>M: 940.9</v>
      </c>
      <c r="AV8" s="1703" cm="1">
        <f t="array" aca="1" ref="AV8" ca="1">-_xlfn.XLOOKUP(
    Tab_NewTRADER[[#This Row],[Show]] &amp; 2,
    TabConsolid[#Headers],
    INDEX(TabConsolid[], 1, 0)
)</f>
        <v>662.57179071428573</v>
      </c>
      <c r="AW8" s="1704">
        <f ca="1">Tab_NewTRADER[[#This Row],[M]]*Tab_NewTRADER[[#This Row],[N]]*(1-Commission)*Tab_NewTRADER[[#This Row],[Scale]]</f>
        <v>2627670.2479999997</v>
      </c>
      <c r="AX8" s="1705"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705"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706" t="str" cm="1">
        <f t="array" aca="1" ref="AZ8" ca="1">_xlfn.IFS(   Tab_NewTRADER[[#This Row],[State]]=SellMorePercentGain,                     MIN(Tab_NewTRADER[[#This Row],[L_Sn]],Tab_NewTRADER[[#This Row],[N]])*(Tab_NewTRADER[[#This Row],[M]]-Tab_NewTRADER[[#This Row],[L_Sp]])*(1-Commission)*Tab_NewTRADER[[#This Row],[Scale]],                    TRUE,"")</f>
        <v/>
      </c>
      <c r="BA8" s="1707">
        <f ca="1">_xlfn.XLOOKUP(NewTrader!$V8,TabCalc[Ticker],TabCalc[Ann%RevLB])</f>
        <v>0.81500695462576489</v>
      </c>
      <c r="BB8" s="1708">
        <f ca="1">_xlfn.XLOOKUP(NewTrader!$V8,TabCalc[Ticker],TabCalc[Up20])</f>
        <v>0</v>
      </c>
      <c r="BC8" s="1709"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706" t="str" cm="1">
        <f t="array" aca="1" ref="BD8" ca="1">_xlfn.IFS(         NewTrader!$AF8=MDown,NewTrader!$P8*NewTrader!$Y8*(-(NewTrader!$Q8+NewTrader!$Y8)/NewTrader!$Y8)*(1-Commission)*NewTrader!$A8,                               TRUE,"")</f>
        <v/>
      </c>
      <c r="BE8" s="1705" t="str" cm="1">
        <f t="array" aca="1" ref="BE8" ca="1">_xlfn.IFS(   NewTrader!$AF8=MUp,NewTrader!$BP8-Commission,        NewTrader!$AF8=MDown,(NewTrader!$X8-NewTrader!$Y8)/NewTrader!$Y8-Commission,                              TRUE,"")</f>
        <v/>
      </c>
      <c r="BF8" s="1710" cm="1">
        <f t="array" aca="1" ref="BF8" ca="1">_xlfn.IFS(   OR(NewTrader!$AF8=MUp,NewTrader!$AF8=Sale_Back), NewTrader!$AB8*NewTrader!$Y8*NewTrader!$BP8,       NewTrader!$AF8=MDown,NewTrader!$AB8*(NewTrader!$X8-NewTrader!$Y8),        NewTrader!$AF8=RePurchaseGain,NewTrader!$AB8*(NewTrader!$Y8-NewTrader!$X8),       TRUE,0)*(1-Commission)*NewTrader!$A8</f>
        <v>0</v>
      </c>
      <c r="BG8" s="1710" t="str" cm="1">
        <f t="array" aca="1" ref="BG8" ca="1">_xlfn.LET(_xlpm.SumChTxt,TEXT(_xlfn.XLOOKUP(NewTrader!$V8,ListTickers,Tab2SumChangePercent[AVGChan20]),"#0.0%"),
      _xlfn.IFS(NewTrader!$AF8=NoStock,_xlpm.SumChTxt,
      TRUE, IF(NewTrader!$AF8=SellMorePercentGain,             "SumChange "&amp;_xlpm.SumChTxt,                         "&lt;"&amp;INT(_xlfn.XLOOKUP(NewTrader!$V8,ListTickers,Tab2ReverseGL[Rev_GL19]))&amp;    "&lt;"&amp;INT(_xlfn.XLOOKUP(NewTrader!$V8,ListTickers,Tab2ReverseGL[Rev_GL18]))&amp;":      "&amp;_xlpm.SumChTxt)))</f>
        <v>&lt;-1&lt;-1:      0.1%</v>
      </c>
      <c r="BH8" s="1711"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M&lt;L_Sp</v>
      </c>
      <c r="BI8" s="1712" cm="1">
        <f t="array" aca="1" ref="BI8" ca="1">_xlfn.IFS(NewTrader!$AF8=Sale_Back,"",         NewTrader!$AF8=MDown, (NewTrader!$Y8-NewTrader!$X8)/NewTrader!$X8*ComFactor,             TRUE, IFERROR((NewTrader!$Y8-NewTrader!$X8)/NewTrader!$X8*ComFactor,""))</f>
        <v>0.41898034270716489</v>
      </c>
      <c r="BJ8" s="1664" cm="1">
        <f t="array" aca="1" ref="BJ8" ca="1">_xlfn.IFS(               NewTrader!$AF8=NoStock,(NewTrader!$BL8-NewTrader!$Y8)/NewTrader!$Y8-Commission,             NewTrader!$X8&lt;&gt;0,(NewTrader!$X8-NewTrader!$Y8)/NewTrader!$Y8-Commission)</f>
        <v>-0.29841061673473723</v>
      </c>
      <c r="BK8" s="1713">
        <f ca="1">_xlfn.XLOOKUP(NewTrader!$V8,TabCalc[Ticker],TabCalc[L_Sn])</f>
        <v>100</v>
      </c>
      <c r="BL8" s="1693">
        <f ca="1">_xlfn.XLOOKUP(NewTrader!$V8,TabCalc[Ticker],TabCalc[L_Sp])</f>
        <v>961.05</v>
      </c>
      <c r="BM8" s="1694">
        <f ca="1">-IFERROR((Tab_NewTRADER[[#This Row],[M]]-Tab_NewTRADER[[#This Row],[L_Sp]])/Tab_NewTRADER[[#This Row],[L_Sp]],0)</f>
        <v>2.0966651058737816E-2</v>
      </c>
      <c r="BN8" s="1714">
        <f ca="1">MIN(Tab_NewTRADER[[#This Row],[L_Sn]],Tab_NewTRADER[[#This Row],[N]])*(Tab_NewTRADER[[#This Row],[M]]-Tab_NewTRADER[[#This Row],[L_Sp]])*Comm_Net*Tab_NewTRADER[[#This Row],[Scale]]</f>
        <v>-2009.5594999999976</v>
      </c>
      <c r="BO8" s="1715">
        <f ca="1">Tab_NewTRADER[[#This Row],[L_Sn]]*(Tab_NewTRADER[[#This Row],[Agiotage]]-Tab_NewTRADER[[#This Row],[M]])/(Tab_NewTRADER[[#This Row],[L_Bn]]*Tab_NewTRADER[[#This Row],[M]])</f>
        <v>-0.99896972205261425</v>
      </c>
      <c r="BP8" s="1716">
        <f ca="1">IFERROR((Tab_NewTRADER[[#This Row],[M]]-Tab_NewTRADER[[#This Row],[A]])/Tab_NewTRADER[[#This Row],[A]],0)</f>
        <v>0.42007253128851507</v>
      </c>
      <c r="BQ8" s="1671" t="str">
        <f ca="1">TEXT(_xlfn.XLOOKUP(Tab_NewTRADER[[#This Row],[ClickTick]],TabCalc[Ticker],TabCalc[NAfter]),"#,#0")&amp;" : "&amp;TEXT(_xlfn.XLOOKUP(Tab_NewTRADER[[#This Row],[ClickTick]],TabCalc[Ticker],TabCalc[NAfter])*(Tab_NewTRADER[[#This Row],[M]]-Tab_NewTRADER[[#This Row],[A]])*(1-Commission)*Tab_NewTRADER[[#This Row],[Scale]],"#,#0$")</f>
        <v>2,800 : 777,293$</v>
      </c>
      <c r="BR8" s="262">
        <f ca="1">_xlfn.XLOOKUP(NewTrader!$V8,TabCalc[[#This Row],[Ticker]],TabCalc[[#This Row],[GL]])*(1-Commission)</f>
        <v>997558.77753866545</v>
      </c>
      <c r="BS8" s="262"/>
      <c r="BT8" s="1672" t="str">
        <f ca="1">Tab_NewTRADER[[#This Row],[Show]]&amp;": "&amp;_xlfn.XLOOKUP(Tab_NewTRADER[[#This Row],[Show]],TabCalc[Ticker],TabCalc[Pile?])</f>
        <v xml:space="preserve">ASML: </v>
      </c>
      <c r="BU8" s="1717" t="s">
        <v>2033</v>
      </c>
      <c r="BV8" s="1674" t="str" cm="1">
        <f t="array" aca="1" ref="BV8" ca="1">_xlfn.TEXTJOIN("",,INDEX({"M","A","Y"}, _xlfn.SORTBY({1,2,3}, -CHOOSE({1,2,3}, Tab_NewTRADER[[#This Row],[M]], Tab_NewTRADER[[#This Row],[A]], Tab_NewTRADER[[#This Row],[Y]]))))</f>
        <v>YMA</v>
      </c>
      <c r="BW8" s="1675"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76">
        <f ca="1">Tab_NewTRADER[[#This Row],[L_Sn]]*Tab_NewTRADER[[#This Row],[L_Sp]]+Tab_NewTRADER[[#This Row],[SellMore]]*Tab_NewTRADER[[#This Row],[M]]</f>
        <v>190195</v>
      </c>
      <c r="BY8" s="1676">
        <f ca="1">INDEX(
  INDEX(TabConsolid[], , _xlfn.XMATCH(Tab_NewTRADER[[#This Row],[ClickTick]]&amp;1, TabConsolid[#Headers])),
  MATCH(
    -Tab_NewTRADER[[#This Row],[M]],
    INDEX(TabConsolid[], , _xlfn.XMATCH(Tab_NewTRADER[[#This Row],[ClickTick]]&amp;2, TabConsolid[#Headers])),
    -1
  )
)</f>
        <v>100</v>
      </c>
      <c r="BZ8" s="1676"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77">
        <f ca="1">Tab_NewTRADER[[#This Row],[ReBuy]]/(Tab_NewTRADER[[#This Row],[L_Sn]]+Tab_NewTRADER[[#This Row],[SellMore]])</f>
        <v>950.97500000000002</v>
      </c>
      <c r="CB8" s="1678">
        <f ca="1">((_xlfn.XLOOKUP(Tab_NewTRADER[[#This Row],[Show]],TabCalc[Ticker],TabCalc[NAfter])+Tab_NewTRADER[[#This Row],[L_Sn]])*(Tab_NewTRADER[[#This Row],[Agiotage]]-Tab_NewTRADER[[#This Row],[M]]))/(Tab_NewTRADER[[#This Row],[L_Sn]]*_xlfn.XLOOKUP(Tab_NewTRADER[[#This Row],[Show]],TabCalc[Ticker],TabCalc[NAfter]))</f>
        <v>-9.734995618892798</v>
      </c>
      <c r="CC8" s="1677">
        <f ca="1">INDEX(Tab1Price[Price19], MATCH(Tab_NewTRADER[[#This Row],[Show]], Tab_NewTRADER[Show], 0))</f>
        <v>940.9</v>
      </c>
      <c r="CD8" s="1679">
        <f ca="1">_xlfn.XMATCH(Tab_NewTRADER[[#This Row],[Show]]&amp;1, TabConsolid[#Headers])</f>
        <v>17</v>
      </c>
      <c r="CE8" s="1678"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 s="1729" t="str" cm="1">
        <f t="array" aca="1" ref="CF8" ca="1">_xlfn.LET(
    _xlpm.FMT, _xlfn.LAMBDA(_xlpm.n, REPT(" ", 7 - LEN(TEXT(_xlpm.n,"0.00"))) &amp; TEXT(_xlpm.n,"0.00")),
    _xlpm.FMT(Tab_NewTRADER[[#This Row],[A]]) &amp; " -" &amp; _xlpm.FMT(Tab_NewTRADER[[#This Row],[M]]) &amp; " -" &amp; _xlpm.FMT(Tab_NewTRADER[[#This Row],[Y]])
)</f>
        <v xml:space="preserve"> 662.57 - 940.90 - 983.42</v>
      </c>
      <c r="CG8" s="1730" t="str" cm="1">
        <f t="array" aca="1" ref="CG8" ca="1">_xlfn.LET(
    _xlpm.W, 7,
    _xlpm.FMT, _xlfn.LAMBDA(_xlpm.n, REPT(" ", _xlpm.W - LEN(TEXT(_xlpm.n,"0.00"))) &amp; TEXT(_xlpm.n,"0.00")),
    _xlpm.FMT(Tab_NewTRADER[[#This Row],[A]]) &amp; " * " &amp; _xlpm.FMT(Tab_NewTRADER[[#This Row],[M]]) &amp; " * " &amp; _xlpm.FMT(Tab_NewTRADER[[#This Row],[Y]])
)</f>
        <v xml:space="preserve"> 662.57 *  940.90 *  983.42</v>
      </c>
      <c r="CH8" s="1842">
        <f>0</f>
        <v>0</v>
      </c>
      <c r="CI8" t="b">
        <f ca="1">IF(ABS(NewTrader!$Q8)&gt;=NewTrader!$Y8,"OK")</f>
        <v>0</v>
      </c>
    </row>
    <row r="9" spans="1:87">
      <c r="A9" s="1838">
        <f ca="1">IF(_xlfn.XLOOKUP(NewTrader!$V9,TabCalc[Ticker],TabCalc[Cur])="GBp",0.01,1)</f>
        <v>1</v>
      </c>
      <c r="B9" s="1620" t="str">
        <f ca="1">IFERROR(TRUNC(_xlfn.XLOOKUP(NewTrader!$V9,TabCalc[Ticker],ListLastBuyp),2)&amp;"x"&amp;_xlfn.XLOOKUP(NewTrader!$V9,TabCalc[Ticker],ListLastBuyn)&amp;"=    "&amp;IF(_xlfn.XLOOKUP(NewTrader!$V9,TabCalc[Ticker],ListReverseS)&gt;0,"+","")&amp;TEXT(_xlfn.XLOOKUP(NewTrader!$V9,TabCalc[Ticker],ListReverseS),"#,#0")&amp;" "&amp;#REF!,"")</f>
        <v/>
      </c>
      <c r="C9" s="1621" t="str">
        <f ca="1">_xlfn.XLOOKUP(NewTrader!$V9,TabCalc[Ticker],ListResale)&amp;" @ "&amp;TEXT((_xlfn.XLOOKUP(NewTrader!$V9,TabCalc[Ticker],TabCalc[L_Bp])+_xlfn.XLOOKUP(NewTrader!$V9,TabCalc[Ticker],TabCalc[M]))/_xlfn.XLOOKUP(NewTrader!$V9,TabCalc[Ticker],TabCalc[M]),"#0.0%")</f>
        <v>Resell @ 18.4%</v>
      </c>
      <c r="D9" s="1622"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67/200=27,186</v>
      </c>
      <c r="E9" s="1718" t="str">
        <f ca="1">IF(      AND(NewTrader!$X9&lt;NewTrader!$Y9,    _xlfn.XLOOKUP(NewTrader!$V9,TabCalc[Ticker],TabCalc[L_Sp])&gt;NewTrader!$Y9),"BUY  "&amp;TEXT(DesiredBuyGain/NewTrader!$A9/(_xlfn.XLOOKUP(NewTrader!$V9,TabCalc[Ticker],TabCalc[L_Sp])-NewTrader!$Y9),"#,##0"),"")</f>
        <v/>
      </c>
      <c r="F9" s="1620" t="str">
        <f ca="1">TRUNC(TabCalc[[#This Row],[L_B1p]],2)&amp;"x"&amp;TabCalc[[#This Row],[L_B1n]]&amp;"=   "&amp;TEXT(TabCalc[[#This Row],[ReverseS1]],"#,#0")&amp;"$"</f>
        <v>-203.42x240=   40,589$</v>
      </c>
      <c r="G9" s="1624" t="str">
        <f ca="1">IFERROR(TRUNC(_xlfn.XLOOKUP(NewTrader!$V9,TabCalc[Ticker],ListLastSalep),2)&amp;"x"&amp;_xlfn.XLOOKUP(NewTrader!$V9,TabCalc[Ticker],ListLastSalen)&amp;"=   "&amp;TEXT(-_xlfn.XLOOKUP(NewTrader!$V9,TabCalc[Ticker],ListReverseB),"#,#0")&amp;"$","")</f>
        <v>342.32x200=   12,810$</v>
      </c>
      <c r="H9" s="1625"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-15.8% = 0</v>
      </c>
      <c r="I9" s="1620" t="str">
        <f ca="1">IFERROR(TRUNC(TabCalc[[#This Row],[L_S1p]],2)&amp;"x"&amp;TabCalc[[#This Row],[L_S1n]]&amp;"=   "&amp;TEXT(TabCalc[[#This Row],[ReverseB1]],"#,#0"),"")</f>
        <v>346.09x160=   -9,645</v>
      </c>
      <c r="J9" s="1626">
        <f ca="1">_xlfn.XLOOKUP(NewTrader!$V9,TabCalc[Ticker],ListGravity)</f>
        <v>1.0071544159263726</v>
      </c>
      <c r="K9" s="1627" cm="1">
        <f t="array" aca="1" ref="K9" ca="1">IF(_xlfn.XLOOKUP(NewTrader!$V9,NewTrader!$V$3:$V$96,ListExtra_n)&gt;0,_xlfn.XLOOKUP(NewTrader!$V9,NewTrader!$V$3:$V$96,ListExtra_n),"")</f>
        <v>10</v>
      </c>
      <c r="L9" s="1628">
        <f ca="1">IF(_xlfn.XLOOKUP(NewTrader!$V9,TabCalc[Ticker],ListExtra_n)&gt;0,_xlfn.XLOOKUP(NewTrader!$V9,TabCalc[Ticker],ListExtra_n)*NewTrader!$Y9*_xlfn.XLOOKUP(NewTrader!$V9,TabCalc[Ticker],ListScale),"")</f>
        <v>4063.7</v>
      </c>
      <c r="M9" s="1629">
        <f ca="1">_xlfn.XLOOKUP(NewTrader!$V9,TabCalc[Ticker],TabCalc[Agiotage])</f>
        <v>1.3828780081752725</v>
      </c>
      <c r="N9" s="1630" cm="1">
        <f t="array" aca="1" ref="N9" ca="1">_xlfn.XLOOKUP(NewTrader!$V9,ListTickers,Tab2RSIConventional[RSIConv20])</f>
        <v>52</v>
      </c>
      <c r="O9" s="1631" t="str">
        <f ca="1">TEXT(_xlfn.XLOOKUP(NewTrader!$V9,TabCalc[Ticker],TabCalc[Nbegin]),"#,#0")&amp;": "&amp;_xlfn.XLOOKUP(NewTrader!$V9,TabCalc[Ticker],TabCalc[Pile?])</f>
        <v xml:space="preserve">190: </v>
      </c>
      <c r="P9" s="1630">
        <f ca="1">_xlfn.XLOOKUP(NewTrader!$V9,TabCalc[Ticker],TabCalc[L_Bn])</f>
        <v>210</v>
      </c>
      <c r="Q9" s="1633">
        <f ca="1">_xlfn.XLOOKUP(NewTrader!$V9,TabCalc[Ticker],TabCalc[L_Bp])</f>
        <v>-331.63</v>
      </c>
      <c r="R9" s="1634">
        <f ca="1">(NewTrader!$Y9+NewTrader!$Q9)/ABS(NewTrader!$Q9)</f>
        <v>0.22537164912703919</v>
      </c>
      <c r="S9" s="259">
        <f ca="1">INT(_xlfn.XLOOKUP(NewTrader!$V9,TabCalc[Ticker],TabCalc[Rev(MinStock)])*Comm_Net)</f>
        <v>14866</v>
      </c>
      <c r="T9" s="1635">
        <f ca="1">_xlfn.XLOOKUP(NewTrader!$V9,TabCalc[Ticker],TabCalc[Agiotage])</f>
        <v>1.3828780081752725</v>
      </c>
      <c r="U9" s="1719"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332/332=&gt;-1.6% / -1.6%</v>
      </c>
      <c r="V9" s="1578" t="str">
        <f ca="1">SORTING!B9</f>
        <v>AVGO</v>
      </c>
      <c r="W9" s="1637">
        <f ca="1">_xlfn.XLOOKUP(NewTrader!$V9,TabCalc[Ticker],TabCalc[Y])</f>
        <v>409.27733999999998</v>
      </c>
      <c r="X9" s="1639">
        <f ca="1">-_xlfn.XLOOKUP(NewTrader!$V9&amp;2,Consolid!B$3:JZ$3,Consolid!B$4:JZ$4)</f>
        <v>332.49223799999999</v>
      </c>
      <c r="Y9" s="1639">
        <f ca="1">_xlfn.XLOOKUP(NewTrader!$V9,TabCalc[Ticker],TabCalc[M])</f>
        <v>406.37</v>
      </c>
      <c r="Z9" s="1640">
        <f ca="1">_xlfn.XLOOKUP(NewTrader!$V9,[1]!RTData[Ticker_Symbol],[1]!RTData[YTChange])</f>
        <v>-0.51769150816658427</v>
      </c>
      <c r="AA9" s="1640" cm="1">
        <f t="array" aca="1" ref="AA9" ca="1">_xlfn.XLOOKUP(NewTrader!$V9,ListTickers,Tab1ChangePercent[Change%19])</f>
        <v>-1.5982E-2</v>
      </c>
      <c r="AB9" s="1641">
        <f ca="1">_xlfn.XLOOKUP(NewTrader!$V9,TabCalc[Ticker],TabCalc[NAfter])</f>
        <v>200</v>
      </c>
      <c r="AC9" s="1641">
        <f ca="1">_xlfn.XLOOKUP(NewTrader!$V9,TabCalc[Ticker],TabCalc[Nbegin])</f>
        <v>190</v>
      </c>
      <c r="AD9" s="1642" t="str">
        <f ca="1">_xlfn.LET(_xlpm.PILE,_xlfn.XLOOKUP(NewTrader!$V9,TabCalc[Ticker],TabCalc[Pile?]),                    _xlpm.GL,_xlfn.XLOOKUP(NewTrader!$V9,TabCalc[Ticker],TabCalc[GL]),                        _xlpm.GLK,_xlfn.XLOOKUP(NewTrader!$V9,TabCalc[Ticker],TabCalc[GL])/1000,                             _xlpm.MVal,_xlfn.XLOOKUP(NewTrader!$V9,TabCalc[Ticker],TabCalc[M_V])/1000,                   _xlpm.PILE&amp;" "&amp;IF(_xlpm.GL&lt;0,TEXT(_xlpm.GLK,"#,#0")&amp;"K /"&amp;TEXT(_xlpm.MVal,"#,#0")&amp;" K$","^"&amp;TEXT(_xlpm.GLK,"#,#0")&amp;"K / "&amp;TEXT(_xlpm.MVal,"#,#0")&amp;" K$"))</f>
        <v xml:space="preserve"> ^82K / 81 K$</v>
      </c>
      <c r="AE9" s="1720" t="str">
        <f ca="1">_xlfn.XLOOKUP(NewTrader!$V9,[1]!RTData[Ticker_Symbol],[1]!RTData[Currency])</f>
        <v>USD</v>
      </c>
      <c r="AF9" s="1721"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AG9"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733" t="str" cm="1">
        <f t="array" aca="1" ref="AH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332.49 - 406.37 - 409.28</v>
      </c>
      <c r="AI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9" s="1739" t="str" cm="1">
        <f t="array" aca="1" ref="AJ9" ca="1">_xlfn.IFS(Tab_NewTRADER[[#This Row],[State]]="Sell More",TEXT(MIN(Tab_NewTRADER[[#This Row],[N]],Tab_NewTRADER[[#This Row],[L_Bn]])*(Tab_NewTRADER[[#This Row],[M]]-Tab_NewTRADER[[#This Row],[L_Sp]])*Tab_NewTRADER[[#This Row],[Scale]]*ComFactor,"#,#0"), TRUE,"M= "&amp;TEXT(Tab_NewTRADER[[#This Row],[M]],"#,#0.00"))</f>
        <v>12,777</v>
      </c>
      <c r="AK9" s="1699" t="str" cm="1">
        <f t="array" aca="1" ref="AK9" ca="1">_xlfn.IFS(Tab_NewTRADER[[#This Row],[Y]]&gt;Tab_NewTRADER[[#This Row],[A]],                 TEXT(MIN(Tab_NewTRADER[[#This Row],[L_Bn]],Tab_NewTRADER[[#This Row],[N]])*(Tab_NewTRADER[[#This Row],[M]]-Tab_NewTRADER[[#This Row],[A]])*Tab_NewTRADER[[#This Row],[Scale]]*ComFactor,"#,#0"), TRUE,0)</f>
        <v>14,737</v>
      </c>
      <c r="AL9" s="1700" cm="1">
        <f t="array" aca="1" ref="AL9" ca="1">_xlfn.IFS(Tab_NewTRADER[[#This Row],[M]]&gt;Tab_NewTRADER[[#This Row],[A]],                  Tab_NewTRADER[[#This Row],[N]]*(Tab_NewTRADER[[#This Row],[M]]-Tab_NewTRADER[[#This Row],[A]])*Tab_NewTRADER[[#This Row],[Scale]]*ComFactor, TRUE,0)</f>
        <v>14737.135963760004</v>
      </c>
      <c r="AM9" s="1592" t="str">
        <f ca="1">_xlfn.XLOOKUP(Tab_NewTRADER[[#This Row],[Show]],TabCalc[Ticker],TabCalc[Max_Bn])&amp;" x "&amp;TEXT(_xlfn.XLOOKUP(Tab_NewTRADER[[#This Row],[Show]],TabCalc[Ticker],TabCalc[Max_Bp]),"#,#0.00")</f>
        <v>200 x 332.49</v>
      </c>
      <c r="AN9" s="1650" t="str">
        <f ca="1">NewTrader!$V9</f>
        <v>AVGO</v>
      </c>
      <c r="AO9" s="1651" t="str">
        <f ca="1">TEXT(_xlfn.XLOOKUP(Tab_NewTRADER[[#This Row],[ClickTick]],TabCalc[Ticker],TabCalc[NAfter]),"#,#0")&amp;"x"&amp;_xlfn.XLOOKUP(Tab_NewTRADER[[#This Row],[ClickTick]],TabCalc[Ticker],TabCalc[M])&amp;"           (A: "&amp;TEXT(-_xlfn.XLOOKUP(Tab_NewTRADER[[#This Row],[ClickTick]]&amp;2,Consolid!B$3:JZ$3,Consolid!B$4:JZ$4),"#,??0.00")&amp;")"</f>
        <v>200x406.37           (A: 332.49)</v>
      </c>
      <c r="AP9" s="1592" t="str">
        <f ca="1">_xlfn.XLOOKUP(Tab_NewTRADER[[#This Row],[Show]],TabCalc[Ticker],TabCalc[Min_Sn])&amp;" x "&amp;TEXT(_xlfn.XLOOKUP(Tab_NewTRADER[[#This Row],[Show]],TabCalc[Ticker],TabCalc[Min_Sp]),"#,#0.00")</f>
        <v>80 x 128.19</v>
      </c>
      <c r="AQ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702" t="str" cm="1">
        <f t="array" aca="1" ref="AR9" ca="1">_xlfn.IFS(Tab_NewTRADER[[#This Row],[State]]="Reverse Buy",TEXT(-Tab_NewTRADER[[#This Row],[Buy_Back]],"#,#0")&amp;" / "&amp;TEXT(Tab_NewTRADER[[#This Row],[Rev_Buy]],"#,#0.0%"),TRUE,Tab_NewTRADER[[#This Row],[AMY]])</f>
        <v xml:space="preserve"> 332.49 - 406.37 - 409.28</v>
      </c>
      <c r="AS9" s="1651"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99"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99" t="str" cm="1">
        <f t="array" aca="1" ref="AU9" ca="1">_xlfn.IFS(Tab_NewTRADER[[#This Row],[M]]&lt;Tab_NewTRADER[[#This Row],[A]],TEXT(Tab_NewTRADER[[#This Row],[N]]*Tab_NewTRADER[[#This Row],[M]]*Tab_NewTRADER[[#This Row],[Scale]]*Comm_Net,"#,#0")&amp;" @ "&amp;TEXT(Tab_NewTRADER[[#This Row],[M]],"#,#0.#0"),TRUE,"M: "&amp; Tab_NewTRADER[[#This Row],[M]])</f>
        <v>M: 406.37</v>
      </c>
      <c r="AV9" s="1740" cm="1">
        <f t="array" aca="1" ref="AV9" ca="1">-_xlfn.XLOOKUP(
    Tab_NewTRADER[[#This Row],[Show]] &amp; 2,
    TabConsolid[#Headers],
    INDEX(TabConsolid[], 1, 0)
)</f>
        <v>332.49223799999999</v>
      </c>
      <c r="AW9" s="1741">
        <f ca="1">Tab_NewTRADER[[#This Row],[M]]*Tab_NewTRADER[[#This Row],[N]]*(1-Commission)*Tab_NewTRADER[[#This Row],[Scale]]</f>
        <v>81062.68759999999</v>
      </c>
      <c r="AX9" s="1705"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705"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706" t="str" cm="1">
        <f t="array" aca="1" ref="AZ9" ca="1">_xlfn.IFS(   Tab_NewTRADER[[#This Row],[State]]=SellMorePercentGain,                     MIN(Tab_NewTRADER[[#This Row],[L_Sn]],Tab_NewTRADER[[#This Row],[N]])*(Tab_NewTRADER[[#This Row],[M]]-Tab_NewTRADER[[#This Row],[L_Sp]])*(1-Commission)*Tab_NewTRADER[[#This Row],[Scale]],                    TRUE,"")</f>
        <v/>
      </c>
      <c r="BA9" s="1707">
        <f ca="1">_xlfn.XLOOKUP(NewTrader!$V9,TabCalc[Ticker],TabCalc[Ann%RevLB])</f>
        <v>1.3086095755763565</v>
      </c>
      <c r="BB9" s="1708">
        <f ca="1">_xlfn.XLOOKUP(NewTrader!$V9,TabCalc[Ticker],TabCalc[Up20])</f>
        <v>0</v>
      </c>
      <c r="BC9" s="1742"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706" t="str" cm="1">
        <f t="array" aca="1" ref="BD9" ca="1">_xlfn.IFS(         NewTrader!$AF9=MDown,NewTrader!$P9*NewTrader!$Y9*(-(NewTrader!$Q9+NewTrader!$Y9)/NewTrader!$Y9)*(1-Commission)*NewTrader!$A9,                               TRUE,"")</f>
        <v/>
      </c>
      <c r="BE9" s="1705" t="str" cm="1">
        <f t="array" aca="1" ref="BE9" ca="1">_xlfn.IFS(   NewTrader!$AF9=MUp,NewTrader!$BP9-Commission,        NewTrader!$AF9=MDown,(NewTrader!$X9-NewTrader!$Y9)/NewTrader!$Y9-Commission,                              TRUE,"")</f>
        <v/>
      </c>
      <c r="BF9" s="1706" cm="1">
        <f t="array" aca="1" ref="BF9" ca="1">_xlfn.IFS(   OR(NewTrader!$AF9=MUp,NewTrader!$AF9=Sale_Back), NewTrader!$AB9*NewTrader!$Y9*NewTrader!$BP9,       NewTrader!$AF9=MDown,NewTrader!$AB9*(NewTrader!$X9-NewTrader!$Y9),        NewTrader!$AF9=RePurchaseGain,NewTrader!$AB9*(NewTrader!$Y9-NewTrader!$X9),       TRUE,0)*(1-Commission)*NewTrader!$A9</f>
        <v>0</v>
      </c>
      <c r="BG9" s="1710" t="str" cm="1">
        <f t="array" aca="1" ref="BG9" ca="1">_xlfn.LET(_xlpm.SumChTxt,TEXT(_xlfn.XLOOKUP(NewTrader!$V9,ListTickers,Tab2SumChangePercent[AVGChan20]),"#0.0%"),
      _xlfn.IFS(NewTrader!$AF9=NoStock,_xlpm.SumChTxt,
      TRUE, IF(NewTrader!$AF9=SellMorePercentGain,             "SumChange "&amp;_xlpm.SumChTxt,                         "&lt;"&amp;INT(_xlfn.XLOOKUP(NewTrader!$V9,ListTickers,Tab2ReverseGL[Rev_GL19]))&amp;    "&lt;"&amp;INT(_xlfn.XLOOKUP(NewTrader!$V9,ListTickers,Tab2ReverseGL[Rev_GL18]))&amp;":      "&amp;_xlpm.SumChTxt)))</f>
        <v>&lt;-1&lt;-1:      -0.2%</v>
      </c>
      <c r="BH9" s="1711"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200x73.87</v>
      </c>
      <c r="BI9" s="1712" cm="1">
        <f t="array" aca="1" ref="BI9" ca="1">_xlfn.IFS(NewTrader!$AF9=Sale_Back,"",         NewTrader!$AF9=MDown, (NewTrader!$Y9-NewTrader!$X9)/NewTrader!$X9*ComFactor,             TRUE, IFERROR((NewTrader!$Y9-NewTrader!$X9)/NewTrader!$X9*ComFactor,""))</f>
        <v>0.22161624061371327</v>
      </c>
      <c r="BJ9" s="1664" cm="1">
        <f t="array" aca="1" ref="BJ9" ca="1">_xlfn.IFS(               NewTrader!$AF9=NoStock,(NewTrader!$BL9-NewTrader!$Y9)/NewTrader!$Y9-Commission,             NewTrader!$X9&lt;&gt;0,(NewTrader!$X9-NewTrader!$Y9)/NewTrader!$Y9-Commission)</f>
        <v>-0.18439925191328105</v>
      </c>
      <c r="BK9" s="1726">
        <f ca="1">_xlfn.XLOOKUP(NewTrader!$V9,TabCalc[Ticker],TabCalc[L_Sn])</f>
        <v>200</v>
      </c>
      <c r="BL9" s="1727">
        <f ca="1">_xlfn.XLOOKUP(NewTrader!$V9,TabCalc[Ticker],TabCalc[L_Sp])</f>
        <v>342.32</v>
      </c>
      <c r="BM9" s="1634">
        <f ca="1">-IFERROR((Tab_NewTRADER[[#This Row],[M]]-Tab_NewTRADER[[#This Row],[L_Sp]])/Tab_NewTRADER[[#This Row],[L_Sp]],0)</f>
        <v>-0.18710563215704606</v>
      </c>
      <c r="BN9" s="1728">
        <f ca="1">MIN(Tab_NewTRADER[[#This Row],[L_Sn]],Tab_NewTRADER[[#This Row],[N]])*(Tab_NewTRADER[[#This Row],[M]]-Tab_NewTRADER[[#This Row],[L_Sp]])*Comm_Net*Tab_NewTRADER[[#This Row],[Scale]]</f>
        <v>12775.413</v>
      </c>
      <c r="BO9" s="1715">
        <f ca="1">Tab_NewTRADER[[#This Row],[L_Sn]]*(Tab_NewTRADER[[#This Row],[Agiotage]]-Tab_NewTRADER[[#This Row],[M]])/(Tab_NewTRADER[[#This Row],[L_Bn]]*Tab_NewTRADER[[#This Row],[M]])</f>
        <v>-0.94913999789500947</v>
      </c>
      <c r="BP9" s="1670">
        <f ca="1">IFERROR((Tab_NewTRADER[[#This Row],[M]]-Tab_NewTRADER[[#This Row],[A]])/Tab_NewTRADER[[#This Row],[A]],0)</f>
        <v>0.22219394487037625</v>
      </c>
      <c r="BQ9" s="1671" t="str">
        <f ca="1">TEXT(_xlfn.XLOOKUP(Tab_NewTRADER[[#This Row],[ClickTick]],TabCalc[Ticker],TabCalc[NAfter]),"#,#0")&amp;" : "&amp;TEXT(_xlfn.XLOOKUP(Tab_NewTRADER[[#This Row],[ClickTick]],TabCalc[Ticker],TabCalc[NAfter])*(Tab_NewTRADER[[#This Row],[M]]-Tab_NewTRADER[[#This Row],[A]])*(1-Commission)*Tab_NewTRADER[[#This Row],[Scale]],"#,#0$")</f>
        <v>200 : 14,737$</v>
      </c>
      <c r="BR9" s="259">
        <f ca="1">_xlfn.XLOOKUP(NewTrader!$V9,TabCalc[[#This Row],[Ticker]],TabCalc[[#This Row],[GL]])*(1-Commission)</f>
        <v>81656.992705770506</v>
      </c>
      <c r="BS9" s="259"/>
      <c r="BT9" s="1672" t="str">
        <f ca="1">Tab_NewTRADER[[#This Row],[Show]]&amp;": "&amp;_xlfn.XLOOKUP(Tab_NewTRADER[[#This Row],[Show]],TabCalc[Ticker],TabCalc[Pile?])</f>
        <v xml:space="preserve">AVGO: </v>
      </c>
      <c r="BU9" s="1717" t="s">
        <v>1944</v>
      </c>
      <c r="BV9" s="1674" t="str" cm="1">
        <f t="array" aca="1" ref="BV9" ca="1">_xlfn.TEXTJOIN("",,INDEX({"M","A","Y"}, _xlfn.SORTBY({1,2,3}, -CHOOSE({1,2,3}, Tab_NewTRADER[[#This Row],[M]], Tab_NewTRADER[[#This Row],[A]], Tab_NewTRADER[[#This Row],[Y]]))))</f>
        <v>YMA</v>
      </c>
      <c r="BW9" s="1675"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676">
        <f ca="1">Tab_NewTRADER[[#This Row],[L_Sn]]*Tab_NewTRADER[[#This Row],[L_Sp]]+Tab_NewTRADER[[#This Row],[SellMore]]*Tab_NewTRADER[[#This Row],[M]]</f>
        <v>149738</v>
      </c>
      <c r="BY9" s="1676">
        <f ca="1">INDEX(
  INDEX(TabConsolid[], , _xlfn.XMATCH(Tab_NewTRADER[[#This Row],[ClickTick]]&amp;1, TabConsolid[#Headers])),
  MATCH(
    -Tab_NewTRADER[[#This Row],[M]],
    INDEX(TabConsolid[], , _xlfn.XMATCH(Tab_NewTRADER[[#This Row],[ClickTick]]&amp;2, TabConsolid[#Headers])),
    -1
  )
)</f>
        <v>200</v>
      </c>
      <c r="BZ9" s="1676"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77">
        <f ca="1">Tab_NewTRADER[[#This Row],[ReBuy]]/(Tab_NewTRADER[[#This Row],[L_Sn]]+Tab_NewTRADER[[#This Row],[SellMore]])</f>
        <v>374.34500000000003</v>
      </c>
      <c r="CB9" s="1678">
        <f ca="1">((_xlfn.XLOOKUP(Tab_NewTRADER[[#This Row],[Show]],TabCalc[Ticker],TabCalc[NAfter])+Tab_NewTRADER[[#This Row],[L_Sn]])*(Tab_NewTRADER[[#This Row],[Agiotage]]-Tab_NewTRADER[[#This Row],[M]]))/(Tab_NewTRADER[[#This Row],[L_Sn]]*_xlfn.XLOOKUP(Tab_NewTRADER[[#This Row],[Show]],TabCalc[Ticker],TabCalc[NAfter]))</f>
        <v>-4.0498712199182476</v>
      </c>
      <c r="CC9" s="1677">
        <f ca="1">INDEX(Tab1Price[Price19], MATCH(Tab_NewTRADER[[#This Row],[Show]], Tab_NewTRADER[Show], 0))</f>
        <v>406.37</v>
      </c>
      <c r="CD9" s="1679">
        <f ca="1">_xlfn.XMATCH(Tab_NewTRADER[[#This Row],[Show]]&amp;1, TabConsolid[#Headers])</f>
        <v>20</v>
      </c>
      <c r="CE9" s="1678"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729" t="str" cm="1">
        <f t="array" aca="1" ref="CF9" ca="1">_xlfn.LET(
    _xlpm.FMT, _xlfn.LAMBDA(_xlpm.n, REPT(" ", 7 - LEN(TEXT(_xlpm.n,"0.00"))) &amp; TEXT(_xlpm.n,"0.00")),
    _xlpm.FMT(Tab_NewTRADER[[#This Row],[A]]) &amp; " -" &amp; _xlpm.FMT(Tab_NewTRADER[[#This Row],[M]]) &amp; " -" &amp; _xlpm.FMT(Tab_NewTRADER[[#This Row],[Y]])
)</f>
        <v xml:space="preserve"> 332.49 - 406.37 - 409.28</v>
      </c>
      <c r="CG9" s="1730" t="str" cm="1">
        <f t="array" aca="1" ref="CG9" ca="1">_xlfn.LET(
    _xlpm.W, 7,
    _xlpm.FMT, _xlfn.LAMBDA(_xlpm.n, REPT(" ", _xlpm.W - LEN(TEXT(_xlpm.n,"0.00"))) &amp; TEXT(_xlpm.n,"0.00")),
    _xlpm.FMT(Tab_NewTRADER[[#This Row],[A]]) &amp; " * " &amp; _xlpm.FMT(Tab_NewTRADER[[#This Row],[M]]) &amp; " * " &amp; _xlpm.FMT(Tab_NewTRADER[[#This Row],[Y]])
)</f>
        <v xml:space="preserve"> 332.49 *  406.37 *  409.28</v>
      </c>
      <c r="CH9" s="1842">
        <f>0</f>
        <v>0</v>
      </c>
      <c r="CI9" t="b">
        <f ca="1">IF(ABS(NewTrader!$Q9)&gt;=NewTrader!$Y9,"OK")</f>
        <v>0</v>
      </c>
    </row>
    <row r="10" spans="1:87" ht="23" thickBot="1">
      <c r="A10" s="1839">
        <f ca="1">IF(_xlfn.XLOOKUP(NewTrader!$V10,TabCalc[Ticker],TabCalc[Cur])="GBp",0.01,1)</f>
        <v>1</v>
      </c>
      <c r="B10" s="1681" t="str">
        <f ca="1">IFERROR(TRUNC(_xlfn.XLOOKUP(NewTrader!$V10,TabCalc[Ticker],ListLastBuyp),2)&amp;"x"&amp;_xlfn.XLOOKUP(NewTrader!$V10,TabCalc[Ticker],ListLastBuyn)&amp;"=    "&amp;IF(_xlfn.XLOOKUP(NewTrader!$V10,TabCalc[Ticker],ListReverseS)&gt;0,"+","")&amp;TEXT(_xlfn.XLOOKUP(NewTrader!$V10,TabCalc[Ticker],ListReverseS),"#,#0")&amp;" "&amp;#REF!,"")</f>
        <v/>
      </c>
      <c r="C10" s="1682" t="str">
        <f ca="1">_xlfn.XLOOKUP(NewTrader!$V10,TabCalc[Ticker],ListResale)&amp;" @ "&amp;TEXT((_xlfn.XLOOKUP(NewTrader!$V10,TabCalc[Ticker],TabCalc[L_Bp])+_xlfn.XLOOKUP(NewTrader!$V10,TabCalc[Ticker],TabCalc[M]))/_xlfn.XLOOKUP(NewTrader!$V10,TabCalc[Ticker],TabCalc[M]),"#0.0%")</f>
        <v>Resell @ 22.6%</v>
      </c>
      <c r="D10" s="1683"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244/500=22,076</v>
      </c>
      <c r="E10" s="1684" t="str">
        <f ca="1">IF(      AND(NewTrader!$X10&lt;NewTrader!$Y10,    _xlfn.XLOOKUP(NewTrader!$V10,TabCalc[Ticker],TabCalc[L_Sp])&gt;NewTrader!$Y10),"BUY  "&amp;TEXT(DesiredBuyGain/NewTrader!$A10/(_xlfn.XLOOKUP(NewTrader!$V10,TabCalc[Ticker],TabCalc[L_Sp])-NewTrader!$Y10),"#,##0"),"")</f>
        <v/>
      </c>
      <c r="F10" s="1681" t="str">
        <f ca="1">TRUNC(TabCalc[[#This Row],[L_B1p]],2)&amp;"x"&amp;TabCalc[[#This Row],[L_B1n]]&amp;"=   "&amp;TEXT(TabCalc[[#This Row],[ReverseS1]],"#,#0")&amp;"$"</f>
        <v>-77.67x800=   6,310$</v>
      </c>
      <c r="G10" s="1685" t="str">
        <f ca="1">IFERROR(TRUNC(_xlfn.XLOOKUP(NewTrader!$V10,TabCalc[Ticker],ListLastSalep),2)&amp;"x"&amp;_xlfn.XLOOKUP(NewTrader!$V10,TabCalc[Ticker],ListLastSalen)&amp;"=   "&amp;TEXT(-_xlfn.XLOOKUP(NewTrader!$V10,TabCalc[Ticker],ListReverseB),"#,#0")&amp;"$","")</f>
        <v>86.22x500=   2,035$</v>
      </c>
      <c r="H10" s="1686"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-4.5% = 0</v>
      </c>
      <c r="I10" s="1681" t="str">
        <f ca="1">IFERROR(TRUNC(TabCalc[[#This Row],[L_S1p]],2)&amp;"x"&amp;TabCalc[[#This Row],[L_S1n]]&amp;"=   "&amp;TEXT(TabCalc[[#This Row],[ReverseB1]],"#,#0"),"")</f>
        <v>79.51x2000=   -21,560</v>
      </c>
      <c r="J10" s="1687">
        <f ca="1">_xlfn.XLOOKUP(NewTrader!$V10,TabCalc[Ticker],ListGravity)</f>
        <v>1.072815926459187</v>
      </c>
      <c r="K10" s="1688" t="str" cm="1">
        <f t="array" aca="1" ref="K10" ca="1">IF(_xlfn.XLOOKUP(NewTrader!$V10,NewTrader!$V$3:$V$96,ListExtra_n)&gt;0,_xlfn.XLOOKUP(NewTrader!$V10,NewTrader!$V$3:$V$96,ListExtra_n),"")</f>
        <v/>
      </c>
      <c r="L10" s="1689" t="str">
        <f ca="1">IF(_xlfn.XLOOKUP(NewTrader!$V10,TabCalc[Ticker],ListExtra_n)&gt;0,_xlfn.XLOOKUP(NewTrader!$V10,TabCalc[Ticker],ListExtra_n)*NewTrader!$Y10*_xlfn.XLOOKUP(NewTrader!$V10,TabCalc[Ticker],ListScale),"")</f>
        <v/>
      </c>
      <c r="M10" s="1690">
        <f ca="1">_xlfn.XLOOKUP(NewTrader!$V10,TabCalc[Ticker],TabCalc[Agiotage])</f>
        <v>1.1425060719524345</v>
      </c>
      <c r="N10" s="1691" cm="1">
        <f t="array" aca="1" ref="N10" ca="1">_xlfn.XLOOKUP(NewTrader!$V10,ListTickers,Tab2RSIConventional[RSIConv20])</f>
        <v>58</v>
      </c>
      <c r="O10" s="1631" t="str">
        <f ca="1">TEXT(_xlfn.XLOOKUP(NewTrader!$V10,TabCalc[Ticker],TabCalc[Nbegin]),"#,#0")&amp;": "&amp;_xlfn.XLOOKUP(NewTrader!$V10,TabCalc[Ticker],TabCalc[Pile?])</f>
        <v>5,000: Pile</v>
      </c>
      <c r="P10" s="1691">
        <f ca="1">_xlfn.XLOOKUP(NewTrader!$V10,TabCalc[Ticker],TabCalc[L_Bn])</f>
        <v>4000</v>
      </c>
      <c r="Q10" s="1731">
        <f ca="1">_xlfn.XLOOKUP(NewTrader!$V10,TabCalc[Ticker],TabCalc[L_Bp])</f>
        <v>-69.84</v>
      </c>
      <c r="R10" s="1694">
        <f ca="1">(NewTrader!$Y10+NewTrader!$Q10)/ABS(NewTrader!$Q10)</f>
        <v>0.29281214203894618</v>
      </c>
      <c r="S10" s="262">
        <f ca="1">INT(_xlfn.XLOOKUP(NewTrader!$V10,TabCalc[Ticker],TabCalc[Rev(MinStock)])*Comm_Net)</f>
        <v>10169</v>
      </c>
      <c r="T10" s="1635">
        <f ca="1">_xlfn.XLOOKUP(NewTrader!$V10,TabCalc[Ticker],TabCalc[Agiotage])</f>
        <v>1.1425060719524345</v>
      </c>
      <c r="U10" s="1695"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-170/-170=&gt;-1.3% / -1.3%</v>
      </c>
      <c r="V10" s="1578" t="str">
        <f ca="1">SORTING!B10</f>
        <v>AZN</v>
      </c>
      <c r="W10" s="1637">
        <f ca="1">_xlfn.XLOOKUP(NewTrader!$V10,TabCalc[Ticker],TabCalc[Y])</f>
        <v>96.864549999999994</v>
      </c>
      <c r="X10" s="1639">
        <f ca="1">-_xlfn.XLOOKUP(NewTrader!$V10&amp;2,Consolid!B$3:JZ$3,Consolid!B$4:JZ$4)</f>
        <v>70.021584000000004</v>
      </c>
      <c r="Y10" s="1639">
        <f ca="1">_xlfn.XLOOKUP(NewTrader!$V10,TabCalc[Ticker],TabCalc[M])</f>
        <v>90.29</v>
      </c>
      <c r="Z10" s="1640">
        <f ca="1">_xlfn.XLOOKUP(NewTrader!$V10,[1]!RTData[Ticker_Symbol],[1]!RTData[YTChange])</f>
        <v>-0.88598536924127214</v>
      </c>
      <c r="AA10" s="1640" cm="1">
        <f t="array" aca="1" ref="AA10" ca="1">_xlfn.XLOOKUP(NewTrader!$V10,ListTickers,Tab1ChangePercent[Change%19])</f>
        <v>-1.3332E-2</v>
      </c>
      <c r="AB10" s="1641">
        <f ca="1">_xlfn.XLOOKUP(NewTrader!$V10,TabCalc[Ticker],TabCalc[NAfter])</f>
        <v>500</v>
      </c>
      <c r="AC10" s="1641">
        <f ca="1">_xlfn.XLOOKUP(NewTrader!$V10,TabCalc[Ticker],TabCalc[Nbegin])</f>
        <v>5000</v>
      </c>
      <c r="AD10" s="1642" t="str">
        <f ca="1">_xlfn.LET(_xlpm.PILE,_xlfn.XLOOKUP(NewTrader!$V10,TabCalc[Ticker],TabCalc[Pile?]),                    _xlpm.GL,_xlfn.XLOOKUP(NewTrader!$V10,TabCalc[Ticker],TabCalc[GL]),                        _xlpm.GLK,_xlfn.XLOOKUP(NewTrader!$V10,TabCalc[Ticker],TabCalc[GL])/1000,                             _xlpm.MVal,_xlfn.XLOOKUP(NewTrader!$V10,TabCalc[Ticker],TabCalc[M_V])/1000,                   _xlpm.PILE&amp;" "&amp;IF(_xlpm.GL&lt;0,TEXT(_xlpm.GLK,"#,#0")&amp;"K /"&amp;TEXT(_xlpm.MVal,"#,#0")&amp;" K$","^"&amp;TEXT(_xlpm.GLK,"#,#0")&amp;"K / "&amp;TEXT(_xlpm.MVal,"#,#0")&amp;" K$"))</f>
        <v>Pile ^154K / 45 K$</v>
      </c>
      <c r="AE10" s="1643" t="str">
        <f ca="1">_xlfn.XLOOKUP(NewTrader!$V10,[1]!RTData[Ticker_Symbol],[1]!RTData[Currency])</f>
        <v>USD</v>
      </c>
      <c r="AF10" s="1721"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70.02</v>
      </c>
      <c r="AH10" s="1744" t="str" cm="1">
        <f t="array" aca="1" ref="AH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90.29 -  96.86</v>
      </c>
      <c r="AI10"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10" s="1739" t="str" cm="1">
        <f t="array" aca="1" ref="AJ10" ca="1">_xlfn.IFS(Tab_NewTRADER[[#This Row],[State]]="Sell More",TEXT(MIN(Tab_NewTRADER[[#This Row],[N]],Tab_NewTRADER[[#This Row],[L_Bn]])*(Tab_NewTRADER[[#This Row],[M]]-Tab_NewTRADER[[#This Row],[L_Sp]])*Tab_NewTRADER[[#This Row],[Scale]]*ComFactor,"#,#0"), TRUE,"M= "&amp;TEXT(Tab_NewTRADER[[#This Row],[M]],"#,#0.00"))</f>
        <v>2,030</v>
      </c>
      <c r="AK10" s="1699" t="str" cm="1">
        <f t="array" aca="1" ref="AK10" ca="1">_xlfn.IFS(Tab_NewTRADER[[#This Row],[Y]]&gt;Tab_NewTRADER[[#This Row],[A]],                 TEXT(MIN(Tab_NewTRADER[[#This Row],[L_Bn]],Tab_NewTRADER[[#This Row],[N]])*(Tab_NewTRADER[[#This Row],[M]]-Tab_NewTRADER[[#This Row],[A]])*Tab_NewTRADER[[#This Row],[Scale]]*ComFactor,"#,#0"), TRUE,0)</f>
        <v>10,108</v>
      </c>
      <c r="AL10" s="1700" cm="1">
        <f t="array" aca="1" ref="AL10" ca="1">_xlfn.IFS(Tab_NewTRADER[[#This Row],[M]]&gt;Tab_NewTRADER[[#This Row],[A]],                  Tab_NewTRADER[[#This Row],[N]]*(Tab_NewTRADER[[#This Row],[M]]-Tab_NewTRADER[[#This Row],[A]])*Tab_NewTRADER[[#This Row],[Scale]]*ComFactor, TRUE,0)</f>
        <v>10107.8590592</v>
      </c>
      <c r="AM10" s="1592" t="str">
        <f ca="1">_xlfn.XLOOKUP(Tab_NewTRADER[[#This Row],[Show]],TabCalc[Ticker],TabCalc[Max_Bn])&amp;" x "&amp;TEXT(_xlfn.XLOOKUP(Tab_NewTRADER[[#This Row],[Show]],TabCalc[Ticker],TabCalc[Max_Bp]),"#,#0.00")</f>
        <v>500 x 70.02</v>
      </c>
      <c r="AN10" s="1650" t="str">
        <f ca="1">NewTrader!$V10</f>
        <v>AZN</v>
      </c>
      <c r="AO10" s="1651" t="str">
        <f ca="1">TEXT(_xlfn.XLOOKUP(Tab_NewTRADER[[#This Row],[ClickTick]],TabCalc[Ticker],TabCalc[NAfter]),"#,#0")&amp;"x"&amp;_xlfn.XLOOKUP(Tab_NewTRADER[[#This Row],[ClickTick]],TabCalc[Ticker],TabCalc[M])&amp;"           (A: "&amp;TEXT(-_xlfn.XLOOKUP(Tab_NewTRADER[[#This Row],[ClickTick]]&amp;2,Consolid!B$3:JZ$3,Consolid!B$4:JZ$4),"#,??0.00")&amp;")"</f>
        <v>500x90.29           (A:  70.02)</v>
      </c>
      <c r="AP10" s="1592" t="str">
        <f ca="1">_xlfn.XLOOKUP(Tab_NewTRADER[[#This Row],[Show]],TabCalc[Ticker],TabCalc[Min_Sn])&amp;" x "&amp;TEXT(_xlfn.XLOOKUP(Tab_NewTRADER[[#This Row],[Show]],TabCalc[Ticker],TabCalc[Min_Sp]),"#,#0.00")</f>
        <v>500 x 66.20</v>
      </c>
      <c r="AQ1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70.02</v>
      </c>
      <c r="AR10" s="1702" t="str" cm="1">
        <f t="array" aca="1" ref="AR10" ca="1">_xlfn.IFS(Tab_NewTRADER[[#This Row],[State]]="Reverse Buy",TEXT(-Tab_NewTRADER[[#This Row],[Buy_Back]],"#,#0")&amp;" / "&amp;TEXT(Tab_NewTRADER[[#This Row],[Rev_Buy]],"#,#0.0%"),TRUE,Tab_NewTRADER[[#This Row],[AMY]])</f>
        <v xml:space="preserve">  70.02 -  90.29 -  96.86</v>
      </c>
      <c r="AS10" s="1651"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99"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99" t="str" cm="1">
        <f t="array" aca="1" ref="AU10" ca="1">_xlfn.IFS(Tab_NewTRADER[[#This Row],[M]]&lt;Tab_NewTRADER[[#This Row],[A]],TEXT(Tab_NewTRADER[[#This Row],[N]]*Tab_NewTRADER[[#This Row],[M]]*Tab_NewTRADER[[#This Row],[Scale]]*Comm_Net,"#,#0")&amp;" @ "&amp;TEXT(Tab_NewTRADER[[#This Row],[M]],"#,#0.#0"),TRUE,"M: "&amp; Tab_NewTRADER[[#This Row],[M]])</f>
        <v>M: 90.29</v>
      </c>
      <c r="AV10" s="1703" cm="1">
        <f t="array" aca="1" ref="AV10" ca="1">-_xlfn.XLOOKUP(
    Tab_NewTRADER[[#This Row],[Show]] &amp; 2,
    TabConsolid[#Headers],
    INDEX(TabConsolid[], 1, 0)
)</f>
        <v>70.021584000000004</v>
      </c>
      <c r="AW10" s="1704">
        <f ca="1">Tab_NewTRADER[[#This Row],[M]]*Tab_NewTRADER[[#This Row],[N]]*(1-Commission)*Tab_NewTRADER[[#This Row],[Scale]]</f>
        <v>45027.623</v>
      </c>
      <c r="AX10" s="1705"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705"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706" t="str" cm="1">
        <f t="array" aca="1" ref="AZ10" ca="1">_xlfn.IFS(   Tab_NewTRADER[[#This Row],[State]]=SellMorePercentGain,                     MIN(Tab_NewTRADER[[#This Row],[L_Sn]],Tab_NewTRADER[[#This Row],[N]])*(Tab_NewTRADER[[#This Row],[M]]-Tab_NewTRADER[[#This Row],[L_Sp]])*(1-Commission)*Tab_NewTRADER[[#This Row],[Scale]],                    TRUE,"")</f>
        <v/>
      </c>
      <c r="BA10" s="1707">
        <f ca="1">_xlfn.XLOOKUP(NewTrader!$V10,TabCalc[Ticker],TabCalc[Ann%RevLB])</f>
        <v>0.6058182249081645</v>
      </c>
      <c r="BB10" s="1746">
        <f ca="1">_xlfn.XLOOKUP(NewTrader!$V10,TabCalc[Ticker],TabCalc[Up20])</f>
        <v>0</v>
      </c>
      <c r="BC10" s="1709"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706" t="str" cm="1">
        <f t="array" aca="1" ref="BD10" ca="1">_xlfn.IFS(         NewTrader!$AF10=MDown,NewTrader!$P10*NewTrader!$Y10*(-(NewTrader!$Q10+NewTrader!$Y10)/NewTrader!$Y10)*(1-Commission)*NewTrader!$A10,                               TRUE,"")</f>
        <v/>
      </c>
      <c r="BE10" s="1705" t="str" cm="1">
        <f t="array" aca="1" ref="BE10" ca="1">_xlfn.IFS(   NewTrader!$AF10=MUp,NewTrader!$BP10-Commission,        NewTrader!$AF10=MDown,(NewTrader!$X10-NewTrader!$Y10)/NewTrader!$Y10-Commission,                              TRUE,"")</f>
        <v/>
      </c>
      <c r="BF10" s="1706"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710" t="str" cm="1">
        <f t="array" aca="1" ref="BG10" ca="1">_xlfn.LET(_xlpm.SumChTxt,TEXT(_xlfn.XLOOKUP(NewTrader!$V10,ListTickers,Tab2SumChangePercent[AVGChan20]),"#0.0%"),
      _xlfn.IFS(NewTrader!$AF10=NoStock,_xlpm.SumChTxt,
      TRUE, IF(NewTrader!$AF10=SellMorePercentGain,             "SumChange "&amp;_xlpm.SumChTxt,                         "&lt;"&amp;INT(_xlfn.XLOOKUP(NewTrader!$V10,ListTickers,Tab2ReverseGL[Rev_GL19]))&amp;    "&lt;"&amp;INT(_xlfn.XLOOKUP(NewTrader!$V10,ListTickers,Tab2ReverseGL[Rev_GL18]))&amp;":      "&amp;_xlpm.SumChTxt)))</f>
        <v>&lt;-1&lt;-1:      0.5%</v>
      </c>
      <c r="BH10" s="1711"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500x20.26</v>
      </c>
      <c r="BI10" s="1712" cm="1">
        <f t="array" aca="1" ref="BI10" ca="1">_xlfn.IFS(NewTrader!$AF10=Sale_Back,"",         NewTrader!$AF10=MDown, (NewTrader!$Y10-NewTrader!$X10)/NewTrader!$X10*ComFactor,             TRUE, IFERROR((NewTrader!$Y10-NewTrader!$X10)/NewTrader!$X10*ComFactor,""))</f>
        <v>0.28870695239342203</v>
      </c>
      <c r="BJ10" s="1664" cm="1">
        <f t="array" aca="1" ref="BJ10" ca="1">_xlfn.IFS(               NewTrader!$AF10=NoStock,(NewTrader!$BL10-NewTrader!$Y10)/NewTrader!$Y10-Commission,             NewTrader!$X10&lt;&gt;0,(NewTrader!$X10-NewTrader!$Y10)/NewTrader!$Y10-Commission)</f>
        <v>-0.22708129360948057</v>
      </c>
      <c r="BK10" s="1713">
        <f ca="1">_xlfn.XLOOKUP(NewTrader!$V10,TabCalc[Ticker],TabCalc[L_Sn])</f>
        <v>500</v>
      </c>
      <c r="BL10" s="1693">
        <f ca="1">_xlfn.XLOOKUP(NewTrader!$V10,TabCalc[Ticker],TabCalc[L_Sp])</f>
        <v>86.22</v>
      </c>
      <c r="BM10" s="1694">
        <f ca="1">-IFERROR((Tab_NewTRADER[[#This Row],[M]]-Tab_NewTRADER[[#This Row],[L_Sp]])/Tab_NewTRADER[[#This Row],[L_Sp]],0)</f>
        <v>-4.7204824866620358E-2</v>
      </c>
      <c r="BN10" s="1714">
        <f ca="1">MIN(Tab_NewTRADER[[#This Row],[L_Sn]],Tab_NewTRADER[[#This Row],[N]])*(Tab_NewTRADER[[#This Row],[M]]-Tab_NewTRADER[[#This Row],[L_Sp]])*Comm_Net*Tab_NewTRADER[[#This Row],[Scale]]</f>
        <v>2029.5055000000036</v>
      </c>
      <c r="BO10" s="1715">
        <f ca="1">Tab_NewTRADER[[#This Row],[L_Sn]]*(Tab_NewTRADER[[#This Row],[Agiotage]]-Tab_NewTRADER[[#This Row],[M]])/(Tab_NewTRADER[[#This Row],[L_Bn]]*Tab_NewTRADER[[#This Row],[M]])</f>
        <v>-0.12341828265595244</v>
      </c>
      <c r="BP10" s="1716">
        <f ca="1">IFERROR((Tab_NewTRADER[[#This Row],[M]]-Tab_NewTRADER[[#This Row],[A]])/Tab_NewTRADER[[#This Row],[A]],0)</f>
        <v>0.28945954721618411</v>
      </c>
      <c r="BQ10" s="1671" t="str">
        <f ca="1">TEXT(_xlfn.XLOOKUP(Tab_NewTRADER[[#This Row],[ClickTick]],TabCalc[Ticker],TabCalc[NAfter]),"#,#0")&amp;" : "&amp;TEXT(_xlfn.XLOOKUP(Tab_NewTRADER[[#This Row],[ClickTick]],TabCalc[Ticker],TabCalc[NAfter])*(Tab_NewTRADER[[#This Row],[M]]-Tab_NewTRADER[[#This Row],[A]])*(1-Commission)*Tab_NewTRADER[[#This Row],[Scale]],"#,#0$")</f>
        <v>500 : 10,108$</v>
      </c>
      <c r="BR10" s="262">
        <f ca="1">_xlfn.XLOOKUP(NewTrader!$V10,TabCalc[[#This Row],[Ticker]],TabCalc[[#This Row],[GL]])*(1-Commission)</f>
        <v>153122.9603514694</v>
      </c>
      <c r="BS10" s="262"/>
      <c r="BT10" s="1672" t="str">
        <f ca="1">Tab_NewTRADER[[#This Row],[Show]]&amp;": "&amp;_xlfn.XLOOKUP(Tab_NewTRADER[[#This Row],[Show]],TabCalc[Ticker],TabCalc[Pile?])</f>
        <v>AZN: Pile</v>
      </c>
      <c r="BU10" s="1717" t="s">
        <v>1984</v>
      </c>
      <c r="BV10" s="1674" t="str" cm="1">
        <f t="array" aca="1" ref="BV10" ca="1">_xlfn.TEXTJOIN("",,INDEX({"M","A","Y"}, _xlfn.SORTBY({1,2,3}, -CHOOSE({1,2,3}, Tab_NewTRADER[[#This Row],[M]], Tab_NewTRADER[[#This Row],[A]], Tab_NewTRADER[[#This Row],[Y]]))))</f>
        <v>YMA</v>
      </c>
      <c r="BW10" s="1675"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76">
        <f ca="1">Tab_NewTRADER[[#This Row],[L_Sn]]*Tab_NewTRADER[[#This Row],[L_Sp]]+Tab_NewTRADER[[#This Row],[SellMore]]*Tab_NewTRADER[[#This Row],[M]]</f>
        <v>88255</v>
      </c>
      <c r="BY10" s="1676">
        <f ca="1">INDEX(
  INDEX(TabConsolid[], , _xlfn.XMATCH(Tab_NewTRADER[[#This Row],[ClickTick]]&amp;1, TabConsolid[#Headers])),
  MATCH(
    -Tab_NewTRADER[[#This Row],[M]],
    INDEX(TabConsolid[], , _xlfn.XMATCH(Tab_NewTRADER[[#This Row],[ClickTick]]&amp;2, TabConsolid[#Headers])),
    -1
  )
)</f>
        <v>500</v>
      </c>
      <c r="BZ10" s="1676"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77">
        <f ca="1">Tab_NewTRADER[[#This Row],[ReBuy]]/(Tab_NewTRADER[[#This Row],[L_Sn]]+Tab_NewTRADER[[#This Row],[SellMore]])</f>
        <v>88.254999999999995</v>
      </c>
      <c r="CB10" s="1678">
        <f ca="1">((_xlfn.XLOOKUP(Tab_NewTRADER[[#This Row],[Show]],TabCalc[Ticker],TabCalc[NAfter])+Tab_NewTRADER[[#This Row],[L_Sn]])*(Tab_NewTRADER[[#This Row],[Agiotage]]-Tab_NewTRADER[[#This Row],[M]]))/(Tab_NewTRADER[[#This Row],[L_Sn]]*_xlfn.XLOOKUP(Tab_NewTRADER[[#This Row],[Show]],TabCalc[Ticker],TabCalc[NAfter]))</f>
        <v>-0.35658997571219025</v>
      </c>
      <c r="CC10" s="1677">
        <f ca="1">INDEX(Tab1Price[Price19], MATCH(Tab_NewTRADER[[#This Row],[Show]], Tab_NewTRADER[Show], 0))</f>
        <v>90.29</v>
      </c>
      <c r="CD10" s="1679">
        <f ca="1">_xlfn.XMATCH(Tab_NewTRADER[[#This Row],[Show]]&amp;1, TabConsolid[#Headers])</f>
        <v>23</v>
      </c>
      <c r="CE10" s="1678"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729" t="str" cm="1">
        <f t="array" aca="1" ref="CF10" ca="1">_xlfn.LET(
    _xlpm.FMT, _xlfn.LAMBDA(_xlpm.n, REPT(" ", 7 - LEN(TEXT(_xlpm.n,"0.00"))) &amp; TEXT(_xlpm.n,"0.00")),
    _xlpm.FMT(Tab_NewTRADER[[#This Row],[A]]) &amp; " -" &amp; _xlpm.FMT(Tab_NewTRADER[[#This Row],[M]]) &amp; " -" &amp; _xlpm.FMT(Tab_NewTRADER[[#This Row],[Y]])
)</f>
        <v xml:space="preserve">  70.02 -  90.29 -  96.86</v>
      </c>
      <c r="CG10" s="1730" t="str" cm="1">
        <f t="array" aca="1" ref="CG10" ca="1">_xlfn.LET(
    _xlpm.W, 7,
    _xlpm.FMT, _xlfn.LAMBDA(_xlpm.n, REPT(" ", _xlpm.W - LEN(TEXT(_xlpm.n,"0.00"))) &amp; TEXT(_xlpm.n,"0.00")),
    _xlpm.FMT(Tab_NewTRADER[[#This Row],[A]]) &amp; " * " &amp; _xlpm.FMT(Tab_NewTRADER[[#This Row],[M]]) &amp; " * " &amp; _xlpm.FMT(Tab_NewTRADER[[#This Row],[Y]])
)</f>
        <v xml:space="preserve">  70.02 *   90.29 *   96.86</v>
      </c>
      <c r="CH10" s="1842">
        <f>0</f>
        <v>0</v>
      </c>
      <c r="CI10" t="b">
        <f ca="1">IF(ABS(NewTrader!$Q10)&gt;=NewTrader!$Y10,"OK")</f>
        <v>0</v>
      </c>
    </row>
    <row r="11" spans="1:87" ht="23" hidden="1" thickBot="1">
      <c r="A11" s="1838">
        <f ca="1">IF(_xlfn.XLOOKUP(NewTrader!$V11,TabCalc[Ticker],TabCalc[Cur])="GBp",0.01,1)</f>
        <v>1</v>
      </c>
      <c r="B11" s="1620" t="str">
        <f ca="1">IFERROR(TRUNC(_xlfn.XLOOKUP(NewTrader!$V11,TabCalc[Ticker],ListLastBuyp),2)&amp;"x"&amp;_xlfn.XLOOKUP(NewTrader!$V11,TabCalc[Ticker],ListLastBuyn)&amp;"=    "&amp;IF(_xlfn.XLOOKUP(NewTrader!$V11,TabCalc[Ticker],ListReverseS)&gt;0,"+","")&amp;TEXT(_xlfn.XLOOKUP(NewTrader!$V11,TabCalc[Ticker],ListReverseS),"#,#0")&amp;" "&amp;#REF!,"")</f>
        <v/>
      </c>
      <c r="C11" s="1621" t="str">
        <f ca="1">_xlfn.XLOOKUP(NewTrader!$V11,TabCalc[Ticker],ListResale)&amp;" @ "&amp;TEXT((_xlfn.XLOOKUP(NewTrader!$V11,TabCalc[Ticker],TabCalc[L_Bp])+_xlfn.XLOOKUP(NewTrader!$V11,TabCalc[Ticker],TabCalc[M]))/_xlfn.XLOOKUP(NewTrader!$V11,TabCalc[Ticker],TabCalc[M]),"#0.0%")</f>
        <v>Sell @ 1.4%</v>
      </c>
      <c r="D11" s="1622"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718" t="str">
        <f ca="1">IF(      AND(NewTrader!$X11&lt;NewTrader!$Y11,    _xlfn.XLOOKUP(NewTrader!$V11,TabCalc[Ticker],TabCalc[L_Sp])&gt;NewTrader!$Y11),"BUY  "&amp;TEXT(DesiredBuyGain/NewTrader!$A11/(_xlfn.XLOOKUP(NewTrader!$V11,TabCalc[Ticker],TabCalc[L_Sp])-NewTrader!$Y11),"#,##0"),"")</f>
        <v>BUY  10,867</v>
      </c>
      <c r="F11" s="1620" t="str">
        <f ca="1">TRUNC(TabCalc[[#This Row],[L_B1p]],2)&amp;"x"&amp;TabCalc[[#This Row],[L_B1n]]&amp;"=   "&amp;TEXT(TabCalc[[#This Row],[ReverseS1]],"#,#0")&amp;"$"</f>
        <v>-1.83x10000=   10,600$</v>
      </c>
      <c r="G11" s="1624" t="str">
        <f ca="1">IFERROR(TRUNC(_xlfn.XLOOKUP(NewTrader!$V11,TabCalc[Ticker],ListLastSalep),2)&amp;"x"&amp;_xlfn.XLOOKUP(NewTrader!$V11,TabCalc[Ticker],ListLastSalen)&amp;"=   "&amp;TEXT(-_xlfn.XLOOKUP(NewTrader!$V11,TabCalc[Ticker],ListReverseB),"#,#0")&amp;"$","")</f>
        <v>3.35x6000=   -2,761$</v>
      </c>
      <c r="H11" s="1625"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15.9% = 10,867</v>
      </c>
      <c r="I11" s="1620" t="str">
        <f ca="1">IFERROR(TRUNC(TabCalc[[#This Row],[L_S1p]],2)&amp;"x"&amp;TabCalc[[#This Row],[L_S1n]]&amp;"=   "&amp;TEXT(TabCalc[[#This Row],[ReverseB1]],"#,#0"),"")</f>
        <v>1.96x10000=   -9,300</v>
      </c>
      <c r="J11" s="1626">
        <f ca="1">_xlfn.XLOOKUP(NewTrader!$V11,TabCalc[Ticker],ListGravity)</f>
        <v>1.0337370242214532</v>
      </c>
      <c r="K11" s="1627" cm="1">
        <f t="array" aca="1" ref="K11" ca="1">IF(_xlfn.XLOOKUP(NewTrader!$V11,NewTrader!$V$3:$V$96,ListExtra_n)&gt;0,_xlfn.XLOOKUP(NewTrader!$V11,NewTrader!$V$3:$V$96,ListExtra_n),"")</f>
        <v>10000</v>
      </c>
      <c r="L11" s="1628">
        <f ca="1">IF(_xlfn.XLOOKUP(NewTrader!$V11,TabCalc[Ticker],ListExtra_n)&gt;0,_xlfn.XLOOKUP(NewTrader!$V11,TabCalc[Ticker],ListExtra_n)*NewTrader!$Y11*_xlfn.XLOOKUP(NewTrader!$V11,TabCalc[Ticker],ListScale),"")</f>
        <v>28900</v>
      </c>
      <c r="M11" s="1629">
        <f ca="1">_xlfn.XLOOKUP(NewTrader!$V11,TabCalc[Ticker],TabCalc[Agiotage])</f>
        <v>0.63127383013593241</v>
      </c>
      <c r="N11" s="1630" cm="1">
        <f t="array" aca="1" ref="N11" ca="1">_xlfn.XLOOKUP(NewTrader!$V11,ListTickers,Tab2RSIConventional[RSIConv20])</f>
        <v>57</v>
      </c>
      <c r="O11" s="1631" t="str">
        <f ca="1">TEXT(_xlfn.XLOOKUP(NewTrader!$V11,TabCalc[Ticker],TabCalc[Nbegin]),"#,#0")&amp;": "&amp;_xlfn.XLOOKUP(NewTrader!$V11,TabCalc[Ticker],TabCalc[Pile?])</f>
        <v xml:space="preserve">10,000: </v>
      </c>
      <c r="P11" s="1630">
        <f ca="1">_xlfn.XLOOKUP(NewTrader!$V11,TabCalc[Ticker],TabCalc[L_Bn])</f>
        <v>6000</v>
      </c>
      <c r="Q11" s="1633">
        <f ca="1">_xlfn.XLOOKUP(NewTrader!$V11,TabCalc[Ticker],TabCalc[L_Bp])</f>
        <v>-2.85</v>
      </c>
      <c r="R11" s="1634">
        <f ca="1">(NewTrader!$Y11+NewTrader!$Q11)/ABS(NewTrader!$Q11)</f>
        <v>1.4035087719298258E-2</v>
      </c>
      <c r="S11" s="259">
        <f ca="1">INT(_xlfn.XLOOKUP(NewTrader!$V11,TabCalc[Ticker],TabCalc[Rev(MinStock)])*Comm_Net)</f>
        <v>238</v>
      </c>
      <c r="T11" s="1635">
        <f ca="1">_xlfn.XLOOKUP(NewTrader!$V11,TabCalc[Ticker],TabCalc[Agiotage])</f>
        <v>0.63127383013593241</v>
      </c>
      <c r="U11" s="1719"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3,000/3,000=&gt;4.0% / 4.0%</v>
      </c>
      <c r="V11" s="1578" t="str">
        <f ca="1">SORTING!B11</f>
        <v>BLDP</v>
      </c>
      <c r="W11" s="1637">
        <f ca="1">_xlfn.XLOOKUP(NewTrader!$V11,TabCalc[Ticker],TabCalc[Y])</f>
        <v>2.9874999999999998</v>
      </c>
      <c r="X11" s="1639">
        <f ca="1">-_xlfn.XLOOKUP(NewTrader!$V11&amp;2,Consolid!B$3:JZ$3,Consolid!B$4:JZ$4)</f>
        <v>2.1495743999999997</v>
      </c>
      <c r="Y11" s="1639">
        <f ca="1">_xlfn.XLOOKUP(NewTrader!$V11,TabCalc[Ticker],TabCalc[M])</f>
        <v>2.89</v>
      </c>
      <c r="Z11" s="1640">
        <f ca="1">_xlfn.XLOOKUP(NewTrader!$V11,[1]!RTData[Ticker_Symbol],[1]!RTData[YTChange])</f>
        <v>-0.96697435330532833</v>
      </c>
      <c r="AA11" s="1640" cm="1">
        <f t="array" aca="1" ref="AA11" ca="1">_xlfn.XLOOKUP(NewTrader!$V11,ListTickers,Tab1ChangePercent[Change%19])</f>
        <v>3.9567999999999999E-2</v>
      </c>
      <c r="AB11" s="1641">
        <f ca="1">_xlfn.XLOOKUP(NewTrader!$V11,TabCalc[Ticker],TabCalc[NAfter])</f>
        <v>20000</v>
      </c>
      <c r="AC11" s="1641">
        <f ca="1">_xlfn.XLOOKUP(NewTrader!$V11,TabCalc[Ticker],TabCalc[Nbegin])</f>
        <v>10000</v>
      </c>
      <c r="AD11" s="1642" t="str">
        <f ca="1">_xlfn.LET(_xlpm.PILE,_xlfn.XLOOKUP(NewTrader!$V11,TabCalc[Ticker],TabCalc[Pile?]),                    _xlpm.GL,_xlfn.XLOOKUP(NewTrader!$V11,TabCalc[Ticker],TabCalc[GL]),                        _xlpm.GLK,_xlfn.XLOOKUP(NewTrader!$V11,TabCalc[Ticker],TabCalc[GL])/1000,                             _xlpm.MVal,_xlfn.XLOOKUP(NewTrader!$V11,TabCalc[Ticker],TabCalc[M_V])/1000,                   _xlpm.PILE&amp;" "&amp;IF(_xlpm.GL&lt;0,TEXT(_xlpm.GLK,"#,#0")&amp;"K /"&amp;TEXT(_xlpm.MVal,"#,#0")&amp;" K$","^"&amp;TEXT(_xlpm.GLK,"#,#0")&amp;"K / "&amp;TEXT(_xlpm.MVal,"#,#0")&amp;" K$"))</f>
        <v xml:space="preserve"> ^26K / 58 K$</v>
      </c>
      <c r="AE11" s="1643" t="str">
        <f ca="1">_xlfn.XLOOKUP(NewTrader!$V11,[1]!RTData[Ticker_Symbol],[1]!RTData[Currency])</f>
        <v>USD</v>
      </c>
      <c r="AF11" s="1721"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646" t="str" cm="1">
        <f t="array" aca="1" ref="AH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2.89 -   2.99</v>
      </c>
      <c r="AI1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11" s="1651" t="str" cm="1">
        <f t="array" aca="1" ref="AJ11" ca="1">_xlfn.IFS(Tab_NewTRADER[[#This Row],[State]]="Sell More",TEXT(MIN(Tab_NewTRADER[[#This Row],[N]],Tab_NewTRADER[[#This Row],[L_Bn]])*(Tab_NewTRADER[[#This Row],[M]]-Tab_NewTRADER[[#This Row],[L_Sp]])*Tab_NewTRADER[[#This Row],[Scale]]*ComFactor,"#,#0"), TRUE,"M= "&amp;TEXT(Tab_NewTRADER[[#This Row],[M]],"#,#0.00"))</f>
        <v>M= 2.89</v>
      </c>
      <c r="AK11" s="1699" t="str" cm="1">
        <f t="array" aca="1" ref="AK11" ca="1">_xlfn.IFS(Tab_NewTRADER[[#This Row],[Y]]&gt;Tab_NewTRADER[[#This Row],[A]],                 TEXT(MIN(Tab_NewTRADER[[#This Row],[L_Bn]],Tab_NewTRADER[[#This Row],[N]])*(Tab_NewTRADER[[#This Row],[M]]-Tab_NewTRADER[[#This Row],[A]])*Tab_NewTRADER[[#This Row],[Scale]]*ComFactor,"#,#0"), TRUE,0)</f>
        <v>4,431</v>
      </c>
      <c r="AL11" s="1700" cm="1">
        <f t="array" aca="1" ref="AL11" ca="1">_xlfn.IFS(Tab_NewTRADER[[#This Row],[M]]&gt;Tab_NewTRADER[[#This Row],[A]],                  Tab_NewTRADER[[#This Row],[N]]*(Tab_NewTRADER[[#This Row],[M]]-Tab_NewTRADER[[#This Row],[A]])*Tab_NewTRADER[[#This Row],[Scale]]*ComFactor, TRUE,0)</f>
        <v>14770.009868800009</v>
      </c>
      <c r="AM11" s="1592" t="str">
        <f ca="1">_xlfn.XLOOKUP(Tab_NewTRADER[[#This Row],[Show]],TabCalc[Ticker],TabCalc[Max_Bn])&amp;" x "&amp;TEXT(_xlfn.XLOOKUP(Tab_NewTRADER[[#This Row],[Show]],TabCalc[Ticker],TabCalc[Max_Bp]),"#,#0.00")</f>
        <v>6000 x 2.85</v>
      </c>
      <c r="AN11" s="1650" t="str">
        <f ca="1">NewTrader!$V11</f>
        <v>BLDP</v>
      </c>
      <c r="AO11" s="1651" t="str">
        <f ca="1">TEXT(_xlfn.XLOOKUP(Tab_NewTRADER[[#This Row],[ClickTick]],TabCalc[Ticker],TabCalc[NAfter]),"#,#0")&amp;"x"&amp;_xlfn.XLOOKUP(Tab_NewTRADER[[#This Row],[ClickTick]],TabCalc[Ticker],TabCalc[M])&amp;"           (A: "&amp;TEXT(-_xlfn.XLOOKUP(Tab_NewTRADER[[#This Row],[ClickTick]]&amp;2,Consolid!B$3:JZ$3,Consolid!B$4:JZ$4),"#,??0.00")&amp;")"</f>
        <v>20,000x2.89           (A:   2.15)</v>
      </c>
      <c r="AP11" s="1592" t="str">
        <f ca="1">_xlfn.XLOOKUP(Tab_NewTRADER[[#This Row],[Show]],TabCalc[Ticker],TabCalc[Min_Sn])&amp;" x "&amp;TEXT(_xlfn.XLOOKUP(Tab_NewTRADER[[#This Row],[Show]],TabCalc[Ticker],TabCalc[Min_Sp]),"#,#0.00")</f>
        <v>4990 x 1.96</v>
      </c>
      <c r="AQ1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702" t="str" cm="1">
        <f t="array" aca="1" ref="AR11" ca="1">_xlfn.IFS(Tab_NewTRADER[[#This Row],[State]]="Reverse Buy",TEXT(-Tab_NewTRADER[[#This Row],[Buy_Back]],"#,#0")&amp;" / "&amp;TEXT(Tab_NewTRADER[[#This Row],[Rev_Buy]],"#,#0.0%"),TRUE,Tab_NewTRADER[[#This Row],[AMY]])</f>
        <v>2,753 / 13.7%</v>
      </c>
      <c r="AS11" s="1651"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99"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99" t="str" cm="1">
        <f t="array" aca="1" ref="AU11" ca="1">_xlfn.IFS(Tab_NewTRADER[[#This Row],[M]]&lt;Tab_NewTRADER[[#This Row],[A]],TEXT(Tab_NewTRADER[[#This Row],[N]]*Tab_NewTRADER[[#This Row],[M]]*Tab_NewTRADER[[#This Row],[Scale]]*Comm_Net,"#,#0")&amp;" @ "&amp;TEXT(Tab_NewTRADER[[#This Row],[M]],"#,#0.#0"),TRUE,"M: "&amp; Tab_NewTRADER[[#This Row],[M]])</f>
        <v>M: 2.89</v>
      </c>
      <c r="AV11" s="1722" cm="1">
        <f t="array" aca="1" ref="AV11" ca="1">-_xlfn.XLOOKUP(
    Tab_NewTRADER[[#This Row],[Show]] &amp; 2,
    TabConsolid[#Headers],
    INDEX(TabConsolid[], 1, 0)
)</f>
        <v>2.1495743999999997</v>
      </c>
      <c r="AW11" s="1710">
        <f ca="1">Tab_NewTRADER[[#This Row],[M]]*Tab_NewTRADER[[#This Row],[N]]*(1-Commission)*Tab_NewTRADER[[#This Row],[Scale]]</f>
        <v>57649.719999999994</v>
      </c>
      <c r="AX11" s="1705"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705"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706" t="str" cm="1">
        <f t="array" aca="1" ref="AZ11" ca="1">_xlfn.IFS(   Tab_NewTRADER[[#This Row],[State]]=SellMorePercentGain,                     MIN(Tab_NewTRADER[[#This Row],[L_Sn]],Tab_NewTRADER[[#This Row],[N]])*(Tab_NewTRADER[[#This Row],[M]]-Tab_NewTRADER[[#This Row],[L_Sp]])*(1-Commission)*Tab_NewTRADER[[#This Row],[Scale]],                    TRUE,"")</f>
        <v/>
      </c>
      <c r="BA11" s="1707">
        <f ca="1">_xlfn.XLOOKUP(NewTrader!$V11,TabCalc[Ticker],TabCalc[Ann%RevLB])</f>
        <v>1.4948614138897552E-2</v>
      </c>
      <c r="BB11" s="1708">
        <f ca="1">_xlfn.XLOOKUP(NewTrader!$V11,TabCalc[Ticker],TabCalc[Up20])</f>
        <v>0</v>
      </c>
      <c r="BC11" s="1725"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706" t="str" cm="1">
        <f t="array" aca="1" ref="BD11" ca="1">_xlfn.IFS(         NewTrader!$AF11=MDown,NewTrader!$P11*NewTrader!$Y11*(-(NewTrader!$Q11+NewTrader!$Y11)/NewTrader!$Y11)*(1-Commission)*NewTrader!$A11,                               TRUE,"")</f>
        <v/>
      </c>
      <c r="BE11" s="1705" t="str" cm="1">
        <f t="array" aca="1" ref="BE11" ca="1">_xlfn.IFS(   NewTrader!$AF11=MUp,NewTrader!$BP11-Commission,        NewTrader!$AF11=MDown,(NewTrader!$X11-NewTrader!$Y11)/NewTrader!$Y11-Commission,                              TRUE,"")</f>
        <v/>
      </c>
      <c r="BF11" s="1710"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710" t="str" cm="1">
        <f t="array" aca="1" ref="BG11" ca="1">_xlfn.LET(_xlpm.SumChTxt,TEXT(_xlfn.XLOOKUP(NewTrader!$V11,ListTickers,Tab2SumChangePercent[AVGChan20]),"#0.0%"),
      _xlfn.IFS(NewTrader!$AF11=NoStock,_xlpm.SumChTxt,
      TRUE, IF(NewTrader!$AF11=SellMorePercentGain,             "SumChange "&amp;_xlpm.SumChTxt,                         "&lt;"&amp;INT(_xlfn.XLOOKUP(NewTrader!$V11,ListTickers,Tab2ReverseGL[Rev_GL19]))&amp;    "&lt;"&amp;INT(_xlfn.XLOOKUP(NewTrader!$V11,ListTickers,Tab2ReverseGL[Rev_GL18]))&amp;":      "&amp;_xlpm.SumChTxt)))</f>
        <v>&lt;0&lt;0:      1.0%</v>
      </c>
      <c r="BH11" s="1711"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712" cm="1">
        <f t="array" aca="1" ref="BI11" ca="1">_xlfn.IFS(NewTrader!$AF11=Sale_Back,"",         NewTrader!$AF11=MDown, (NewTrader!$Y11-NewTrader!$X11)/NewTrader!$X11*ComFactor,             TRUE, IFERROR((NewTrader!$Y11-NewTrader!$X11)/NewTrader!$X11*ComFactor,""))</f>
        <v>0.34355660982936925</v>
      </c>
      <c r="BJ11" s="1664" cm="1">
        <f t="array" aca="1" ref="BJ11" ca="1">_xlfn.IFS(               NewTrader!$AF11=NoStock,(NewTrader!$BL11-NewTrader!$Y11)/NewTrader!$Y11-Commission,             NewTrader!$X11&lt;&gt;0,(NewTrader!$X11-NewTrader!$Y11)/NewTrader!$Y11-Commission)</f>
        <v>-0.25880262975778562</v>
      </c>
      <c r="BK11" s="1726">
        <f ca="1">_xlfn.XLOOKUP(NewTrader!$V11,TabCalc[Ticker],TabCalc[L_Sn])</f>
        <v>6000</v>
      </c>
      <c r="BL11" s="1727">
        <f ca="1">_xlfn.XLOOKUP(NewTrader!$V11,TabCalc[Ticker],TabCalc[L_Sp])</f>
        <v>3.3500999999999999</v>
      </c>
      <c r="BM11" s="1634">
        <f ca="1">-IFERROR((Tab_NewTRADER[[#This Row],[M]]-Tab_NewTRADER[[#This Row],[L_Sp]])/Tab_NewTRADER[[#This Row],[L_Sp]],0)</f>
        <v>0.13733918390495797</v>
      </c>
      <c r="BN11" s="1728">
        <f ca="1">MIN(Tab_NewTRADER[[#This Row],[L_Sn]],Tab_NewTRADER[[#This Row],[N]])*(Tab_NewTRADER[[#This Row],[M]]-Tab_NewTRADER[[#This Row],[L_Sp]])*Comm_Net*Tab_NewTRADER[[#This Row],[Scale]]</f>
        <v>-2753.1463799999983</v>
      </c>
      <c r="BO11" s="1715">
        <f ca="1">Tab_NewTRADER[[#This Row],[L_Sn]]*(Tab_NewTRADER[[#This Row],[Agiotage]]-Tab_NewTRADER[[#This Row],[M]])/(Tab_NewTRADER[[#This Row],[L_Bn]]*Tab_NewTRADER[[#This Row],[M]])</f>
        <v>-0.78156614874189201</v>
      </c>
      <c r="BP11" s="1670">
        <f ca="1">IFERROR((Tab_NewTRADER[[#This Row],[M]]-Tab_NewTRADER[[#This Row],[A]])/Tab_NewTRADER[[#This Row],[A]],0)</f>
        <v>0.3444521855116997</v>
      </c>
      <c r="BQ11" s="1671" t="str">
        <f ca="1">TEXT(_xlfn.XLOOKUP(Tab_NewTRADER[[#This Row],[ClickTick]],TabCalc[Ticker],TabCalc[NAfter]),"#,#0")&amp;" : "&amp;TEXT(_xlfn.XLOOKUP(Tab_NewTRADER[[#This Row],[ClickTick]],TabCalc[Ticker],TabCalc[NAfter])*(Tab_NewTRADER[[#This Row],[M]]-Tab_NewTRADER[[#This Row],[A]])*(1-Commission)*Tab_NewTRADER[[#This Row],[Scale]],"#,#0$")</f>
        <v>20,000 : 14,770$</v>
      </c>
      <c r="BR11" s="259">
        <f ca="1">_xlfn.XLOOKUP(NewTrader!$V11,TabCalc[[#This Row],[Ticker]],TabCalc[[#This Row],[GL]])*(1-Commission)</f>
        <v>25660.980367623779</v>
      </c>
      <c r="BS11" s="259"/>
      <c r="BT11" s="1672" t="str">
        <f ca="1">Tab_NewTRADER[[#This Row],[Show]]&amp;": "&amp;_xlfn.XLOOKUP(Tab_NewTRADER[[#This Row],[Show]],TabCalc[Ticker],TabCalc[Pile?])</f>
        <v xml:space="preserve">BLDP: </v>
      </c>
      <c r="BU11" s="1717" t="s">
        <v>2050</v>
      </c>
      <c r="BV11" s="1674" t="str" cm="1">
        <f t="array" aca="1" ref="BV11" ca="1">_xlfn.TEXTJOIN("",,INDEX({"M","A","Y"}, _xlfn.SORTBY({1,2,3}, -CHOOSE({1,2,3}, Tab_NewTRADER[[#This Row],[M]], Tab_NewTRADER[[#This Row],[A]], Tab_NewTRADER[[#This Row],[Y]]))))</f>
        <v>YMA</v>
      </c>
      <c r="BW11" s="1675"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76">
        <f ca="1">Tab_NewTRADER[[#This Row],[L_Sn]]*Tab_NewTRADER[[#This Row],[L_Sp]]+Tab_NewTRADER[[#This Row],[SellMore]]*Tab_NewTRADER[[#This Row],[M]]</f>
        <v>37440.6</v>
      </c>
      <c r="BY11" s="1676">
        <f ca="1">INDEX(
  INDEX(TabConsolid[], , _xlfn.XMATCH(Tab_NewTRADER[[#This Row],[ClickTick]]&amp;1, TabConsolid[#Headers])),
  MATCH(
    -Tab_NewTRADER[[#This Row],[M]],
    INDEX(TabConsolid[], , _xlfn.XMATCH(Tab_NewTRADER[[#This Row],[ClickTick]]&amp;2, TabConsolid[#Headers])),
    -1
  )
)</f>
        <v>6000</v>
      </c>
      <c r="BZ11" s="1676"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77">
        <f ca="1">Tab_NewTRADER[[#This Row],[ReBuy]]/(Tab_NewTRADER[[#This Row],[L_Sn]]+Tab_NewTRADER[[#This Row],[SellMore]])</f>
        <v>3.12005</v>
      </c>
      <c r="CB11" s="1678">
        <f ca="1">((_xlfn.XLOOKUP(Tab_NewTRADER[[#This Row],[Show]],TabCalc[Ticker],TabCalc[NAfter])+Tab_NewTRADER[[#This Row],[L_Sn]])*(Tab_NewTRADER[[#This Row],[Agiotage]]-Tab_NewTRADER[[#This Row],[M]]))/(Tab_NewTRADER[[#This Row],[L_Sn]]*_xlfn.XLOOKUP(Tab_NewTRADER[[#This Row],[Show]],TabCalc[Ticker],TabCalc[NAfter]))</f>
        <v>-4.8939067013721474E-4</v>
      </c>
      <c r="CC11" s="1677">
        <f ca="1">INDEX(Tab1Price[Price19], MATCH(Tab_NewTRADER[[#This Row],[Show]], Tab_NewTRADER[Show], 0))</f>
        <v>2.89</v>
      </c>
      <c r="CD11" s="1679">
        <f ca="1">_xlfn.XMATCH(Tab_NewTRADER[[#This Row],[Show]]&amp;1, TabConsolid[#Headers])</f>
        <v>26</v>
      </c>
      <c r="CE11" s="1678"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729" t="str" cm="1">
        <f t="array" aca="1" ref="CF11" ca="1">_xlfn.LET(
    _xlpm.FMT, _xlfn.LAMBDA(_xlpm.n, REPT(" ", 7 - LEN(TEXT(_xlpm.n,"0.00"))) &amp; TEXT(_xlpm.n,"0.00")),
    _xlpm.FMT(Tab_NewTRADER[[#This Row],[A]]) &amp; " -" &amp; _xlpm.FMT(Tab_NewTRADER[[#This Row],[M]]) &amp; " -" &amp; _xlpm.FMT(Tab_NewTRADER[[#This Row],[Y]])
)</f>
        <v xml:space="preserve">   2.15 -   2.89 -   2.99</v>
      </c>
      <c r="CG11" s="1730" t="str" cm="1">
        <f t="array" aca="1" ref="CG11" ca="1">_xlfn.LET(
    _xlpm.W, 7,
    _xlpm.FMT, _xlfn.LAMBDA(_xlpm.n, REPT(" ", _xlpm.W - LEN(TEXT(_xlpm.n,"0.00"))) &amp; TEXT(_xlpm.n,"0.00")),
    _xlpm.FMT(Tab_NewTRADER[[#This Row],[A]]) &amp; " * " &amp; _xlpm.FMT(Tab_NewTRADER[[#This Row],[M]]) &amp; " * " &amp; _xlpm.FMT(Tab_NewTRADER[[#This Row],[Y]])
)</f>
        <v xml:space="preserve">   2.15 *    2.89 *    2.99</v>
      </c>
      <c r="CH11" s="1842">
        <f>0</f>
        <v>0</v>
      </c>
      <c r="CI11" t="b">
        <f ca="1">IF(ABS(NewTrader!$Q11)&gt;=NewTrader!$Y11,"OK")</f>
        <v>0</v>
      </c>
    </row>
    <row r="12" spans="1:87" ht="23" hidden="1" thickBot="1">
      <c r="A12" s="1839">
        <f ca="1">IF(_xlfn.XLOOKUP(NewTrader!$V12,TabCalc[Ticker],TabCalc[Cur])="GBp",0.01,1)</f>
        <v>1</v>
      </c>
      <c r="B12" s="1681" t="str">
        <f ca="1">IFERROR(TRUNC(_xlfn.XLOOKUP(NewTrader!$V12,TabCalc[Ticker],ListLastBuyp),2)&amp;"x"&amp;_xlfn.XLOOKUP(NewTrader!$V12,TabCalc[Ticker],ListLastBuyn)&amp;"=    "&amp;IF(_xlfn.XLOOKUP(NewTrader!$V12,TabCalc[Ticker],ListReverseS)&gt;0,"+","")&amp;TEXT(_xlfn.XLOOKUP(NewTrader!$V12,TabCalc[Ticker],ListReverseS),"#,#0")&amp;" "&amp;#REF!,"")</f>
        <v/>
      </c>
      <c r="C12" s="1682" t="str">
        <f ca="1">_xlfn.XLOOKUP(NewTrader!$V12,TabCalc[Ticker],ListResale)&amp;" @ "&amp;TEXT((_xlfn.XLOOKUP(NewTrader!$V12,TabCalc[Ticker],TabCalc[L_Bp])+_xlfn.XLOOKUP(NewTrader!$V12,TabCalc[Ticker],TabCalc[M]))/_xlfn.XLOOKUP(NewTrader!$V12,TabCalc[Ticker],TabCalc[M]),"#0.0%")</f>
        <v>B_more @ -391.1%</v>
      </c>
      <c r="D12" s="1683"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84" t="str">
        <f ca="1">IF(      AND(NewTrader!$X12&lt;NewTrader!$Y12,    _xlfn.XLOOKUP(NewTrader!$V12,TabCalc[Ticker],TabCalc[L_Sp])&gt;NewTrader!$Y12),"BUY  "&amp;TEXT(DesiredBuyGain/NewTrader!$A12/(_xlfn.XLOOKUP(NewTrader!$V12,TabCalc[Ticker],TabCalc[L_Sp])-NewTrader!$Y12),"#,##0"),"")</f>
        <v/>
      </c>
      <c r="F12" s="1681" t="str">
        <f ca="1">TRUNC(TabCalc[[#This Row],[L_B1p]],2)&amp;"x"&amp;TabCalc[[#This Row],[L_B1n]]&amp;"=   "&amp;TEXT(TabCalc[[#This Row],[ReverseS1]],"#,#0")&amp;"$"</f>
        <v>0x0=   0$</v>
      </c>
      <c r="G12" s="1685" t="str">
        <f ca="1">IFERROR(TRUNC(_xlfn.XLOOKUP(NewTrader!$V12,TabCalc[Ticker],ListLastSalep),2)&amp;"x"&amp;_xlfn.XLOOKUP(NewTrader!$V12,TabCalc[Ticker],ListLastSalen)&amp;"=   "&amp;TEXT(-_xlfn.XLOOKUP(NewTrader!$V12,TabCalc[Ticker],ListReverseB),"#,#0")&amp;"$","")</f>
        <v>0x0=   0$</v>
      </c>
      <c r="H12" s="1686"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81" t="str">
        <f ca="1">IFERROR(TRUNC(TabCalc[[#This Row],[L_S1p]],2)&amp;"x"&amp;TabCalc[[#This Row],[L_S1n]]&amp;"=   "&amp;TEXT(TabCalc[[#This Row],[ReverseB1]],"#,#0"),"")</f>
        <v>0x0=   0</v>
      </c>
      <c r="J12" s="1687">
        <f ca="1">_xlfn.XLOOKUP(NewTrader!$V12,TabCalc[Ticker],ListGravity)</f>
        <v>0</v>
      </c>
      <c r="K12" s="1688" t="str" cm="1">
        <f t="array" aca="1" ref="K12" ca="1">IF(_xlfn.XLOOKUP(NewTrader!$V12,NewTrader!$V$3:$V$96,ListExtra_n)&gt;0,_xlfn.XLOOKUP(NewTrader!$V12,NewTrader!$V$3:$V$96,ListExtra_n),"")</f>
        <v/>
      </c>
      <c r="L12" s="1689" t="str">
        <f ca="1">IF(_xlfn.XLOOKUP(NewTrader!$V12,TabCalc[Ticker],ListExtra_n)&gt;0,_xlfn.XLOOKUP(NewTrader!$V12,TabCalc[Ticker],ListExtra_n)*NewTrader!$Y12*_xlfn.XLOOKUP(NewTrader!$V12,TabCalc[Ticker],ListScale),"")</f>
        <v/>
      </c>
      <c r="M12" s="1690">
        <f ca="1">_xlfn.XLOOKUP(NewTrader!$V12,TabCalc[Ticker],TabCalc[Agiotage])</f>
        <v>2.8347077052366196</v>
      </c>
      <c r="N12" s="1691" cm="1">
        <f t="array" aca="1" ref="N12" ca="1">_xlfn.XLOOKUP(NewTrader!$V12,ListTickers,Tab2RSIConventional[RSIConv20])</f>
        <v>88</v>
      </c>
      <c r="O12" s="1631" t="str">
        <f ca="1">TEXT(_xlfn.XLOOKUP(NewTrader!$V12,TabCalc[Ticker],TabCalc[Nbegin]),"#,#0")&amp;": "&amp;_xlfn.XLOOKUP(NewTrader!$V12,TabCalc[Ticker],TabCalc[Pile?])</f>
        <v>15,000: Pile</v>
      </c>
      <c r="P12" s="1691">
        <f ca="1">_xlfn.XLOOKUP(NewTrader!$V12,TabCalc[Ticker],TabCalc[L_Bn])</f>
        <v>12500</v>
      </c>
      <c r="Q12" s="1731">
        <f ca="1">_xlfn.XLOOKUP(NewTrader!$V12,TabCalc[Ticker],TabCalc[L_Bp])</f>
        <v>-12.7196</v>
      </c>
      <c r="R12" s="1694">
        <f ca="1">(NewTrader!$Y12+NewTrader!$Q12)/ABS(NewTrader!$Q12)</f>
        <v>-0.79637724456743919</v>
      </c>
      <c r="S12" s="262">
        <f ca="1">INT(_xlfn.XLOOKUP(NewTrader!$V12,TabCalc[Ticker],TabCalc[Rev(MinStock)])*Comm_Net)</f>
        <v>-125939</v>
      </c>
      <c r="T12" s="1635">
        <f ca="1">_xlfn.XLOOKUP(NewTrader!$V12,TabCalc[Ticker],TabCalc[Agiotage])</f>
        <v>2.8347077052366196</v>
      </c>
      <c r="U12" s="1695"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125/125=&gt;3.6% / 3.6%</v>
      </c>
      <c r="V12" s="1578" t="str">
        <f ca="1">SORTING!B12</f>
        <v>BMRA</v>
      </c>
      <c r="W12" s="1637">
        <f ca="1">_xlfn.XLOOKUP(NewTrader!$V12,TabCalc[Ticker],TabCalc[Y])</f>
        <v>0</v>
      </c>
      <c r="X12" s="1639">
        <f ca="1">-_xlfn.XLOOKUP(NewTrader!$V12&amp;2,Consolid!B$3:JZ$3,Consolid!B$4:JZ$4)</f>
        <v>12.75267096</v>
      </c>
      <c r="Y12" s="1639">
        <f ca="1">_xlfn.XLOOKUP(NewTrader!$V12,TabCalc[Ticker],TabCalc[M])</f>
        <v>2.59</v>
      </c>
      <c r="Z12" s="1640">
        <f ca="1">_xlfn.XLOOKUP(NewTrader!$V12,[1]!RTData[Ticker_Symbol],[1]!RTData[YTChange])</f>
        <v>0</v>
      </c>
      <c r="AA12" s="1640" cm="1">
        <f t="array" aca="1" ref="AA12" ca="1">_xlfn.XLOOKUP(NewTrader!$V12,ListTickers,Tab1ChangePercent[Change%19])</f>
        <v>3.6000000000000004E-2</v>
      </c>
      <c r="AB12" s="1641">
        <f ca="1">_xlfn.XLOOKUP(NewTrader!$V12,TabCalc[Ticker],TabCalc[NAfter])</f>
        <v>12500</v>
      </c>
      <c r="AC12" s="1641">
        <f ca="1">_xlfn.XLOOKUP(NewTrader!$V12,TabCalc[Ticker],TabCalc[Nbegin])</f>
        <v>15000</v>
      </c>
      <c r="AD12" s="1642" t="str">
        <f ca="1">_xlfn.LET(_xlpm.PILE,_xlfn.XLOOKUP(NewTrader!$V12,TabCalc[Ticker],TabCalc[Pile?]),                    _xlpm.GL,_xlfn.XLOOKUP(NewTrader!$V12,TabCalc[Ticker],TabCalc[GL]),                        _xlpm.GLK,_xlfn.XLOOKUP(NewTrader!$V12,TabCalc[Ticker],TabCalc[GL])/1000,                             _xlpm.MVal,_xlfn.XLOOKUP(NewTrader!$V12,TabCalc[Ticker],TabCalc[M_V])/1000,                   _xlpm.PILE&amp;" "&amp;IF(_xlpm.GL&lt;0,TEXT(_xlpm.GLK,"#,#0")&amp;"K /"&amp;TEXT(_xlpm.MVal,"#,#0")&amp;" K$","^"&amp;TEXT(_xlpm.GLK,"#,#0")&amp;"K / "&amp;TEXT(_xlpm.MVal,"#,#0")&amp;" K$"))</f>
        <v>Pile -127K /32 K$</v>
      </c>
      <c r="AE12" s="1643" t="str">
        <f ca="1">_xlfn.XLOOKUP(NewTrader!$V12,[1]!RTData[Ticker_Symbol],[1]!RTData[Currency])</f>
        <v>USD</v>
      </c>
      <c r="AF12" s="1721"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698" t="str" cm="1">
        <f t="array" aca="1" ref="AH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2.59 -   0.00</v>
      </c>
      <c r="AI1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12" s="1651" t="str" cm="1">
        <f t="array" aca="1" ref="AJ12" ca="1">_xlfn.IFS(Tab_NewTRADER[[#This Row],[State]]="Sell More",TEXT(MIN(Tab_NewTRADER[[#This Row],[N]],Tab_NewTRADER[[#This Row],[L_Bn]])*(Tab_NewTRADER[[#This Row],[M]]-Tab_NewTRADER[[#This Row],[L_Sp]])*Tab_NewTRADER[[#This Row],[Scale]]*ComFactor,"#,#0"), TRUE,"M= "&amp;TEXT(Tab_NewTRADER[[#This Row],[M]],"#,#0.00"))</f>
        <v>M= 2.59</v>
      </c>
      <c r="AK12" s="1699" cm="1">
        <f t="array" aca="1" ref="AK12" ca="1">_xlfn.IFS(Tab_NewTRADER[[#This Row],[Y]]&gt;Tab_NewTRADER[[#This Row],[A]],                 TEXT(MIN(Tab_NewTRADER[[#This Row],[L_Bn]],Tab_NewTRADER[[#This Row],[N]])*(Tab_NewTRADER[[#This Row],[M]]-Tab_NewTRADER[[#This Row],[A]])*Tab_NewTRADER[[#This Row],[Scale]]*ComFactor,"#,#0"), TRUE,0)</f>
        <v>0</v>
      </c>
      <c r="AL12" s="1700" cm="1">
        <f t="array" aca="1" ref="AL12" ca="1">_xlfn.IFS(Tab_NewTRADER[[#This Row],[M]]&gt;Tab_NewTRADER[[#This Row],[A]],                  Tab_NewTRADER[[#This Row],[N]]*(Tab_NewTRADER[[#This Row],[M]]-Tab_NewTRADER[[#This Row],[A]])*Tab_NewTRADER[[#This Row],[Scale]]*ComFactor, TRUE,0)</f>
        <v>0</v>
      </c>
      <c r="AM12" s="1592" t="str">
        <f ca="1">_xlfn.XLOOKUP(Tab_NewTRADER[[#This Row],[Show]],TabCalc[Ticker],TabCalc[Max_Bn])&amp;" x "&amp;TEXT(_xlfn.XLOOKUP(Tab_NewTRADER[[#This Row],[Show]],TabCalc[Ticker],TabCalc[Max_Bp]),"#,#0.00")</f>
        <v>12500 x 12.75</v>
      </c>
      <c r="AN12" s="1650" t="str">
        <f ca="1">NewTrader!$V12</f>
        <v>BMRA</v>
      </c>
      <c r="AO12" s="1651" t="str">
        <f ca="1">TEXT(_xlfn.XLOOKUP(Tab_NewTRADER[[#This Row],[ClickTick]],TabCalc[Ticker],TabCalc[NAfter]),"#,#0")&amp;"x"&amp;_xlfn.XLOOKUP(Tab_NewTRADER[[#This Row],[ClickTick]],TabCalc[Ticker],TabCalc[M])&amp;"           (A: "&amp;TEXT(-_xlfn.XLOOKUP(Tab_NewTRADER[[#This Row],[ClickTick]]&amp;2,Consolid!B$3:JZ$3,Consolid!B$4:JZ$4),"#,??0.00")&amp;")"</f>
        <v>12,500x2.59           (A:  12.75)</v>
      </c>
      <c r="AP12" s="1592" t="str">
        <f ca="1">_xlfn.XLOOKUP(Tab_NewTRADER[[#This Row],[Show]],TabCalc[Ticker],TabCalc[Min_Sn])&amp;" x "&amp;TEXT(_xlfn.XLOOKUP(Tab_NewTRADER[[#This Row],[Show]],TabCalc[Ticker],TabCalc[Min_Sp]),"#,#0.00")</f>
        <v>0 x 0.00</v>
      </c>
      <c r="AQ1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702" t="str" cm="1">
        <f t="array" aca="1" ref="AR12" ca="1">_xlfn.IFS(Tab_NewTRADER[[#This Row],[State]]="Reverse Buy",TEXT(-Tab_NewTRADER[[#This Row],[Buy_Back]],"#,#0")&amp;" / "&amp;TEXT(Tab_NewTRADER[[#This Row],[Rev_Buy]],"#,#0.0%"),TRUE,Tab_NewTRADER[[#This Row],[AMY]])</f>
        <v xml:space="preserve">  12.75 -   2.59 -   0.00</v>
      </c>
      <c r="AS12" s="1651"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126,291       / 391.1%</v>
      </c>
      <c r="AT12" s="1699"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-126,703   / -392.4%</v>
      </c>
      <c r="AU12" s="1699" t="str" cm="1">
        <f t="array" aca="1" ref="AU12" ca="1">_xlfn.IFS(Tab_NewTRADER[[#This Row],[M]]&lt;Tab_NewTRADER[[#This Row],[A]],TEXT(Tab_NewTRADER[[#This Row],[N]]*Tab_NewTRADER[[#This Row],[M]]*Tab_NewTRADER[[#This Row],[Scale]]*Comm_Net,"#,#0")&amp;" @ "&amp;TEXT(Tab_NewTRADER[[#This Row],[M]],"#,#0.#0"),TRUE,"M: "&amp; Tab_NewTRADER[[#This Row],[M]])</f>
        <v>32,288 @ 2.59</v>
      </c>
      <c r="AV12" s="1703" cm="1">
        <f t="array" aca="1" ref="AV12" ca="1">-_xlfn.XLOOKUP(
    Tab_NewTRADER[[#This Row],[Show]] &amp; 2,
    TabConsolid[#Headers],
    INDEX(TabConsolid[], 1, 0)
)</f>
        <v>12.75267096</v>
      </c>
      <c r="AW12" s="1704">
        <f ca="1">Tab_NewTRADER[[#This Row],[M]]*Tab_NewTRADER[[#This Row],[N]]*(1-Commission)*Tab_NewTRADER[[#This Row],[Scale]]</f>
        <v>32290.824999999997</v>
      </c>
      <c r="AX12" s="1705"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705"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706" t="str" cm="1">
        <f t="array" aca="1" ref="AZ12" ca="1">_xlfn.IFS(   Tab_NewTRADER[[#This Row],[State]]=SellMorePercentGain,                     MIN(Tab_NewTRADER[[#This Row],[L_Sn]],Tab_NewTRADER[[#This Row],[N]])*(Tab_NewTRADER[[#This Row],[M]]-Tab_NewTRADER[[#This Row],[L_Sp]])*(1-Commission)*Tab_NewTRADER[[#This Row],[Scale]],                    TRUE,"")</f>
        <v/>
      </c>
      <c r="BA12" s="1707">
        <f ca="1">_xlfn.XLOOKUP(NewTrader!$V12,TabCalc[Ticker],TabCalc[Ann%RevLB])</f>
        <v>-5.2527630642044354E-2</v>
      </c>
      <c r="BB12" s="1708">
        <f ca="1">_xlfn.XLOOKUP(NewTrader!$V12,TabCalc[Ticker],TabCalc[Up20])</f>
        <v>0</v>
      </c>
      <c r="BC12" s="1709"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706" t="str" cm="1">
        <f t="array" aca="1" ref="BD12" ca="1">_xlfn.IFS(         NewTrader!$AF12=MDown,NewTrader!$P12*NewTrader!$Y12*(-(NewTrader!$Q12+NewTrader!$Y12)/NewTrader!$Y12)*(1-Commission)*NewTrader!$A12,                               TRUE,"")</f>
        <v/>
      </c>
      <c r="BE12" s="1705" t="str" cm="1">
        <f t="array" aca="1" ref="BE12" ca="1">_xlfn.IFS(   NewTrader!$AF12=MUp,NewTrader!$BP12-Commission,        NewTrader!$AF12=MDown,(NewTrader!$X12-NewTrader!$Y12)/NewTrader!$Y12-Commission,                              TRUE,"")</f>
        <v/>
      </c>
      <c r="BF12" s="1706"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710" t="str" cm="1">
        <f t="array" aca="1" ref="BG12" ca="1">_xlfn.LET(_xlpm.SumChTxt,TEXT(_xlfn.XLOOKUP(NewTrader!$V12,ListTickers,Tab2SumChangePercent[AVGChan20]),"#0.0%"),
      _xlfn.IFS(NewTrader!$AF12=NoStock,_xlpm.SumChTxt,
      TRUE, IF(NewTrader!$AF12=SellMorePercentGain,             "SumChange "&amp;_xlpm.SumChTxt,                         "&lt;"&amp;INT(_xlfn.XLOOKUP(NewTrader!$V12,ListTickers,Tab2ReverseGL[Rev_GL19]))&amp;    "&lt;"&amp;INT(_xlfn.XLOOKUP(NewTrader!$V12,ListTickers,Tab2ReverseGL[Rev_GL18]))&amp;":      "&amp;_xlpm.SumChTxt)))</f>
        <v>&lt;-1&lt;-1:      0.6%</v>
      </c>
      <c r="BH12" s="1711"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-10.119999999999999</v>
      </c>
      <c r="BI12" s="1712" cm="1">
        <f t="array" aca="1" ref="BI12" ca="1">_xlfn.IFS(NewTrader!$AF12=Sale_Back,"",         NewTrader!$AF12=MDown, (NewTrader!$Y12-NewTrader!$X12)/NewTrader!$X12*ComFactor,             TRUE, IFERROR((NewTrader!$Y12-NewTrader!$X12)/NewTrader!$X12*ComFactor,""))</f>
        <v>-0.7948333370552203</v>
      </c>
      <c r="BJ12" s="1664" cm="1">
        <f t="array" aca="1" ref="BJ12" ca="1">_xlfn.IFS(               NewTrader!$AF12=NoStock,(NewTrader!$BL12-NewTrader!$Y12)/NewTrader!$Y12-Commission,             NewTrader!$X12&lt;&gt;0,(NewTrader!$X12-NewTrader!$Y12)/NewTrader!$Y12-Commission)</f>
        <v>3.9212111814671813</v>
      </c>
      <c r="BK12" s="1713">
        <f ca="1">_xlfn.XLOOKUP(NewTrader!$V12,TabCalc[Ticker],TabCalc[L_Sn])</f>
        <v>0</v>
      </c>
      <c r="BL12" s="1693">
        <f ca="1">_xlfn.XLOOKUP(NewTrader!$V12,TabCalc[Ticker],TabCalc[L_Sp])</f>
        <v>0</v>
      </c>
      <c r="BM12" s="1694">
        <f ca="1">-IFERROR((Tab_NewTRADER[[#This Row],[M]]-Tab_NewTRADER[[#This Row],[L_Sp]])/Tab_NewTRADER[[#This Row],[L_Sp]],0)</f>
        <v>0</v>
      </c>
      <c r="BN12" s="1714">
        <f ca="1">MIN(Tab_NewTRADER[[#This Row],[L_Sn]],Tab_NewTRADER[[#This Row],[N]])*(Tab_NewTRADER[[#This Row],[M]]-Tab_NewTRADER[[#This Row],[L_Sp]])*Comm_Net*Tab_NewTRADER[[#This Row],[Scale]]</f>
        <v>0</v>
      </c>
      <c r="BO12" s="1715">
        <f ca="1">Tab_NewTRADER[[#This Row],[L_Sn]]*(Tab_NewTRADER[[#This Row],[Agiotage]]-Tab_NewTRADER[[#This Row],[M]])/(Tab_NewTRADER[[#This Row],[L_Bn]]*Tab_NewTRADER[[#This Row],[M]])</f>
        <v>0</v>
      </c>
      <c r="BP12" s="1716">
        <f ca="1">IFERROR((Tab_NewTRADER[[#This Row],[M]]-Tab_NewTRADER[[#This Row],[A]])/Tab_NewTRADER[[#This Row],[A]],0)</f>
        <v>-0.79690529081132977</v>
      </c>
      <c r="BQ12" s="1671" t="str">
        <f ca="1">TEXT(_xlfn.XLOOKUP(Tab_NewTRADER[[#This Row],[ClickTick]],TabCalc[Ticker],TabCalc[NAfter]),"#,#0")&amp;" : "&amp;TEXT(_xlfn.XLOOKUP(Tab_NewTRADER[[#This Row],[ClickTick]],TabCalc[Ticker],TabCalc[NAfter])*(Tab_NewTRADER[[#This Row],[M]]-Tab_NewTRADER[[#This Row],[A]])*(1-Commission)*Tab_NewTRADER[[#This Row],[Scale]],"#,#0$")</f>
        <v>12,500 : -126,703$</v>
      </c>
      <c r="BR12" s="262">
        <f ca="1">_xlfn.XLOOKUP(NewTrader!$V12,TabCalc[[#This Row],[Ticker]],TabCalc[[#This Row],[GL]])*(1-Commission)</f>
        <v>-126874.01488470848</v>
      </c>
      <c r="BS12" s="262"/>
      <c r="BT12" s="1672" t="str">
        <f ca="1">Tab_NewTRADER[[#This Row],[Show]]&amp;": "&amp;_xlfn.XLOOKUP(Tab_NewTRADER[[#This Row],[Show]],TabCalc[Ticker],TabCalc[Pile?])</f>
        <v>BMRA: Pile</v>
      </c>
      <c r="BU12" s="1717" t="s">
        <v>2035</v>
      </c>
      <c r="BV12" s="1674" t="str" cm="1">
        <f t="array" aca="1" ref="BV12" ca="1">_xlfn.TEXTJOIN("",,INDEX({"M","A","Y"}, _xlfn.SORTBY({1,2,3}, -CHOOSE({1,2,3}, Tab_NewTRADER[[#This Row],[M]], Tab_NewTRADER[[#This Row],[A]], Tab_NewTRADER[[#This Row],[Y]]))))</f>
        <v>AMY</v>
      </c>
      <c r="BW12" s="1675"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76" t="e">
        <f ca="1">Tab_NewTRADER[[#This Row],[L_Sn]]*Tab_NewTRADER[[#This Row],[L_Sp]]+Tab_NewTRADER[[#This Row],[SellMore]]*Tab_NewTRADER[[#This Row],[M]]</f>
        <v>#N/A</v>
      </c>
      <c r="BY12" s="1676" t="e">
        <f ca="1">INDEX(
  INDEX(TabConsolid[], , _xlfn.XMATCH(Tab_NewTRADER[[#This Row],[ClickTick]]&amp;1, TabConsolid[#Headers])),
  MATCH(
    -Tab_NewTRADER[[#This Row],[M]],
    INDEX(TabConsolid[], , _xlfn.XMATCH(Tab_NewTRADER[[#This Row],[ClickTick]]&amp;2, TabConsolid[#Headers])),
    -1
  )
)</f>
        <v>#N/A</v>
      </c>
      <c r="BZ12" s="1676"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77" t="e">
        <f ca="1">Tab_NewTRADER[[#This Row],[ReBuy]]/(Tab_NewTRADER[[#This Row],[L_Sn]]+Tab_NewTRADER[[#This Row],[SellMore]])</f>
        <v>#N/A</v>
      </c>
      <c r="CB12" s="1678" t="e">
        <f ca="1">((_xlfn.XLOOKUP(Tab_NewTRADER[[#This Row],[Show]],TabCalc[Ticker],TabCalc[NAfter])+Tab_NewTRADER[[#This Row],[L_Sn]])*(Tab_NewTRADER[[#This Row],[Agiotage]]-Tab_NewTRADER[[#This Row],[M]]))/(Tab_NewTRADER[[#This Row],[L_Sn]]*_xlfn.XLOOKUP(Tab_NewTRADER[[#This Row],[Show]],TabCalc[Ticker],TabCalc[NAfter]))</f>
        <v>#DIV/0!</v>
      </c>
      <c r="CC12" s="1677">
        <f ca="1">INDEX(Tab1Price[Price19], MATCH(Tab_NewTRADER[[#This Row],[Show]], Tab_NewTRADER[Show], 0))</f>
        <v>2.59</v>
      </c>
      <c r="CD12" s="1679">
        <f ca="1">_xlfn.XMATCH(Tab_NewTRADER[[#This Row],[Show]]&amp;1, TabConsolid[#Headers])</f>
        <v>29</v>
      </c>
      <c r="CE12" s="1678"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729" t="str" cm="1">
        <f t="array" aca="1" ref="CF12" ca="1">_xlfn.LET(
    _xlpm.FMT, _xlfn.LAMBDA(_xlpm.n, REPT(" ", 7 - LEN(TEXT(_xlpm.n,"0.00"))) &amp; TEXT(_xlpm.n,"0.00")),
    _xlpm.FMT(Tab_NewTRADER[[#This Row],[A]]) &amp; " -" &amp; _xlpm.FMT(Tab_NewTRADER[[#This Row],[M]]) &amp; " -" &amp; _xlpm.FMT(Tab_NewTRADER[[#This Row],[Y]])
)</f>
        <v xml:space="preserve">  12.75 -   2.59 -   0.00</v>
      </c>
      <c r="CG12" s="1730" t="str" cm="1">
        <f t="array" aca="1" ref="CG12" ca="1">_xlfn.LET(
    _xlpm.W, 7,
    _xlpm.FMT, _xlfn.LAMBDA(_xlpm.n, REPT(" ", _xlpm.W - LEN(TEXT(_xlpm.n,"0.00"))) &amp; TEXT(_xlpm.n,"0.00")),
    _xlpm.FMT(Tab_NewTRADER[[#This Row],[A]]) &amp; " * " &amp; _xlpm.FMT(Tab_NewTRADER[[#This Row],[M]]) &amp; " * " &amp; _xlpm.FMT(Tab_NewTRADER[[#This Row],[Y]])
)</f>
        <v xml:space="preserve">  12.75 *    2.59 *    0.00</v>
      </c>
      <c r="CH12" s="1842">
        <f>0</f>
        <v>0</v>
      </c>
      <c r="CI12" t="str">
        <f ca="1">IF(ABS(NewTrader!$Q12)&gt;=NewTrader!$Y12,"OK")</f>
        <v>OK</v>
      </c>
    </row>
    <row r="13" spans="1:87" ht="23" hidden="1" thickBot="1">
      <c r="A13" s="1838">
        <f ca="1">IF(_xlfn.XLOOKUP(NewTrader!$V13,TabCalc[Ticker],TabCalc[Cur])="GBp",0.01,1)</f>
        <v>1</v>
      </c>
      <c r="B13" s="1620" t="str">
        <f ca="1">IFERROR(TRUNC(_xlfn.XLOOKUP(NewTrader!$V13,TabCalc[Ticker],ListLastBuyp),2)&amp;"x"&amp;_xlfn.XLOOKUP(NewTrader!$V13,TabCalc[Ticker],ListLastBuyn)&amp;"=    "&amp;IF(_xlfn.XLOOKUP(NewTrader!$V13,TabCalc[Ticker],ListReverseS)&gt;0,"+","")&amp;TEXT(_xlfn.XLOOKUP(NewTrader!$V13,TabCalc[Ticker],ListReverseS),"#,#0")&amp;" "&amp;#REF!,"")</f>
        <v/>
      </c>
      <c r="C13" s="1621" t="str">
        <f ca="1">_xlfn.XLOOKUP(NewTrader!$V13,TabCalc[Ticker],ListResale)&amp;" @ "&amp;TEXT((_xlfn.XLOOKUP(NewTrader!$V13,TabCalc[Ticker],TabCalc[L_Bp])+_xlfn.XLOOKUP(NewTrader!$V13,TabCalc[Ticker],TabCalc[M]))/_xlfn.XLOOKUP(NewTrader!$V13,TabCalc[Ticker],TabCalc[M]),"#0.0%")</f>
        <v>Sell @ 9.7%</v>
      </c>
      <c r="D13" s="1622"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718" t="str">
        <f ca="1">IF(      AND(NewTrader!$X13&lt;NewTrader!$Y13,    _xlfn.XLOOKUP(NewTrader!$V13,TabCalc[Ticker],TabCalc[L_Sp])&gt;NewTrader!$Y13),"BUY  "&amp;TEXT(DesiredBuyGain/NewTrader!$A13/(_xlfn.XLOOKUP(NewTrader!$V13,TabCalc[Ticker],TabCalc[L_Sp])-NewTrader!$Y13),"#,##0"),"")</f>
        <v/>
      </c>
      <c r="F13" s="1620" t="str">
        <f ca="1">TRUNC(TabCalc[[#This Row],[L_B1p]],2)&amp;"x"&amp;TabCalc[[#This Row],[L_B1n]]&amp;"=   "&amp;TEXT(TabCalc[[#This Row],[ReverseS1]],"#,#0")&amp;"$"</f>
        <v>-62.75x500=   5,145$</v>
      </c>
      <c r="G13" s="1624" t="str">
        <f ca="1">IFERROR(TRUNC(_xlfn.XLOOKUP(NewTrader!$V13,TabCalc[Ticker],ListLastSalep),2)&amp;"x"&amp;_xlfn.XLOOKUP(NewTrader!$V13,TabCalc[Ticker],ListLastSalen)&amp;"=   "&amp;TEXT(-_xlfn.XLOOKUP(NewTrader!$V13,TabCalc[Ticker],ListReverseB),"#,#0")&amp;"$","")</f>
        <v>97.37x95=   1,366$</v>
      </c>
      <c r="H13" s="1625"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S_more @ 12.9% = 0</v>
      </c>
      <c r="I13" s="1620" t="str">
        <f ca="1">IFERROR(TRUNC(TabCalc[[#This Row],[L_S1p]],2)&amp;"x"&amp;TabCalc[[#This Row],[L_S1n]]&amp;"=   "&amp;TEXT(TabCalc[[#This Row],[ReverseB1]],"#,#0"),"")</f>
        <v>82.67x500=   -14,540</v>
      </c>
      <c r="J13" s="1626">
        <f ca="1">_xlfn.XLOOKUP(NewTrader!$V13,TabCalc[Ticker],ListGravity)</f>
        <v>1.0226909172259506</v>
      </c>
      <c r="K13" s="1627" cm="1">
        <f t="array" aca="1" ref="K13" ca="1">IF(_xlfn.XLOOKUP(NewTrader!$V13,NewTrader!$V$3:$V$96,ListExtra_n)&gt;0,_xlfn.XLOOKUP(NewTrader!$V13,NewTrader!$V$3:$V$96,ListExtra_n),"")</f>
        <v>5</v>
      </c>
      <c r="L13" s="1628">
        <f ca="1">IF(_xlfn.XLOOKUP(NewTrader!$V13,TabCalc[Ticker],ListExtra_n)&gt;0,_xlfn.XLOOKUP(NewTrader!$V13,TabCalc[Ticker],ListExtra_n)*NewTrader!$Y13*_xlfn.XLOOKUP(NewTrader!$V13,TabCalc[Ticker],ListScale),"")</f>
        <v>558.75</v>
      </c>
      <c r="M13" s="1629">
        <f ca="1">_xlfn.XLOOKUP(NewTrader!$V13,TabCalc[Ticker],TabCalc[Agiotage])</f>
        <v>0.84561413582090583</v>
      </c>
      <c r="N13" s="1630" cm="1">
        <f t="array" aca="1" ref="N13" ca="1">_xlfn.XLOOKUP(NewTrader!$V13,ListTickers,Tab2RSIConventional[RSIConv20])</f>
        <v>57</v>
      </c>
      <c r="O13" s="1631" t="str">
        <f ca="1">TEXT(_xlfn.XLOOKUP(NewTrader!$V13,TabCalc[Ticker],TabCalc[Nbegin]),"#,#0")&amp;": "&amp;_xlfn.XLOOKUP(NewTrader!$V13,TabCalc[Ticker],TabCalc[Pile?])</f>
        <v xml:space="preserve">100: </v>
      </c>
      <c r="P13" s="1632">
        <f ca="1">_xlfn.XLOOKUP(NewTrader!$V13,TabCalc[Ticker],TabCalc[L_Bn])</f>
        <v>100</v>
      </c>
      <c r="Q13" s="1727">
        <f ca="1">_xlfn.XLOOKUP(NewTrader!$V13,TabCalc[Ticker],TabCalc[L_Bp])</f>
        <v>-100.93</v>
      </c>
      <c r="R13" s="1634">
        <f ca="1">(NewTrader!$Y13+NewTrader!$Q13)/ABS(NewTrader!$Q13)</f>
        <v>0.10720301198850681</v>
      </c>
      <c r="S13" s="259">
        <f ca="1">INT(_xlfn.XLOOKUP(NewTrader!$V13,TabCalc[Ticker],TabCalc[Rev(MinStock)])*Comm_Net)</f>
        <v>1076</v>
      </c>
      <c r="T13" s="1635">
        <f ca="1">_xlfn.XLOOKUP(NewTrader!$V13,TabCalc[Ticker],TabCalc[Agiotage])</f>
        <v>0.84561413582090583</v>
      </c>
      <c r="U13" s="1719"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51/51=&gt;0.6% / 0.6%</v>
      </c>
      <c r="V13" s="1578" t="str">
        <f ca="1">SORTING!B13</f>
        <v>C</v>
      </c>
      <c r="W13" s="1637">
        <f ca="1">_xlfn.XLOOKUP(NewTrader!$V13,TabCalc[Ticker],TabCalc[Y])</f>
        <v>114.28570999999999</v>
      </c>
      <c r="X13" s="1639">
        <f ca="1">-_xlfn.XLOOKUP(NewTrader!$V13&amp;2,Consolid!B$3:JZ$3,Consolid!B$4:JZ$4)</f>
        <v>99.369595714285708</v>
      </c>
      <c r="Y13" s="1639">
        <f ca="1">_xlfn.XLOOKUP(NewTrader!$V13,TabCalc[Ticker],TabCalc[M])</f>
        <v>111.75</v>
      </c>
      <c r="Z13" s="1640">
        <f ca="1">_xlfn.XLOOKUP(NewTrader!$V13,[1]!RTData[Ticker_Symbol],[1]!RTData[YTChange])</f>
        <v>7.6188318250377067</v>
      </c>
      <c r="AA13" s="1640" cm="1">
        <f t="array" aca="1" ref="AA13" ca="1">_xlfn.XLOOKUP(NewTrader!$V13,ListTickers,Tab1ChangePercent[Change%19])</f>
        <v>5.9409999999999992E-3</v>
      </c>
      <c r="AB13" s="1641">
        <f ca="1">_xlfn.XLOOKUP(NewTrader!$V13,TabCalc[Ticker],TabCalc[NAfter])</f>
        <v>105</v>
      </c>
      <c r="AC13" s="1641">
        <f ca="1">_xlfn.XLOOKUP(NewTrader!$V13,TabCalc[Ticker],TabCalc[Nbegin])</f>
        <v>100</v>
      </c>
      <c r="AD13" s="1642" t="str">
        <f ca="1">_xlfn.LET(_xlpm.PILE,_xlfn.XLOOKUP(NewTrader!$V13,TabCalc[Ticker],TabCalc[Pile?]),                    _xlpm.GL,_xlfn.XLOOKUP(NewTrader!$V13,TabCalc[Ticker],TabCalc[GL]),                        _xlpm.GLK,_xlfn.XLOOKUP(NewTrader!$V13,TabCalc[Ticker],TabCalc[GL])/1000,                             _xlpm.MVal,_xlfn.XLOOKUP(NewTrader!$V13,TabCalc[Ticker],TabCalc[M_V])/1000,                   _xlpm.PILE&amp;" "&amp;IF(_xlpm.GL&lt;0,TEXT(_xlpm.GLK,"#,#0")&amp;"K /"&amp;TEXT(_xlpm.MVal,"#,#0")&amp;" K$","^"&amp;TEXT(_xlpm.GLK,"#,#0")&amp;"K / "&amp;TEXT(_xlpm.MVal,"#,#0")&amp;" K$"))</f>
        <v xml:space="preserve"> ^42K / 12 K$</v>
      </c>
      <c r="AE13" s="1643" t="str">
        <f ca="1">_xlfn.XLOOKUP(NewTrader!$V13,[1]!RTData[Ticker_Symbol],[1]!RTData[Currency])</f>
        <v>USD</v>
      </c>
      <c r="AF13" s="1721"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Reverse Sale</v>
      </c>
      <c r="AG1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698" t="str" cm="1">
        <f t="array" aca="1" ref="AH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1,076 @ 111.75 : (9.7%, 104.3%)</v>
      </c>
      <c r="AI1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13" s="1651" t="str" cm="1">
        <f t="array" aca="1" ref="AJ13" ca="1">_xlfn.IFS(Tab_NewTRADER[[#This Row],[State]]="Sell More",TEXT(MIN(Tab_NewTRADER[[#This Row],[N]],Tab_NewTRADER[[#This Row],[L_Bn]])*(Tab_NewTRADER[[#This Row],[M]]-Tab_NewTRADER[[#This Row],[L_Sp]])*Tab_NewTRADER[[#This Row],[Scale]]*ComFactor,"#,#0"), TRUE,"M= "&amp;TEXT(Tab_NewTRADER[[#This Row],[M]],"#,#0.00"))</f>
        <v>M= 111.75</v>
      </c>
      <c r="AK13" s="1699" t="str" cm="1">
        <f t="array" aca="1" ref="AK13" ca="1">_xlfn.IFS(Tab_NewTRADER[[#This Row],[Y]]&gt;Tab_NewTRADER[[#This Row],[A]],                 TEXT(MIN(Tab_NewTRADER[[#This Row],[L_Bn]],Tab_NewTRADER[[#This Row],[N]])*(Tab_NewTRADER[[#This Row],[M]]-Tab_NewTRADER[[#This Row],[A]])*Tab_NewTRADER[[#This Row],[Scale]]*ComFactor,"#,#0"), TRUE,0)</f>
        <v>1,235</v>
      </c>
      <c r="AL13" s="1700" cm="1">
        <f t="array" aca="1" ref="AL13" ca="1">_xlfn.IFS(Tab_NewTRADER[[#This Row],[M]]&gt;Tab_NewTRADER[[#This Row],[A]],                  Tab_NewTRADER[[#This Row],[N]]*(Tab_NewTRADER[[#This Row],[M]]-Tab_NewTRADER[[#This Row],[A]])*Tab_NewTRADER[[#This Row],[Scale]]*ComFactor, TRUE,0)</f>
        <v>1296.5625996300007</v>
      </c>
      <c r="AM13" s="1592" t="str">
        <f ca="1">_xlfn.XLOOKUP(Tab_NewTRADER[[#This Row],[Show]],TabCalc[Ticker],TabCalc[Max_Bn])&amp;" x "&amp;TEXT(_xlfn.XLOOKUP(Tab_NewTRADER[[#This Row],[Show]],TabCalc[Ticker],TabCalc[Max_Bp]),"#,#0.00")</f>
        <v>100 x 100.93</v>
      </c>
      <c r="AN13" s="1650" t="str">
        <f ca="1">NewTrader!$V13</f>
        <v>C</v>
      </c>
      <c r="AO13" s="1651" t="str">
        <f ca="1">TEXT(_xlfn.XLOOKUP(Tab_NewTRADER[[#This Row],[ClickTick]],TabCalc[Ticker],TabCalc[NAfter]),"#,#0")&amp;"x"&amp;_xlfn.XLOOKUP(Tab_NewTRADER[[#This Row],[ClickTick]],TabCalc[Ticker],TabCalc[M])&amp;"           (A: "&amp;TEXT(-_xlfn.XLOOKUP(Tab_NewTRADER[[#This Row],[ClickTick]]&amp;2,Consolid!B$3:JZ$3,Consolid!B$4:JZ$4),"#,??0.00")&amp;")"</f>
        <v>105x111.75           (A:  99.37)</v>
      </c>
      <c r="AP13" s="1592" t="str">
        <f ca="1">_xlfn.XLOOKUP(Tab_NewTRADER[[#This Row],[Show]],TabCalc[Ticker],TabCalc[Min_Sn])&amp;" x "&amp;TEXT(_xlfn.XLOOKUP(Tab_NewTRADER[[#This Row],[Show]],TabCalc[Ticker],TabCalc[Min_Sp]),"#,#0.00")</f>
        <v>95 x 60.83</v>
      </c>
      <c r="AQ1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702" t="str" cm="1">
        <f t="array" aca="1" ref="AR13" ca="1">_xlfn.IFS(Tab_NewTRADER[[#This Row],[State]]="Reverse Buy",TEXT(-Tab_NewTRADER[[#This Row],[Buy_Back]],"#,#0")&amp;" / "&amp;TEXT(Tab_NewTRADER[[#This Row],[Rev_Buy]],"#,#0.0%"),TRUE,Tab_NewTRADER[[#This Row],[AMY]])</f>
        <v xml:space="preserve">  99.37 - 111.75 - 114.29</v>
      </c>
      <c r="AS13" s="1651"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99"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99" t="str" cm="1">
        <f t="array" aca="1" ref="AU13" ca="1">_xlfn.IFS(Tab_NewTRADER[[#This Row],[M]]&lt;Tab_NewTRADER[[#This Row],[A]],TEXT(Tab_NewTRADER[[#This Row],[N]]*Tab_NewTRADER[[#This Row],[M]]*Tab_NewTRADER[[#This Row],[Scale]]*Comm_Net,"#,#0")&amp;" @ "&amp;TEXT(Tab_NewTRADER[[#This Row],[M]],"#,#0.#0"),TRUE,"M: "&amp; Tab_NewTRADER[[#This Row],[M]])</f>
        <v>M: 111.75</v>
      </c>
      <c r="AV13" s="1740" cm="1">
        <f t="array" aca="1" ref="AV13" ca="1">-_xlfn.XLOOKUP(
    Tab_NewTRADER[[#This Row],[Show]] &amp; 2,
    TabConsolid[#Headers],
    INDEX(TabConsolid[], 1, 0)
)</f>
        <v>99.369595714285708</v>
      </c>
      <c r="AW13" s="1741">
        <f ca="1">Tab_NewTRADER[[#This Row],[M]]*Tab_NewTRADER[[#This Row],[N]]*(1-Commission)*Tab_NewTRADER[[#This Row],[Scale]]</f>
        <v>11703.242249999999</v>
      </c>
      <c r="AX13" s="1705"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705"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706" t="str" cm="1">
        <f t="array" aca="1" ref="AZ13" ca="1">_xlfn.IFS(   Tab_NewTRADER[[#This Row],[State]]=SellMorePercentGain,                     MIN(Tab_NewTRADER[[#This Row],[L_Sn]],Tab_NewTRADER[[#This Row],[N]])*(Tab_NewTRADER[[#This Row],[M]]-Tab_NewTRADER[[#This Row],[L_Sp]])*(1-Commission)*Tab_NewTRADER[[#This Row],[Scale]],                    TRUE,"")</f>
        <v/>
      </c>
      <c r="BA13" s="1707">
        <f ca="1">_xlfn.XLOOKUP(NewTrader!$V13,TabCalc[Ticker],TabCalc[Ann%RevLB])</f>
        <v>1.0430563328611473</v>
      </c>
      <c r="BB13" s="1708">
        <f ca="1">_xlfn.XLOOKUP(NewTrader!$V13,TabCalc[Ticker],TabCalc[Up20])</f>
        <v>0</v>
      </c>
      <c r="BC13" s="1725"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706" t="str" cm="1">
        <f t="array" aca="1" ref="BD13" ca="1">_xlfn.IFS(         NewTrader!$AF13=MDown,NewTrader!$P13*NewTrader!$Y13*(-(NewTrader!$Q13+NewTrader!$Y13)/NewTrader!$Y13)*(1-Commission)*NewTrader!$A13,                               TRUE,"")</f>
        <v/>
      </c>
      <c r="BE13" s="1705" t="str" cm="1">
        <f t="array" aca="1" ref="BE13" ca="1">_xlfn.IFS(   NewTrader!$AF13=MUp,NewTrader!$BP13-Commission,        NewTrader!$AF13=MDown,(NewTrader!$X13-NewTrader!$Y13)/NewTrader!$Y13-Commission,                              TRUE,"")</f>
        <v/>
      </c>
      <c r="BF13" s="1706"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710" t="str" cm="1">
        <f t="array" aca="1" ref="BG13" ca="1">_xlfn.LET(_xlpm.SumChTxt,TEXT(_xlfn.XLOOKUP(NewTrader!$V13,ListTickers,Tab2SumChangePercent[AVGChan20]),"#0.0%"),
      _xlfn.IFS(NewTrader!$AF13=NoStock,_xlpm.SumChTxt,
      TRUE, IF(NewTrader!$AF13=SellMorePercentGain,             "SumChange "&amp;_xlpm.SumChTxt,                         "&lt;"&amp;INT(_xlfn.XLOOKUP(NewTrader!$V13,ListTickers,Tab2ReverseGL[Rev_GL19]))&amp;    "&lt;"&amp;INT(_xlfn.XLOOKUP(NewTrader!$V13,ListTickers,Tab2ReverseGL[Rev_GL18]))&amp;":      "&amp;_xlpm.SumChTxt)))</f>
        <v>&lt;-1&lt;-1:      0.1%</v>
      </c>
      <c r="BH13" s="1711"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M&gt;L_Bp</v>
      </c>
      <c r="BI13" s="1712" cm="1">
        <f t="array" aca="1" ref="BI13" ca="1">_xlfn.IFS(NewTrader!$AF13=Sale_Back,"",         NewTrader!$AF13=MDown, (NewTrader!$Y13-NewTrader!$X13)/NewTrader!$X13*ComFactor,             TRUE, IFERROR((NewTrader!$Y13-NewTrader!$X13)/NewTrader!$X13*ComFactor,""))</f>
        <v>0.12426552755709977</v>
      </c>
      <c r="BJ13" s="1664" cm="1">
        <f t="array" aca="1" ref="BJ13" ca="1">_xlfn.IFS(               NewTrader!$AF13=NoStock,(NewTrader!$BL13-NewTrader!$Y13)/NewTrader!$Y13-Commission,             NewTrader!$X13&lt;&gt;0,(NewTrader!$X13-NewTrader!$Y13)/NewTrader!$Y13-Commission)</f>
        <v>-0.11338661553211894</v>
      </c>
      <c r="BK13" s="1726">
        <f ca="1">_xlfn.XLOOKUP(NewTrader!$V13,TabCalc[Ticker],TabCalc[L_Sn])</f>
        <v>95</v>
      </c>
      <c r="BL13" s="1727">
        <f ca="1">_xlfn.XLOOKUP(NewTrader!$V13,TabCalc[Ticker],TabCalc[L_Sp])</f>
        <v>97.375</v>
      </c>
      <c r="BM13" s="1634">
        <f ca="1">-IFERROR((Tab_NewTRADER[[#This Row],[M]]-Tab_NewTRADER[[#This Row],[L_Sp]])/Tab_NewTRADER[[#This Row],[L_Sp]],0)</f>
        <v>-0.14762516046213095</v>
      </c>
      <c r="BN13" s="1728">
        <f ca="1">MIN(Tab_NewTRADER[[#This Row],[L_Sn]],Tab_NewTRADER[[#This Row],[N]])*(Tab_NewTRADER[[#This Row],[M]]-Tab_NewTRADER[[#This Row],[L_Sp]])*Comm_Net*Tab_NewTRADER[[#This Row],[Scale]]</f>
        <v>1361.9378125000001</v>
      </c>
      <c r="BO13" s="1715">
        <f ca="1">Tab_NewTRADER[[#This Row],[L_Sn]]*(Tab_NewTRADER[[#This Row],[Agiotage]]-Tab_NewTRADER[[#This Row],[M]])/(Tab_NewTRADER[[#This Row],[L_Bn]]*Tab_NewTRADER[[#This Row],[M]])</f>
        <v>-0.94281133396841288</v>
      </c>
      <c r="BP13" s="1670">
        <f ca="1">IFERROR((Tab_NewTRADER[[#This Row],[M]]-Tab_NewTRADER[[#This Row],[A]])/Tab_NewTRADER[[#This Row],[A]],0)</f>
        <v>0.12458946015349888</v>
      </c>
      <c r="BQ13" s="1671" t="str">
        <f ca="1">TEXT(_xlfn.XLOOKUP(Tab_NewTRADER[[#This Row],[ClickTick]],TabCalc[Ticker],TabCalc[NAfter]),"#,#0")&amp;" : "&amp;TEXT(_xlfn.XLOOKUP(Tab_NewTRADER[[#This Row],[ClickTick]],TabCalc[Ticker],TabCalc[NAfter])*(Tab_NewTRADER[[#This Row],[M]]-Tab_NewTRADER[[#This Row],[A]])*(1-Commission)*Tab_NewTRADER[[#This Row],[Scale]],"#,#0$")</f>
        <v>105 : 1,297$</v>
      </c>
      <c r="BR13" s="259">
        <f ca="1">_xlfn.XLOOKUP(NewTrader!$V13,TabCalc[[#This Row],[Ticker]],TabCalc[[#This Row],[GL]])*(1-Commission)</f>
        <v>41547.460055808195</v>
      </c>
      <c r="BS13" s="259"/>
      <c r="BT13" s="1672" t="str">
        <f ca="1">Tab_NewTRADER[[#This Row],[Show]]&amp;": "&amp;_xlfn.XLOOKUP(Tab_NewTRADER[[#This Row],[Show]],TabCalc[Ticker],TabCalc[Pile?])</f>
        <v xml:space="preserve">C: </v>
      </c>
      <c r="BU13" s="1717" t="s">
        <v>1957</v>
      </c>
      <c r="BV13" s="1674" t="str" cm="1">
        <f t="array" aca="1" ref="BV13" ca="1">_xlfn.TEXTJOIN("",,INDEX({"M","A","Y"}, _xlfn.SORTBY({1,2,3}, -CHOOSE({1,2,3}, Tab_NewTRADER[[#This Row],[M]], Tab_NewTRADER[[#This Row],[A]], Tab_NewTRADER[[#This Row],[Y]]))))</f>
        <v>YMA</v>
      </c>
      <c r="BW13" s="1675"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676">
        <f ca="1">Tab_NewTRADER[[#This Row],[L_Sn]]*Tab_NewTRADER[[#This Row],[L_Sp]]+Tab_NewTRADER[[#This Row],[SellMore]]*Tab_NewTRADER[[#This Row],[M]]</f>
        <v>20425.625</v>
      </c>
      <c r="BY13" s="1676">
        <f ca="1">INDEX(
  INDEX(TabConsolid[], , _xlfn.XMATCH(Tab_NewTRADER[[#This Row],[ClickTick]]&amp;1, TabConsolid[#Headers])),
  MATCH(
    -Tab_NewTRADER[[#This Row],[M]],
    INDEX(TabConsolid[], , _xlfn.XMATCH(Tab_NewTRADER[[#This Row],[ClickTick]]&amp;2, TabConsolid[#Headers])),
    -1
  )
)</f>
        <v>100</v>
      </c>
      <c r="BZ13" s="1676"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100</v>
      </c>
      <c r="CA13" s="1677">
        <f ca="1">Tab_NewTRADER[[#This Row],[ReBuy]]/(Tab_NewTRADER[[#This Row],[L_Sn]]+Tab_NewTRADER[[#This Row],[SellMore]])</f>
        <v>104.74679487179488</v>
      </c>
      <c r="CB13" s="1678">
        <f ca="1">((_xlfn.XLOOKUP(Tab_NewTRADER[[#This Row],[Show]],TabCalc[Ticker],TabCalc[NAfter])+Tab_NewTRADER[[#This Row],[L_Sn]])*(Tab_NewTRADER[[#This Row],[Agiotage]]-Tab_NewTRADER[[#This Row],[M]]))/(Tab_NewTRADER[[#This Row],[L_Sn]]*_xlfn.XLOOKUP(Tab_NewTRADER[[#This Row],[Show]],TabCalc[Ticker],TabCalc[NAfter]))</f>
        <v>-2.2236468343695055</v>
      </c>
      <c r="CC13" s="1677">
        <f ca="1">INDEX(Tab1Price[Price19], MATCH(Tab_NewTRADER[[#This Row],[Show]], Tab_NewTRADER[Show], 0))</f>
        <v>111.75</v>
      </c>
      <c r="CD13" s="1679">
        <f ca="1">_xlfn.XMATCH(Tab_NewTRADER[[#This Row],[Show]]&amp;1, TabConsolid[#Headers])</f>
        <v>32</v>
      </c>
      <c r="CE13" s="1678"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729" t="str" cm="1">
        <f t="array" aca="1" ref="CF13" ca="1">_xlfn.LET(
    _xlpm.FMT, _xlfn.LAMBDA(_xlpm.n, REPT(" ", 7 - LEN(TEXT(_xlpm.n,"0.00"))) &amp; TEXT(_xlpm.n,"0.00")),
    _xlpm.FMT(Tab_NewTRADER[[#This Row],[A]]) &amp; " -" &amp; _xlpm.FMT(Tab_NewTRADER[[#This Row],[M]]) &amp; " -" &amp; _xlpm.FMT(Tab_NewTRADER[[#This Row],[Y]])
)</f>
        <v xml:space="preserve">  99.37 - 111.75 - 114.29</v>
      </c>
      <c r="CG13" s="1730" t="str" cm="1">
        <f t="array" aca="1" ref="CG13" ca="1">_xlfn.LET(
    _xlpm.W, 7,
    _xlpm.FMT, _xlfn.LAMBDA(_xlpm.n, REPT(" ", _xlpm.W - LEN(TEXT(_xlpm.n,"0.00"))) &amp; TEXT(_xlpm.n,"0.00")),
    _xlpm.FMT(Tab_NewTRADER[[#This Row],[A]]) &amp; " * " &amp; _xlpm.FMT(Tab_NewTRADER[[#This Row],[M]]) &amp; " * " &amp; _xlpm.FMT(Tab_NewTRADER[[#This Row],[Y]])
)</f>
        <v xml:space="preserve">  99.37 *  111.75 *  114.29</v>
      </c>
      <c r="CH13" s="1842">
        <f>0</f>
        <v>0</v>
      </c>
      <c r="CI13" t="b">
        <f ca="1">IF(ABS(NewTrader!$Q13)&gt;=NewTrader!$Y13,"OK")</f>
        <v>0</v>
      </c>
    </row>
    <row r="14" spans="1:87">
      <c r="A14" s="1839">
        <f ca="1">IF(_xlfn.XLOOKUP(NewTrader!$V14,TabCalc[Ticker],TabCalc[Cur])="GBp",0.01,1)</f>
        <v>1</v>
      </c>
      <c r="B14" s="1681" t="str">
        <f ca="1">IFERROR(TRUNC(_xlfn.XLOOKUP(NewTrader!$V14,TabCalc[Ticker],ListLastBuyp),2)&amp;"x"&amp;_xlfn.XLOOKUP(NewTrader!$V14,TabCalc[Ticker],ListLastBuyn)&amp;"=    "&amp;IF(_xlfn.XLOOKUP(NewTrader!$V14,TabCalc[Ticker],ListReverseS)&gt;0,"+","")&amp;TEXT(_xlfn.XLOOKUP(NewTrader!$V14,TabCalc[Ticker],ListReverseS),"#,#0")&amp;" "&amp;#REF!,"")</f>
        <v/>
      </c>
      <c r="C14" s="1682" t="str">
        <f ca="1">_xlfn.XLOOKUP(NewTrader!$V14,TabCalc[Ticker],ListResale)&amp;" @ "&amp;TEXT((_xlfn.XLOOKUP(NewTrader!$V14,TabCalc[Ticker],TabCalc[L_Bp])+_xlfn.XLOOKUP(NewTrader!$V14,TabCalc[Ticker],TabCalc[M]))/_xlfn.XLOOKUP(NewTrader!$V14,TabCalc[Ticker],TabCalc[M]),"#0.0%")</f>
        <v>Resell @ 15.2%</v>
      </c>
      <c r="D14" s="1683"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414/1,000=32,838</v>
      </c>
      <c r="E14" s="1684" t="str">
        <f ca="1">IF(      AND(NewTrader!$X14&lt;NewTrader!$Y14,    _xlfn.XLOOKUP(NewTrader!$V14,TabCalc[Ticker],TabCalc[L_Sp])&gt;NewTrader!$Y14),"BUY  "&amp;TEXT(DesiredBuyGain/NewTrader!$A14/(_xlfn.XLOOKUP(NewTrader!$V14,TabCalc[Ticker],TabCalc[L_Sp])-NewTrader!$Y14),"#,##0"),"")</f>
        <v/>
      </c>
      <c r="F14" s="1681" t="str">
        <f ca="1">TRUNC(TabCalc[[#This Row],[L_B1p]],2)&amp;"x"&amp;TabCalc[[#This Row],[L_B1n]]&amp;"=   "&amp;TEXT(TabCalc[[#This Row],[ReverseS1]],"#,#0")&amp;"$"</f>
        <v>-58.93x1990=   20,335$</v>
      </c>
      <c r="G14" s="1685" t="str">
        <f ca="1">IFERROR(TRUNC(_xlfn.XLOOKUP(NewTrader!$V14,TabCalc[Ticker],ListLastSalep),2)&amp;"x"&amp;_xlfn.XLOOKUP(NewTrader!$V14,TabCalc[Ticker],ListLastSalen)&amp;"=   "&amp;TEXT(-_xlfn.XLOOKUP(NewTrader!$V14,TabCalc[Ticker],ListReverseB),"#,#0")&amp;"$","")</f>
        <v>69.34x1000=   9,930$</v>
      </c>
      <c r="H14" s="1686"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-12.5% = 0</v>
      </c>
      <c r="I14" s="1681" t="str">
        <f ca="1">IFERROR(TRUNC(TabCalc[[#This Row],[L_S1p]],2)&amp;"x"&amp;TabCalc[[#This Row],[L_S1n]]&amp;"=   "&amp;TEXT(TabCalc[[#This Row],[ReverseB1]],"#,#0"),"")</f>
        <v>68.32x1000=   -10,950</v>
      </c>
      <c r="J14" s="1687">
        <f ca="1">_xlfn.XLOOKUP(NewTrader!$V14,TabCalc[Ticker],ListGravity)</f>
        <v>1.0699477734325724</v>
      </c>
      <c r="K14" s="1688" t="str" cm="1">
        <f t="array" aca="1" ref="K14" ca="1">IF(_xlfn.XLOOKUP(NewTrader!$V14,NewTrader!$V$3:$V$96,ListExtra_n)&gt;0,_xlfn.XLOOKUP(NewTrader!$V14,NewTrader!$V$3:$V$96,ListExtra_n),"")</f>
        <v/>
      </c>
      <c r="L14" s="1689" t="str">
        <f ca="1">IF(_xlfn.XLOOKUP(NewTrader!$V14,TabCalc[Ticker],ListExtra_n)&gt;0,_xlfn.XLOOKUP(NewTrader!$V14,TabCalc[Ticker],ListExtra_n)*NewTrader!$Y14*_xlfn.XLOOKUP(NewTrader!$V14,TabCalc[Ticker],ListScale),"")</f>
        <v/>
      </c>
      <c r="M14" s="1690">
        <f ca="1">_xlfn.XLOOKUP(NewTrader!$V14,TabCalc[Ticker],TabCalc[Agiotage])</f>
        <v>0.80056440169289977</v>
      </c>
      <c r="N14" s="1691" cm="1">
        <f t="array" aca="1" ref="N14" ca="1">_xlfn.XLOOKUP(NewTrader!$V14,ListTickers,Tab2RSIConventional[RSIConv20])</f>
        <v>58</v>
      </c>
      <c r="O14" s="1631" t="str">
        <f ca="1">TEXT(_xlfn.XLOOKUP(NewTrader!$V14,TabCalc[Ticker],TabCalc[Nbegin]),"#,#0")&amp;": "&amp;_xlfn.XLOOKUP(NewTrader!$V14,TabCalc[Ticker],TabCalc[Pile?])</f>
        <v>5,000: Pile</v>
      </c>
      <c r="P14" s="1692">
        <f ca="1">_xlfn.XLOOKUP(NewTrader!$V14,TabCalc[Ticker],TabCalc[L_Bn])</f>
        <v>1000</v>
      </c>
      <c r="Q14" s="1731">
        <f ca="1">_xlfn.XLOOKUP(NewTrader!$V14,TabCalc[Ticker],TabCalc[L_Bp])</f>
        <v>-67.2</v>
      </c>
      <c r="R14" s="1694">
        <f ca="1">(NewTrader!$Y14+NewTrader!$Q14)/ABS(NewTrader!$Q14)</f>
        <v>0.17961309523809513</v>
      </c>
      <c r="S14" s="262">
        <f ca="1">INT(_xlfn.XLOOKUP(NewTrader!$V14,TabCalc[Ticker],TabCalc[Rev(MinStock)])*Comm_Net)</f>
        <v>12004</v>
      </c>
      <c r="T14" s="1635">
        <f ca="1">_xlfn.XLOOKUP(NewTrader!$V14,TabCalc[Ticker],TabCalc[Agiotage])</f>
        <v>0.80056440169289977</v>
      </c>
      <c r="U14" s="1695"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-1,060/-1,060=&gt;-1.2% / -1.2%</v>
      </c>
      <c r="V14" s="1578" t="str">
        <f ca="1">SORTING!B14</f>
        <v>CSCO</v>
      </c>
      <c r="W14" s="1637">
        <f ca="1">_xlfn.XLOOKUP(NewTrader!$V14,TabCalc[Ticker],TabCalc[Y])</f>
        <v>84.814760000000007</v>
      </c>
      <c r="X14" s="1639">
        <f ca="1">-_xlfn.XLOOKUP(NewTrader!$V14&amp;2,Consolid!B$3:JZ$3,Consolid!B$4:JZ$4)</f>
        <v>67.374719999999996</v>
      </c>
      <c r="Y14" s="1639">
        <f ca="1">_xlfn.XLOOKUP(NewTrader!$V14,TabCalc[Ticker],TabCalc[M])</f>
        <v>79.27</v>
      </c>
      <c r="Z14" s="1640">
        <f ca="1">_xlfn.XLOOKUP(NewTrader!$V14,[1]!RTData[Ticker_Symbol],[1]!RTData[YTChange])</f>
        <v>-2.935728999771102E-2</v>
      </c>
      <c r="AA14" s="1640" cm="1">
        <f t="array" aca="1" ref="AA14" ca="1">_xlfn.XLOOKUP(NewTrader!$V14,ListTickers,Tab1ChangePercent[Change%19])</f>
        <v>-1.2212000000000001E-2</v>
      </c>
      <c r="AB14" s="1641">
        <f ca="1">_xlfn.XLOOKUP(NewTrader!$V14,TabCalc[Ticker],TabCalc[NAfter])</f>
        <v>1000</v>
      </c>
      <c r="AC14" s="1641">
        <f ca="1">_xlfn.XLOOKUP(NewTrader!$V14,TabCalc[Ticker],TabCalc[Nbegin])</f>
        <v>5000</v>
      </c>
      <c r="AD14" s="1642" t="str">
        <f ca="1">_xlfn.LET(_xlpm.PILE,_xlfn.XLOOKUP(NewTrader!$V14,TabCalc[Ticker],TabCalc[Pile?]),                    _xlpm.GL,_xlfn.XLOOKUP(NewTrader!$V14,TabCalc[Ticker],TabCalc[GL]),                        _xlpm.GLK,_xlfn.XLOOKUP(NewTrader!$V14,TabCalc[Ticker],TabCalc[GL])/1000,                             _xlpm.MVal,_xlfn.XLOOKUP(NewTrader!$V14,TabCalc[Ticker],TabCalc[M_V])/1000,                   _xlpm.PILE&amp;" "&amp;IF(_xlpm.GL&lt;0,TEXT(_xlpm.GLK,"#,#0")&amp;"K /"&amp;TEXT(_xlpm.MVal,"#,#0")&amp;" K$","^"&amp;TEXT(_xlpm.GLK,"#,#0")&amp;"K / "&amp;TEXT(_xlpm.MVal,"#,#0")&amp;" K$"))</f>
        <v>Pile ^140K / 79 K$</v>
      </c>
      <c r="AE14" s="1643" t="str">
        <f ca="1">_xlfn.XLOOKUP(NewTrader!$V14,[1]!RTData[Ticker_Symbol],[1]!RTData[Currency])</f>
        <v>USD</v>
      </c>
      <c r="AF14" s="1696"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733" t="str" cm="1">
        <f t="array" aca="1" ref="AH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79.27 -  84.81</v>
      </c>
      <c r="AI14"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14" s="1735" t="str" cm="1">
        <f t="array" aca="1" ref="AJ14" ca="1">_xlfn.IFS(Tab_NewTRADER[[#This Row],[State]]="Sell More",TEXT(MIN(Tab_NewTRADER[[#This Row],[N]],Tab_NewTRADER[[#This Row],[L_Bn]])*(Tab_NewTRADER[[#This Row],[M]]-Tab_NewTRADER[[#This Row],[L_Sp]])*Tab_NewTRADER[[#This Row],[Scale]]*ComFactor,"#,#0"), TRUE,"M= "&amp;TEXT(Tab_NewTRADER[[#This Row],[M]],"#,#0.00"))</f>
        <v>9,904</v>
      </c>
      <c r="AK14" s="1735" t="str" cm="1">
        <f t="array" aca="1" ref="AK14" ca="1">_xlfn.IFS(Tab_NewTRADER[[#This Row],[Y]]&gt;Tab_NewTRADER[[#This Row],[A]],                 TEXT(MIN(Tab_NewTRADER[[#This Row],[L_Bn]],Tab_NewTRADER[[#This Row],[N]])*(Tab_NewTRADER[[#This Row],[M]]-Tab_NewTRADER[[#This Row],[A]])*Tab_NewTRADER[[#This Row],[Scale]]*ComFactor,"#,#0"), TRUE,0)</f>
        <v>11,864</v>
      </c>
      <c r="AL14" s="1736" cm="1">
        <f t="array" aca="1" ref="AL14" ca="1">_xlfn.IFS(Tab_NewTRADER[[#This Row],[M]]&gt;Tab_NewTRADER[[#This Row],[A]],                  Tab_NewTRADER[[#This Row],[N]]*(Tab_NewTRADER[[#This Row],[M]]-Tab_NewTRADER[[#This Row],[A]])*Tab_NewTRADER[[#This Row],[Scale]]*ComFactor, TRUE,0)</f>
        <v>11864.352271999998</v>
      </c>
      <c r="AM14" s="1592" t="str">
        <f ca="1">_xlfn.XLOOKUP(Tab_NewTRADER[[#This Row],[Show]],TabCalc[Ticker],TabCalc[Max_Bn])&amp;" x "&amp;TEXT(_xlfn.XLOOKUP(Tab_NewTRADER[[#This Row],[Show]],TabCalc[Ticker],TabCalc[Max_Bp]),"#,#0.00")</f>
        <v>1000 x 67.37</v>
      </c>
      <c r="AN14" s="1650" t="str">
        <f ca="1">NewTrader!$V14</f>
        <v>CSCO</v>
      </c>
      <c r="AO14" s="1735" t="str">
        <f ca="1">TEXT(_xlfn.XLOOKUP(Tab_NewTRADER[[#This Row],[ClickTick]],TabCalc[Ticker],TabCalc[NAfter]),"#,#0")&amp;"x"&amp;_xlfn.XLOOKUP(Tab_NewTRADER[[#This Row],[ClickTick]],TabCalc[Ticker],TabCalc[M])&amp;"           (A: "&amp;TEXT(-_xlfn.XLOOKUP(Tab_NewTRADER[[#This Row],[ClickTick]]&amp;2,Consolid!B$3:JZ$3,Consolid!B$4:JZ$4),"#,??0.00")&amp;")"</f>
        <v>1,000x79.27           (A:  67.37)</v>
      </c>
      <c r="AP14" s="1592" t="str">
        <f ca="1">_xlfn.XLOOKUP(Tab_NewTRADER[[#This Row],[Show]],TabCalc[Ticker],TabCalc[Min_Sn])&amp;" x "&amp;TEXT(_xlfn.XLOOKUP(Tab_NewTRADER[[#This Row],[Show]],TabCalc[Ticker],TabCalc[Min_Sp]),"#,#0.00")</f>
        <v>990 x 45.47</v>
      </c>
      <c r="AQ1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702" t="str" cm="1">
        <f t="array" aca="1" ref="AR14" ca="1">_xlfn.IFS(Tab_NewTRADER[[#This Row],[State]]="Reverse Buy",TEXT(-Tab_NewTRADER[[#This Row],[Buy_Back]],"#,#0")&amp;" / "&amp;TEXT(Tab_NewTRADER[[#This Row],[Rev_Buy]],"#,#0.0%"),TRUE,Tab_NewTRADER[[#This Row],[AMY]])</f>
        <v xml:space="preserve">  67.37 -  79.27 -  84.81</v>
      </c>
      <c r="AS14" s="1651"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735"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735" t="str" cm="1">
        <f t="array" aca="1" ref="AU14" ca="1">_xlfn.IFS(Tab_NewTRADER[[#This Row],[M]]&lt;Tab_NewTRADER[[#This Row],[A]],TEXT(Tab_NewTRADER[[#This Row],[N]]*Tab_NewTRADER[[#This Row],[M]]*Tab_NewTRADER[[#This Row],[Scale]]*Comm_Net,"#,#0")&amp;" @ "&amp;TEXT(Tab_NewTRADER[[#This Row],[M]],"#,#0.#0"),TRUE,"M: "&amp; Tab_NewTRADER[[#This Row],[M]])</f>
        <v>M: 79.27</v>
      </c>
      <c r="AV14" s="1703" cm="1">
        <f t="array" aca="1" ref="AV14" ca="1">-_xlfn.XLOOKUP(
    Tab_NewTRADER[[#This Row],[Show]] &amp; 2,
    TabConsolid[#Headers],
    INDEX(TabConsolid[], 1, 0)
)</f>
        <v>67.374719999999996</v>
      </c>
      <c r="AW14" s="1704">
        <f ca="1">Tab_NewTRADER[[#This Row],[M]]*Tab_NewTRADER[[#This Row],[N]]*(1-Commission)*Tab_NewTRADER[[#This Row],[Scale]]</f>
        <v>79063.898000000001</v>
      </c>
      <c r="AX14" s="1705"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705"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706" t="str" cm="1">
        <f t="array" aca="1" ref="AZ14" ca="1">_xlfn.IFS(   Tab_NewTRADER[[#This Row],[State]]=SellMorePercentGain,                     MIN(Tab_NewTRADER[[#This Row],[L_Sn]],Tab_NewTRADER[[#This Row],[N]])*(Tab_NewTRADER[[#This Row],[M]]-Tab_NewTRADER[[#This Row],[L_Sp]])*(1-Commission)*Tab_NewTRADER[[#This Row],[Scale]],                    TRUE,"")</f>
        <v/>
      </c>
      <c r="BA14" s="1723">
        <f ca="1">_xlfn.XLOOKUP(NewTrader!$V14,TabCalc[Ticker],TabCalc[Ann%RevLB])</f>
        <v>0.85079887218045058</v>
      </c>
      <c r="BB14" s="1724">
        <f ca="1">_xlfn.XLOOKUP(NewTrader!$V14,TabCalc[Ticker],TabCalc[Up20])</f>
        <v>0</v>
      </c>
      <c r="BC14" s="1747"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706" t="str" cm="1">
        <f t="array" aca="1" ref="BD14" ca="1">_xlfn.IFS(         NewTrader!$AF14=MDown,NewTrader!$P14*NewTrader!$Y14*(-(NewTrader!$Q14+NewTrader!$Y14)/NewTrader!$Y14)*(1-Commission)*NewTrader!$A14,                               TRUE,"")</f>
        <v/>
      </c>
      <c r="BE14" s="1705" t="str" cm="1">
        <f t="array" aca="1" ref="BE14" ca="1">_xlfn.IFS(   NewTrader!$AF14=MUp,NewTrader!$BP14-Commission,        NewTrader!$AF14=MDown,(NewTrader!$X14-NewTrader!$Y14)/NewTrader!$Y14-Commission,                              TRUE,"")</f>
        <v/>
      </c>
      <c r="BF14" s="1706"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710" t="str" cm="1">
        <f t="array" aca="1" ref="BG14" ca="1">_xlfn.LET(_xlpm.SumChTxt,TEXT(_xlfn.XLOOKUP(NewTrader!$V14,ListTickers,Tab2SumChangePercent[AVGChan20]),"#0.0%"),
      _xlfn.IFS(NewTrader!$AF14=NoStock,_xlpm.SumChTxt,
      TRUE, IF(NewTrader!$AF14=SellMorePercentGain,             "SumChange "&amp;_xlpm.SumChTxt,                         "&lt;"&amp;INT(_xlfn.XLOOKUP(NewTrader!$V14,ListTickers,Tab2ReverseGL[Rev_GL19]))&amp;    "&lt;"&amp;INT(_xlfn.XLOOKUP(NewTrader!$V14,ListTickers,Tab2ReverseGL[Rev_GL18]))&amp;":      "&amp;_xlpm.SumChTxt)))</f>
        <v>&lt;-1&lt;-1:      0.2%</v>
      </c>
      <c r="BH14" s="1711"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1,000x11.89</v>
      </c>
      <c r="BI14" s="1712" cm="1">
        <f t="array" aca="1" ref="BI14" ca="1">_xlfn.IFS(NewTrader!$AF14=Sale_Back,"",         NewTrader!$AF14=MDown, (NewTrader!$Y14-NewTrader!$X14)/NewTrader!$X14*ComFactor,             TRUE, IFERROR((NewTrader!$Y14-NewTrader!$X14)/NewTrader!$X14*ComFactor,""))</f>
        <v>0.17609501415367665</v>
      </c>
      <c r="BJ14" s="1664" cm="1">
        <f t="array" aca="1" ref="BJ14" ca="1">_xlfn.IFS(               NewTrader!$AF14=NoStock,(NewTrader!$BL14-NewTrader!$Y14)/NewTrader!$Y14-Commission,             NewTrader!$X14&lt;&gt;0,(NewTrader!$X14-NewTrader!$Y14)/NewTrader!$Y14-Commission)</f>
        <v>-0.15266030023968713</v>
      </c>
      <c r="BK14" s="1713">
        <f ca="1">_xlfn.XLOOKUP(NewTrader!$V14,TabCalc[Ticker],TabCalc[L_Sn])</f>
        <v>1000</v>
      </c>
      <c r="BL14" s="1693">
        <f ca="1">_xlfn.XLOOKUP(NewTrader!$V14,TabCalc[Ticker],TabCalc[L_Sp])</f>
        <v>69.34</v>
      </c>
      <c r="BM14" s="1694">
        <f ca="1">-IFERROR((Tab_NewTRADER[[#This Row],[M]]-Tab_NewTRADER[[#This Row],[L_Sp]])/Tab_NewTRADER[[#This Row],[L_Sp]],0)</f>
        <v>-0.14320738390539359</v>
      </c>
      <c r="BN14" s="1714">
        <f ca="1">MIN(Tab_NewTRADER[[#This Row],[L_Sn]],Tab_NewTRADER[[#This Row],[N]])*(Tab_NewTRADER[[#This Row],[M]]-Tab_NewTRADER[[#This Row],[L_Sp]])*Comm_Net*Tab_NewTRADER[[#This Row],[Scale]]</f>
        <v>9903.188999999993</v>
      </c>
      <c r="BO14" s="1715">
        <f ca="1">Tab_NewTRADER[[#This Row],[L_Sn]]*(Tab_NewTRADER[[#This Row],[Agiotage]]-Tab_NewTRADER[[#This Row],[M]])/(Tab_NewTRADER[[#This Row],[L_Bn]]*Tab_NewTRADER[[#This Row],[M]])</f>
        <v>-0.98990078968471173</v>
      </c>
      <c r="BP14" s="1716">
        <f ca="1">IFERROR((Tab_NewTRADER[[#This Row],[M]]-Tab_NewTRADER[[#This Row],[A]])/Tab_NewTRADER[[#This Row],[A]],0)</f>
        <v>0.17655405469588595</v>
      </c>
      <c r="BQ14" s="1671" t="str">
        <f ca="1">TEXT(_xlfn.XLOOKUP(Tab_NewTRADER[[#This Row],[ClickTick]],TabCalc[Ticker],TabCalc[NAfter]),"#,#0")&amp;" : "&amp;TEXT(_xlfn.XLOOKUP(Tab_NewTRADER[[#This Row],[ClickTick]],TabCalc[Ticker],TabCalc[NAfter])*(Tab_NewTRADER[[#This Row],[M]]-Tab_NewTRADER[[#This Row],[A]])*(1-Commission)*Tab_NewTRADER[[#This Row],[Scale]],"#,#0$")</f>
        <v>1,000 : 11,864$</v>
      </c>
      <c r="BR14" s="262">
        <f ca="1">_xlfn.XLOOKUP(NewTrader!$V14,TabCalc[[#This Row],[Ticker]],TabCalc[[#This Row],[GL]])*(1-Commission)</f>
        <v>139283.85445053791</v>
      </c>
      <c r="BS14" s="262"/>
      <c r="BT14" s="1672" t="str">
        <f ca="1">Tab_NewTRADER[[#This Row],[Show]]&amp;": "&amp;_xlfn.XLOOKUP(Tab_NewTRADER[[#This Row],[Show]],TabCalc[Ticker],TabCalc[Pile?])</f>
        <v>CSCO: Pile</v>
      </c>
      <c r="BU14" s="1717" t="s">
        <v>1956</v>
      </c>
      <c r="BV14" s="1674" t="str" cm="1">
        <f t="array" aca="1" ref="BV14" ca="1">_xlfn.TEXTJOIN("",,INDEX({"M","A","Y"}, _xlfn.SORTBY({1,2,3}, -CHOOSE({1,2,3}, Tab_NewTRADER[[#This Row],[M]], Tab_NewTRADER[[#This Row],[A]], Tab_NewTRADER[[#This Row],[Y]]))))</f>
        <v>YMA</v>
      </c>
      <c r="BW14" s="1675"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76">
        <f ca="1">Tab_NewTRADER[[#This Row],[L_Sn]]*Tab_NewTRADER[[#This Row],[L_Sp]]+Tab_NewTRADER[[#This Row],[SellMore]]*Tab_NewTRADER[[#This Row],[M]]</f>
        <v>148610</v>
      </c>
      <c r="BY14" s="1676">
        <f ca="1">INDEX(
  INDEX(TabConsolid[], , _xlfn.XMATCH(Tab_NewTRADER[[#This Row],[ClickTick]]&amp;1, TabConsolid[#Headers])),
  MATCH(
    -Tab_NewTRADER[[#This Row],[M]],
    INDEX(TabConsolid[], , _xlfn.XMATCH(Tab_NewTRADER[[#This Row],[ClickTick]]&amp;2, TabConsolid[#Headers])),
    -1
  )
)</f>
        <v>1000</v>
      </c>
      <c r="BZ14" s="1676"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77">
        <f ca="1">Tab_NewTRADER[[#This Row],[ReBuy]]/(Tab_NewTRADER[[#This Row],[L_Sn]]+Tab_NewTRADER[[#This Row],[SellMore]])</f>
        <v>74.305000000000007</v>
      </c>
      <c r="CB14" s="1678">
        <f ca="1">((_xlfn.XLOOKUP(Tab_NewTRADER[[#This Row],[Show]],TabCalc[Ticker],TabCalc[NAfter])+Tab_NewTRADER[[#This Row],[L_Sn]])*(Tab_NewTRADER[[#This Row],[Agiotage]]-Tab_NewTRADER[[#This Row],[M]]))/(Tab_NewTRADER[[#This Row],[L_Sn]]*_xlfn.XLOOKUP(Tab_NewTRADER[[#This Row],[Show]],TabCalc[Ticker],TabCalc[NAfter]))</f>
        <v>-0.1569388711966142</v>
      </c>
      <c r="CC14" s="1677">
        <f ca="1">INDEX(Tab1Price[Price19], MATCH(Tab_NewTRADER[[#This Row],[Show]], Tab_NewTRADER[Show], 0))</f>
        <v>79.27</v>
      </c>
      <c r="CD14" s="1679">
        <f ca="1">_xlfn.XMATCH(Tab_NewTRADER[[#This Row],[Show]]&amp;1, TabConsolid[#Headers])</f>
        <v>35</v>
      </c>
      <c r="CE14" s="1678"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729" t="str" cm="1">
        <f t="array" aca="1" ref="CF14" ca="1">_xlfn.LET(
    _xlpm.FMT, _xlfn.LAMBDA(_xlpm.n, REPT(" ", 7 - LEN(TEXT(_xlpm.n,"0.00"))) &amp; TEXT(_xlpm.n,"0.00")),
    _xlpm.FMT(Tab_NewTRADER[[#This Row],[A]]) &amp; " -" &amp; _xlpm.FMT(Tab_NewTRADER[[#This Row],[M]]) &amp; " -" &amp; _xlpm.FMT(Tab_NewTRADER[[#This Row],[Y]])
)</f>
        <v xml:space="preserve">  67.37 -  79.27 -  84.81</v>
      </c>
      <c r="CG14" s="1730" t="str" cm="1">
        <f t="array" aca="1" ref="CG14" ca="1">_xlfn.LET(
    _xlpm.W, 7,
    _xlpm.FMT, _xlfn.LAMBDA(_xlpm.n, REPT(" ", _xlpm.W - LEN(TEXT(_xlpm.n,"0.00"))) &amp; TEXT(_xlpm.n,"0.00")),
    _xlpm.FMT(Tab_NewTRADER[[#This Row],[A]]) &amp; " * " &amp; _xlpm.FMT(Tab_NewTRADER[[#This Row],[M]]) &amp; " * " &amp; _xlpm.FMT(Tab_NewTRADER[[#This Row],[Y]])
)</f>
        <v xml:space="preserve">  67.37 *   79.27 *   84.81</v>
      </c>
      <c r="CH14" s="1842">
        <f>0</f>
        <v>0</v>
      </c>
      <c r="CI14" t="b">
        <f ca="1">IF(ABS(NewTrader!$Q14)&gt;=NewTrader!$Y14,"OK")</f>
        <v>0</v>
      </c>
    </row>
    <row r="15" spans="1:87" ht="23" thickBot="1">
      <c r="A15" s="1838">
        <f ca="1">IF(_xlfn.XLOOKUP(NewTrader!$V15,TabCalc[Ticker],TabCalc[Cur])="GBp",0.01,1)</f>
        <v>1</v>
      </c>
      <c r="B15" s="1620" t="str">
        <f ca="1">IFERROR(TRUNC(_xlfn.XLOOKUP(NewTrader!$V15,TabCalc[Ticker],ListLastBuyp),2)&amp;"x"&amp;_xlfn.XLOOKUP(NewTrader!$V15,TabCalc[Ticker],ListLastBuyn)&amp;"=    "&amp;IF(_xlfn.XLOOKUP(NewTrader!$V15,TabCalc[Ticker],ListReverseS)&gt;0,"+","")&amp;TEXT(_xlfn.XLOOKUP(NewTrader!$V15,TabCalc[Ticker],ListReverseS),"#,#0")&amp;" "&amp;#REF!,"")</f>
        <v/>
      </c>
      <c r="C15" s="1621" t="str">
        <f ca="1">_xlfn.XLOOKUP(NewTrader!$V15,TabCalc[Ticker],ListResale)&amp;" @ "&amp;TEXT((_xlfn.XLOOKUP(NewTrader!$V15,TabCalc[Ticker],TabCalc[L_Bp])+_xlfn.XLOOKUP(NewTrader!$V15,TabCalc[Ticker],TabCalc[M]))/_xlfn.XLOOKUP(NewTrader!$V15,TabCalc[Ticker],TabCalc[M]),"#0.0%")</f>
        <v>Resell @ 30.6%</v>
      </c>
      <c r="D15" s="1622"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718" t="str">
        <f ca="1">IF(      AND(NewTrader!$X15&lt;NewTrader!$Y15,    _xlfn.XLOOKUP(NewTrader!$V15,TabCalc[Ticker],TabCalc[L_Sp])&gt;NewTrader!$Y15),"BUY  "&amp;TEXT(DesiredBuyGain/NewTrader!$A15/(_xlfn.XLOOKUP(NewTrader!$V15,TabCalc[Ticker],TabCalc[L_Sp])-NewTrader!$Y15),"#,##0"),"")</f>
        <v/>
      </c>
      <c r="F15" s="1620" t="str">
        <f ca="1">TRUNC(TabCalc[[#This Row],[L_B1p]],2)&amp;"x"&amp;TabCalc[[#This Row],[L_B1n]]&amp;"=   "&amp;TEXT(TabCalc[[#This Row],[ReverseS1]],"#,#0")&amp;"$"</f>
        <v>-46.24x2300=   35$</v>
      </c>
      <c r="G15" s="1624" t="str">
        <f ca="1">IFERROR(TRUNC(_xlfn.XLOOKUP(NewTrader!$V15,TabCalc[Ticker],ListLastSalep),2)&amp;"x"&amp;_xlfn.XLOOKUP(NewTrader!$V15,TabCalc[Ticker],ListLastSalen)&amp;"=   "&amp;TEXT(-_xlfn.XLOOKUP(NewTrader!$V15,TabCalc[Ticker],ListReverseB),"#,#0")&amp;"$","")</f>
        <v>74.68x249=   1,530$</v>
      </c>
      <c r="H15" s="1625"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-7.6% = 0</v>
      </c>
      <c r="I15" s="1620" t="str">
        <f ca="1">IFERROR(TRUNC(TabCalc[[#This Row],[L_S1p]],2)&amp;"x"&amp;TabCalc[[#This Row],[L_S1n]]&amp;"=   "&amp;TEXT(TabCalc[[#This Row],[ReverseB1]],"#,#0"),"")</f>
        <v>62.73x750=   -13,571</v>
      </c>
      <c r="J15" s="1626">
        <f ca="1">_xlfn.XLOOKUP(NewTrader!$V15,TabCalc[Ticker],ListGravity)</f>
        <v>1.1362118025485588</v>
      </c>
      <c r="K15" s="1627" t="str" cm="1">
        <f t="array" aca="1" ref="K15" ca="1">IF(_xlfn.XLOOKUP(NewTrader!$V15,NewTrader!$V$3:$V$96,ListExtra_n)&gt;0,_xlfn.XLOOKUP(NewTrader!$V15,NewTrader!$V$3:$V$96,ListExtra_n),"")</f>
        <v/>
      </c>
      <c r="L15" s="1628" t="str">
        <f ca="1">IF(_xlfn.XLOOKUP(NewTrader!$V15,TabCalc[Ticker],ListExtra_n)&gt;0,_xlfn.XLOOKUP(NewTrader!$V15,TabCalc[Ticker],ListExtra_n)*NewTrader!$Y15*_xlfn.XLOOKUP(NewTrader!$V15,TabCalc[Ticker],ListScale),"")</f>
        <v/>
      </c>
      <c r="M15" s="1629">
        <f ca="1">_xlfn.XLOOKUP(NewTrader!$V15,TabCalc[Ticker],TabCalc[Agiotage])</f>
        <v>1.4470384600516701</v>
      </c>
      <c r="N15" s="1630" cm="1">
        <f t="array" aca="1" ref="N15" ca="1">_xlfn.XLOOKUP(NewTrader!$V15,ListTickers,Tab2RSIConventional[RSIConv20])</f>
        <v>49</v>
      </c>
      <c r="O15" s="1631" t="str">
        <f ca="1">TEXT(_xlfn.XLOOKUP(NewTrader!$V15,TabCalc[Ticker],TabCalc[Nbegin]),"#,#0")&amp;": "&amp;_xlfn.XLOOKUP(NewTrader!$V15,TabCalc[Ticker],TabCalc[Pile?])</f>
        <v xml:space="preserve">2,000: </v>
      </c>
      <c r="P15" s="1630">
        <f ca="1">_xlfn.XLOOKUP(NewTrader!$V15,TabCalc[Ticker],TabCalc[L_Bn])</f>
        <v>2000</v>
      </c>
      <c r="Q15" s="1633">
        <f ca="1">_xlfn.XLOOKUP(NewTrader!$V15,TabCalc[Ticker],TabCalc[L_Bp])</f>
        <v>-56.056190000000001</v>
      </c>
      <c r="R15" s="1634">
        <f ca="1">(NewTrader!$Y15+NewTrader!$Q15)/ABS(NewTrader!$Q15)</f>
        <v>0.44194601880720036</v>
      </c>
      <c r="S15" s="259">
        <f ca="1">INT(_xlfn.XLOOKUP(NewTrader!$V15,TabCalc[Ticker],TabCalc[Rev(MinStock)])*Comm_Net)</f>
        <v>23</v>
      </c>
      <c r="T15" s="1635">
        <f ca="1">_xlfn.XLOOKUP(NewTrader!$V15,TabCalc[Ticker],TabCalc[Agiotage])</f>
        <v>1.4470384600516701</v>
      </c>
      <c r="U15" s="1719"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2/2=&gt;2.4% / 2.4%</v>
      </c>
      <c r="V15" s="1578" t="str">
        <f ca="1">SORTING!B15</f>
        <v>CVS</v>
      </c>
      <c r="W15" s="1637">
        <f ca="1">_xlfn.XLOOKUP(NewTrader!$V15,TabCalc[Ticker],TabCalc[Y])</f>
        <v>91.84</v>
      </c>
      <c r="X15" s="1639">
        <f ca="1">-_xlfn.XLOOKUP(NewTrader!$V15&amp;2,Consolid!B$3:JZ$3,Consolid!B$4:JZ$4)</f>
        <v>56.201936093999997</v>
      </c>
      <c r="Y15" s="1639">
        <f ca="1">_xlfn.XLOOKUP(NewTrader!$V15,TabCalc[Ticker],TabCalc[M])</f>
        <v>80.83</v>
      </c>
      <c r="Z15" s="1640">
        <f ca="1">_xlfn.XLOOKUP(NewTrader!$V15,[1]!RTData[Ticker_Symbol],[1]!RTData[YTChange])</f>
        <v>0.21137361643036257</v>
      </c>
      <c r="AA15" s="1640" cm="1">
        <f t="array" aca="1" ref="AA15" ca="1">_xlfn.XLOOKUP(NewTrader!$V15,ListTickers,Tab1ChangePercent[Change%19])</f>
        <v>2.3553000000000001E-2</v>
      </c>
      <c r="AB15" s="1641">
        <f ca="1">_xlfn.XLOOKUP(NewTrader!$V15,TabCalc[Ticker],TabCalc[NAfter])</f>
        <v>1</v>
      </c>
      <c r="AC15" s="1641">
        <f ca="1">_xlfn.XLOOKUP(NewTrader!$V15,TabCalc[Ticker],TabCalc[Nbegin])</f>
        <v>2000</v>
      </c>
      <c r="AD15" s="1642" t="str">
        <f ca="1">_xlfn.LET(_xlpm.PILE,_xlfn.XLOOKUP(NewTrader!$V15,TabCalc[Ticker],TabCalc[Pile?]),                    _xlpm.GL,_xlfn.XLOOKUP(NewTrader!$V15,TabCalc[Ticker],TabCalc[GL]),                        _xlpm.GLK,_xlfn.XLOOKUP(NewTrader!$V15,TabCalc[Ticker],TabCalc[GL])/1000,                             _xlpm.MVal,_xlfn.XLOOKUP(NewTrader!$V15,TabCalc[Ticker],TabCalc[M_V])/1000,                   _xlpm.PILE&amp;" "&amp;IF(_xlpm.GL&lt;0,TEXT(_xlpm.GLK,"#,#0")&amp;"K /"&amp;TEXT(_xlpm.MVal,"#,#0")&amp;" K$","^"&amp;TEXT(_xlpm.GLK,"#,#0")&amp;"K / "&amp;TEXT(_xlpm.MVal,"#,#0")&amp;" K$"))</f>
        <v xml:space="preserve"> -45K /0 K$</v>
      </c>
      <c r="AE15" s="1643" t="str">
        <f ca="1">_xlfn.XLOOKUP(NewTrader!$V15,[1]!RTData[Ticker_Symbol],[1]!RTData[Currency])</f>
        <v>USD</v>
      </c>
      <c r="AF15" s="1721"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744" t="str" cm="1">
        <f t="array" aca="1" ref="AH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80.83 -  91.84</v>
      </c>
      <c r="AI15"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15" s="1739" t="str" cm="1">
        <f t="array" aca="1" ref="AJ15" ca="1">_xlfn.IFS(Tab_NewTRADER[[#This Row],[State]]="Sell More",TEXT(MIN(Tab_NewTRADER[[#This Row],[N]],Tab_NewTRADER[[#This Row],[L_Bn]])*(Tab_NewTRADER[[#This Row],[M]]-Tab_NewTRADER[[#This Row],[L_Sp]])*Tab_NewTRADER[[#This Row],[Scale]]*ComFactor,"#,#0"), TRUE,"M= "&amp;TEXT(Tab_NewTRADER[[#This Row],[M]],"#,#0.00"))</f>
        <v>6</v>
      </c>
      <c r="AK15" s="1699" t="str" cm="1">
        <f t="array" aca="1" ref="AK15" ca="1">_xlfn.IFS(Tab_NewTRADER[[#This Row],[Y]]&gt;Tab_NewTRADER[[#This Row],[A]],                 TEXT(MIN(Tab_NewTRADER[[#This Row],[L_Bn]],Tab_NewTRADER[[#This Row],[N]])*(Tab_NewTRADER[[#This Row],[M]]-Tab_NewTRADER[[#This Row],[A]])*Tab_NewTRADER[[#This Row],[Scale]]*ComFactor,"#,#0"), TRUE,0)</f>
        <v>25</v>
      </c>
      <c r="AL15" s="1700" cm="1">
        <f t="array" aca="1" ref="AL15" ca="1">_xlfn.IFS(Tab_NewTRADER[[#This Row],[M]]&gt;Tab_NewTRADER[[#This Row],[A]],                  Tab_NewTRADER[[#This Row],[N]]*(Tab_NewTRADER[[#This Row],[M]]-Tab_NewTRADER[[#This Row],[A]])*Tab_NewTRADER[[#This Row],[Scale]]*ComFactor, TRUE,0)</f>
        <v>24.5640309398444</v>
      </c>
      <c r="AM15" s="1592" t="str">
        <f ca="1">_xlfn.XLOOKUP(Tab_NewTRADER[[#This Row],[Show]],TabCalc[Ticker],TabCalc[Max_Bn])&amp;" x "&amp;TEXT(_xlfn.XLOOKUP(Tab_NewTRADER[[#This Row],[Show]],TabCalc[Ticker],TabCalc[Max_Bp]),"#,#0.00")</f>
        <v>1 x 56.20</v>
      </c>
      <c r="AN15" s="1650" t="str">
        <f ca="1">NewTrader!$V15</f>
        <v>CVS</v>
      </c>
      <c r="AO15" s="1651" t="str">
        <f ca="1">TEXT(_xlfn.XLOOKUP(Tab_NewTRADER[[#This Row],[ClickTick]],TabCalc[Ticker],TabCalc[NAfter]),"#,#0")&amp;"x"&amp;_xlfn.XLOOKUP(Tab_NewTRADER[[#This Row],[ClickTick]],TabCalc[Ticker],TabCalc[M])&amp;"           (A: "&amp;TEXT(-_xlfn.XLOOKUP(Tab_NewTRADER[[#This Row],[ClickTick]]&amp;2,Consolid!B$3:JZ$3,Consolid!B$4:JZ$4),"#,??0.00")&amp;")"</f>
        <v>1x80.83           (A:  56.20)</v>
      </c>
      <c r="AP15" s="1592" t="str">
        <f ca="1">_xlfn.XLOOKUP(Tab_NewTRADER[[#This Row],[Show]],TabCalc[Ticker],TabCalc[Min_Sn])&amp;" x "&amp;TEXT(_xlfn.XLOOKUP(Tab_NewTRADER[[#This Row],[Show]],TabCalc[Ticker],TabCalc[Min_Sp]),"#,#0.00")</f>
        <v>249 x 51.23</v>
      </c>
      <c r="AQ1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702" t="str" cm="1">
        <f t="array" aca="1" ref="AR15" ca="1">_xlfn.IFS(Tab_NewTRADER[[#This Row],[State]]="Reverse Buy",TEXT(-Tab_NewTRADER[[#This Row],[Buy_Back]],"#,#0")&amp;" / "&amp;TEXT(Tab_NewTRADER[[#This Row],[Rev_Buy]],"#,#0.0%"),TRUE,Tab_NewTRADER[[#This Row],[AMY]])</f>
        <v xml:space="preserve">  56.20 -  80.83 -  91.84</v>
      </c>
      <c r="AS15" s="1651"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99"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99" t="str" cm="1">
        <f t="array" aca="1" ref="AU15" ca="1">_xlfn.IFS(Tab_NewTRADER[[#This Row],[M]]&lt;Tab_NewTRADER[[#This Row],[A]],TEXT(Tab_NewTRADER[[#This Row],[N]]*Tab_NewTRADER[[#This Row],[M]]*Tab_NewTRADER[[#This Row],[Scale]]*Comm_Net,"#,#0")&amp;" @ "&amp;TEXT(Tab_NewTRADER[[#This Row],[M]],"#,#0.#0"),TRUE,"M: "&amp; Tab_NewTRADER[[#This Row],[M]])</f>
        <v>M: 80.83</v>
      </c>
      <c r="AV15" s="1740" cm="1">
        <f t="array" aca="1" ref="AV15" ca="1">-_xlfn.XLOOKUP(
    Tab_NewTRADER[[#This Row],[Show]] &amp; 2,
    TabConsolid[#Headers],
    INDEX(TabConsolid[], 1, 0)
)</f>
        <v>56.201936093999997</v>
      </c>
      <c r="AW15" s="1741">
        <f ca="1">Tab_NewTRADER[[#This Row],[M]]*Tab_NewTRADER[[#This Row],[N]]*(1-Commission)*Tab_NewTRADER[[#This Row],[Scale]]</f>
        <v>80.619841999999991</v>
      </c>
      <c r="AX15" s="1705"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705"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706" t="str" cm="1">
        <f t="array" aca="1" ref="AZ15" ca="1">_xlfn.IFS(   Tab_NewTRADER[[#This Row],[State]]=SellMorePercentGain,                     MIN(Tab_NewTRADER[[#This Row],[L_Sn]],Tab_NewTRADER[[#This Row],[N]])*(Tab_NewTRADER[[#This Row],[M]]-Tab_NewTRADER[[#This Row],[L_Sp]])*(1-Commission)*Tab_NewTRADER[[#This Row],[Scale]],                    TRUE,"")</f>
        <v/>
      </c>
      <c r="BA15" s="1723">
        <f ca="1">_xlfn.XLOOKUP(NewTrader!$V15,TabCalc[Ticker],TabCalc[Ann%RevLB])</f>
        <v>0.50031624770626459</v>
      </c>
      <c r="BB15" s="1724">
        <f ca="1">_xlfn.XLOOKUP(NewTrader!$V15,TabCalc[Ticker],TabCalc[Up20])</f>
        <v>0</v>
      </c>
      <c r="BC15" s="1725"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706" t="str" cm="1">
        <f t="array" aca="1" ref="BD15" ca="1">_xlfn.IFS(         NewTrader!$AF15=MDown,NewTrader!$P15*NewTrader!$Y15*(-(NewTrader!$Q15+NewTrader!$Y15)/NewTrader!$Y15)*(1-Commission)*NewTrader!$A15,                               TRUE,"")</f>
        <v/>
      </c>
      <c r="BE15" s="1705" t="str" cm="1">
        <f t="array" aca="1" ref="BE15" ca="1">_xlfn.IFS(   NewTrader!$AF15=MUp,NewTrader!$BP15-Commission,        NewTrader!$AF15=MDown,(NewTrader!$X15-NewTrader!$Y15)/NewTrader!$Y15-Commission,                              TRUE,"")</f>
        <v/>
      </c>
      <c r="BF15" s="1710"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710" t="str" cm="1">
        <f t="array" aca="1" ref="BG15" ca="1">_xlfn.LET(_xlpm.SumChTxt,TEXT(_xlfn.XLOOKUP(NewTrader!$V15,ListTickers,Tab2SumChangePercent[AVGChan20]),"#0.0%"),
      _xlfn.IFS(NewTrader!$AF15=NoStock,_xlpm.SumChTxt,
      TRUE, IF(NewTrader!$AF15=SellMorePercentGain,             "SumChange "&amp;_xlpm.SumChTxt,                         "&lt;"&amp;INT(_xlfn.XLOOKUP(NewTrader!$V15,ListTickers,Tab2ReverseGL[Rev_GL19]))&amp;    "&lt;"&amp;INT(_xlfn.XLOOKUP(NewTrader!$V15,ListTickers,Tab2ReverseGL[Rev_GL18]))&amp;":      "&amp;_xlpm.SumChTxt)))</f>
        <v>&lt;0&lt;0:      1.5%</v>
      </c>
      <c r="BH15" s="1711"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1x24.62</v>
      </c>
      <c r="BI15" s="1712" cm="1">
        <f t="array" aca="1" ref="BI15" ca="1">_xlfn.IFS(NewTrader!$AF15=Sale_Back,"",         NewTrader!$AF15=MDown, (NewTrader!$Y15-NewTrader!$X15)/NewTrader!$X15*ComFactor,             TRUE, IFERROR((NewTrader!$Y15-NewTrader!$X15)/NewTrader!$X15*ComFactor,""))</f>
        <v>0.43706734406373604</v>
      </c>
      <c r="BJ15" s="1664" cm="1">
        <f t="array" aca="1" ref="BJ15" ca="1">_xlfn.IFS(               NewTrader!$AF15=NoStock,(NewTrader!$BL15-NewTrader!$Y15)/NewTrader!$Y15-Commission,             NewTrader!$X15&lt;&gt;0,(NewTrader!$X15-NewTrader!$Y15)/NewTrader!$Y15-Commission)</f>
        <v>-0.30728964377087714</v>
      </c>
      <c r="BK15" s="1726">
        <f ca="1">_xlfn.XLOOKUP(NewTrader!$V15,TabCalc[Ticker],TabCalc[L_Sn])</f>
        <v>249</v>
      </c>
      <c r="BL15" s="1727">
        <f ca="1">_xlfn.XLOOKUP(NewTrader!$V15,TabCalc[Ticker],TabCalc[L_Sp])</f>
        <v>74.685000000000002</v>
      </c>
      <c r="BM15" s="1634">
        <f ca="1">-IFERROR((Tab_NewTRADER[[#This Row],[M]]-Tab_NewTRADER[[#This Row],[L_Sp]])/Tab_NewTRADER[[#This Row],[L_Sp]],0)</f>
        <v>-8.2278904733212768E-2</v>
      </c>
      <c r="BN15" s="1728">
        <f ca="1">MIN(Tab_NewTRADER[[#This Row],[L_Sn]],Tab_NewTRADER[[#This Row],[N]])*(Tab_NewTRADER[[#This Row],[M]]-Tab_NewTRADER[[#This Row],[L_Sp]])*Comm_Net*Tab_NewTRADER[[#This Row],[Scale]]</f>
        <v>6.1284084999999955</v>
      </c>
      <c r="BO15" s="1715">
        <f ca="1">Tab_NewTRADER[[#This Row],[L_Sn]]*(Tab_NewTRADER[[#This Row],[Agiotage]]-Tab_NewTRADER[[#This Row],[M]])/(Tab_NewTRADER[[#This Row],[L_Bn]]*Tab_NewTRADER[[#This Row],[M]])</f>
        <v>-0.12227117050258032</v>
      </c>
      <c r="BP15" s="1670">
        <f ca="1">IFERROR((Tab_NewTRADER[[#This Row],[M]]-Tab_NewTRADER[[#This Row],[A]])/Tab_NewTRADER[[#This Row],[A]],0)</f>
        <v>0.43820668143546826</v>
      </c>
      <c r="BQ15" s="1671" t="str">
        <f ca="1">TEXT(_xlfn.XLOOKUP(Tab_NewTRADER[[#This Row],[ClickTick]],TabCalc[Ticker],TabCalc[NAfter]),"#,#0")&amp;" : "&amp;TEXT(_xlfn.XLOOKUP(Tab_NewTRADER[[#This Row],[ClickTick]],TabCalc[Ticker],TabCalc[NAfter])*(Tab_NewTRADER[[#This Row],[M]]-Tab_NewTRADER[[#This Row],[A]])*(1-Commission)*Tab_NewTRADER[[#This Row],[Scale]],"#,#0$")</f>
        <v>1 : 25$</v>
      </c>
      <c r="BR15" s="259">
        <f ca="1">_xlfn.XLOOKUP(NewTrader!$V15,TabCalc[[#This Row],[Ticker]],TabCalc[[#This Row],[GL]])*(1-Commission)</f>
        <v>-44444.07089115191</v>
      </c>
      <c r="BS15" s="259"/>
      <c r="BT15" s="1672" t="str">
        <f ca="1">Tab_NewTRADER[[#This Row],[Show]]&amp;": "&amp;_xlfn.XLOOKUP(Tab_NewTRADER[[#This Row],[Show]],TabCalc[Ticker],TabCalc[Pile?])</f>
        <v xml:space="preserve">CVS: </v>
      </c>
      <c r="BU15" s="1717" t="s">
        <v>2032</v>
      </c>
      <c r="BV15" s="1674" t="str" cm="1">
        <f t="array" aca="1" ref="BV15" ca="1">_xlfn.TEXTJOIN("",,INDEX({"M","A","Y"}, _xlfn.SORTBY({1,2,3}, -CHOOSE({1,2,3}, Tab_NewTRADER[[#This Row],[M]], Tab_NewTRADER[[#This Row],[A]], Tab_NewTRADER[[#This Row],[Y]]))))</f>
        <v>YMA</v>
      </c>
      <c r="BW15" s="1675"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76">
        <f ca="1">Tab_NewTRADER[[#This Row],[L_Sn]]*Tab_NewTRADER[[#This Row],[L_Sp]]+Tab_NewTRADER[[#This Row],[SellMore]]*Tab_NewTRADER[[#This Row],[M]]</f>
        <v>18677.395000000004</v>
      </c>
      <c r="BY15" s="1676">
        <f ca="1">INDEX(
  INDEX(TabConsolid[], , _xlfn.XMATCH(Tab_NewTRADER[[#This Row],[ClickTick]]&amp;1, TabConsolid[#Headers])),
  MATCH(
    -Tab_NewTRADER[[#This Row],[M]],
    INDEX(TabConsolid[], , _xlfn.XMATCH(Tab_NewTRADER[[#This Row],[ClickTick]]&amp;2, TabConsolid[#Headers])),
    -1
  )
)</f>
        <v>1</v>
      </c>
      <c r="BZ15" s="1676"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77">
        <f ca="1">Tab_NewTRADER[[#This Row],[ReBuy]]/(Tab_NewTRADER[[#This Row],[L_Sn]]+Tab_NewTRADER[[#This Row],[SellMore]])</f>
        <v>74.709580000000017</v>
      </c>
      <c r="CB15" s="1678">
        <f ca="1">((_xlfn.XLOOKUP(Tab_NewTRADER[[#This Row],[Show]],TabCalc[Ticker],TabCalc[NAfter])+Tab_NewTRADER[[#This Row],[L_Sn]])*(Tab_NewTRADER[[#This Row],[Agiotage]]-Tab_NewTRADER[[#This Row],[M]]))/(Tab_NewTRADER[[#This Row],[L_Sn]]*_xlfn.XLOOKUP(Tab_NewTRADER[[#This Row],[Show]],TabCalc[Ticker],TabCalc[NAfter]))</f>
        <v>-79.70176861440595</v>
      </c>
      <c r="CC15" s="1677">
        <f ca="1">INDEX(Tab1Price[Price19], MATCH(Tab_NewTRADER[[#This Row],[Show]], Tab_NewTRADER[Show], 0))</f>
        <v>80.83</v>
      </c>
      <c r="CD15" s="1679">
        <f ca="1">_xlfn.XMATCH(Tab_NewTRADER[[#This Row],[Show]]&amp;1, TabConsolid[#Headers])</f>
        <v>38</v>
      </c>
      <c r="CE15" s="1678"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729" t="str" cm="1">
        <f t="array" aca="1" ref="CF15" ca="1">_xlfn.LET(
    _xlpm.FMT, _xlfn.LAMBDA(_xlpm.n, REPT(" ", 7 - LEN(TEXT(_xlpm.n,"0.00"))) &amp; TEXT(_xlpm.n,"0.00")),
    _xlpm.FMT(Tab_NewTRADER[[#This Row],[A]]) &amp; " -" &amp; _xlpm.FMT(Tab_NewTRADER[[#This Row],[M]]) &amp; " -" &amp; _xlpm.FMT(Tab_NewTRADER[[#This Row],[Y]])
)</f>
        <v xml:space="preserve">  56.20 -  80.83 -  91.84</v>
      </c>
      <c r="CG15" s="1730" t="str" cm="1">
        <f t="array" aca="1" ref="CG15" ca="1">_xlfn.LET(
    _xlpm.W, 7,
    _xlpm.FMT, _xlfn.LAMBDA(_xlpm.n, REPT(" ", _xlpm.W - LEN(TEXT(_xlpm.n,"0.00"))) &amp; TEXT(_xlpm.n,"0.00")),
    _xlpm.FMT(Tab_NewTRADER[[#This Row],[A]]) &amp; " * " &amp; _xlpm.FMT(Tab_NewTRADER[[#This Row],[M]]) &amp; " * " &amp; _xlpm.FMT(Tab_NewTRADER[[#This Row],[Y]])
)</f>
        <v xml:space="preserve">  56.20 *   80.83 *   91.84</v>
      </c>
      <c r="CH15" s="1842">
        <f>0</f>
        <v>0</v>
      </c>
      <c r="CI15" t="b">
        <f ca="1">IF(ABS(NewTrader!$Q15)&gt;=NewTrader!$Y15,"OK")</f>
        <v>0</v>
      </c>
    </row>
    <row r="16" spans="1:87" ht="23" hidden="1" thickBot="1">
      <c r="A16" s="1839">
        <f ca="1">IF(_xlfn.XLOOKUP(NewTrader!$V16,TabCalc[Ticker],TabCalc[Cur])="GBp",0.01,1)</f>
        <v>1</v>
      </c>
      <c r="B16" s="1681" t="str">
        <f ca="1">IFERROR(TRUNC(_xlfn.XLOOKUP(NewTrader!$V16,TabCalc[Ticker],ListLastBuyp),2)&amp;"x"&amp;_xlfn.XLOOKUP(NewTrader!$V16,TabCalc[Ticker],ListLastBuyn)&amp;"=    "&amp;IF(_xlfn.XLOOKUP(NewTrader!$V16,TabCalc[Ticker],ListReverseS)&gt;0,"+","")&amp;TEXT(_xlfn.XLOOKUP(NewTrader!$V16,TabCalc[Ticker],ListReverseS),"#,#0")&amp;" "&amp;#REF!,"")</f>
        <v/>
      </c>
      <c r="C16" s="1682" t="str">
        <f ca="1">_xlfn.XLOOKUP(NewTrader!$V16,TabCalc[Ticker],ListResale)&amp;" @ "&amp;TEXT((_xlfn.XLOOKUP(NewTrader!$V16,TabCalc[Ticker],TabCalc[L_Bp])+_xlfn.XLOOKUP(NewTrader!$V16,TabCalc[Ticker],TabCalc[M]))/_xlfn.XLOOKUP(NewTrader!$V16,TabCalc[Ticker],TabCalc[M]),"#0.0%")</f>
        <v>Resell @ 2.8%</v>
      </c>
      <c r="D16" s="1683"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84" t="str">
        <f ca="1">IF(      AND(NewTrader!$X16&lt;NewTrader!$Y16,    _xlfn.XLOOKUP(NewTrader!$V16,TabCalc[Ticker],TabCalc[L_Sp])&gt;NewTrader!$Y16),"BUY  "&amp;TEXT(DesiredBuyGain/NewTrader!$A16/(_xlfn.XLOOKUP(NewTrader!$V16,TabCalc[Ticker],TabCalc[L_Sp])-NewTrader!$Y16),"#,##0"),"")</f>
        <v/>
      </c>
      <c r="F16" s="1681" t="str">
        <f ca="1">TRUNC(TabCalc[[#This Row],[L_B1p]],2)&amp;"x"&amp;TabCalc[[#This Row],[L_B1n]]&amp;"=   "&amp;TEXT(TabCalc[[#This Row],[ReverseS1]],"#,#0")&amp;"$"</f>
        <v>-3.66x15000=   -25,425$</v>
      </c>
      <c r="G16" s="1685" t="str">
        <f ca="1">IFERROR(TRUNC(_xlfn.XLOOKUP(NewTrader!$V16,TabCalc[Ticker],ListLastSalep),2)&amp;"x"&amp;_xlfn.XLOOKUP(NewTrader!$V16,TabCalc[Ticker],ListLastSalen)&amp;"=   "&amp;TEXT(-_xlfn.XLOOKUP(NewTrader!$V16,TabCalc[Ticker],ListReverseB),"#,#0")&amp;"$","")</f>
        <v>3.15x10000=   -11,850$</v>
      </c>
      <c r="H16" s="1686"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60.3% = 4,219</v>
      </c>
      <c r="I16" s="1681" t="str">
        <f ca="1">IFERROR(TRUNC(TabCalc[[#This Row],[L_S1p]],2)&amp;"x"&amp;TabCalc[[#This Row],[L_S1n]]&amp;"=   "&amp;TEXT(TabCalc[[#This Row],[ReverseB1]],"#,#0"),"")</f>
        <v>3.08x5000=   5,575</v>
      </c>
      <c r="J16" s="1687">
        <f ca="1">_xlfn.XLOOKUP(NewTrader!$V16,TabCalc[Ticker],ListGravity)</f>
        <v>1.8447837150127226</v>
      </c>
      <c r="K16" s="1688" cm="1">
        <f t="array" aca="1" ref="K16" ca="1">IF(_xlfn.XLOOKUP(NewTrader!$V16,NewTrader!$V$3:$V$96,ListExtra_n)&gt;0,_xlfn.XLOOKUP(NewTrader!$V16,NewTrader!$V$3:$V$96,ListExtra_n),"")</f>
        <v>45000</v>
      </c>
      <c r="L16" s="1689">
        <f ca="1">IF(_xlfn.XLOOKUP(NewTrader!$V16,TabCalc[Ticker],ListExtra_n)&gt;0,_xlfn.XLOOKUP(NewTrader!$V16,TabCalc[Ticker],ListExtra_n)*NewTrader!$Y16*_xlfn.XLOOKUP(NewTrader!$V16,TabCalc[Ticker],ListScale),"")</f>
        <v>88425</v>
      </c>
      <c r="M16" s="1690">
        <f ca="1">_xlfn.XLOOKUP(NewTrader!$V16,TabCalc[Ticker],TabCalc[Agiotage])</f>
        <v>1.5342978323128995</v>
      </c>
      <c r="N16" s="1691" cm="1">
        <f t="array" aca="1" ref="N16" ca="1">_xlfn.XLOOKUP(NewTrader!$V16,ListTickers,Tab2RSIConventional[RSIConv20])</f>
        <v>65</v>
      </c>
      <c r="O16" s="1631" t="str">
        <f ca="1">TEXT(_xlfn.XLOOKUP(NewTrader!$V16,TabCalc[Ticker],TabCalc[Nbegin]),"#,#0")&amp;": "&amp;_xlfn.XLOOKUP(NewTrader!$V16,TabCalc[Ticker],TabCalc[Pile?])</f>
        <v>40,000: Pile</v>
      </c>
      <c r="P16" s="1692">
        <f ca="1">_xlfn.XLOOKUP(NewTrader!$V16,TabCalc[Ticker],TabCalc[L_Bn])</f>
        <v>20000</v>
      </c>
      <c r="Q16" s="1693">
        <f ca="1">_xlfn.XLOOKUP(NewTrader!$V16,TabCalc[Ticker],TabCalc[L_Bp])</f>
        <v>-1.91</v>
      </c>
      <c r="R16" s="1694">
        <f ca="1">(NewTrader!$Y16+NewTrader!$Q16)/ABS(NewTrader!$Q16)</f>
        <v>2.8795811518324693E-2</v>
      </c>
      <c r="S16" s="262">
        <f ca="1">INT(_xlfn.XLOOKUP(NewTrader!$V16,TabCalc[Ticker],TabCalc[Rev(MinStock)])*Comm_Net)</f>
        <v>1094</v>
      </c>
      <c r="T16" s="1635">
        <f ca="1">_xlfn.XLOOKUP(NewTrader!$V16,TabCalc[Ticker],TabCalc[Agiotage])</f>
        <v>1.5342978323128995</v>
      </c>
      <c r="U16" s="1695"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14,875/14,875=&gt;11.0% / 11.0%</v>
      </c>
      <c r="V16" s="1578" t="str">
        <f ca="1">SORTING!B16</f>
        <v>DDD</v>
      </c>
      <c r="W16" s="1637">
        <f ca="1">_xlfn.XLOOKUP(NewTrader!$V16,TabCalc[Ticker],TabCalc[Y])</f>
        <v>3.625</v>
      </c>
      <c r="X16" s="1639">
        <f ca="1">-_xlfn.XLOOKUP(NewTrader!$V16&amp;2,Consolid!B$3:JZ$3,Consolid!B$4:JZ$4)</f>
        <v>2.994825176470588</v>
      </c>
      <c r="Y16" s="1639">
        <f ca="1">_xlfn.XLOOKUP(NewTrader!$V16,TabCalc[Ticker],TabCalc[M])</f>
        <v>1.9650000000000001</v>
      </c>
      <c r="Z16" s="1640">
        <f ca="1">_xlfn.XLOOKUP(NewTrader!$V16,[1]!RTData[Ticker_Symbol],[1]!RTData[YTChange])</f>
        <v>-0.94986168741355459</v>
      </c>
      <c r="AA16" s="1640" cm="1">
        <f t="array" aca="1" ref="AA16" ca="1">_xlfn.XLOOKUP(NewTrader!$V16,ListTickers,Tab1ChangePercent[Change%19])</f>
        <v>0.110169</v>
      </c>
      <c r="AB16" s="1641">
        <f ca="1">_xlfn.XLOOKUP(NewTrader!$V16,TabCalc[Ticker],TabCalc[NAfter])</f>
        <v>85000</v>
      </c>
      <c r="AC16" s="1641">
        <f ca="1">_xlfn.XLOOKUP(NewTrader!$V16,TabCalc[Ticker],TabCalc[Nbegin])</f>
        <v>40000</v>
      </c>
      <c r="AD16" s="1642" t="str">
        <f ca="1">_xlfn.LET(_xlpm.PILE,_xlfn.XLOOKUP(NewTrader!$V16,TabCalc[Ticker],TabCalc[Pile?]),                    _xlpm.GL,_xlfn.XLOOKUP(NewTrader!$V16,TabCalc[Ticker],TabCalc[GL]),                        _xlpm.GLK,_xlfn.XLOOKUP(NewTrader!$V16,TabCalc[Ticker],TabCalc[GL])/1000,                             _xlpm.MVal,_xlfn.XLOOKUP(NewTrader!$V16,TabCalc[Ticker],TabCalc[M_V])/1000,                   _xlpm.PILE&amp;" "&amp;IF(_xlpm.GL&lt;0,TEXT(_xlpm.GLK,"#,#0")&amp;"K /"&amp;TEXT(_xlpm.MVal,"#,#0")&amp;" K$","^"&amp;TEXT(_xlpm.GLK,"#,#0")&amp;"K / "&amp;TEXT(_xlpm.MVal,"#,#0")&amp;" K$"))</f>
        <v>Pile -348K /167 K$</v>
      </c>
      <c r="AE16" s="1643" t="str">
        <f ca="1">_xlfn.XLOOKUP(NewTrader!$V16,[1]!RTData[Ticker_Symbol],[1]!RTData[Currency])</f>
        <v>USD</v>
      </c>
      <c r="AF16" s="1696"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646" t="str" cm="1">
        <f t="array" aca="1" ref="AH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1.97 -   3.63</v>
      </c>
      <c r="AI16"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11.0%</v>
      </c>
      <c r="AJ16" s="1651" t="str" cm="1">
        <f t="array" aca="1" ref="AJ16" ca="1">_xlfn.IFS(Tab_NewTRADER[[#This Row],[State]]="Sell More",TEXT(MIN(Tab_NewTRADER[[#This Row],[N]],Tab_NewTRADER[[#This Row],[L_Bn]])*(Tab_NewTRADER[[#This Row],[M]]-Tab_NewTRADER[[#This Row],[L_Sp]])*Tab_NewTRADER[[#This Row],[Scale]]*ComFactor,"#,#0"), TRUE,"M= "&amp;TEXT(Tab_NewTRADER[[#This Row],[M]],"#,#0.00"))</f>
        <v>M= 1.97</v>
      </c>
      <c r="AK16" s="1699" t="str" cm="1">
        <f t="array" aca="1" ref="AK16" ca="1">_xlfn.IFS(Tab_NewTRADER[[#This Row],[Y]]&gt;Tab_NewTRADER[[#This Row],[A]],                 TEXT(MIN(Tab_NewTRADER[[#This Row],[L_Bn]],Tab_NewTRADER[[#This Row],[N]])*(Tab_NewTRADER[[#This Row],[M]]-Tab_NewTRADER[[#This Row],[A]])*Tab_NewTRADER[[#This Row],[Scale]]*ComFactor,"#,#0"), TRUE,0)</f>
        <v>-20,543</v>
      </c>
      <c r="AL16" s="1700" cm="1">
        <f t="array" aca="1" ref="AL16" ca="1">_xlfn.IFS(Tab_NewTRADER[[#This Row],[M]]&gt;Tab_NewTRADER[[#This Row],[A]],                  Tab_NewTRADER[[#This Row],[N]]*(Tab_NewTRADER[[#This Row],[M]]-Tab_NewTRADER[[#This Row],[A]])*Tab_NewTRADER[[#This Row],[Scale]]*ComFactor, TRUE,0)</f>
        <v>0</v>
      </c>
      <c r="AM16" s="1592" t="str">
        <f ca="1">_xlfn.XLOOKUP(Tab_NewTRADER[[#This Row],[Show]],TabCalc[Ticker],TabCalc[Max_Bn])&amp;" x "&amp;TEXT(_xlfn.XLOOKUP(Tab_NewTRADER[[#This Row],[Show]],TabCalc[Ticker],TabCalc[Max_Bp]),"#,#0.00")</f>
        <v>10000 x 3.87</v>
      </c>
      <c r="AN16" s="1650" t="str">
        <f ca="1">NewTrader!$V16</f>
        <v>DDD</v>
      </c>
      <c r="AO16" s="1651" t="str">
        <f ca="1">TEXT(_xlfn.XLOOKUP(Tab_NewTRADER[[#This Row],[ClickTick]],TabCalc[Ticker],TabCalc[NAfter]),"#,#0")&amp;"x"&amp;_xlfn.XLOOKUP(Tab_NewTRADER[[#This Row],[ClickTick]],TabCalc[Ticker],TabCalc[M])&amp;"           (A: "&amp;TEXT(-_xlfn.XLOOKUP(Tab_NewTRADER[[#This Row],[ClickTick]]&amp;2,Consolid!B$3:JZ$3,Consolid!B$4:JZ$4),"#,??0.00")&amp;")"</f>
        <v>85,000x1.965           (A:   2.99)</v>
      </c>
      <c r="AP16" s="1592" t="str">
        <f ca="1">_xlfn.XLOOKUP(Tab_NewTRADER[[#This Row],[Show]],TabCalc[Ticker],TabCalc[Min_Sn])&amp;" x "&amp;TEXT(_xlfn.XLOOKUP(Tab_NewTRADER[[#This Row],[Show]],TabCalc[Ticker],TabCalc[Min_Sp]),"#,#0.00")</f>
        <v>5000 x 3.08</v>
      </c>
      <c r="AQ1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702" t="str" cm="1">
        <f t="array" aca="1" ref="AR16" ca="1">_xlfn.IFS(Tab_NewTRADER[[#This Row],[State]]="Reverse Buy",TEXT(-Tab_NewTRADER[[#This Row],[Buy_Back]],"#,#0")&amp;" / "&amp;TEXT(Tab_NewTRADER[[#This Row],[Rev_Buy]],"#,#0.0%"),TRUE,Tab_NewTRADER[[#This Row],[AMY]])</f>
        <v>11,818 / 37.6%</v>
      </c>
      <c r="AS16" s="1651"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-4,663       / -02.8%</v>
      </c>
      <c r="AT16" s="1699"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-87,308   / -52.4%</v>
      </c>
      <c r="AU16" s="1699" t="str" cm="1">
        <f t="array" aca="1" ref="AU16" ca="1">_xlfn.IFS(Tab_NewTRADER[[#This Row],[M]]&lt;Tab_NewTRADER[[#This Row],[A]],TEXT(Tab_NewTRADER[[#This Row],[N]]*Tab_NewTRADER[[#This Row],[M]]*Tab_NewTRADER[[#This Row],[Scale]]*Comm_Net,"#,#0")&amp;" @ "&amp;TEXT(Tab_NewTRADER[[#This Row],[M]],"#,#0.#0"),TRUE,"M: "&amp; Tab_NewTRADER[[#This Row],[M]])</f>
        <v>166,574 @ 1.97</v>
      </c>
      <c r="AV16" s="1722" cm="1">
        <f t="array" aca="1" ref="AV16" ca="1">-_xlfn.XLOOKUP(
    Tab_NewTRADER[[#This Row],[Show]] &amp; 2,
    TabConsolid[#Headers],
    INDEX(TabConsolid[], 1, 0)
)</f>
        <v>2.994825176470588</v>
      </c>
      <c r="AW16" s="1710">
        <f ca="1">Tab_NewTRADER[[#This Row],[M]]*Tab_NewTRADER[[#This Row],[N]]*(1-Commission)*Tab_NewTRADER[[#This Row],[Scale]]</f>
        <v>166590.73499999999</v>
      </c>
      <c r="AX16" s="1705"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705"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706" t="str" cm="1">
        <f t="array" aca="1" ref="AZ16" ca="1">_xlfn.IFS(   Tab_NewTRADER[[#This Row],[State]]=SellMorePercentGain,                     MIN(Tab_NewTRADER[[#This Row],[L_Sn]],Tab_NewTRADER[[#This Row],[N]])*(Tab_NewTRADER[[#This Row],[M]]-Tab_NewTRADER[[#This Row],[L_Sp]])*(1-Commission)*Tab_NewTRADER[[#This Row],[Scale]],                    TRUE,"")</f>
        <v/>
      </c>
      <c r="BA16" s="1707">
        <f ca="1">_xlfn.XLOOKUP(NewTrader!$V16,TabCalc[Ticker],TabCalc[Ann%RevLB])</f>
        <v>4.8898547861306083E-2</v>
      </c>
      <c r="BB16" s="1708">
        <f ca="1">_xlfn.XLOOKUP(NewTrader!$V16,TabCalc[Ticker],TabCalc[Up20])</f>
        <v>0</v>
      </c>
      <c r="BC16" s="1709"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706" t="str" cm="1">
        <f t="array" aca="1" ref="BD16" ca="1">_xlfn.IFS(         NewTrader!$AF16=MDown,NewTrader!$P16*NewTrader!$Y16*(-(NewTrader!$Q16+NewTrader!$Y16)/NewTrader!$Y16)*(1-Commission)*NewTrader!$A16,                               TRUE,"")</f>
        <v/>
      </c>
      <c r="BE16" s="1705" t="str" cm="1">
        <f t="array" aca="1" ref="BE16" ca="1">_xlfn.IFS(   NewTrader!$AF16=MUp,NewTrader!$BP16-Commission,        NewTrader!$AF16=MDown,(NewTrader!$X16-NewTrader!$Y16)/NewTrader!$Y16-Commission,                              TRUE,"")</f>
        <v/>
      </c>
      <c r="BF16" s="1706"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710" t="str" cm="1">
        <f t="array" aca="1" ref="BG16" ca="1">_xlfn.LET(_xlpm.SumChTxt,TEXT(_xlfn.XLOOKUP(NewTrader!$V16,ListTickers,Tab2SumChangePercent[AVGChan20]),"#0.0%"),
      _xlfn.IFS(NewTrader!$AF16=NoStock,_xlpm.SumChTxt,
      TRUE, IF(NewTrader!$AF16=SellMorePercentGain,             "SumChange "&amp;_xlpm.SumChTxt,                         "&lt;"&amp;INT(_xlfn.XLOOKUP(NewTrader!$V16,ListTickers,Tab2ReverseGL[Rev_GL19]))&amp;    "&lt;"&amp;INT(_xlfn.XLOOKUP(NewTrader!$V16,ListTickers,Tab2ReverseGL[Rev_GL18]))&amp;":      "&amp;_xlpm.SumChTxt)))</f>
        <v>&lt;0&lt;0:      0.5%</v>
      </c>
      <c r="BH16" s="1711"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712" cm="1">
        <f t="array" aca="1" ref="BI16" ca="1">_xlfn.IFS(NewTrader!$AF16=Sale_Back,"",         NewTrader!$AF16=MDown, (NewTrader!$Y16-NewTrader!$X16)/NewTrader!$X16*ComFactor,             TRUE, IFERROR((NewTrader!$Y16-NewTrader!$X16)/NewTrader!$X16*ComFactor,""))</f>
        <v>-0.34297415391113462</v>
      </c>
      <c r="BJ16" s="1664" cm="1">
        <f t="array" aca="1" ref="BJ16" ca="1">_xlfn.IFS(               NewTrader!$AF16=NoStock,(NewTrader!$BL16-NewTrader!$Y16)/NewTrader!$Y16-Commission,             NewTrader!$X16&lt;&gt;0,(NewTrader!$X16-NewTrader!$Y16)/NewTrader!$Y16-Commission)</f>
        <v>0.5214840592725638</v>
      </c>
      <c r="BK16" s="1713">
        <f ca="1">_xlfn.XLOOKUP(NewTrader!$V16,TabCalc[Ticker],TabCalc[L_Sn])</f>
        <v>10000</v>
      </c>
      <c r="BL16" s="1693">
        <f ca="1">_xlfn.XLOOKUP(NewTrader!$V16,TabCalc[Ticker],TabCalc[L_Sp])</f>
        <v>3.15</v>
      </c>
      <c r="BM16" s="1694">
        <f ca="1">-IFERROR((Tab_NewTRADER[[#This Row],[M]]-Tab_NewTRADER[[#This Row],[L_Sp]])/Tab_NewTRADER[[#This Row],[L_Sp]],0)</f>
        <v>0.37619047619047613</v>
      </c>
      <c r="BN16" s="1714">
        <f ca="1">MIN(Tab_NewTRADER[[#This Row],[L_Sn]],Tab_NewTRADER[[#This Row],[N]])*(Tab_NewTRADER[[#This Row],[M]]-Tab_NewTRADER[[#This Row],[L_Sp]])*Comm_Net*Tab_NewTRADER[[#This Row],[Scale]]</f>
        <v>-11818.004999999997</v>
      </c>
      <c r="BO16" s="1715">
        <f ca="1">Tab_NewTRADER[[#This Row],[L_Sn]]*(Tab_NewTRADER[[#This Row],[Agiotage]]-Tab_NewTRADER[[#This Row],[M]])/(Tab_NewTRADER[[#This Row],[L_Bn]]*Tab_NewTRADER[[#This Row],[M]])</f>
        <v>-0.10959342689239202</v>
      </c>
      <c r="BP16" s="1716">
        <f ca="1">IFERROR((Tab_NewTRADER[[#This Row],[M]]-Tab_NewTRADER[[#This Row],[A]])/Tab_NewTRADER[[#This Row],[A]],0)</f>
        <v>-0.34386821126041173</v>
      </c>
      <c r="BQ16" s="1671" t="str">
        <f ca="1">TEXT(_xlfn.XLOOKUP(Tab_NewTRADER[[#This Row],[ClickTick]],TabCalc[Ticker],TabCalc[NAfter]),"#,#0")&amp;" : "&amp;TEXT(_xlfn.XLOOKUP(Tab_NewTRADER[[#This Row],[ClickTick]],TabCalc[Ticker],TabCalc[NAfter])*(Tab_NewTRADER[[#This Row],[M]]-Tab_NewTRADER[[#This Row],[A]])*(1-Commission)*Tab_NewTRADER[[#This Row],[Scale]],"#,#0$")</f>
        <v>85,000 : -87,308$</v>
      </c>
      <c r="BR16" s="262">
        <f ca="1">_xlfn.XLOOKUP(NewTrader!$V16,TabCalc[[#This Row],[Ticker]],TabCalc[[#This Row],[GL]])*(1-Commission)</f>
        <v>-346902.06115452026</v>
      </c>
      <c r="BS16" s="262"/>
      <c r="BT16" s="1672" t="str">
        <f ca="1">Tab_NewTRADER[[#This Row],[Show]]&amp;": "&amp;_xlfn.XLOOKUP(Tab_NewTRADER[[#This Row],[Show]],TabCalc[Ticker],TabCalc[Pile?])</f>
        <v>DDD: Pile</v>
      </c>
      <c r="BU16" s="1717" t="s">
        <v>2047</v>
      </c>
      <c r="BV16" s="1674" t="str" cm="1">
        <f t="array" aca="1" ref="BV16" ca="1">_xlfn.TEXTJOIN("",,INDEX({"M","A","Y"}, _xlfn.SORTBY({1,2,3}, -CHOOSE({1,2,3}, Tab_NewTRADER[[#This Row],[M]], Tab_NewTRADER[[#This Row],[A]], Tab_NewTRADER[[#This Row],[Y]]))))</f>
        <v>YAM</v>
      </c>
      <c r="BW16" s="1675"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76" t="e">
        <f ca="1">Tab_NewTRADER[[#This Row],[L_Sn]]*Tab_NewTRADER[[#This Row],[L_Sp]]+Tab_NewTRADER[[#This Row],[SellMore]]*Tab_NewTRADER[[#This Row],[M]]</f>
        <v>#N/A</v>
      </c>
      <c r="BY16" s="1676" t="e">
        <f ca="1">INDEX(
  INDEX(TabConsolid[], , _xlfn.XMATCH(Tab_NewTRADER[[#This Row],[ClickTick]]&amp;1, TabConsolid[#Headers])),
  MATCH(
    -Tab_NewTRADER[[#This Row],[M]],
    INDEX(TabConsolid[], , _xlfn.XMATCH(Tab_NewTRADER[[#This Row],[ClickTick]]&amp;2, TabConsolid[#Headers])),
    -1
  )
)</f>
        <v>#N/A</v>
      </c>
      <c r="BZ16" s="1676"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77" t="e">
        <f ca="1">Tab_NewTRADER[[#This Row],[ReBuy]]/(Tab_NewTRADER[[#This Row],[L_Sn]]+Tab_NewTRADER[[#This Row],[SellMore]])</f>
        <v>#N/A</v>
      </c>
      <c r="CB16" s="1678">
        <f ca="1">((_xlfn.XLOOKUP(Tab_NewTRADER[[#This Row],[Show]],TabCalc[Ticker],TabCalc[NAfter])+Tab_NewTRADER[[#This Row],[L_Sn]])*(Tab_NewTRADER[[#This Row],[Agiotage]]-Tab_NewTRADER[[#This Row],[M]]))/(Tab_NewTRADER[[#This Row],[L_Sn]]*_xlfn.XLOOKUP(Tab_NewTRADER[[#This Row],[Show]],TabCalc[Ticker],TabCalc[NAfter]))</f>
        <v>-4.813730109444065E-5</v>
      </c>
      <c r="CC16" s="1677">
        <f ca="1">INDEX(Tab1Price[Price19], MATCH(Tab_NewTRADER[[#This Row],[Show]], Tab_NewTRADER[Show], 0))</f>
        <v>1.9650000000000001</v>
      </c>
      <c r="CD16" s="1679">
        <f ca="1">_xlfn.XMATCH(Tab_NewTRADER[[#This Row],[Show]]&amp;1, TabConsolid[#Headers])</f>
        <v>41</v>
      </c>
      <c r="CE16" s="1678"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729" t="str" cm="1">
        <f t="array" aca="1" ref="CF16" ca="1">_xlfn.LET(
    _xlpm.FMT, _xlfn.LAMBDA(_xlpm.n, REPT(" ", 7 - LEN(TEXT(_xlpm.n,"0.00"))) &amp; TEXT(_xlpm.n,"0.00")),
    _xlpm.FMT(Tab_NewTRADER[[#This Row],[A]]) &amp; " -" &amp; _xlpm.FMT(Tab_NewTRADER[[#This Row],[M]]) &amp; " -" &amp; _xlpm.FMT(Tab_NewTRADER[[#This Row],[Y]])
)</f>
        <v xml:space="preserve">   2.99 -   1.97 -   3.63</v>
      </c>
      <c r="CG16" s="1730" t="str" cm="1">
        <f t="array" aca="1" ref="CG16" ca="1">_xlfn.LET(
    _xlpm.W, 7,
    _xlpm.FMT, _xlfn.LAMBDA(_xlpm.n, REPT(" ", _xlpm.W - LEN(TEXT(_xlpm.n,"0.00"))) &amp; TEXT(_xlpm.n,"0.00")),
    _xlpm.FMT(Tab_NewTRADER[[#This Row],[A]]) &amp; " * " &amp; _xlpm.FMT(Tab_NewTRADER[[#This Row],[M]]) &amp; " * " &amp; _xlpm.FMT(Tab_NewTRADER[[#This Row],[Y]])
)</f>
        <v xml:space="preserve">   2.99 *    1.97 *    3.63</v>
      </c>
      <c r="CH16" s="1842">
        <f>0</f>
        <v>0</v>
      </c>
      <c r="CI16" t="b">
        <f ca="1">IF(ABS(NewTrader!$Q16)&gt;=NewTrader!$Y16,"OK")</f>
        <v>0</v>
      </c>
    </row>
    <row r="17" spans="1:87" ht="23" hidden="1" thickBot="1">
      <c r="A17" s="1838">
        <f ca="1">IF(_xlfn.XLOOKUP(NewTrader!$V17,TabCalc[Ticker],TabCalc[Cur])="GBp",0.01,1)</f>
        <v>1</v>
      </c>
      <c r="B17" s="1620" t="str">
        <f ca="1">IFERROR(TRUNC(_xlfn.XLOOKUP(NewTrader!$V17,TabCalc[Ticker],ListLastBuyp),2)&amp;"x"&amp;_xlfn.XLOOKUP(NewTrader!$V17,TabCalc[Ticker],ListLastBuyn)&amp;"=    "&amp;IF(_xlfn.XLOOKUP(NewTrader!$V17,TabCalc[Ticker],ListReverseS)&gt;0,"+","")&amp;TEXT(_xlfn.XLOOKUP(NewTrader!$V17,TabCalc[Ticker],ListReverseS),"#,#0")&amp;" "&amp;#REF!,"")</f>
        <v/>
      </c>
      <c r="C17" s="1621" t="str">
        <f ca="1">_xlfn.XLOOKUP(NewTrader!$V17,TabCalc[Ticker],ListResale)&amp;" @ "&amp;TEXT((_xlfn.XLOOKUP(NewTrader!$V17,TabCalc[Ticker],TabCalc[L_Bp])+_xlfn.XLOOKUP(NewTrader!$V17,TabCalc[Ticker],TabCalc[M]))/_xlfn.XLOOKUP(NewTrader!$V17,TabCalc[Ticker],TabCalc[M]),"#0.0%")</f>
        <v>Sell @ -4.0%</v>
      </c>
      <c r="D17" s="1622"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718" t="str">
        <f ca="1">IF(      AND(NewTrader!$X17&lt;NewTrader!$Y17,    _xlfn.XLOOKUP(NewTrader!$V17,TabCalc[Ticker],TabCalc[L_Sp])&gt;NewTrader!$Y17),"BUY  "&amp;TEXT(DesiredBuyGain/NewTrader!$A17/(_xlfn.XLOOKUP(NewTrader!$V17,TabCalc[Ticker],TabCalc[L_Sp])-NewTrader!$Y17),"#,##0"),"")</f>
        <v/>
      </c>
      <c r="F17" s="1620" t="str">
        <f ca="1">TRUNC(TabCalc[[#This Row],[L_B1p]],2)&amp;"x"&amp;TabCalc[[#This Row],[L_B1n]]&amp;"=   "&amp;TEXT(TabCalc[[#This Row],[ReverseS1]],"#,#0")&amp;"$"</f>
        <v>-109.28x800=   1,760$</v>
      </c>
      <c r="G17" s="1624" t="str">
        <f ca="1">IFERROR(TRUNC(_xlfn.XLOOKUP(NewTrader!$V17,TabCalc[Ticker],ListLastSalep),2)&amp;"x"&amp;_xlfn.XLOOKUP(NewTrader!$V17,TabCalc[Ticker],ListLastSalen)&amp;"=   "&amp;TEXT(-_xlfn.XLOOKUP(NewTrader!$V17,TabCalc[Ticker],ListReverseB),"#,#0")&amp;"$","")</f>
        <v>119.38x800=   -6,320$</v>
      </c>
      <c r="H17" s="1625"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7.1% = 633</v>
      </c>
      <c r="I17" s="1620" t="str">
        <f ca="1">IFERROR(TRUNC(TabCalc[[#This Row],[L_S1p]],2)&amp;"x"&amp;TabCalc[[#This Row],[L_S1n]]&amp;"=   "&amp;TEXT(TabCalc[[#This Row],[ReverseB1]],"#,#0"),"")</f>
        <v>117.4x400=   2,368</v>
      </c>
      <c r="J17" s="1626">
        <f ca="1">_xlfn.XLOOKUP(NewTrader!$V17,TabCalc[Ticker],ListGravity)</f>
        <v>1.1885860243989952</v>
      </c>
      <c r="K17" s="1627" cm="1">
        <f t="array" aca="1" ref="K17" ca="1">IF(_xlfn.XLOOKUP(NewTrader!$V17,NewTrader!$V$3:$V$96,ListExtra_n)&gt;0,_xlfn.XLOOKUP(NewTrader!$V17,NewTrader!$V$3:$V$96,ListExtra_n),"")</f>
        <v>650</v>
      </c>
      <c r="L17" s="1628">
        <f ca="1">IF(_xlfn.XLOOKUP(NewTrader!$V17,TabCalc[Ticker],ListExtra_n)&gt;0,_xlfn.XLOOKUP(NewTrader!$V17,TabCalc[Ticker],ListExtra_n)*NewTrader!$Y17*_xlfn.XLOOKUP(NewTrader!$V17,TabCalc[Ticker],ListScale),"")</f>
        <v>72462</v>
      </c>
      <c r="M17" s="1629">
        <f ca="1">_xlfn.XLOOKUP(NewTrader!$V17,TabCalc[Ticker],TabCalc[Agiotage])</f>
        <v>0.95490146509038409</v>
      </c>
      <c r="N17" s="1630" cm="1">
        <f t="array" aca="1" ref="N17" ca="1">_xlfn.XLOOKUP(NewTrader!$V17,ListTickers,Tab2RSIConventional[RSIConv20])</f>
        <v>39</v>
      </c>
      <c r="O17" s="1631" t="str">
        <f ca="1">TEXT(_xlfn.XLOOKUP(NewTrader!$V17,TabCalc[Ticker],TabCalc[Nbegin]),"#,#0")&amp;": "&amp;_xlfn.XLOOKUP(NewTrader!$V17,TabCalc[Ticker],TabCalc[Pile?])</f>
        <v xml:space="preserve">350: </v>
      </c>
      <c r="P17" s="1632">
        <f ca="1">_xlfn.XLOOKUP(NewTrader!$V17,TabCalc[Ticker],TabCalc[L_Bn])</f>
        <v>800</v>
      </c>
      <c r="Q17" s="1727">
        <f ca="1">_xlfn.XLOOKUP(NewTrader!$V17,TabCalc[Ticker],TabCalc[L_Bp])</f>
        <v>-115.89749999999999</v>
      </c>
      <c r="R17" s="1634">
        <f ca="1">(NewTrader!$Y17+NewTrader!$Q17)/ABS(NewTrader!$Q17)</f>
        <v>-3.8115576263508616E-2</v>
      </c>
      <c r="S17" s="259">
        <f ca="1">INT(_xlfn.XLOOKUP(NewTrader!$V17,TabCalc[Ticker],TabCalc[Rev(MinStock)])*Comm_Net)</f>
        <v>-3516</v>
      </c>
      <c r="T17" s="1635">
        <f ca="1">_xlfn.XLOOKUP(NewTrader!$V17,TabCalc[Ticker],TabCalc[Agiotage])</f>
        <v>0.95490146509038409</v>
      </c>
      <c r="U17" s="1719"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2,360/2,360=&gt;2.4% / 2.4%</v>
      </c>
      <c r="V17" s="1578" t="str">
        <f ca="1">SORTING!B17</f>
        <v>DIS</v>
      </c>
      <c r="W17" s="1637">
        <f ca="1">_xlfn.XLOOKUP(NewTrader!$V17,TabCalc[Ticker],TabCalc[Y])</f>
        <v>132.50357</v>
      </c>
      <c r="X17" s="1639">
        <f ca="1">-_xlfn.XLOOKUP(NewTrader!$V17&amp;2,Consolid!B$3:JZ$3,Consolid!B$4:JZ$4)</f>
        <v>114.87189239999999</v>
      </c>
      <c r="Y17" s="1639">
        <f ca="1">_xlfn.XLOOKUP(NewTrader!$V17,TabCalc[Ticker],TabCalc[M])</f>
        <v>111.48</v>
      </c>
      <c r="Z17" s="1640">
        <f ca="1">_xlfn.XLOOKUP(NewTrader!$V17,[1]!RTData[Ticker_Symbol],[1]!RTData[YTChange])</f>
        <v>32.630347715736043</v>
      </c>
      <c r="AA17" s="1640" cm="1">
        <f t="array" aca="1" ref="AA17" ca="1">_xlfn.XLOOKUP(NewTrader!$V17,ListTickers,Tab1ChangePercent[Change%19])</f>
        <v>2.435E-2</v>
      </c>
      <c r="AB17" s="1641">
        <f ca="1">_xlfn.XLOOKUP(NewTrader!$V17,TabCalc[Ticker],TabCalc[NAfter])</f>
        <v>1000</v>
      </c>
      <c r="AC17" s="1641">
        <f ca="1">_xlfn.XLOOKUP(NewTrader!$V17,TabCalc[Ticker],TabCalc[Nbegin])</f>
        <v>350</v>
      </c>
      <c r="AD17" s="1642" t="str">
        <f ca="1">_xlfn.LET(_xlpm.PILE,_xlfn.XLOOKUP(NewTrader!$V17,TabCalc[Ticker],TabCalc[Pile?]),                    _xlpm.GL,_xlfn.XLOOKUP(NewTrader!$V17,TabCalc[Ticker],TabCalc[GL]),                        _xlpm.GLK,_xlfn.XLOOKUP(NewTrader!$V17,TabCalc[Ticker],TabCalc[GL])/1000,                             _xlpm.MVal,_xlfn.XLOOKUP(NewTrader!$V17,TabCalc[Ticker],TabCalc[M_V])/1000,                   _xlpm.PILE&amp;" "&amp;IF(_xlpm.GL&lt;0,TEXT(_xlpm.GLK,"#,#0")&amp;"K /"&amp;TEXT(_xlpm.MVal,"#,#0")&amp;" K$","^"&amp;TEXT(_xlpm.GLK,"#,#0")&amp;"K / "&amp;TEXT(_xlpm.MVal,"#,#0")&amp;" K$"))</f>
        <v xml:space="preserve"> ^19K / 111 K$</v>
      </c>
      <c r="AE17" s="1643" t="str">
        <f ca="1">_xlfn.XLOOKUP(NewTrader!$V17,[1]!RTData[Ticker_Symbol],[1]!RTData[Currency])</f>
        <v>USD</v>
      </c>
      <c r="AF17" s="1721"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698" t="str" cm="1">
        <f t="array" aca="1" ref="AH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114.87 - 111.48 - 132.50</v>
      </c>
      <c r="AI1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17" s="1651" t="str" cm="1">
        <f t="array" aca="1" ref="AJ17" ca="1">_xlfn.IFS(Tab_NewTRADER[[#This Row],[State]]="Sell More",TEXT(MIN(Tab_NewTRADER[[#This Row],[N]],Tab_NewTRADER[[#This Row],[L_Bn]])*(Tab_NewTRADER[[#This Row],[M]]-Tab_NewTRADER[[#This Row],[L_Sp]])*Tab_NewTRADER[[#This Row],[Scale]]*ComFactor,"#,#0"), TRUE,"M= "&amp;TEXT(Tab_NewTRADER[[#This Row],[M]],"#,#0.00"))</f>
        <v>M= 111.48</v>
      </c>
      <c r="AK17" s="1699" t="str" cm="1">
        <f t="array" aca="1" ref="AK17" ca="1">_xlfn.IFS(Tab_NewTRADER[[#This Row],[Y]]&gt;Tab_NewTRADER[[#This Row],[A]],                 TEXT(MIN(Tab_NewTRADER[[#This Row],[L_Bn]],Tab_NewTRADER[[#This Row],[N]])*(Tab_NewTRADER[[#This Row],[M]]-Tab_NewTRADER[[#This Row],[A]])*Tab_NewTRADER[[#This Row],[Scale]]*ComFactor,"#,#0"), TRUE,0)</f>
        <v>-2,706</v>
      </c>
      <c r="AL17" s="1700" cm="1">
        <f t="array" aca="1" ref="AL17" ca="1">_xlfn.IFS(Tab_NewTRADER[[#This Row],[M]]&gt;Tab_NewTRADER[[#This Row],[A]],                  Tab_NewTRADER[[#This Row],[N]]*(Tab_NewTRADER[[#This Row],[M]]-Tab_NewTRADER[[#This Row],[A]])*Tab_NewTRADER[[#This Row],[Scale]]*ComFactor, TRUE,0)</f>
        <v>0</v>
      </c>
      <c r="AM17" s="1592" t="str">
        <f ca="1">_xlfn.XLOOKUP(Tab_NewTRADER[[#This Row],[Show]],TabCalc[Ticker],TabCalc[Max_Bn])&amp;" x "&amp;TEXT(_xlfn.XLOOKUP(Tab_NewTRADER[[#This Row],[Show]],TabCalc[Ticker],TabCalc[Max_Bp]),"#,#0.00")</f>
        <v>800 x 115.90</v>
      </c>
      <c r="AN17" s="1650" t="str">
        <f ca="1">NewTrader!$V17</f>
        <v>DIS</v>
      </c>
      <c r="AO17" s="1651" t="str">
        <f ca="1">TEXT(_xlfn.XLOOKUP(Tab_NewTRADER[[#This Row],[ClickTick]],TabCalc[Ticker],TabCalc[NAfter]),"#,#0")&amp;"x"&amp;_xlfn.XLOOKUP(Tab_NewTRADER[[#This Row],[ClickTick]],TabCalc[Ticker],TabCalc[M])&amp;"           (A: "&amp;TEXT(-_xlfn.XLOOKUP(Tab_NewTRADER[[#This Row],[ClickTick]]&amp;2,Consolid!B$3:JZ$3,Consolid!B$4:JZ$4),"#,??0.00")&amp;")"</f>
        <v>1,000x111.48           (A: 114.87)</v>
      </c>
      <c r="AP17" s="1592" t="str">
        <f ca="1">_xlfn.XLOOKUP(Tab_NewTRADER[[#This Row],[Show]],TabCalc[Ticker],TabCalc[Min_Sn])&amp;" x "&amp;TEXT(_xlfn.XLOOKUP(Tab_NewTRADER[[#This Row],[Show]],TabCalc[Ticker],TabCalc[Min_Sp]),"#,#0.00")</f>
        <v>100 x 111.54</v>
      </c>
      <c r="AQ1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702" t="str" cm="1">
        <f t="array" aca="1" ref="AR17" ca="1">_xlfn.IFS(Tab_NewTRADER[[#This Row],[State]]="Reverse Buy",TEXT(-Tab_NewTRADER[[#This Row],[Buy_Back]],"#,#0")&amp;" / "&amp;TEXT(Tab_NewTRADER[[#This Row],[Rev_Buy]],"#,#0.0%"),TRUE,Tab_NewTRADER[[#This Row],[AMY]])</f>
        <v xml:space="preserve"> 114.87 - 111.48 - 132.50</v>
      </c>
      <c r="AS17" s="1651"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4,406       / 04.0%</v>
      </c>
      <c r="AT17" s="1699"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-3,383   / -3.0%</v>
      </c>
      <c r="AU17" s="1699" t="str" cm="1">
        <f t="array" aca="1" ref="AU17" ca="1">_xlfn.IFS(Tab_NewTRADER[[#This Row],[M]]&lt;Tab_NewTRADER[[#This Row],[A]],TEXT(Tab_NewTRADER[[#This Row],[N]]*Tab_NewTRADER[[#This Row],[M]]*Tab_NewTRADER[[#This Row],[Scale]]*Comm_Net,"#,#0")&amp;" @ "&amp;TEXT(Tab_NewTRADER[[#This Row],[M]],"#,#0.#0"),TRUE,"M: "&amp; Tab_NewTRADER[[#This Row],[M]])</f>
        <v>111,179 @ 111.48</v>
      </c>
      <c r="AV17" s="1740" cm="1">
        <f t="array" aca="1" ref="AV17" ca="1">-_xlfn.XLOOKUP(
    Tab_NewTRADER[[#This Row],[Show]] &amp; 2,
    TabConsolid[#Headers],
    INDEX(TabConsolid[], 1, 0)
)</f>
        <v>114.87189239999999</v>
      </c>
      <c r="AW17" s="1741">
        <f ca="1">Tab_NewTRADER[[#This Row],[M]]*Tab_NewTRADER[[#This Row],[N]]*(1-Commission)*Tab_NewTRADER[[#This Row],[Scale]]</f>
        <v>111190.152</v>
      </c>
      <c r="AX17" s="1705"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705"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706" t="str" cm="1">
        <f t="array" aca="1" ref="AZ17" ca="1">_xlfn.IFS(   Tab_NewTRADER[[#This Row],[State]]=SellMorePercentGain,                     MIN(Tab_NewTRADER[[#This Row],[L_Sn]],Tab_NewTRADER[[#This Row],[N]])*(Tab_NewTRADER[[#This Row],[M]]-Tab_NewTRADER[[#This Row],[L_Sp]])*(1-Commission)*Tab_NewTRADER[[#This Row],[Scale]],                    TRUE,"")</f>
        <v/>
      </c>
      <c r="BA17" s="1723">
        <f ca="1">_xlfn.XLOOKUP(NewTrader!$V17,TabCalc[Ticker],TabCalc[Ann%RevLB])</f>
        <v>-0.14914790711807721</v>
      </c>
      <c r="BB17" s="1724">
        <f ca="1">_xlfn.XLOOKUP(NewTrader!$V17,TabCalc[Ticker],TabCalc[Up20])</f>
        <v>0</v>
      </c>
      <c r="BC17" s="1725"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706" t="str" cm="1">
        <f t="array" aca="1" ref="BD17" ca="1">_xlfn.IFS(         NewTrader!$AF17=MDown,NewTrader!$P17*NewTrader!$Y17*(-(NewTrader!$Q17+NewTrader!$Y17)/NewTrader!$Y17)*(1-Commission)*NewTrader!$A17,                               TRUE,"")</f>
        <v/>
      </c>
      <c r="BE17" s="1705" t="str" cm="1">
        <f t="array" aca="1" ref="BE17" ca="1">_xlfn.IFS(   NewTrader!$AF17=MUp,NewTrader!$BP17-Commission,        NewTrader!$AF17=MDown,(NewTrader!$X17-NewTrader!$Y17)/NewTrader!$Y17-Commission,                              TRUE,"")</f>
        <v/>
      </c>
      <c r="BF17" s="1710"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710" t="str" cm="1">
        <f t="array" aca="1" ref="BG17" ca="1">_xlfn.LET(_xlpm.SumChTxt,TEXT(_xlfn.XLOOKUP(NewTrader!$V17,ListTickers,Tab2SumChangePercent[AVGChan20]),"#0.0%"),
      _xlfn.IFS(NewTrader!$AF17=NoStock,_xlpm.SumChTxt,
      TRUE, IF(NewTrader!$AF17=SellMorePercentGain,             "SumChange "&amp;_xlpm.SumChTxt,                         "&lt;"&amp;INT(_xlfn.XLOOKUP(NewTrader!$V17,ListTickers,Tab2ReverseGL[Rev_GL19]))&amp;    "&lt;"&amp;INT(_xlfn.XLOOKUP(NewTrader!$V17,ListTickers,Tab2ReverseGL[Rev_GL18]))&amp;":      "&amp;_xlpm.SumChTxt)))</f>
        <v>&lt;-1&lt;-1:      0.3%</v>
      </c>
      <c r="BH17" s="1711"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-4.41</v>
      </c>
      <c r="BI17" s="1712" cm="1">
        <f t="array" aca="1" ref="BI17" ca="1">_xlfn.IFS(NewTrader!$AF17=Sale_Back,"",         NewTrader!$AF17=MDown, (NewTrader!$Y17-NewTrader!$X17)/NewTrader!$X17*ComFactor,             TRUE, IFERROR((NewTrader!$Y17-NewTrader!$X17)/NewTrader!$X17*ComFactor,""))</f>
        <v>-2.9450837877551924E-2</v>
      </c>
      <c r="BJ17" s="1664" cm="1">
        <f t="array" aca="1" ref="BJ17" ca="1">_xlfn.IFS(               NewTrader!$AF17=NoStock,(NewTrader!$BL17-NewTrader!$Y17)/NewTrader!$Y17-Commission,             NewTrader!$X17&lt;&gt;0,(NewTrader!$X17-NewTrader!$Y17)/NewTrader!$Y17-Commission)</f>
        <v>2.7826017222820139E-2</v>
      </c>
      <c r="BK17" s="1726">
        <f ca="1">_xlfn.XLOOKUP(NewTrader!$V17,TabCalc[Ticker],TabCalc[L_Sn])</f>
        <v>800</v>
      </c>
      <c r="BL17" s="1727">
        <f ca="1">_xlfn.XLOOKUP(NewTrader!$V17,TabCalc[Ticker],TabCalc[L_Sp])</f>
        <v>119.38</v>
      </c>
      <c r="BM17" s="1634">
        <f ca="1">-IFERROR((Tab_NewTRADER[[#This Row],[M]]-Tab_NewTRADER[[#This Row],[L_Sp]])/Tab_NewTRADER[[#This Row],[L_Sp]],0)</f>
        <v>6.6175238733456127E-2</v>
      </c>
      <c r="BN17" s="1728">
        <f ca="1">MIN(Tab_NewTRADER[[#This Row],[L_Sn]],Tab_NewTRADER[[#This Row],[N]])*(Tab_NewTRADER[[#This Row],[M]]-Tab_NewTRADER[[#This Row],[L_Sp]])*Comm_Net*Tab_NewTRADER[[#This Row],[Scale]]</f>
        <v>-6302.9359999999924</v>
      </c>
      <c r="BO17" s="1715">
        <f ca="1">Tab_NewTRADER[[#This Row],[L_Sn]]*(Tab_NewTRADER[[#This Row],[Agiotage]]-Tab_NewTRADER[[#This Row],[M]])/(Tab_NewTRADER[[#This Row],[L_Bn]]*Tab_NewTRADER[[#This Row],[M]])</f>
        <v>-0.99143432485566574</v>
      </c>
      <c r="BP17" s="1670">
        <f ca="1">IFERROR((Tab_NewTRADER[[#This Row],[M]]-Tab_NewTRADER[[#This Row],[A]])/Tab_NewTRADER[[#This Row],[A]],0)</f>
        <v>-2.952760966267488E-2</v>
      </c>
      <c r="BQ17" s="1671" t="str">
        <f ca="1">TEXT(_xlfn.XLOOKUP(Tab_NewTRADER[[#This Row],[ClickTick]],TabCalc[Ticker],TabCalc[NAfter]),"#,#0")&amp;" : "&amp;TEXT(_xlfn.XLOOKUP(Tab_NewTRADER[[#This Row],[ClickTick]],TabCalc[Ticker],TabCalc[NAfter])*(Tab_NewTRADER[[#This Row],[M]]-Tab_NewTRADER[[#This Row],[A]])*(1-Commission)*Tab_NewTRADER[[#This Row],[Scale]],"#,#0$")</f>
        <v>1,000 : -3,383$</v>
      </c>
      <c r="BR17" s="259">
        <f ca="1">_xlfn.XLOOKUP(NewTrader!$V17,TabCalc[[#This Row],[Ticker]],TabCalc[[#This Row],[GL]])*(1-Commission)</f>
        <v>18904.732624448116</v>
      </c>
      <c r="BS17" s="259"/>
      <c r="BT17" s="1672" t="str">
        <f ca="1">Tab_NewTRADER[[#This Row],[Show]]&amp;": "&amp;_xlfn.XLOOKUP(Tab_NewTRADER[[#This Row],[Show]],TabCalc[Ticker],TabCalc[Pile?])</f>
        <v xml:space="preserve">DIS: </v>
      </c>
      <c r="BU17" s="1717" t="s">
        <v>1993</v>
      </c>
      <c r="BV17" s="1674" t="str" cm="1">
        <f t="array" aca="1" ref="BV17" ca="1">_xlfn.TEXTJOIN("",,INDEX({"M","A","Y"}, _xlfn.SORTBY({1,2,3}, -CHOOSE({1,2,3}, Tab_NewTRADER[[#This Row],[M]], Tab_NewTRADER[[#This Row],[A]], Tab_NewTRADER[[#This Row],[Y]]))))</f>
        <v>YAM</v>
      </c>
      <c r="BW17" s="1675"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76" t="e">
        <f ca="1">Tab_NewTRADER[[#This Row],[L_Sn]]*Tab_NewTRADER[[#This Row],[L_Sp]]+Tab_NewTRADER[[#This Row],[SellMore]]*Tab_NewTRADER[[#This Row],[M]]</f>
        <v>#N/A</v>
      </c>
      <c r="BY17" s="1676" t="e">
        <f ca="1">INDEX(
  INDEX(TabConsolid[], , _xlfn.XMATCH(Tab_NewTRADER[[#This Row],[ClickTick]]&amp;1, TabConsolid[#Headers])),
  MATCH(
    -Tab_NewTRADER[[#This Row],[M]],
    INDEX(TabConsolid[], , _xlfn.XMATCH(Tab_NewTRADER[[#This Row],[ClickTick]]&amp;2, TabConsolid[#Headers])),
    -1
  )
)</f>
        <v>#N/A</v>
      </c>
      <c r="BZ17" s="1676"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200</v>
      </c>
      <c r="CA17" s="1677" t="e">
        <f ca="1">Tab_NewTRADER[[#This Row],[ReBuy]]/(Tab_NewTRADER[[#This Row],[L_Sn]]+Tab_NewTRADER[[#This Row],[SellMore]])</f>
        <v>#N/A</v>
      </c>
      <c r="CB17" s="1678">
        <f ca="1">((_xlfn.XLOOKUP(Tab_NewTRADER[[#This Row],[Show]],TabCalc[Ticker],TabCalc[NAfter])+Tab_NewTRADER[[#This Row],[L_Sn]])*(Tab_NewTRADER[[#This Row],[Agiotage]]-Tab_NewTRADER[[#This Row],[M]]))/(Tab_NewTRADER[[#This Row],[L_Sn]]*_xlfn.XLOOKUP(Tab_NewTRADER[[#This Row],[Show]],TabCalc[Ticker],TabCalc[NAfter]))</f>
        <v>-0.24868147170354662</v>
      </c>
      <c r="CC17" s="1677">
        <f ca="1">INDEX(Tab1Price[Price19], MATCH(Tab_NewTRADER[[#This Row],[Show]], Tab_NewTRADER[Show], 0))</f>
        <v>111.48</v>
      </c>
      <c r="CD17" s="1679">
        <f ca="1">_xlfn.XMATCH(Tab_NewTRADER[[#This Row],[Show]]&amp;1, TabConsolid[#Headers])</f>
        <v>44</v>
      </c>
      <c r="CE17" s="1678"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729" t="str" cm="1">
        <f t="array" aca="1" ref="CF17" ca="1">_xlfn.LET(
    _xlpm.FMT, _xlfn.LAMBDA(_xlpm.n, REPT(" ", 7 - LEN(TEXT(_xlpm.n,"0.00"))) &amp; TEXT(_xlpm.n,"0.00")),
    _xlpm.FMT(Tab_NewTRADER[[#This Row],[A]]) &amp; " -" &amp; _xlpm.FMT(Tab_NewTRADER[[#This Row],[M]]) &amp; " -" &amp; _xlpm.FMT(Tab_NewTRADER[[#This Row],[Y]])
)</f>
        <v xml:space="preserve"> 114.87 - 111.48 - 132.50</v>
      </c>
      <c r="CG17" s="1730" t="str" cm="1">
        <f t="array" aca="1" ref="CG17" ca="1">_xlfn.LET(
    _xlpm.W, 7,
    _xlpm.FMT, _xlfn.LAMBDA(_xlpm.n, REPT(" ", _xlpm.W - LEN(TEXT(_xlpm.n,"0.00"))) &amp; TEXT(_xlpm.n,"0.00")),
    _xlpm.FMT(Tab_NewTRADER[[#This Row],[A]]) &amp; " * " &amp; _xlpm.FMT(Tab_NewTRADER[[#This Row],[M]]) &amp; " * " &amp; _xlpm.FMT(Tab_NewTRADER[[#This Row],[Y]])
)</f>
        <v xml:space="preserve"> 114.87 *  111.48 *  132.50</v>
      </c>
      <c r="CH17" s="1842">
        <f>0</f>
        <v>0</v>
      </c>
      <c r="CI17" t="str">
        <f ca="1">IF(ABS(NewTrader!$Q17)&gt;=NewTrader!$Y17,"OK")</f>
        <v>OK</v>
      </c>
    </row>
    <row r="18" spans="1:87" ht="23" hidden="1" thickBot="1">
      <c r="A18" s="1839">
        <f ca="1">IF(_xlfn.XLOOKUP(NewTrader!$V18,TabCalc[Ticker],TabCalc[Cur])="GBp",0.01,1)</f>
        <v>1</v>
      </c>
      <c r="B18" s="1681" t="str">
        <f ca="1">IFERROR(TRUNC(_xlfn.XLOOKUP(NewTrader!$V18,TabCalc[Ticker],ListLastBuyp),2)&amp;"x"&amp;_xlfn.XLOOKUP(NewTrader!$V18,TabCalc[Ticker],ListLastBuyn)&amp;"=    "&amp;IF(_xlfn.XLOOKUP(NewTrader!$V18,TabCalc[Ticker],ListReverseS)&gt;0,"+","")&amp;TEXT(_xlfn.XLOOKUP(NewTrader!$V18,TabCalc[Ticker],ListReverseS),"#,#0")&amp;" "&amp;#REF!,"")</f>
        <v/>
      </c>
      <c r="C18" s="1682" t="str">
        <f ca="1">_xlfn.XLOOKUP(NewTrader!$V18,TabCalc[Ticker],ListResale)&amp;" @ "&amp;TEXT((_xlfn.XLOOKUP(NewTrader!$V18,TabCalc[Ticker],TabCalc[L_Bp])+_xlfn.XLOOKUP(NewTrader!$V18,TabCalc[Ticker],TabCalc[M]))/_xlfn.XLOOKUP(NewTrader!$V18,TabCalc[Ticker],TabCalc[M]),"#0.0%")</f>
        <v>B_more @ -15.2%</v>
      </c>
      <c r="D18" s="1683"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84" t="str">
        <f ca="1">IF(      AND(NewTrader!$X18&lt;NewTrader!$Y18,    _xlfn.XLOOKUP(NewTrader!$V18,TabCalc[Ticker],TabCalc[L_Sp])&gt;NewTrader!$Y18),"BUY  "&amp;TEXT(DesiredBuyGain/NewTrader!$A18/(_xlfn.XLOOKUP(NewTrader!$V18,TabCalc[Ticker],TabCalc[L_Sp])-NewTrader!$Y18),"#,##0"),"")</f>
        <v/>
      </c>
      <c r="F18" s="1681" t="str">
        <f ca="1">TRUNC(TabCalc[[#This Row],[L_B1p]],2)&amp;"x"&amp;TabCalc[[#This Row],[L_B1n]]&amp;"=   "&amp;TEXT(TabCalc[[#This Row],[ReverseS1]],"#,#0")&amp;"$"</f>
        <v>-30.95x500=   -3,910$</v>
      </c>
      <c r="G18" s="1685" t="str">
        <f ca="1">IFERROR(TRUNC(_xlfn.XLOOKUP(NewTrader!$V18,TabCalc[Ticker],ListLastSalep),2)&amp;"x"&amp;_xlfn.XLOOKUP(NewTrader!$V18,TabCalc[Ticker],ListLastSalen)&amp;"=   "&amp;TEXT(-_xlfn.XLOOKUP(NewTrader!$V18,TabCalc[Ticker],ListReverseB),"#,#0")&amp;"$","")</f>
        <v>29.14x2000=   -12,020$</v>
      </c>
      <c r="H18" s="1686"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26.0% = 832</v>
      </c>
      <c r="I18" s="1681" t="str">
        <f ca="1">IFERROR(TRUNC(TabCalc[[#This Row],[L_S1p]],2)&amp;"x"&amp;TabCalc[[#This Row],[L_S1n]]&amp;"=   "&amp;TEXT(TabCalc[[#This Row],[ReverseB1]],"#,#0"),"")</f>
        <v>38.69x500=   7,780</v>
      </c>
      <c r="J18" s="1687">
        <f ca="1">_xlfn.XLOOKUP(NewTrader!$V18,TabCalc[Ticker],ListGravity)</f>
        <v>1.368593169044531</v>
      </c>
      <c r="K18" s="1688" cm="1">
        <f t="array" aca="1" ref="K18" ca="1">IF(_xlfn.XLOOKUP(NewTrader!$V18,NewTrader!$V$3:$V$96,ListExtra_n)&gt;0,_xlfn.XLOOKUP(NewTrader!$V18,NewTrader!$V$3:$V$96,ListExtra_n),"")</f>
        <v>3750</v>
      </c>
      <c r="L18" s="1689">
        <f ca="1">IF(_xlfn.XLOOKUP(NewTrader!$V18,TabCalc[Ticker],ListExtra_n)&gt;0,_xlfn.XLOOKUP(NewTrader!$V18,TabCalc[Ticker],ListExtra_n)*NewTrader!$Y18*_xlfn.XLOOKUP(NewTrader!$V18,TabCalc[Ticker],ListScale),"")</f>
        <v>86737.5</v>
      </c>
      <c r="M18" s="1690">
        <f ca="1">_xlfn.XLOOKUP(NewTrader!$V18,TabCalc[Ticker],TabCalc[Agiotage])</f>
        <v>1.1231597996094751</v>
      </c>
      <c r="N18" s="1691" cm="1">
        <f t="array" aca="1" ref="N18" ca="1">_xlfn.XLOOKUP(NewTrader!$V18,ListTickers,Tab2RSIConventional[RSIConv20])</f>
        <v>64</v>
      </c>
      <c r="O18" s="1631" t="str">
        <f ca="1">TEXT(_xlfn.XLOOKUP(NewTrader!$V18,TabCalc[Ticker],TabCalc[Nbegin]),"#,#0")&amp;": "&amp;_xlfn.XLOOKUP(NewTrader!$V18,TabCalc[Ticker],TabCalc[Pile?])</f>
        <v>250: Pile</v>
      </c>
      <c r="P18" s="1692">
        <f ca="1">_xlfn.XLOOKUP(NewTrader!$V18,TabCalc[Ticker],TabCalc[L_Bn])</f>
        <v>2000</v>
      </c>
      <c r="Q18" s="1693">
        <f ca="1">_xlfn.XLOOKUP(NewTrader!$V18,TabCalc[Ticker],TabCalc[L_Bp])</f>
        <v>-26.64</v>
      </c>
      <c r="R18" s="1694">
        <f ca="1">(NewTrader!$Y18+NewTrader!$Q18)/ABS(NewTrader!$Q18)</f>
        <v>-0.1317567567567568</v>
      </c>
      <c r="S18" s="262">
        <f ca="1">INT(_xlfn.XLOOKUP(NewTrader!$V18,TabCalc[Ticker],TabCalc[Rev(MinStock)])*Comm_Net)</f>
        <v>-6984</v>
      </c>
      <c r="T18" s="1635">
        <f ca="1">_xlfn.XLOOKUP(NewTrader!$V18,TabCalc[Ticker],TabCalc[Agiotage])</f>
        <v>1.1231597996094751</v>
      </c>
      <c r="U18" s="1695"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920/920=&gt;0.5% / 0.5%</v>
      </c>
      <c r="V18" s="1578" t="str">
        <f ca="1">SORTING!B18</f>
        <v>DSY</v>
      </c>
      <c r="W18" s="1637">
        <f ca="1">_xlfn.XLOOKUP(NewTrader!$V18,TabCalc[Ticker],TabCalc[Y])</f>
        <v>31.655560000000001</v>
      </c>
      <c r="X18" s="1639">
        <f ca="1">-_xlfn.XLOOKUP(NewTrader!$V18&amp;2,Consolid!B$3:JZ$3,Consolid!B$4:JZ$4)</f>
        <v>30.150688499999998</v>
      </c>
      <c r="Y18" s="1639">
        <f ca="1">_xlfn.XLOOKUP(NewTrader!$V18,TabCalc[Ticker],TabCalc[M])</f>
        <v>23.13</v>
      </c>
      <c r="Z18" s="1640">
        <f ca="1">_xlfn.XLOOKUP(NewTrader!$V18,[1]!RTData[Ticker_Symbol],[1]!RTData[YTChange])</f>
        <v>-0.71537888868908461</v>
      </c>
      <c r="AA18" s="1640" cm="1">
        <f t="array" aca="1" ref="AA18" ca="1">_xlfn.XLOOKUP(NewTrader!$V18,ListTickers,Tab1ChangePercent[Change%19])</f>
        <v>4.7780000000000001E-3</v>
      </c>
      <c r="AB18" s="1641">
        <f ca="1">_xlfn.XLOOKUP(NewTrader!$V18,TabCalc[Ticker],TabCalc[NAfter])</f>
        <v>4000</v>
      </c>
      <c r="AC18" s="1641">
        <f ca="1">_xlfn.XLOOKUP(NewTrader!$V18,TabCalc[Ticker],TabCalc[Nbegin])</f>
        <v>250</v>
      </c>
      <c r="AD18" s="1642" t="str">
        <f ca="1">_xlfn.LET(_xlpm.PILE,_xlfn.XLOOKUP(NewTrader!$V18,TabCalc[Ticker],TabCalc[Pile?]),                    _xlpm.GL,_xlfn.XLOOKUP(NewTrader!$V18,TabCalc[Ticker],TabCalc[GL]),                        _xlpm.GLK,_xlfn.XLOOKUP(NewTrader!$V18,TabCalc[Ticker],TabCalc[GL])/1000,                             _xlpm.MVal,_xlfn.XLOOKUP(NewTrader!$V18,TabCalc[Ticker],TabCalc[M_V])/1000,                   _xlpm.PILE&amp;" "&amp;IF(_xlpm.GL&lt;0,TEXT(_xlpm.GLK,"#,#0")&amp;"K /"&amp;TEXT(_xlpm.MVal,"#,#0")&amp;" K$","^"&amp;TEXT(_xlpm.GLK,"#,#0")&amp;"K / "&amp;TEXT(_xlpm.MVal,"#,#0")&amp;" K$"))</f>
        <v>Pile -14K /92 K$</v>
      </c>
      <c r="AE18" s="1720" t="str">
        <f ca="1">_xlfn.XLOOKUP(NewTrader!$V18,[1]!RTData[Ticker_Symbol],[1]!RTData[Currency])</f>
        <v>EUR</v>
      </c>
      <c r="AF18" s="1721"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748" t="str" cm="1">
        <f t="array" aca="1" ref="AH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23.13 -  31.66</v>
      </c>
      <c r="AI18"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18" s="1749" t="str" cm="1">
        <f t="array" aca="1" ref="AJ18" ca="1">_xlfn.IFS(Tab_NewTRADER[[#This Row],[State]]="Sell More",TEXT(MIN(Tab_NewTRADER[[#This Row],[N]],Tab_NewTRADER[[#This Row],[L_Bn]])*(Tab_NewTRADER[[#This Row],[M]]-Tab_NewTRADER[[#This Row],[L_Sp]])*Tab_NewTRADER[[#This Row],[Scale]]*ComFactor,"#,#0"), TRUE,"M= "&amp;TEXT(Tab_NewTRADER[[#This Row],[M]],"#,#0.00"))</f>
        <v>M= 23.13</v>
      </c>
      <c r="AK18" s="1699" t="str" cm="1">
        <f t="array" aca="1" ref="AK18" ca="1">_xlfn.IFS(Tab_NewTRADER[[#This Row],[Y]]&gt;Tab_NewTRADER[[#This Row],[A]],                 TEXT(MIN(Tab_NewTRADER[[#This Row],[L_Bn]],Tab_NewTRADER[[#This Row],[N]])*(Tab_NewTRADER[[#This Row],[M]]-Tab_NewTRADER[[#This Row],[A]])*Tab_NewTRADER[[#This Row],[Scale]]*ComFactor,"#,#0"), TRUE,0)</f>
        <v>-14,005</v>
      </c>
      <c r="AL18" s="1700" cm="1">
        <f t="array" aca="1" ref="AL18" ca="1">_xlfn.IFS(Tab_NewTRADER[[#This Row],[M]]&gt;Tab_NewTRADER[[#This Row],[A]],                  Tab_NewTRADER[[#This Row],[N]]*(Tab_NewTRADER[[#This Row],[M]]-Tab_NewTRADER[[#This Row],[A]])*Tab_NewTRADER[[#This Row],[Scale]]*ComFactor, TRUE,0)</f>
        <v>0</v>
      </c>
      <c r="AM18" s="1592" t="str">
        <f ca="1">_xlfn.XLOOKUP(Tab_NewTRADER[[#This Row],[Show]],TabCalc[Ticker],TabCalc[Max_Bn])&amp;" x "&amp;TEXT(_xlfn.XLOOKUP(Tab_NewTRADER[[#This Row],[Show]],TabCalc[Ticker],TabCalc[Max_Bp]),"#,#0.00")</f>
        <v>500 x 38.78</v>
      </c>
      <c r="AN18" s="1650" t="str">
        <f ca="1">NewTrader!$V18</f>
        <v>DSY</v>
      </c>
      <c r="AO18" s="1651" t="str">
        <f ca="1">TEXT(_xlfn.XLOOKUP(Tab_NewTRADER[[#This Row],[ClickTick]],TabCalc[Ticker],TabCalc[NAfter]),"#,#0")&amp;"x"&amp;_xlfn.XLOOKUP(Tab_NewTRADER[[#This Row],[ClickTick]],TabCalc[Ticker],TabCalc[M])&amp;"           (A: "&amp;TEXT(-_xlfn.XLOOKUP(Tab_NewTRADER[[#This Row],[ClickTick]]&amp;2,Consolid!B$3:JZ$3,Consolid!B$4:JZ$4),"#,??0.00")&amp;")"</f>
        <v>4,000x23.13           (A:  30.15)</v>
      </c>
      <c r="AP18" s="1592" t="str">
        <f ca="1">_xlfn.XLOOKUP(Tab_NewTRADER[[#This Row],[Show]],TabCalc[Ticker],TabCalc[Min_Sn])&amp;" x "&amp;TEXT(_xlfn.XLOOKUP(Tab_NewTRADER[[#This Row],[Show]],TabCalc[Ticker],TabCalc[Min_Sp]),"#,#0.00")</f>
        <v>500 x 29.14</v>
      </c>
      <c r="AQ1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702" t="str" cm="1">
        <f t="array" aca="1" ref="AR18" ca="1">_xlfn.IFS(Tab_NewTRADER[[#This Row],[State]]="Reverse Buy",TEXT(-Tab_NewTRADER[[#This Row],[Buy_Back]],"#,#0")&amp;" / "&amp;TEXT(Tab_NewTRADER[[#This Row],[Rev_Buy]],"#,#0.0%"),TRUE,Tab_NewTRADER[[#This Row],[AMY]])</f>
        <v>11,988 / 20.6%</v>
      </c>
      <c r="AS18" s="1651"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14,003       / 15.2%</v>
      </c>
      <c r="AT18" s="1699"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-28,010   / -30.4%</v>
      </c>
      <c r="AU18" s="1699" t="str" cm="1">
        <f t="array" aca="1" ref="AU18" ca="1">_xlfn.IFS(Tab_NewTRADER[[#This Row],[M]]&lt;Tab_NewTRADER[[#This Row],[A]],TEXT(Tab_NewTRADER[[#This Row],[N]]*Tab_NewTRADER[[#This Row],[M]]*Tab_NewTRADER[[#This Row],[Scale]]*Comm_Net,"#,#0")&amp;" @ "&amp;TEXT(Tab_NewTRADER[[#This Row],[M]],"#,#0.#0"),TRUE,"M: "&amp; Tab_NewTRADER[[#This Row],[M]])</f>
        <v>92,270 @ 23.13</v>
      </c>
      <c r="AV18" s="1703" cm="1">
        <f t="array" aca="1" ref="AV18" ca="1">-_xlfn.XLOOKUP(
    Tab_NewTRADER[[#This Row],[Show]] &amp; 2,
    TabConsolid[#Headers],
    INDEX(TabConsolid[], 1, 0)
)</f>
        <v>30.150688499999998</v>
      </c>
      <c r="AW18" s="1704">
        <f ca="1">Tab_NewTRADER[[#This Row],[M]]*Tab_NewTRADER[[#This Row],[N]]*(1-Commission)*Tab_NewTRADER[[#This Row],[Scale]]</f>
        <v>92279.447999999989</v>
      </c>
      <c r="AX18" s="1705"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705"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706" t="str" cm="1">
        <f t="array" aca="1" ref="AZ18" ca="1">_xlfn.IFS(   Tab_NewTRADER[[#This Row],[State]]=SellMorePercentGain,                     MIN(Tab_NewTRADER[[#This Row],[L_Sn]],Tab_NewTRADER[[#This Row],[N]])*(Tab_NewTRADER[[#This Row],[M]]-Tab_NewTRADER[[#This Row],[L_Sp]])*(1-Commission)*Tab_NewTRADER[[#This Row],[Scale]],                    TRUE,"")</f>
        <v/>
      </c>
      <c r="BA18" s="1707">
        <f ca="1">_xlfn.XLOOKUP(NewTrader!$V18,TabCalc[Ticker],TabCalc[Ann%RevLB])</f>
        <v>-0.39859186918010464</v>
      </c>
      <c r="BB18" s="1708">
        <f ca="1">_xlfn.XLOOKUP(NewTrader!$V18,TabCalc[Ticker],TabCalc[Up20])</f>
        <v>0</v>
      </c>
      <c r="BC18" s="1709"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706" t="str" cm="1">
        <f t="array" aca="1" ref="BD18" ca="1">_xlfn.IFS(         NewTrader!$AF18=MDown,NewTrader!$P18*NewTrader!$Y18*(-(NewTrader!$Q18+NewTrader!$Y18)/NewTrader!$Y18)*(1-Commission)*NewTrader!$A18,                               TRUE,"")</f>
        <v/>
      </c>
      <c r="BE18" s="1705" t="str" cm="1">
        <f t="array" aca="1" ref="BE18" ca="1">_xlfn.IFS(   NewTrader!$AF18=MUp,NewTrader!$BP18-Commission,        NewTrader!$AF18=MDown,(NewTrader!$X18-NewTrader!$Y18)/NewTrader!$Y18-Commission,                              TRUE,"")</f>
        <v/>
      </c>
      <c r="BF18" s="1710"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710" t="str" cm="1">
        <f t="array" aca="1" ref="BG18" ca="1">_xlfn.LET(_xlpm.SumChTxt,TEXT(_xlfn.XLOOKUP(NewTrader!$V18,ListTickers,Tab2SumChangePercent[AVGChan20]),"#0.0%"),
      _xlfn.IFS(NewTrader!$AF18=NoStock,_xlpm.SumChTxt,
      TRUE, IF(NewTrader!$AF18=SellMorePercentGain,             "SumChange "&amp;_xlpm.SumChTxt,                         "&lt;"&amp;INT(_xlfn.XLOOKUP(NewTrader!$V18,ListTickers,Tab2ReverseGL[Rev_GL19]))&amp;    "&lt;"&amp;INT(_xlfn.XLOOKUP(NewTrader!$V18,ListTickers,Tab2ReverseGL[Rev_GL18]))&amp;":      "&amp;_xlpm.SumChTxt)))</f>
        <v>&lt;0&lt;0:      0.1%</v>
      </c>
      <c r="BH18" s="1711"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712" cm="1">
        <f t="array" aca="1" ref="BI18" ca="1">_xlfn.IFS(NewTrader!$AF18=Sale_Back,"",         NewTrader!$AF18=MDown, (NewTrader!$Y18-NewTrader!$X18)/NewTrader!$X18*ComFactor,             TRUE, IFERROR((NewTrader!$Y18-NewTrader!$X18)/NewTrader!$X18*ComFactor,""))</f>
        <v>-0.23224792063703617</v>
      </c>
      <c r="BJ18" s="1664" cm="1">
        <f t="array" aca="1" ref="BJ18" ca="1">_xlfn.IFS(               NewTrader!$AF18=NoStock,(NewTrader!$BL18-NewTrader!$Y18)/NewTrader!$Y18-Commission,             NewTrader!$X18&lt;&gt;0,(NewTrader!$X18-NewTrader!$Y18)/NewTrader!$Y18-Commission)</f>
        <v>0.30093171206225677</v>
      </c>
      <c r="BK18" s="1713">
        <f ca="1">_xlfn.XLOOKUP(NewTrader!$V18,TabCalc[Ticker],TabCalc[L_Sn])</f>
        <v>2000</v>
      </c>
      <c r="BL18" s="1693">
        <f ca="1">_xlfn.XLOOKUP(NewTrader!$V18,TabCalc[Ticker],TabCalc[L_Sp])</f>
        <v>29.14</v>
      </c>
      <c r="BM18" s="1694">
        <f ca="1">-IFERROR((Tab_NewTRADER[[#This Row],[M]]-Tab_NewTRADER[[#This Row],[L_Sp]])/Tab_NewTRADER[[#This Row],[L_Sp]],0)</f>
        <v>0.20624571036376121</v>
      </c>
      <c r="BN18" s="1714">
        <f ca="1">MIN(Tab_NewTRADER[[#This Row],[L_Sn]],Tab_NewTRADER[[#This Row],[N]])*(Tab_NewTRADER[[#This Row],[M]]-Tab_NewTRADER[[#This Row],[L_Sp]])*Comm_Net*Tab_NewTRADER[[#This Row],[Scale]]</f>
        <v>-11987.546000000004</v>
      </c>
      <c r="BO18" s="1715">
        <f ca="1">Tab_NewTRADER[[#This Row],[L_Sn]]*(Tab_NewTRADER[[#This Row],[Agiotage]]-Tab_NewTRADER[[#This Row],[M]])/(Tab_NewTRADER[[#This Row],[L_Bn]]*Tab_NewTRADER[[#This Row],[M]])</f>
        <v>-0.95144142673543131</v>
      </c>
      <c r="BP18" s="1716">
        <f ca="1">IFERROR((Tab_NewTRADER[[#This Row],[M]]-Tab_NewTRADER[[#This Row],[A]])/Tab_NewTRADER[[#This Row],[A]],0)</f>
        <v>-0.23285333931926627</v>
      </c>
      <c r="BQ18" s="1671" t="str">
        <f ca="1">TEXT(_xlfn.XLOOKUP(Tab_NewTRADER[[#This Row],[ClickTick]],TabCalc[Ticker],TabCalc[NAfter]),"#,#0")&amp;" : "&amp;TEXT(_xlfn.XLOOKUP(Tab_NewTRADER[[#This Row],[ClickTick]],TabCalc[Ticker],TabCalc[NAfter])*(Tab_NewTRADER[[#This Row],[M]]-Tab_NewTRADER[[#This Row],[A]])*(1-Commission)*Tab_NewTRADER[[#This Row],[Scale]],"#,#0$")</f>
        <v>4,000 : -28,010$</v>
      </c>
      <c r="BR18" s="262">
        <f ca="1">_xlfn.XLOOKUP(NewTrader!$V18,TabCalc[[#This Row],[Ticker]],TabCalc[[#This Row],[GL]])*(1-Commission)</f>
        <v>-14055.861742953188</v>
      </c>
      <c r="BS18" s="262"/>
      <c r="BT18" s="1672" t="str">
        <f ca="1">Tab_NewTRADER[[#This Row],[Show]]&amp;": "&amp;_xlfn.XLOOKUP(Tab_NewTRADER[[#This Row],[Show]],TabCalc[Ticker],TabCalc[Pile?])</f>
        <v>DSY: Pile</v>
      </c>
      <c r="BU18" s="1717" t="s">
        <v>2034</v>
      </c>
      <c r="BV18" s="1674" t="str" cm="1">
        <f t="array" aca="1" ref="BV18" ca="1">_xlfn.TEXTJOIN("",,INDEX({"M","A","Y"}, _xlfn.SORTBY({1,2,3}, -CHOOSE({1,2,3}, Tab_NewTRADER[[#This Row],[M]], Tab_NewTRADER[[#This Row],[A]], Tab_NewTRADER[[#This Row],[Y]]))))</f>
        <v>YAM</v>
      </c>
      <c r="BW18" s="1675"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76" t="e">
        <f ca="1">Tab_NewTRADER[[#This Row],[L_Sn]]*Tab_NewTRADER[[#This Row],[L_Sp]]+Tab_NewTRADER[[#This Row],[SellMore]]*Tab_NewTRADER[[#This Row],[M]]</f>
        <v>#N/A</v>
      </c>
      <c r="BY18" s="1676" t="e">
        <f ca="1">INDEX(
  INDEX(TabConsolid[], , _xlfn.XMATCH(Tab_NewTRADER[[#This Row],[ClickTick]]&amp;1, TabConsolid[#Headers])),
  MATCH(
    -Tab_NewTRADER[[#This Row],[M]],
    INDEX(TabConsolid[], , _xlfn.XMATCH(Tab_NewTRADER[[#This Row],[ClickTick]]&amp;2, TabConsolid[#Headers])),
    -1
  )
)</f>
        <v>#N/A</v>
      </c>
      <c r="BZ18" s="1676"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77" t="e">
        <f ca="1">Tab_NewTRADER[[#This Row],[ReBuy]]/(Tab_NewTRADER[[#This Row],[L_Sn]]+Tab_NewTRADER[[#This Row],[SellMore]])</f>
        <v>#N/A</v>
      </c>
      <c r="CB18" s="1678">
        <f ca="1">((_xlfn.XLOOKUP(Tab_NewTRADER[[#This Row],[Show]],TabCalc[Ticker],TabCalc[NAfter])+Tab_NewTRADER[[#This Row],[L_Sn]])*(Tab_NewTRADER[[#This Row],[Agiotage]]-Tab_NewTRADER[[#This Row],[M]]))/(Tab_NewTRADER[[#This Row],[L_Sn]]*_xlfn.XLOOKUP(Tab_NewTRADER[[#This Row],[Show]],TabCalc[Ticker],TabCalc[NAfter]))</f>
        <v>-1.6505130150292896E-2</v>
      </c>
      <c r="CC18" s="1677">
        <f ca="1">INDEX(Tab1Price[Price19], MATCH(Tab_NewTRADER[[#This Row],[Show]], Tab_NewTRADER[Show], 0))</f>
        <v>23.13</v>
      </c>
      <c r="CD18" s="1679">
        <f ca="1">_xlfn.XMATCH(Tab_NewTRADER[[#This Row],[Show]]&amp;1, TabConsolid[#Headers])</f>
        <v>47</v>
      </c>
      <c r="CE18" s="1678"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729" t="str" cm="1">
        <f t="array" aca="1" ref="CF18" ca="1">_xlfn.LET(
    _xlpm.FMT, _xlfn.LAMBDA(_xlpm.n, REPT(" ", 7 - LEN(TEXT(_xlpm.n,"0.00"))) &amp; TEXT(_xlpm.n,"0.00")),
    _xlpm.FMT(Tab_NewTRADER[[#This Row],[A]]) &amp; " -" &amp; _xlpm.FMT(Tab_NewTRADER[[#This Row],[M]]) &amp; " -" &amp; _xlpm.FMT(Tab_NewTRADER[[#This Row],[Y]])
)</f>
        <v xml:space="preserve">  30.15 -  23.13 -  31.66</v>
      </c>
      <c r="CG18" s="1730" t="str" cm="1">
        <f t="array" aca="1" ref="CG18" ca="1">_xlfn.LET(
    _xlpm.W, 7,
    _xlpm.FMT, _xlfn.LAMBDA(_xlpm.n, REPT(" ", _xlpm.W - LEN(TEXT(_xlpm.n,"0.00"))) &amp; TEXT(_xlpm.n,"0.00")),
    _xlpm.FMT(Tab_NewTRADER[[#This Row],[A]]) &amp; " * " &amp; _xlpm.FMT(Tab_NewTRADER[[#This Row],[M]]) &amp; " * " &amp; _xlpm.FMT(Tab_NewTRADER[[#This Row],[Y]])
)</f>
        <v xml:space="preserve">  30.15 *   23.13 *   31.66</v>
      </c>
      <c r="CH18" s="1842">
        <f>0</f>
        <v>0</v>
      </c>
      <c r="CI18" t="str">
        <f ca="1">IF(ABS(NewTrader!$Q18)&gt;=NewTrader!$Y18,"OK")</f>
        <v>OK</v>
      </c>
    </row>
    <row r="19" spans="1:87" ht="23" hidden="1" thickBot="1">
      <c r="A19" s="1838">
        <f ca="1">IF(_xlfn.XLOOKUP(NewTrader!$V19,TabCalc[Ticker],TabCalc[Cur])="GBp",0.01,1)</f>
        <v>1</v>
      </c>
      <c r="B19" s="1620" t="str">
        <f ca="1">IFERROR(TRUNC(_xlfn.XLOOKUP(NewTrader!$V19,TabCalc[Ticker],ListLastBuyp),2)&amp;"x"&amp;_xlfn.XLOOKUP(NewTrader!$V19,TabCalc[Ticker],ListLastBuyn)&amp;"=    "&amp;IF(_xlfn.XLOOKUP(NewTrader!$V19,TabCalc[Ticker],ListReverseS)&gt;0,"+","")&amp;TEXT(_xlfn.XLOOKUP(NewTrader!$V19,TabCalc[Ticker],ListReverseS),"#,#0")&amp;" "&amp;#REF!,"")</f>
        <v/>
      </c>
      <c r="C19" s="1621" t="str">
        <f ca="1">_xlfn.XLOOKUP(NewTrader!$V19,TabCalc[Ticker],ListResale)&amp;" @ "&amp;TEXT((_xlfn.XLOOKUP(NewTrader!$V19,TabCalc[Ticker],TabCalc[L_Bp])+_xlfn.XLOOKUP(NewTrader!$V19,TabCalc[Ticker],TabCalc[M]))/_xlfn.XLOOKUP(NewTrader!$V19,TabCalc[Ticker],TabCalc[M]),"#0.0%")</f>
        <v>Resell @ 0.2%</v>
      </c>
      <c r="D19" s="1622"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718" t="str">
        <f ca="1">IF(      AND(NewTrader!$X19&lt;NewTrader!$Y19,    _xlfn.XLOOKUP(NewTrader!$V19,TabCalc[Ticker],TabCalc[L_Sp])&gt;NewTrader!$Y19),"BUY  "&amp;TEXT(DesiredBuyGain/NewTrader!$A19/(_xlfn.XLOOKUP(NewTrader!$V19,TabCalc[Ticker],TabCalc[L_Sp])-NewTrader!$Y19),"#,##0"),"")</f>
        <v/>
      </c>
      <c r="F19" s="1620" t="str">
        <f ca="1">TRUNC(TabCalc[[#This Row],[L_B1p]],2)&amp;"x"&amp;TabCalc[[#This Row],[L_B1n]]&amp;"=   "&amp;TEXT(TabCalc[[#This Row],[ReverseS1]],"#,#0")&amp;"$"</f>
        <v>-118.68x1600=   2,331$</v>
      </c>
      <c r="G19" s="1624" t="str">
        <f ca="1">IFERROR(TRUNC(_xlfn.XLOOKUP(NewTrader!$V19,TabCalc[Ticker],ListLastSalep),2)&amp;"x"&amp;_xlfn.XLOOKUP(NewTrader!$V19,TabCalc[Ticker],ListLastSalen)&amp;"=   "&amp;TEXT(-_xlfn.XLOOKUP(NewTrader!$V19,TabCalc[Ticker],ListReverseB),"#,#0")&amp;"$","")</f>
        <v>124.33x1600=   -6,376$</v>
      </c>
      <c r="H19" s="1625"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3.3% = 1,255</v>
      </c>
      <c r="I19" s="1620" t="str">
        <f ca="1">IFERROR(TRUNC(TabCalc[[#This Row],[L_S1p]],2)&amp;"x"&amp;TabCalc[[#This Row],[L_S1n]]&amp;"=   "&amp;TEXT(TabCalc[[#This Row],[ReverseB1]],"#,#0"),"")</f>
        <v>123.44x1600=   4,952</v>
      </c>
      <c r="J19" s="1626">
        <f ca="1">_xlfn.XLOOKUP(NewTrader!$V19,TabCalc[Ticker],ListGravity)</f>
        <v>1.200714612156716</v>
      </c>
      <c r="K19" s="1627" cm="1">
        <f t="array" aca="1" ref="K19" ca="1">IF(_xlfn.XLOOKUP(NewTrader!$V19,NewTrader!$V$3:$V$96,ListExtra_n)&gt;0,_xlfn.XLOOKUP(NewTrader!$V19,NewTrader!$V$3:$V$96,ListExtra_n),"")</f>
        <v>400</v>
      </c>
      <c r="L19" s="1628">
        <f ca="1">IF(_xlfn.XLOOKUP(NewTrader!$V19,TabCalc[Ticker],ListExtra_n)&gt;0,_xlfn.XLOOKUP(NewTrader!$V19,TabCalc[Ticker],ListExtra_n)*NewTrader!$Y19*_xlfn.XLOOKUP(NewTrader!$V19,TabCalc[Ticker],ListScale),"")</f>
        <v>48138</v>
      </c>
      <c r="M19" s="1629">
        <f ca="1">_xlfn.XLOOKUP(NewTrader!$V19,TabCalc[Ticker],TabCalc[Agiotage])</f>
        <v>1.0797941516982796</v>
      </c>
      <c r="N19" s="1630" cm="1">
        <f t="array" aca="1" ref="N19" ca="1">_xlfn.XLOOKUP(NewTrader!$V19,ListTickers,Tab2RSIConventional[RSIConv20])</f>
        <v>96</v>
      </c>
      <c r="O19" s="1631" t="str">
        <f ca="1">TEXT(_xlfn.XLOOKUP(NewTrader!$V19,TabCalc[Ticker],TabCalc[Nbegin]),"#,#0")&amp;": "&amp;_xlfn.XLOOKUP(NewTrader!$V19,TabCalc[Ticker],TabCalc[Pile?])</f>
        <v>1,000: Pile</v>
      </c>
      <c r="P19" s="1632">
        <f ca="1">_xlfn.XLOOKUP(NewTrader!$V19,TabCalc[Ticker],TabCalc[L_Bn])</f>
        <v>1600</v>
      </c>
      <c r="Q19" s="1633">
        <f ca="1">_xlfn.XLOOKUP(NewTrader!$V19,TabCalc[Ticker],TabCalc[L_Bp])</f>
        <v>-120.14</v>
      </c>
      <c r="R19" s="1634">
        <f ca="1">(NewTrader!$Y19+NewTrader!$Q19)/ABS(NewTrader!$Q19)</f>
        <v>1.7063426002996362E-3</v>
      </c>
      <c r="S19" s="259">
        <f ca="1">INT(_xlfn.XLOOKUP(NewTrader!$V19,TabCalc[Ticker],TabCalc[Rev(MinStock)])*Comm_Net)</f>
        <v>285</v>
      </c>
      <c r="T19" s="1635">
        <f ca="1">_xlfn.XLOOKUP(NewTrader!$V19,TabCalc[Ticker],TabCalc[Agiotage])</f>
        <v>1.0797941516982796</v>
      </c>
      <c r="U19" s="1719"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1,169/1,169=&gt;1.4% / 1.4%</v>
      </c>
      <c r="V19" s="1578" t="str">
        <f ca="1">SORTING!B19</f>
        <v>DVA</v>
      </c>
      <c r="W19" s="1637">
        <f ca="1">_xlfn.XLOOKUP(NewTrader!$V19,TabCalc[Ticker],TabCalc[Y])</f>
        <v>144.5</v>
      </c>
      <c r="X19" s="1639">
        <f ca="1">-_xlfn.XLOOKUP(NewTrader!$V19&amp;2,Consolid!B$3:JZ$3,Consolid!B$4:JZ$4)</f>
        <v>120.45236399999999</v>
      </c>
      <c r="Y19" s="1639">
        <f ca="1">_xlfn.XLOOKUP(NewTrader!$V19,TabCalc[Ticker],TabCalc[M])</f>
        <v>120.345</v>
      </c>
      <c r="Z19" s="1640">
        <f ca="1">_xlfn.XLOOKUP(NewTrader!$V19,[1]!RTData[Ticker_Symbol],[1]!RTData[YTChange])</f>
        <v>2.8056360284435082</v>
      </c>
      <c r="AA19" s="1640" cm="1">
        <f t="array" aca="1" ref="AA19" ca="1">_xlfn.XLOOKUP(NewTrader!$V19,ListTickers,Tab1ChangePercent[Change%19])</f>
        <v>1.4029E-2</v>
      </c>
      <c r="AB19" s="1641">
        <f ca="1">_xlfn.XLOOKUP(NewTrader!$V19,TabCalc[Ticker],TabCalc[NAfter])</f>
        <v>1400</v>
      </c>
      <c r="AC19" s="1641">
        <f ca="1">_xlfn.XLOOKUP(NewTrader!$V19,TabCalc[Ticker],TabCalc[Nbegin])</f>
        <v>1000</v>
      </c>
      <c r="AD19" s="1642" t="str">
        <f ca="1">_xlfn.LET(_xlpm.PILE,_xlfn.XLOOKUP(NewTrader!$V19,TabCalc[Ticker],TabCalc[Pile?]),                    _xlpm.GL,_xlfn.XLOOKUP(NewTrader!$V19,TabCalc[Ticker],TabCalc[GL]),                        _xlpm.GLK,_xlfn.XLOOKUP(NewTrader!$V19,TabCalc[Ticker],TabCalc[GL])/1000,                             _xlpm.MVal,_xlfn.XLOOKUP(NewTrader!$V19,TabCalc[Ticker],TabCalc[M_V])/1000,                   _xlpm.PILE&amp;" "&amp;IF(_xlpm.GL&lt;0,TEXT(_xlpm.GLK,"#,#0")&amp;"K /"&amp;TEXT(_xlpm.MVal,"#,#0")&amp;" K$","^"&amp;TEXT(_xlpm.GLK,"#,#0")&amp;"K / "&amp;TEXT(_xlpm.MVal,"#,#0")&amp;" K$"))</f>
        <v>Pile ^38K / 168 K$</v>
      </c>
      <c r="AE19" s="1720" t="str">
        <f ca="1">_xlfn.XLOOKUP(NewTrader!$V19,[1]!RTData[Ticker_Symbol],[1]!RTData[Currency])</f>
        <v>USD</v>
      </c>
      <c r="AF19" s="1721"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750" t="str" cm="1">
        <f t="array" aca="1" ref="AH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120.45 - 120.35 - 144.50</v>
      </c>
      <c r="AI19"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19" s="1651" t="str" cm="1">
        <f t="array" aca="1" ref="AJ19" ca="1">_xlfn.IFS(Tab_NewTRADER[[#This Row],[State]]="Sell More",TEXT(MIN(Tab_NewTRADER[[#This Row],[N]],Tab_NewTRADER[[#This Row],[L_Bn]])*(Tab_NewTRADER[[#This Row],[M]]-Tab_NewTRADER[[#This Row],[L_Sp]])*Tab_NewTRADER[[#This Row],[Scale]]*ComFactor,"#,#0"), TRUE,"M= "&amp;TEXT(Tab_NewTRADER[[#This Row],[M]],"#,#0.00"))</f>
        <v>M= 120.35</v>
      </c>
      <c r="AK19" s="1699" t="str" cm="1">
        <f t="array" aca="1" ref="AK19" ca="1">_xlfn.IFS(Tab_NewTRADER[[#This Row],[Y]]&gt;Tab_NewTRADER[[#This Row],[A]],                 TEXT(MIN(Tab_NewTRADER[[#This Row],[L_Bn]],Tab_NewTRADER[[#This Row],[N]])*(Tab_NewTRADER[[#This Row],[M]]-Tab_NewTRADER[[#This Row],[A]])*Tab_NewTRADER[[#This Row],[Scale]]*ComFactor,"#,#0"), TRUE,0)</f>
        <v>-150</v>
      </c>
      <c r="AL19" s="1700" cm="1">
        <f t="array" aca="1" ref="AL19" ca="1">_xlfn.IFS(Tab_NewTRADER[[#This Row],[M]]&gt;Tab_NewTRADER[[#This Row],[A]],                  Tab_NewTRADER[[#This Row],[N]]*(Tab_NewTRADER[[#This Row],[M]]-Tab_NewTRADER[[#This Row],[A]])*Tab_NewTRADER[[#This Row],[Scale]]*ComFactor, TRUE,0)</f>
        <v>0</v>
      </c>
      <c r="AM19" s="1592" t="str">
        <f ca="1">_xlfn.XLOOKUP(Tab_NewTRADER[[#This Row],[Show]],TabCalc[Ticker],TabCalc[Max_Bn])&amp;" x "&amp;TEXT(_xlfn.XLOOKUP(Tab_NewTRADER[[#This Row],[Show]],TabCalc[Ticker],TabCalc[Max_Bp]),"#,#0.00")</f>
        <v>1400 x 120.45</v>
      </c>
      <c r="AN19" s="1650" t="str">
        <f ca="1">NewTrader!$V19</f>
        <v>DVA</v>
      </c>
      <c r="AO19" s="1651" t="str">
        <f ca="1">TEXT(_xlfn.XLOOKUP(Tab_NewTRADER[[#This Row],[ClickTick]],TabCalc[Ticker],TabCalc[NAfter]),"#,#0")&amp;"x"&amp;_xlfn.XLOOKUP(Tab_NewTRADER[[#This Row],[ClickTick]],TabCalc[Ticker],TabCalc[M])&amp;"           (A: "&amp;TEXT(-_xlfn.XLOOKUP(Tab_NewTRADER[[#This Row],[ClickTick]]&amp;2,Consolid!B$3:JZ$3,Consolid!B$4:JZ$4),"#,??0.00")&amp;")"</f>
        <v>1,400x120.345           (A: 120.45)</v>
      </c>
      <c r="AP19" s="1592" t="str">
        <f ca="1">_xlfn.XLOOKUP(Tab_NewTRADER[[#This Row],[Show]],TabCalc[Ticker],TabCalc[Min_Sn])&amp;" x "&amp;TEXT(_xlfn.XLOOKUP(Tab_NewTRADER[[#This Row],[Show]],TabCalc[Ticker],TabCalc[Min_Sp]),"#,#0.00")</f>
        <v>400 x 109.58</v>
      </c>
      <c r="AQ1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702" t="str" cm="1">
        <f t="array" aca="1" ref="AR19" ca="1">_xlfn.IFS(Tab_NewTRADER[[#This Row],[State]]="Reverse Buy",TEXT(-Tab_NewTRADER[[#This Row],[Buy_Back]],"#,#0")&amp;" / "&amp;TEXT(Tab_NewTRADER[[#This Row],[Rev_Buy]],"#,#0.0%"),TRUE,Tab_NewTRADER[[#This Row],[AMY]])</f>
        <v>5,564 / 3.2%</v>
      </c>
      <c r="AS19" s="1651"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-286       / -00.2%</v>
      </c>
      <c r="AT19" s="1699"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-150   / -0.1%</v>
      </c>
      <c r="AU19" s="1699" t="str" cm="1">
        <f t="array" aca="1" ref="AU19" ca="1">_xlfn.IFS(Tab_NewTRADER[[#This Row],[M]]&lt;Tab_NewTRADER[[#This Row],[A]],TEXT(Tab_NewTRADER[[#This Row],[N]]*Tab_NewTRADER[[#This Row],[M]]*Tab_NewTRADER[[#This Row],[Scale]]*Comm_Net,"#,#0")&amp;" @ "&amp;TEXT(Tab_NewTRADER[[#This Row],[M]],"#,#0.#0"),TRUE,"M: "&amp; Tab_NewTRADER[[#This Row],[M]])</f>
        <v>168,028 @ 120.35</v>
      </c>
      <c r="AV19" s="1722" cm="1">
        <f t="array" aca="1" ref="AV19" ca="1">-_xlfn.XLOOKUP(
    Tab_NewTRADER[[#This Row],[Show]] &amp; 2,
    TabConsolid[#Headers],
    INDEX(TabConsolid[], 1, 0)
)</f>
        <v>120.45236399999999</v>
      </c>
      <c r="AW19" s="1710">
        <f ca="1">Tab_NewTRADER[[#This Row],[M]]*Tab_NewTRADER[[#This Row],[N]]*(1-Commission)*Tab_NewTRADER[[#This Row],[Scale]]</f>
        <v>168044.9442</v>
      </c>
      <c r="AX19" s="1705"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705"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706" t="str" cm="1">
        <f t="array" aca="1" ref="AZ19" ca="1">_xlfn.IFS(   Tab_NewTRADER[[#This Row],[State]]=SellMorePercentGain,                     MIN(Tab_NewTRADER[[#This Row],[L_Sn]],Tab_NewTRADER[[#This Row],[N]])*(Tab_NewTRADER[[#This Row],[M]]-Tab_NewTRADER[[#This Row],[L_Sp]])*(1-Commission)*Tab_NewTRADER[[#This Row],[Scale]],                    TRUE,"")</f>
        <v/>
      </c>
      <c r="BA19" s="1707">
        <f ca="1">_xlfn.XLOOKUP(NewTrader!$V19,TabCalc[Ticker],TabCalc[Ann%RevLB])</f>
        <v>1.9815591487350615E-2</v>
      </c>
      <c r="BB19" s="1708">
        <f ca="1">_xlfn.XLOOKUP(NewTrader!$V19,TabCalc[Ticker],TabCalc[Up20])</f>
        <v>0</v>
      </c>
      <c r="BC19" s="1725"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706" t="str" cm="1">
        <f t="array" aca="1" ref="BD19" ca="1">_xlfn.IFS(         NewTrader!$AF19=MDown,NewTrader!$P19*NewTrader!$Y19*(-(NewTrader!$Q19+NewTrader!$Y19)/NewTrader!$Y19)*(1-Commission)*NewTrader!$A19,                               TRUE,"")</f>
        <v/>
      </c>
      <c r="BE19" s="1705" t="str" cm="1">
        <f t="array" aca="1" ref="BE19" ca="1">_xlfn.IFS(   NewTrader!$AF19=MUp,NewTrader!$BP19-Commission,        NewTrader!$AF19=MDown,(NewTrader!$X19-NewTrader!$Y19)/NewTrader!$Y19-Commission,                              TRUE,"")</f>
        <v/>
      </c>
      <c r="BF19" s="1706"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710" t="str" cm="1">
        <f t="array" aca="1" ref="BG19" ca="1">_xlfn.LET(_xlpm.SumChTxt,TEXT(_xlfn.XLOOKUP(NewTrader!$V19,ListTickers,Tab2SumChangePercent[AVGChan20]),"#0.0%"),
      _xlfn.IFS(NewTrader!$AF19=NoStock,_xlpm.SumChTxt,
      TRUE, IF(NewTrader!$AF19=SellMorePercentGain,             "SumChange "&amp;_xlpm.SumChTxt,                         "&lt;"&amp;INT(_xlfn.XLOOKUP(NewTrader!$V19,ListTickers,Tab2ReverseGL[Rev_GL19]))&amp;    "&lt;"&amp;INT(_xlfn.XLOOKUP(NewTrader!$V19,ListTickers,Tab2ReverseGL[Rev_GL18]))&amp;":      "&amp;_xlpm.SumChTxt)))</f>
        <v>&lt;-1&lt;-1:      0.8%</v>
      </c>
      <c r="BH19" s="1711"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712" cm="1">
        <f t="array" aca="1" ref="BI19" ca="1">_xlfn.IFS(NewTrader!$AF19=Sale_Back,"",         NewTrader!$AF19=MDown, (NewTrader!$Y19-NewTrader!$X19)/NewTrader!$X19*ComFactor,             TRUE, IFERROR((NewTrader!$Y19-NewTrader!$X19)/NewTrader!$X19*ComFactor,""))</f>
        <v>-8.8902243213748655E-4</v>
      </c>
      <c r="BJ19" s="1664" cm="1">
        <f t="array" aca="1" ref="BJ19" ca="1">_xlfn.IFS(               NewTrader!$AF19=NoStock,(NewTrader!$BL19-NewTrader!$Y19)/NewTrader!$Y19-Commission,             NewTrader!$X19&lt;&gt;0,(NewTrader!$X19-NewTrader!$Y19)/NewTrader!$Y19-Commission)</f>
        <v>-1.7078648884458032E-3</v>
      </c>
      <c r="BK19" s="1726">
        <f ca="1">_xlfn.XLOOKUP(NewTrader!$V19,TabCalc[Ticker],TabCalc[L_Sn])</f>
        <v>1600</v>
      </c>
      <c r="BL19" s="1727">
        <f ca="1">_xlfn.XLOOKUP(NewTrader!$V19,TabCalc[Ticker],TabCalc[L_Sp])</f>
        <v>124.33</v>
      </c>
      <c r="BM19" s="1634">
        <f ca="1">-IFERROR((Tab_NewTRADER[[#This Row],[M]]-Tab_NewTRADER[[#This Row],[L_Sp]])/Tab_NewTRADER[[#This Row],[L_Sp]],0)</f>
        <v>3.2051797635325341E-2</v>
      </c>
      <c r="BN19" s="1728">
        <f ca="1">MIN(Tab_NewTRADER[[#This Row],[L_Sn]],Tab_NewTRADER[[#This Row],[N]])*(Tab_NewTRADER[[#This Row],[M]]-Tab_NewTRADER[[#This Row],[L_Sp]])*Comm_Net*Tab_NewTRADER[[#This Row],[Scale]]</f>
        <v>-5563.9366999999993</v>
      </c>
      <c r="BO19" s="1715">
        <f ca="1">Tab_NewTRADER[[#This Row],[L_Sn]]*(Tab_NewTRADER[[#This Row],[Agiotage]]-Tab_NewTRADER[[#This Row],[M]])/(Tab_NewTRADER[[#This Row],[L_Bn]]*Tab_NewTRADER[[#This Row],[M]])</f>
        <v>-0.99102751130750522</v>
      </c>
      <c r="BP19" s="1670">
        <f ca="1">IFERROR((Tab_NewTRADER[[#This Row],[M]]-Tab_NewTRADER[[#This Row],[A]])/Tab_NewTRADER[[#This Row],[A]],0)</f>
        <v>-8.9133991591887568E-4</v>
      </c>
      <c r="BQ19" s="1671" t="str">
        <f ca="1">TEXT(_xlfn.XLOOKUP(Tab_NewTRADER[[#This Row],[ClickTick]],TabCalc[Ticker],TabCalc[NAfter]),"#,#0")&amp;" : "&amp;TEXT(_xlfn.XLOOKUP(Tab_NewTRADER[[#This Row],[ClickTick]],TabCalc[Ticker],TabCalc[NAfter])*(Tab_NewTRADER[[#This Row],[M]]-Tab_NewTRADER[[#This Row],[A]])*(1-Commission)*Tab_NewTRADER[[#This Row],[Scale]],"#,#0$")</f>
        <v>1,400 : -150$</v>
      </c>
      <c r="BR19" s="259">
        <f ca="1">_xlfn.XLOOKUP(NewTrader!$V19,TabCalc[[#This Row],[Ticker]],TabCalc[[#This Row],[GL]])*(1-Commission)</f>
        <v>37761.550380163819</v>
      </c>
      <c r="BS19" s="259"/>
      <c r="BT19" s="1672" t="str">
        <f ca="1">Tab_NewTRADER[[#This Row],[Show]]&amp;": "&amp;_xlfn.XLOOKUP(Tab_NewTRADER[[#This Row],[Show]],TabCalc[Ticker],TabCalc[Pile?])</f>
        <v>DVA: Pile</v>
      </c>
      <c r="BU19" s="1717" t="s">
        <v>2043</v>
      </c>
      <c r="BV19" s="1674" t="str" cm="1">
        <f t="array" aca="1" ref="BV19" ca="1">_xlfn.TEXTJOIN("",,INDEX({"M","A","Y"}, _xlfn.SORTBY({1,2,3}, -CHOOSE({1,2,3}, Tab_NewTRADER[[#This Row],[M]], Tab_NewTRADER[[#This Row],[A]], Tab_NewTRADER[[#This Row],[Y]]))))</f>
        <v>YAM</v>
      </c>
      <c r="BW19" s="1675"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76" t="e">
        <f ca="1">Tab_NewTRADER[[#This Row],[L_Sn]]*Tab_NewTRADER[[#This Row],[L_Sp]]+Tab_NewTRADER[[#This Row],[SellMore]]*Tab_NewTRADER[[#This Row],[M]]</f>
        <v>#N/A</v>
      </c>
      <c r="BY19" s="1676" t="e">
        <f ca="1">INDEX(
  INDEX(TabConsolid[], , _xlfn.XMATCH(Tab_NewTRADER[[#This Row],[ClickTick]]&amp;1, TabConsolid[#Headers])),
  MATCH(
    -Tab_NewTRADER[[#This Row],[M]],
    INDEX(TabConsolid[], , _xlfn.XMATCH(Tab_NewTRADER[[#This Row],[ClickTick]]&amp;2, TabConsolid[#Headers])),
    -1
  )
)</f>
        <v>#N/A</v>
      </c>
      <c r="BZ19" s="1676"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9.9999999999999995E-7</v>
      </c>
      <c r="CA19" s="1677" t="e">
        <f ca="1">Tab_NewTRADER[[#This Row],[ReBuy]]/(Tab_NewTRADER[[#This Row],[L_Sn]]+Tab_NewTRADER[[#This Row],[SellMore]])</f>
        <v>#N/A</v>
      </c>
      <c r="CB19" s="1678">
        <f ca="1">((_xlfn.XLOOKUP(Tab_NewTRADER[[#This Row],[Show]],TabCalc[Ticker],TabCalc[NAfter])+Tab_NewTRADER[[#This Row],[L_Sn]])*(Tab_NewTRADER[[#This Row],[Agiotage]]-Tab_NewTRADER[[#This Row],[M]]))/(Tab_NewTRADER[[#This Row],[L_Sn]]*_xlfn.XLOOKUP(Tab_NewTRADER[[#This Row],[Show]],TabCalc[Ticker],TabCalc[NAfter]))</f>
        <v>-0.15973018640397552</v>
      </c>
      <c r="CC19" s="1677">
        <f ca="1">INDEX(Tab1Price[Price19], MATCH(Tab_NewTRADER[[#This Row],[Show]], Tab_NewTRADER[Show], 0))</f>
        <v>120.345</v>
      </c>
      <c r="CD19" s="1679">
        <f ca="1">_xlfn.XMATCH(Tab_NewTRADER[[#This Row],[Show]]&amp;1, TabConsolid[#Headers])</f>
        <v>50</v>
      </c>
      <c r="CE19" s="1678"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729" t="str" cm="1">
        <f t="array" aca="1" ref="CF19" ca="1">_xlfn.LET(
    _xlpm.FMT, _xlfn.LAMBDA(_xlpm.n, REPT(" ", 7 - LEN(TEXT(_xlpm.n,"0.00"))) &amp; TEXT(_xlpm.n,"0.00")),
    _xlpm.FMT(Tab_NewTRADER[[#This Row],[A]]) &amp; " -" &amp; _xlpm.FMT(Tab_NewTRADER[[#This Row],[M]]) &amp; " -" &amp; _xlpm.FMT(Tab_NewTRADER[[#This Row],[Y]])
)</f>
        <v xml:space="preserve"> 120.45 - 120.35 - 144.50</v>
      </c>
      <c r="CG19" s="1730" t="str" cm="1">
        <f t="array" aca="1" ref="CG19" ca="1">_xlfn.LET(
    _xlpm.W, 7,
    _xlpm.FMT, _xlfn.LAMBDA(_xlpm.n, REPT(" ", _xlpm.W - LEN(TEXT(_xlpm.n,"0.00"))) &amp; TEXT(_xlpm.n,"0.00")),
    _xlpm.FMT(Tab_NewTRADER[[#This Row],[A]]) &amp; " * " &amp; _xlpm.FMT(Tab_NewTRADER[[#This Row],[M]]) &amp; " * " &amp; _xlpm.FMT(Tab_NewTRADER[[#This Row],[Y]])
)</f>
        <v xml:space="preserve"> 120.45 *  120.35 *  144.50</v>
      </c>
      <c r="CH19" s="1842">
        <f>0</f>
        <v>0</v>
      </c>
      <c r="CI19" t="b">
        <f ca="1">IF(ABS(NewTrader!$Q19)&gt;=NewTrader!$Y19,"OK")</f>
        <v>0</v>
      </c>
    </row>
    <row r="20" spans="1:87" ht="23" hidden="1" thickBot="1">
      <c r="A20" s="1839">
        <f ca="1">IF(_xlfn.XLOOKUP(NewTrader!$V20,TabCalc[Ticker],TabCalc[Cur])="GBp",0.01,1)</f>
        <v>1</v>
      </c>
      <c r="B20" s="1681" t="str">
        <f ca="1">IFERROR(TRUNC(_xlfn.XLOOKUP(NewTrader!$V20,TabCalc[Ticker],ListLastBuyp),2)&amp;"x"&amp;_xlfn.XLOOKUP(NewTrader!$V20,TabCalc[Ticker],ListLastBuyn)&amp;"=    "&amp;IF(_xlfn.XLOOKUP(NewTrader!$V20,TabCalc[Ticker],ListReverseS)&gt;0,"+","")&amp;TEXT(_xlfn.XLOOKUP(NewTrader!$V20,TabCalc[Ticker],ListReverseS),"#,#0")&amp;" "&amp;#REF!,"")</f>
        <v/>
      </c>
      <c r="C20" s="1682" t="str">
        <f ca="1">_xlfn.XLOOKUP(NewTrader!$V20,TabCalc[Ticker],ListResale)&amp;" @ "&amp;TEXT((_xlfn.XLOOKUP(NewTrader!$V20,TabCalc[Ticker],TabCalc[L_Bp])+_xlfn.XLOOKUP(NewTrader!$V20,TabCalc[Ticker],TabCalc[M]))/_xlfn.XLOOKUP(NewTrader!$V20,TabCalc[Ticker],TabCalc[M]),"#0.0%")</f>
        <v>Resell @ 5.0%</v>
      </c>
      <c r="D20" s="1683"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84" t="str">
        <f ca="1">IF(      AND(NewTrader!$X20&lt;NewTrader!$Y20,    _xlfn.XLOOKUP(NewTrader!$V20,TabCalc[Ticker],TabCalc[L_Sp])&gt;NewTrader!$Y20),"BUY  "&amp;TEXT(DesiredBuyGain/NewTrader!$A20/(_xlfn.XLOOKUP(NewTrader!$V20,TabCalc[Ticker],TabCalc[L_Sp])-NewTrader!$Y20),"#,##0"),"")</f>
        <v/>
      </c>
      <c r="F20" s="1681" t="str">
        <f ca="1">TRUNC(TabCalc[[#This Row],[L_B1p]],2)&amp;"x"&amp;TabCalc[[#This Row],[L_B1n]]&amp;"=   "&amp;TEXT(TabCalc[[#This Row],[ReverseS1]],"#,#0")&amp;"$"</f>
        <v>-18.56x4000=   -13,310$</v>
      </c>
      <c r="G20" s="1685" t="str">
        <f ca="1">IFERROR(TRUNC(_xlfn.XLOOKUP(NewTrader!$V20,TabCalc[Ticker],ListLastSalep),2)&amp;"x"&amp;_xlfn.XLOOKUP(NewTrader!$V20,TabCalc[Ticker],ListLastSalen)&amp;"=   "&amp;TEXT(-_xlfn.XLOOKUP(NewTrader!$V20,TabCalc[Ticker],ListReverseB),"#,#0")&amp;"$","")</f>
        <v>20.32x4000=   -20,320$</v>
      </c>
      <c r="H20" s="1686"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33.3% = 984</v>
      </c>
      <c r="I20" s="1681" t="str">
        <f ca="1">IFERROR(TRUNC(TabCalc[[#This Row],[L_S1p]],2)&amp;"x"&amp;TabCalc[[#This Row],[L_S1n]]&amp;"=   "&amp;TEXT(TabCalc[[#This Row],[ReverseB1]],"#,#0"),"")</f>
        <v>19.33x4000=   16,364</v>
      </c>
      <c r="J20" s="1687">
        <f ca="1">_xlfn.XLOOKUP(NewTrader!$V20,TabCalc[Ticker],ListGravity)</f>
        <v>0.95144356955380571</v>
      </c>
      <c r="K20" s="1688" cm="1">
        <f t="array" aca="1" ref="K20" ca="1">IF(_xlfn.XLOOKUP(NewTrader!$V20,NewTrader!$V$3:$V$96,ListExtra_n)&gt;0,_xlfn.XLOOKUP(NewTrader!$V20,NewTrader!$V$3:$V$96,ListExtra_n),"")</f>
        <v>4111</v>
      </c>
      <c r="L20" s="1689">
        <f ca="1">IF(_xlfn.XLOOKUP(NewTrader!$V20,TabCalc[Ticker],ListExtra_n)&gt;0,_xlfn.XLOOKUP(NewTrader!$V20,TabCalc[Ticker],ListExtra_n)*NewTrader!$Y20*_xlfn.XLOOKUP(NewTrader!$V20,TabCalc[Ticker],ListScale),"")</f>
        <v>62651.64</v>
      </c>
      <c r="M20" s="1690">
        <f ca="1">_xlfn.XLOOKUP(NewTrader!$V20,TabCalc[Ticker],TabCalc[Agiotage])</f>
        <v>1.144784804822979</v>
      </c>
      <c r="N20" s="1691" cm="1">
        <f t="array" aca="1" ref="N20" ca="1">_xlfn.XLOOKUP(NewTrader!$V20,ListTickers,Tab2RSIConventional[RSIConv20])</f>
        <v>54</v>
      </c>
      <c r="O20" s="1631" t="str">
        <f ca="1">TEXT(_xlfn.XLOOKUP(NewTrader!$V20,TabCalc[Ticker],TabCalc[Nbegin]),"#,#0")&amp;": "&amp;_xlfn.XLOOKUP(NewTrader!$V20,TabCalc[Ticker],TabCalc[Pile?])</f>
        <v xml:space="preserve">1,889: </v>
      </c>
      <c r="P20" s="1691">
        <f ca="1">_xlfn.XLOOKUP(NewTrader!$V20,TabCalc[Ticker],TabCalc[L_Bn])</f>
        <v>4000</v>
      </c>
      <c r="Q20" s="1731">
        <f ca="1">_xlfn.XLOOKUP(NewTrader!$V20,TabCalc[Ticker],TabCalc[L_Bp])</f>
        <v>-14.48</v>
      </c>
      <c r="R20" s="1694">
        <f ca="1">(NewTrader!$Y20+NewTrader!$Q20)/ABS(NewTrader!$Q20)</f>
        <v>5.2486187845303851E-2</v>
      </c>
      <c r="S20" s="262">
        <f ca="1">INT(_xlfn.XLOOKUP(NewTrader!$V20,TabCalc[Ticker],TabCalc[Rev(MinStock)])*Comm_Net)</f>
        <v>3022</v>
      </c>
      <c r="T20" s="1635">
        <f ca="1">_xlfn.XLOOKUP(NewTrader!$V20,TabCalc[Ticker],TabCalc[Agiotage])</f>
        <v>1.144784804822979</v>
      </c>
      <c r="U20" s="1695"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540/540=&gt;0.8% / 0.8%</v>
      </c>
      <c r="V20" s="1578" t="str">
        <f ca="1">SORTING!B20</f>
        <v>DXC</v>
      </c>
      <c r="W20" s="1637">
        <f ca="1">_xlfn.XLOOKUP(NewTrader!$V20,TabCalc[Ticker],TabCalc[Y])</f>
        <v>14.5</v>
      </c>
      <c r="X20" s="1639">
        <f ca="1">-_xlfn.XLOOKUP(NewTrader!$V20&amp;2,Consolid!B$3:JZ$3,Consolid!B$4:JZ$4)</f>
        <v>15.8836905</v>
      </c>
      <c r="Y20" s="1639">
        <f ca="1">_xlfn.XLOOKUP(NewTrader!$V20,TabCalc[Ticker],TabCalc[M])</f>
        <v>15.24</v>
      </c>
      <c r="Z20" s="1640">
        <f ca="1">_xlfn.XLOOKUP(NewTrader!$V20,[1]!RTData[Ticker_Symbol],[1]!RTData[YTChange])</f>
        <v>-0.90816972767574411</v>
      </c>
      <c r="AA20" s="1640" cm="1">
        <f t="array" aca="1" ref="AA20" ca="1">_xlfn.XLOOKUP(NewTrader!$V20,ListTickers,Tab1ChangePercent[Change%19])</f>
        <v>7.9369999999999996E-3</v>
      </c>
      <c r="AB20" s="1641">
        <f ca="1">_xlfn.XLOOKUP(NewTrader!$V20,TabCalc[Ticker],TabCalc[NAfter])</f>
        <v>6000</v>
      </c>
      <c r="AC20" s="1641">
        <f ca="1">_xlfn.XLOOKUP(NewTrader!$V20,TabCalc[Ticker],TabCalc[Nbegin])</f>
        <v>1889</v>
      </c>
      <c r="AD20" s="1642" t="str">
        <f ca="1">_xlfn.LET(_xlpm.PILE,_xlfn.XLOOKUP(NewTrader!$V20,TabCalc[Ticker],TabCalc[Pile?]),                    _xlpm.GL,_xlfn.XLOOKUP(NewTrader!$V20,TabCalc[Ticker],TabCalc[GL]),                        _xlpm.GLK,_xlfn.XLOOKUP(NewTrader!$V20,TabCalc[Ticker],TabCalc[GL])/1000,                             _xlpm.MVal,_xlfn.XLOOKUP(NewTrader!$V20,TabCalc[Ticker],TabCalc[M_V])/1000,                   _xlpm.PILE&amp;" "&amp;IF(_xlpm.GL&lt;0,TEXT(_xlpm.GLK,"#,#0")&amp;"K /"&amp;TEXT(_xlpm.MVal,"#,#0")&amp;" K$","^"&amp;TEXT(_xlpm.GLK,"#,#0")&amp;"K / "&amp;TEXT(_xlpm.MVal,"#,#0")&amp;" K$"))</f>
        <v xml:space="preserve"> -37K /91 K$</v>
      </c>
      <c r="AE20" s="1643" t="str">
        <f ca="1">_xlfn.XLOOKUP(NewTrader!$V20,[1]!RTData[Ticker_Symbol],[1]!RTData[Currency])</f>
        <v>USD</v>
      </c>
      <c r="AF20" s="1696"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Sale</v>
      </c>
      <c r="AG2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698" t="str" cm="1">
        <f t="array" aca="1" ref="AH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3,023 @ 15.24 : (5.0%, 13.2%)</v>
      </c>
      <c r="AI2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20" s="1651" t="str" cm="1">
        <f t="array" aca="1" ref="AJ20" ca="1">_xlfn.IFS(Tab_NewTRADER[[#This Row],[State]]="Sell More",TEXT(MIN(Tab_NewTRADER[[#This Row],[N]],Tab_NewTRADER[[#This Row],[L_Bn]])*(Tab_NewTRADER[[#This Row],[M]]-Tab_NewTRADER[[#This Row],[L_Sp]])*Tab_NewTRADER[[#This Row],[Scale]]*ComFactor,"#,#0"), TRUE,"M= "&amp;TEXT(Tab_NewTRADER[[#This Row],[M]],"#,#0.00"))</f>
        <v>M= 15.24</v>
      </c>
      <c r="AK20" s="1699" cm="1">
        <f t="array" aca="1" ref="AK20" ca="1">_xlfn.IFS(Tab_NewTRADER[[#This Row],[Y]]&gt;Tab_NewTRADER[[#This Row],[A]],                 TEXT(MIN(Tab_NewTRADER[[#This Row],[L_Bn]],Tab_NewTRADER[[#This Row],[N]])*(Tab_NewTRADER[[#This Row],[M]]-Tab_NewTRADER[[#This Row],[A]])*Tab_NewTRADER[[#This Row],[Scale]]*ComFactor,"#,#0"), TRUE,0)</f>
        <v>0</v>
      </c>
      <c r="AL20" s="1700" cm="1">
        <f t="array" aca="1" ref="AL20" ca="1">_xlfn.IFS(Tab_NewTRADER[[#This Row],[M]]&gt;Tab_NewTRADER[[#This Row],[A]],                  Tab_NewTRADER[[#This Row],[N]]*(Tab_NewTRADER[[#This Row],[M]]-Tab_NewTRADER[[#This Row],[A]])*Tab_NewTRADER[[#This Row],[Scale]]*ComFactor, TRUE,0)</f>
        <v>0</v>
      </c>
      <c r="AM20" s="1592" t="str">
        <f ca="1">_xlfn.XLOOKUP(Tab_NewTRADER[[#This Row],[Show]],TabCalc[Ticker],TabCalc[Max_Bn])&amp;" x "&amp;TEXT(_xlfn.XLOOKUP(Tab_NewTRADER[[#This Row],[Show]],TabCalc[Ticker],TabCalc[Max_Bp]),"#,#0.00")</f>
        <v>2000 x 18.57</v>
      </c>
      <c r="AN20" s="1650" t="str">
        <f ca="1">NewTrader!$V20</f>
        <v>DXC</v>
      </c>
      <c r="AO20" s="1651" t="str">
        <f ca="1">TEXT(_xlfn.XLOOKUP(Tab_NewTRADER[[#This Row],[ClickTick]],TabCalc[Ticker],TabCalc[NAfter]),"#,#0")&amp;"x"&amp;_xlfn.XLOOKUP(Tab_NewTRADER[[#This Row],[ClickTick]],TabCalc[Ticker],TabCalc[M])&amp;"           (A: "&amp;TEXT(-_xlfn.XLOOKUP(Tab_NewTRADER[[#This Row],[ClickTick]]&amp;2,Consolid!B$3:JZ$3,Consolid!B$4:JZ$4),"#,??0.00")&amp;")"</f>
        <v>6,000x15.24           (A:  15.88)</v>
      </c>
      <c r="AP20" s="1592" t="str">
        <f ca="1">_xlfn.XLOOKUP(Tab_NewTRADER[[#This Row],[Show]],TabCalc[Ticker],TabCalc[Min_Sn])&amp;" x "&amp;TEXT(_xlfn.XLOOKUP(Tab_NewTRADER[[#This Row],[Show]],TabCalc[Ticker],TabCalc[Min_Sp]),"#,#0.00")</f>
        <v>4000 x 18.79</v>
      </c>
      <c r="AQ2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702" t="str" cm="1">
        <f t="array" aca="1" ref="AR20" ca="1">_xlfn.IFS(Tab_NewTRADER[[#This Row],[State]]="Reverse Buy",TEXT(-Tab_NewTRADER[[#This Row],[Buy_Back]],"#,#0")&amp;" / "&amp;TEXT(Tab_NewTRADER[[#This Row],[Rev_Buy]],"#,#0.0%"),TRUE,Tab_NewTRADER[[#This Row],[AMY]])</f>
        <v xml:space="preserve">  15.88 -  15.24 -  14.50</v>
      </c>
      <c r="AS20" s="1651" t="str"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-4,548       / -05.0%</v>
      </c>
      <c r="AT20" s="1699"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-3,852   / -4.2%</v>
      </c>
      <c r="AU20" s="1699" t="str" cm="1">
        <f t="array" aca="1" ref="AU20" ca="1">_xlfn.IFS(Tab_NewTRADER[[#This Row],[M]]&lt;Tab_NewTRADER[[#This Row],[A]],TEXT(Tab_NewTRADER[[#This Row],[N]]*Tab_NewTRADER[[#This Row],[M]]*Tab_NewTRADER[[#This Row],[Scale]]*Comm_Net,"#,#0")&amp;" @ "&amp;TEXT(Tab_NewTRADER[[#This Row],[M]],"#,#0.#0"),TRUE,"M: "&amp; Tab_NewTRADER[[#This Row],[M]])</f>
        <v>91,193 @ 15.24</v>
      </c>
      <c r="AV20" s="1703" cm="1">
        <f t="array" aca="1" ref="AV20" ca="1">-_xlfn.XLOOKUP(
    Tab_NewTRADER[[#This Row],[Show]] &amp; 2,
    TabConsolid[#Headers],
    INDEX(TabConsolid[], 1, 0)
)</f>
        <v>15.8836905</v>
      </c>
      <c r="AW20" s="1704">
        <f ca="1">Tab_NewTRADER[[#This Row],[M]]*Tab_NewTRADER[[#This Row],[N]]*(1-Commission)*Tab_NewTRADER[[#This Row],[Scale]]</f>
        <v>91202.255999999994</v>
      </c>
      <c r="AX20" s="1705"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705"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706" t="str" cm="1">
        <f t="array" aca="1" ref="AZ20" ca="1">_xlfn.IFS(   Tab_NewTRADER[[#This Row],[State]]=SellMorePercentGain,                     MIN(Tab_NewTRADER[[#This Row],[L_Sn]],Tab_NewTRADER[[#This Row],[N]])*(Tab_NewTRADER[[#This Row],[M]]-Tab_NewTRADER[[#This Row],[L_Sp]])*(1-Commission)*Tab_NewTRADER[[#This Row],[Scale]],                    TRUE,"")</f>
        <v/>
      </c>
      <c r="BA20" s="1723">
        <f ca="1">_xlfn.XLOOKUP(NewTrader!$V20,TabCalc[Ticker],TabCalc[Ann%RevLB])</f>
        <v>0.13213306030985586</v>
      </c>
      <c r="BB20" s="1751" t="str">
        <f ca="1">_xlfn.XLOOKUP(NewTrader!$V20,TabCalc[Ticker],TabCalc[Up20])</f>
        <v>/89/%</v>
      </c>
      <c r="BC20" s="1747"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706" t="str" cm="1">
        <f t="array" aca="1" ref="BD20" ca="1">_xlfn.IFS(         NewTrader!$AF20=MDown,NewTrader!$P20*NewTrader!$Y20*(-(NewTrader!$Q20+NewTrader!$Y20)/NewTrader!$Y20)*(1-Commission)*NewTrader!$A20,                               TRUE,"")</f>
        <v/>
      </c>
      <c r="BE20" s="1705" t="str" cm="1">
        <f t="array" aca="1" ref="BE20" ca="1">_xlfn.IFS(   NewTrader!$AF20=MUp,NewTrader!$BP20-Commission,        NewTrader!$AF20=MDown,(NewTrader!$X20-NewTrader!$Y20)/NewTrader!$Y20-Commission,                              TRUE,"")</f>
        <v/>
      </c>
      <c r="BF20" s="1706"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710" t="e" cm="1">
        <f t="array" aca="1" ref="BG20" ca="1">_xlfn.LET(_xlpm.SumChTxt,TEXT(_xlfn.XLOOKUP(NewTrader!$V20,ListTickers,Tab2SumChangePercent[AVGChan20]),"#0.0%"),
      _xlfn.IFS(NewTrader!$AF20=NoStock,_xlpm.SumChTxt,
      TRUE, IF(NewTrader!$AF20=SellMorePercentGain,             "SumChange "&amp;_xlpm.SumChTxt,                         "&lt;"&amp;INT(_xlfn.XLOOKUP(NewTrader!$V20,ListTickers,Tab2ReverseGL[Rev_GL19]))&amp;    "&lt;"&amp;INT(_xlfn.XLOOKUP(NewTrader!$V20,ListTickers,Tab2ReverseGL[Rev_GL18]))&amp;":      "&amp;_xlpm.SumChTxt)))</f>
        <v>#VALUE!</v>
      </c>
      <c r="BH20" s="1711"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M&gt;L_Bp</v>
      </c>
      <c r="BI20" s="1712" cm="1">
        <f t="array" aca="1" ref="BI20" ca="1">_xlfn.IFS(NewTrader!$AF20=Sale_Back,"",         NewTrader!$AF20=MDown, (NewTrader!$Y20-NewTrader!$X20)/NewTrader!$X20*ComFactor,             TRUE, IFERROR((NewTrader!$Y20-NewTrader!$X20)/NewTrader!$X20*ComFactor,""))</f>
        <v>-4.0419882564445578E-2</v>
      </c>
      <c r="BJ20" s="1664" cm="1">
        <f t="array" aca="1" ref="BJ20" ca="1">_xlfn.IFS(               NewTrader!$AF20=NoStock,(NewTrader!$BL20-NewTrader!$Y20)/NewTrader!$Y20-Commission,             NewTrader!$X20&lt;&gt;0,(NewTrader!$X20-NewTrader!$Y20)/NewTrader!$Y20-Commission)</f>
        <v>3.9636909448818897E-2</v>
      </c>
      <c r="BK20" s="1713">
        <f ca="1">_xlfn.XLOOKUP(NewTrader!$V20,TabCalc[Ticker],TabCalc[L_Sn])</f>
        <v>4000</v>
      </c>
      <c r="BL20" s="1693">
        <f ca="1">_xlfn.XLOOKUP(NewTrader!$V20,TabCalc[Ticker],TabCalc[L_Sp])</f>
        <v>20.32</v>
      </c>
      <c r="BM20" s="1694">
        <f ca="1">-IFERROR((Tab_NewTRADER[[#This Row],[M]]-Tab_NewTRADER[[#This Row],[L_Sp]])/Tab_NewTRADER[[#This Row],[L_Sp]],0)</f>
        <v>0.25</v>
      </c>
      <c r="BN20" s="1714">
        <f ca="1">MIN(Tab_NewTRADER[[#This Row],[L_Sn]],Tab_NewTRADER[[#This Row],[N]])*(Tab_NewTRADER[[#This Row],[M]]-Tab_NewTRADER[[#This Row],[L_Sp]])*Comm_Net*Tab_NewTRADER[[#This Row],[Scale]]</f>
        <v>-20265.135999999999</v>
      </c>
      <c r="BO20" s="1715">
        <f ca="1">Tab_NewTRADER[[#This Row],[L_Sn]]*(Tab_NewTRADER[[#This Row],[Agiotage]]-Tab_NewTRADER[[#This Row],[M]])/(Tab_NewTRADER[[#This Row],[L_Bn]]*Tab_NewTRADER[[#This Row],[M]])</f>
        <v>-0.92488288682263919</v>
      </c>
      <c r="BP20" s="1716">
        <f ca="1">IFERROR((Tab_NewTRADER[[#This Row],[M]]-Tab_NewTRADER[[#This Row],[A]])/Tab_NewTRADER[[#This Row],[A]],0)</f>
        <v>-4.0525248209791039E-2</v>
      </c>
      <c r="BQ20" s="1671" t="str">
        <f ca="1">TEXT(_xlfn.XLOOKUP(Tab_NewTRADER[[#This Row],[ClickTick]],TabCalc[Ticker],TabCalc[NAfter]),"#,#0")&amp;" : "&amp;TEXT(_xlfn.XLOOKUP(Tab_NewTRADER[[#This Row],[ClickTick]],TabCalc[Ticker],TabCalc[NAfter])*(Tab_NewTRADER[[#This Row],[M]]-Tab_NewTRADER[[#This Row],[A]])*(1-Commission)*Tab_NewTRADER[[#This Row],[Scale]],"#,#0$")</f>
        <v>6,000 : -3,852$</v>
      </c>
      <c r="BR20" s="262">
        <f ca="1">_xlfn.XLOOKUP(NewTrader!$V20,TabCalc[[#This Row],[Ticker]],TabCalc[[#This Row],[GL]])*(1-Commission)</f>
        <v>-36864.26024474913</v>
      </c>
      <c r="BS20" s="262"/>
      <c r="BT20" s="1672" t="str">
        <f ca="1">Tab_NewTRADER[[#This Row],[Show]]&amp;": "&amp;_xlfn.XLOOKUP(Tab_NewTRADER[[#This Row],[Show]],TabCalc[Ticker],TabCalc[Pile?])</f>
        <v xml:space="preserve">DXC: </v>
      </c>
      <c r="BU20" s="1717" t="s">
        <v>1949</v>
      </c>
      <c r="BV20" s="1674" t="str" cm="1">
        <f t="array" aca="1" ref="BV20" ca="1">_xlfn.TEXTJOIN("",,INDEX({"M","A","Y"}, _xlfn.SORTBY({1,2,3}, -CHOOSE({1,2,3}, Tab_NewTRADER[[#This Row],[M]], Tab_NewTRADER[[#This Row],[A]], Tab_NewTRADER[[#This Row],[Y]]))))</f>
        <v>AMY</v>
      </c>
      <c r="BW20" s="1675"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76" t="e">
        <f ca="1">Tab_NewTRADER[[#This Row],[L_Sn]]*Tab_NewTRADER[[#This Row],[L_Sp]]+Tab_NewTRADER[[#This Row],[SellMore]]*Tab_NewTRADER[[#This Row],[M]]</f>
        <v>#N/A</v>
      </c>
      <c r="BY20" s="1676" t="e">
        <f ca="1">INDEX(
  INDEX(TabConsolid[], , _xlfn.XMATCH(Tab_NewTRADER[[#This Row],[ClickTick]]&amp;1, TabConsolid[#Headers])),
  MATCH(
    -Tab_NewTRADER[[#This Row],[M]],
    INDEX(TabConsolid[], , _xlfn.XMATCH(Tab_NewTRADER[[#This Row],[ClickTick]]&amp;2, TabConsolid[#Headers])),
    -1
  )
)</f>
        <v>#N/A</v>
      </c>
      <c r="BZ20" s="1676"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77" t="e">
        <f ca="1">Tab_NewTRADER[[#This Row],[ReBuy]]/(Tab_NewTRADER[[#This Row],[L_Sn]]+Tab_NewTRADER[[#This Row],[SellMore]])</f>
        <v>#N/A</v>
      </c>
      <c r="CB20" s="1678">
        <f ca="1">((_xlfn.XLOOKUP(Tab_NewTRADER[[#This Row],[Show]],TabCalc[Ticker],TabCalc[NAfter])+Tab_NewTRADER[[#This Row],[L_Sn]])*(Tab_NewTRADER[[#This Row],[Agiotage]]-Tab_NewTRADER[[#This Row],[M]]))/(Tab_NewTRADER[[#This Row],[L_Sn]]*_xlfn.XLOOKUP(Tab_NewTRADER[[#This Row],[Show]],TabCalc[Ticker],TabCalc[NAfter]))</f>
        <v>-5.8730063313237584E-3</v>
      </c>
      <c r="CC20" s="1677">
        <f ca="1">INDEX(Tab1Price[Price19], MATCH(Tab_NewTRADER[[#This Row],[Show]], Tab_NewTRADER[Show], 0))</f>
        <v>15.24</v>
      </c>
      <c r="CD20" s="1679">
        <f ca="1">_xlfn.XMATCH(Tab_NewTRADER[[#This Row],[Show]]&amp;1, TabConsolid[#Headers])</f>
        <v>53</v>
      </c>
      <c r="CE20" s="1678"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0" s="1729" t="str" cm="1">
        <f t="array" aca="1" ref="CF20" ca="1">_xlfn.LET(
    _xlpm.FMT, _xlfn.LAMBDA(_xlpm.n, REPT(" ", 7 - LEN(TEXT(_xlpm.n,"0.00"))) &amp; TEXT(_xlpm.n,"0.00")),
    _xlpm.FMT(Tab_NewTRADER[[#This Row],[A]]) &amp; " -" &amp; _xlpm.FMT(Tab_NewTRADER[[#This Row],[M]]) &amp; " -" &amp; _xlpm.FMT(Tab_NewTRADER[[#This Row],[Y]])
)</f>
        <v xml:space="preserve">  15.88 -  15.24 -  14.50</v>
      </c>
      <c r="CG20" s="1730" t="str" cm="1">
        <f t="array" aca="1" ref="CG20" ca="1">_xlfn.LET(
    _xlpm.W, 7,
    _xlpm.FMT, _xlfn.LAMBDA(_xlpm.n, REPT(" ", _xlpm.W - LEN(TEXT(_xlpm.n,"0.00"))) &amp; TEXT(_xlpm.n,"0.00")),
    _xlpm.FMT(Tab_NewTRADER[[#This Row],[A]]) &amp; " * " &amp; _xlpm.FMT(Tab_NewTRADER[[#This Row],[M]]) &amp; " * " &amp; _xlpm.FMT(Tab_NewTRADER[[#This Row],[Y]])
)</f>
        <v xml:space="preserve">  15.88 *   15.24 *   14.50</v>
      </c>
      <c r="CH20" s="1842">
        <f>0</f>
        <v>0</v>
      </c>
      <c r="CI20" t="b">
        <f ca="1">IF(ABS(NewTrader!$Q20)&gt;=NewTrader!$Y20,"OK")</f>
        <v>0</v>
      </c>
    </row>
    <row r="21" spans="1:87" ht="23" hidden="1" thickBot="1">
      <c r="A21" s="1838">
        <f ca="1">IF(_xlfn.XLOOKUP(NewTrader!$V21,TabCalc[Ticker],TabCalc[Cur])="GBp",0.01,1)</f>
        <v>1</v>
      </c>
      <c r="B21" s="1620" t="str">
        <f ca="1">IFERROR(TRUNC(_xlfn.XLOOKUP(NewTrader!$V21,TabCalc[Ticker],ListLastBuyp),2)&amp;"x"&amp;_xlfn.XLOOKUP(NewTrader!$V21,TabCalc[Ticker],ListLastBuyn)&amp;"=    "&amp;IF(_xlfn.XLOOKUP(NewTrader!$V21,TabCalc[Ticker],ListReverseS)&gt;0,"+","")&amp;TEXT(_xlfn.XLOOKUP(NewTrader!$V21,TabCalc[Ticker],ListReverseS),"#,#0")&amp;" "&amp;#REF!,"")</f>
        <v/>
      </c>
      <c r="C21" s="1621" t="str">
        <f ca="1">_xlfn.XLOOKUP(NewTrader!$V21,TabCalc[Ticker],ListResale)&amp;" @ "&amp;TEXT((_xlfn.XLOOKUP(NewTrader!$V21,TabCalc[Ticker],TabCalc[L_Bp])+_xlfn.XLOOKUP(NewTrader!$V21,TabCalc[Ticker],TabCalc[M]))/_xlfn.XLOOKUP(NewTrader!$V21,TabCalc[Ticker],TabCalc[M]),"#0.0%")</f>
        <v>B_more @ -3.1%</v>
      </c>
      <c r="D21" s="1622"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718" t="str">
        <f ca="1">IF(      AND(NewTrader!$X21&lt;NewTrader!$Y21,    _xlfn.XLOOKUP(NewTrader!$V21,TabCalc[Ticker],TabCalc[L_Sp])&gt;NewTrader!$Y21),"BUY  "&amp;TEXT(DesiredBuyGain/NewTrader!$A21/(_xlfn.XLOOKUP(NewTrader!$V21,TabCalc[Ticker],TabCalc[L_Sp])-NewTrader!$Y21),"#,##0"),"")</f>
        <v/>
      </c>
      <c r="F21" s="1620" t="str">
        <f ca="1">TRUNC(TabCalc[[#This Row],[L_B1p]],2)&amp;"x"&amp;TabCalc[[#This Row],[L_B1n]]&amp;"=   "&amp;TEXT(TabCalc[[#This Row],[ReverseS1]],"#,#0")&amp;"$"</f>
        <v>-16.04x14450=   -14,522$</v>
      </c>
      <c r="G21" s="1624" t="str">
        <f ca="1">IFERROR(TRUNC(_xlfn.XLOOKUP(NewTrader!$V21,TabCalc[Ticker],ListLastSalep),2)&amp;"x"&amp;_xlfn.XLOOKUP(NewTrader!$V21,TabCalc[Ticker],ListLastSalen)&amp;"=   "&amp;TEXT(-_xlfn.XLOOKUP(NewTrader!$V21,TabCalc[Ticker],ListReverseB),"#,#0")&amp;"$","")</f>
        <v>16.12x3200=   -3,472$</v>
      </c>
      <c r="H21" s="1625"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7.2% = 4,608</v>
      </c>
      <c r="I21" s="1620" t="str">
        <f ca="1">IFERROR(TRUNC(TabCalc[[#This Row],[L_S1p]],2)&amp;"x"&amp;TabCalc[[#This Row],[L_S1n]]&amp;"=   "&amp;TEXT(TabCalc[[#This Row],[ReverseB1]],"#,#0"),"")</f>
        <v>15.8x2500=   1,913</v>
      </c>
      <c r="J21" s="1626">
        <f ca="1">_xlfn.XLOOKUP(NewTrader!$V21,TabCalc[Ticker],ListGravity)</f>
        <v>1.126317259727303</v>
      </c>
      <c r="K21" s="1627" t="str" cm="1">
        <f t="array" aca="1" ref="K21" ca="1">IF(_xlfn.XLOOKUP(NewTrader!$V21,NewTrader!$V$3:$V$96,ListExtra_n)&gt;0,_xlfn.XLOOKUP(NewTrader!$V21,NewTrader!$V$3:$V$96,ListExtra_n),"")</f>
        <v/>
      </c>
      <c r="L21" s="1628" t="str">
        <f ca="1">IF(_xlfn.XLOOKUP(NewTrader!$V21,TabCalc[Ticker],ListExtra_n)&gt;0,_xlfn.XLOOKUP(NewTrader!$V21,TabCalc[Ticker],ListExtra_n)*NewTrader!$Y21*_xlfn.XLOOKUP(NewTrader!$V21,TabCalc[Ticker],ListScale),"")</f>
        <v/>
      </c>
      <c r="M21" s="1629">
        <f ca="1">_xlfn.XLOOKUP(NewTrader!$V21,TabCalc[Ticker],TabCalc[Agiotage])</f>
        <v>8.077429734486519E-3</v>
      </c>
      <c r="N21" s="1630" t="e" cm="1">
        <f t="array" aca="1" ref="N21" ca="1">_xlfn.XLOOKUP(NewTrader!$V21,ListTickers,Tab2RSIConventional[RSIConv20])</f>
        <v>#DIV/0!</v>
      </c>
      <c r="O21" s="1631" t="str">
        <f ca="1">TEXT(_xlfn.XLOOKUP(NewTrader!$V21,TabCalc[Ticker],TabCalc[Nbegin]),"#,#0")&amp;": "&amp;_xlfn.XLOOKUP(NewTrader!$V21,TabCalc[Ticker],TabCalc[Pile?])</f>
        <v>340,000: Pile</v>
      </c>
      <c r="P21" s="1632">
        <f ca="1">_xlfn.XLOOKUP(NewTrader!$V21,TabCalc[Ticker],TabCalc[L_Bn])</f>
        <v>10000</v>
      </c>
      <c r="Q21" s="1727">
        <f ca="1">_xlfn.XLOOKUP(NewTrader!$V21,TabCalc[Ticker],TabCalc[L_Bp])</f>
        <v>-15.5</v>
      </c>
      <c r="R21" s="1634">
        <f ca="1">(NewTrader!$Y21+NewTrader!$Q21)/ABS(NewTrader!$Q21)</f>
        <v>-2.9999999999999992E-2</v>
      </c>
      <c r="S21" s="259">
        <f ca="1">INT(_xlfn.XLOOKUP(NewTrader!$V21,TabCalc[Ticker],TabCalc[Rev(MinStock)])*Comm_Net)</f>
        <v>-4626</v>
      </c>
      <c r="T21" s="1635">
        <f ca="1">_xlfn.XLOOKUP(NewTrader!$V21,TabCalc[Ticker],TabCalc[Agiotage])</f>
        <v>8.077429734486519E-3</v>
      </c>
      <c r="U21" s="1719"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-10,625/-10,625=&gt;-3.3% / -3.3%</v>
      </c>
      <c r="V21" s="1578" t="str">
        <f ca="1">SORTING!B21</f>
        <v>EOAN</v>
      </c>
      <c r="W21" s="1637">
        <f ca="1">_xlfn.XLOOKUP(NewTrader!$V21,TabCalc[Ticker],TabCalc[Y])</f>
        <v>16.934180000000001</v>
      </c>
      <c r="X21" s="1639">
        <f ca="1">-_xlfn.XLOOKUP(NewTrader!$V21&amp;2,Consolid!B$3:JZ$3,Consolid!B$4:JZ$4)</f>
        <v>16.035383879999998</v>
      </c>
      <c r="Y21" s="1639">
        <f ca="1">_xlfn.XLOOKUP(NewTrader!$V21,TabCalc[Ticker],TabCalc[M])</f>
        <v>15.035</v>
      </c>
      <c r="Z21" s="1640">
        <f ca="1">_xlfn.XLOOKUP(NewTrader!$V21,[1]!RTData[Ticker_Symbol],[1]!RTData[YTChange])</f>
        <v>-0.14344056651492151</v>
      </c>
      <c r="AA21" s="1640" cm="1">
        <f t="array" aca="1" ref="AA21" ca="1">_xlfn.XLOOKUP(NewTrader!$V21,ListTickers,Tab1ChangePercent[Change%19])</f>
        <v>-3.3119000000000003E-2</v>
      </c>
      <c r="AB21" s="1641">
        <f ca="1">_xlfn.XLOOKUP(NewTrader!$V21,TabCalc[Ticker],TabCalc[NAfter])</f>
        <v>25000</v>
      </c>
      <c r="AC21" s="1641">
        <f ca="1">_xlfn.XLOOKUP(NewTrader!$V21,TabCalc[Ticker],TabCalc[Nbegin])</f>
        <v>340000</v>
      </c>
      <c r="AD21" s="1642" t="str">
        <f ca="1">_xlfn.LET(_xlpm.PILE,_xlfn.XLOOKUP(NewTrader!$V21,TabCalc[Ticker],TabCalc[Pile?]),                    _xlpm.GL,_xlfn.XLOOKUP(NewTrader!$V21,TabCalc[Ticker],TabCalc[GL]),                        _xlpm.GLK,_xlfn.XLOOKUP(NewTrader!$V21,TabCalc[Ticker],TabCalc[GL])/1000,                             _xlpm.MVal,_xlfn.XLOOKUP(NewTrader!$V21,TabCalc[Ticker],TabCalc[M_V])/1000,                   _xlpm.PILE&amp;" "&amp;IF(_xlpm.GL&lt;0,TEXT(_xlpm.GLK,"#,#0")&amp;"K /"&amp;TEXT(_xlpm.MVal,"#,#0")&amp;" K$","^"&amp;TEXT(_xlpm.GLK,"#,#0")&amp;"K / "&amp;TEXT(_xlpm.MVal,"#,#0")&amp;" K$"))</f>
        <v>Pile ^1,147K / 375 K$</v>
      </c>
      <c r="AE21" s="1720" t="str">
        <f ca="1">_xlfn.XLOOKUP(NewTrader!$V21,[1]!RTData[Ticker_Symbol],[1]!RTData[Currency])</f>
        <v>EUR</v>
      </c>
      <c r="AF21" s="1696"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Buy More</v>
      </c>
      <c r="AG2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15.50     /       25,000 x 16.04</v>
      </c>
      <c r="AH21" s="1698" t="str" cm="1">
        <f t="array" aca="1" ref="AH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16.04 -  15.04 -  16.93</v>
      </c>
      <c r="AI2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21" s="1651" t="str" cm="1">
        <f t="array" aca="1" ref="AJ21" ca="1">_xlfn.IFS(Tab_NewTRADER[[#This Row],[State]]="Sell More",TEXT(MIN(Tab_NewTRADER[[#This Row],[N]],Tab_NewTRADER[[#This Row],[L_Bn]])*(Tab_NewTRADER[[#This Row],[M]]-Tab_NewTRADER[[#This Row],[L_Sp]])*Tab_NewTRADER[[#This Row],[Scale]]*ComFactor,"#,#0"), TRUE,"M= "&amp;TEXT(Tab_NewTRADER[[#This Row],[M]],"#,#0.00"))</f>
        <v>M= 15.04</v>
      </c>
      <c r="AK21" s="1699" t="str" cm="1">
        <f t="array" aca="1" ref="AK21" ca="1">_xlfn.IFS(Tab_NewTRADER[[#This Row],[Y]]&gt;Tab_NewTRADER[[#This Row],[A]],                 TEXT(MIN(Tab_NewTRADER[[#This Row],[L_Bn]],Tab_NewTRADER[[#This Row],[N]])*(Tab_NewTRADER[[#This Row],[M]]-Tab_NewTRADER[[#This Row],[A]])*Tab_NewTRADER[[#This Row],[Scale]]*ComFactor,"#,#0"), TRUE,0)</f>
        <v>-9,978</v>
      </c>
      <c r="AL21" s="1700" cm="1">
        <f t="array" aca="1" ref="AL21" ca="1">_xlfn.IFS(Tab_NewTRADER[[#This Row],[M]]&gt;Tab_NewTRADER[[#This Row],[A]],                  Tab_NewTRADER[[#This Row],[N]]*(Tab_NewTRADER[[#This Row],[M]]-Tab_NewTRADER[[#This Row],[A]])*Tab_NewTRADER[[#This Row],[Scale]]*ComFactor, TRUE,0)</f>
        <v>0</v>
      </c>
      <c r="AM21" s="1592" t="str">
        <f ca="1">_xlfn.XLOOKUP(Tab_NewTRADER[[#This Row],[Show]],TabCalc[Ticker],TabCalc[Max_Bn])&amp;" x "&amp;TEXT(_xlfn.XLOOKUP(Tab_NewTRADER[[#This Row],[Show]],TabCalc[Ticker],TabCalc[Max_Bp]),"#,#0.00")</f>
        <v>14450 x 16.04</v>
      </c>
      <c r="AN21" s="1650" t="str">
        <f ca="1">NewTrader!$V21</f>
        <v>EOAN</v>
      </c>
      <c r="AO21" s="1651" t="str">
        <f ca="1">TEXT(_xlfn.XLOOKUP(Tab_NewTRADER[[#This Row],[ClickTick]],TabCalc[Ticker],TabCalc[NAfter]),"#,#0")&amp;"x"&amp;_xlfn.XLOOKUP(Tab_NewTRADER[[#This Row],[ClickTick]],TabCalc[Ticker],TabCalc[M])&amp;"           (A: "&amp;TEXT(-_xlfn.XLOOKUP(Tab_NewTRADER[[#This Row],[ClickTick]]&amp;2,Consolid!B$3:JZ$3,Consolid!B$4:JZ$4),"#,??0.00")&amp;")"</f>
        <v>25,000x15.035           (A:  16.04)</v>
      </c>
      <c r="AP21" s="1592" t="str">
        <f ca="1">_xlfn.XLOOKUP(Tab_NewTRADER[[#This Row],[Show]],TabCalc[Ticker],TabCalc[Min_Sn])&amp;" x "&amp;TEXT(_xlfn.XLOOKUP(Tab_NewTRADER[[#This Row],[Show]],TabCalc[Ticker],TabCalc[Min_Sp]),"#,#0.00")</f>
        <v>1250 x 11.94</v>
      </c>
      <c r="AQ2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25,000 x 16.04</v>
      </c>
      <c r="AR21" s="1702" t="str" cm="1">
        <f t="array" aca="1" ref="AR21" ca="1">_xlfn.IFS(Tab_NewTRADER[[#This Row],[State]]="Reverse Buy",TEXT(-Tab_NewTRADER[[#This Row],[Buy_Back]],"#,#0")&amp;" / "&amp;TEXT(Tab_NewTRADER[[#This Row],[Rev_Buy]],"#,#0.0%"),TRUE,Tab_NewTRADER[[#This Row],[AMY]])</f>
        <v xml:space="preserve">  16.04 -  15.04 -  16.93</v>
      </c>
      <c r="AS21" s="1651" t="str"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11,595       / 03.1%</v>
      </c>
      <c r="AT21" s="1699"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-24,945   / -6.7%</v>
      </c>
      <c r="AU21" s="1699" t="str" cm="1">
        <f t="array" aca="1" ref="AU21" ca="1">_xlfn.IFS(Tab_NewTRADER[[#This Row],[M]]&lt;Tab_NewTRADER[[#This Row],[A]],TEXT(Tab_NewTRADER[[#This Row],[N]]*Tab_NewTRADER[[#This Row],[M]]*Tab_NewTRADER[[#This Row],[Scale]]*Comm_Net,"#,#0")&amp;" @ "&amp;TEXT(Tab_NewTRADER[[#This Row],[M]],"#,#0.#0"),TRUE,"M: "&amp; Tab_NewTRADER[[#This Row],[M]])</f>
        <v>374,860 @ 15.04</v>
      </c>
      <c r="AV21" s="1740" cm="1">
        <f t="array" aca="1" ref="AV21" ca="1">-_xlfn.XLOOKUP(
    Tab_NewTRADER[[#This Row],[Show]] &amp; 2,
    TabConsolid[#Headers],
    INDEX(TabConsolid[], 1, 0)
)</f>
        <v>16.035383879999998</v>
      </c>
      <c r="AW21" s="1741">
        <f ca="1">Tab_NewTRADER[[#This Row],[M]]*Tab_NewTRADER[[#This Row],[N]]*(1-Commission)*Tab_NewTRADER[[#This Row],[Scale]]</f>
        <v>374897.72499999998</v>
      </c>
      <c r="AX21" s="1705"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705"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706" t="str" cm="1">
        <f t="array" aca="1" ref="AZ21" ca="1">_xlfn.IFS(   Tab_NewTRADER[[#This Row],[State]]=SellMorePercentGain,                     MIN(Tab_NewTRADER[[#This Row],[L_Sn]],Tab_NewTRADER[[#This Row],[N]])*(Tab_NewTRADER[[#This Row],[M]]-Tab_NewTRADER[[#This Row],[L_Sp]])*(1-Commission)*Tab_NewTRADER[[#This Row],[Scale]],                    TRUE,"")</f>
        <v/>
      </c>
      <c r="BA21" s="1723">
        <f ca="1">_xlfn.XLOOKUP(NewTrader!$V21,TabCalc[Ticker],TabCalc[Ann%RevLB])</f>
        <v>-5.3999999999999986</v>
      </c>
      <c r="BB21" s="1724">
        <f ca="1">_xlfn.XLOOKUP(NewTrader!$V21,TabCalc[Ticker],TabCalc[Up20])</f>
        <v>0</v>
      </c>
      <c r="BC21" s="1725"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706" t="str" cm="1">
        <f t="array" aca="1" ref="BD21" ca="1">_xlfn.IFS(         NewTrader!$AF21=MDown,NewTrader!$P21*NewTrader!$Y21*(-(NewTrader!$Q21+NewTrader!$Y21)/NewTrader!$Y21)*(1-Commission)*NewTrader!$A21,                               TRUE,"")</f>
        <v/>
      </c>
      <c r="BE21" s="1705" t="str" cm="1">
        <f t="array" aca="1" ref="BE21" ca="1">_xlfn.IFS(   NewTrader!$AF21=MUp,NewTrader!$BP21-Commission,        NewTrader!$AF21=MDown,(NewTrader!$X21-NewTrader!$Y21)/NewTrader!$Y21-Commission,                              TRUE,"")</f>
        <v/>
      </c>
      <c r="BF21" s="1706"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710" t="str" cm="1">
        <f t="array" aca="1" ref="BG21" ca="1">_xlfn.LET(_xlpm.SumChTxt,TEXT(_xlfn.XLOOKUP(NewTrader!$V21,ListTickers,Tab2SumChangePercent[AVGChan20]),"#0.0%"),
      _xlfn.IFS(NewTrader!$AF21=NoStock,_xlpm.SumChTxt,
      TRUE, IF(NewTrader!$AF21=SellMorePercentGain,             "SumChange "&amp;_xlpm.SumChTxt,                         "&lt;"&amp;INT(_xlfn.XLOOKUP(NewTrader!$V21,ListTickers,Tab2ReverseGL[Rev_GL19]))&amp;    "&lt;"&amp;INT(_xlfn.XLOOKUP(NewTrader!$V21,ListTickers,Tab2ReverseGL[Rev_GL18]))&amp;":      "&amp;_xlpm.SumChTxt)))</f>
        <v>&lt;-1&lt;-1:      0.0%</v>
      </c>
      <c r="BH21" s="1711"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-0.46</v>
      </c>
      <c r="BI21" s="1712" cm="1">
        <f t="array" aca="1" ref="BI21" ca="1">_xlfn.IFS(NewTrader!$AF21=Sale_Back,"",         NewTrader!$AF21=MDown, (NewTrader!$Y21-NewTrader!$X21)/NewTrader!$X21*ComFactor,             TRUE, IFERROR((NewTrader!$Y21-NewTrader!$X21)/NewTrader!$X21*ComFactor,""))</f>
        <v>-6.2223822602493109E-2</v>
      </c>
      <c r="BJ21" s="1664" cm="1">
        <f t="array" aca="1" ref="BJ21" ca="1">_xlfn.IFS(               NewTrader!$AF21=NoStock,(NewTrader!$BL21-NewTrader!$Y21)/NewTrader!$Y21-Commission,             NewTrader!$X21&lt;&gt;0,(NewTrader!$X21-NewTrader!$Y21)/NewTrader!$Y21-Commission)</f>
        <v>6.3937005653475057E-2</v>
      </c>
      <c r="BK21" s="1726">
        <f ca="1">_xlfn.XLOOKUP(NewTrader!$V21,TabCalc[Ticker],TabCalc[L_Sn])</f>
        <v>3200</v>
      </c>
      <c r="BL21" s="1727">
        <f ca="1">_xlfn.XLOOKUP(NewTrader!$V21,TabCalc[Ticker],TabCalc[L_Sp])</f>
        <v>16.12</v>
      </c>
      <c r="BM21" s="1634">
        <f ca="1">-IFERROR((Tab_NewTRADER[[#This Row],[M]]-Tab_NewTRADER[[#This Row],[L_Sp]])/Tab_NewTRADER[[#This Row],[L_Sp]],0)</f>
        <v>6.730769230769236E-2</v>
      </c>
      <c r="BN21" s="1728">
        <f ca="1">MIN(Tab_NewTRADER[[#This Row],[L_Sn]],Tab_NewTRADER[[#This Row],[N]])*(Tab_NewTRADER[[#This Row],[M]]-Tab_NewTRADER[[#This Row],[L_Sp]])*Comm_Net*Tab_NewTRADER[[#This Row],[Scale]]</f>
        <v>-3462.6256000000026</v>
      </c>
      <c r="BO21" s="1715">
        <f ca="1">Tab_NewTRADER[[#This Row],[L_Sn]]*(Tab_NewTRADER[[#This Row],[Agiotage]]-Tab_NewTRADER[[#This Row],[M]])/(Tab_NewTRADER[[#This Row],[L_Bn]]*Tab_NewTRADER[[#This Row],[M]])</f>
        <v>-0.31982808263950546</v>
      </c>
      <c r="BP21" s="1670">
        <f ca="1">IFERROR((Tab_NewTRADER[[#This Row],[M]]-Tab_NewTRADER[[#This Row],[A]])/Tab_NewTRADER[[#This Row],[A]],0)</f>
        <v>-6.2386026270797187E-2</v>
      </c>
      <c r="BQ21" s="1671" t="str">
        <f ca="1">TEXT(_xlfn.XLOOKUP(Tab_NewTRADER[[#This Row],[ClickTick]],TabCalc[Ticker],TabCalc[NAfter]),"#,#0")&amp;" : "&amp;TEXT(_xlfn.XLOOKUP(Tab_NewTRADER[[#This Row],[ClickTick]],TabCalc[Ticker],TabCalc[NAfter])*(Tab_NewTRADER[[#This Row],[M]]-Tab_NewTRADER[[#This Row],[A]])*(1-Commission)*Tab_NewTRADER[[#This Row],[Scale]],"#,#0$")</f>
        <v>25,000 : -24,945$</v>
      </c>
      <c r="BR21" s="259">
        <f ca="1">_xlfn.XLOOKUP(NewTrader!$V21,TabCalc[[#This Row],[Ticker]],TabCalc[[#This Row],[GL]])*(1-Commission)</f>
        <v>1143916.6868220691</v>
      </c>
      <c r="BS21" s="259"/>
      <c r="BT21" s="1672" t="str">
        <f ca="1">Tab_NewTRADER[[#This Row],[Show]]&amp;": "&amp;_xlfn.XLOOKUP(Tab_NewTRADER[[#This Row],[Show]],TabCalc[Ticker],TabCalc[Pile?])</f>
        <v>EOAN: Pile</v>
      </c>
      <c r="BU21" s="1717" t="s">
        <v>1985</v>
      </c>
      <c r="BV21" s="1674" t="str" cm="1">
        <f t="array" aca="1" ref="BV21" ca="1">_xlfn.TEXTJOIN("",,INDEX({"M","A","Y"}, _xlfn.SORTBY({1,2,3}, -CHOOSE({1,2,3}, Tab_NewTRADER[[#This Row],[M]], Tab_NewTRADER[[#This Row],[A]], Tab_NewTRADER[[#This Row],[Y]]))))</f>
        <v>YAM</v>
      </c>
      <c r="BW21" s="1675"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76" t="e">
        <f ca="1">Tab_NewTRADER[[#This Row],[L_Sn]]*Tab_NewTRADER[[#This Row],[L_Sp]]+Tab_NewTRADER[[#This Row],[SellMore]]*Tab_NewTRADER[[#This Row],[M]]</f>
        <v>#N/A</v>
      </c>
      <c r="BY21" s="1676" t="e">
        <f ca="1">INDEX(
  INDEX(TabConsolid[], , _xlfn.XMATCH(Tab_NewTRADER[[#This Row],[ClickTick]]&amp;1, TabConsolid[#Headers])),
  MATCH(
    -Tab_NewTRADER[[#This Row],[M]],
    INDEX(TabConsolid[], , _xlfn.XMATCH(Tab_NewTRADER[[#This Row],[ClickTick]]&amp;2, TabConsolid[#Headers])),
    -1
  )
)</f>
        <v>#N/A</v>
      </c>
      <c r="BZ21" s="1676"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550</v>
      </c>
      <c r="CA21" s="1677" t="e">
        <f ca="1">Tab_NewTRADER[[#This Row],[ReBuy]]/(Tab_NewTRADER[[#This Row],[L_Sn]]+Tab_NewTRADER[[#This Row],[SellMore]])</f>
        <v>#N/A</v>
      </c>
      <c r="CB21" s="1678">
        <f ca="1">((_xlfn.XLOOKUP(Tab_NewTRADER[[#This Row],[Show]],TabCalc[Ticker],TabCalc[NAfter])+Tab_NewTRADER[[#This Row],[L_Sn]])*(Tab_NewTRADER[[#This Row],[Agiotage]]-Tab_NewTRADER[[#This Row],[M]]))/(Tab_NewTRADER[[#This Row],[L_Sn]]*_xlfn.XLOOKUP(Tab_NewTRADER[[#This Row],[Show]],TabCalc[Ticker],TabCalc[NAfter]))</f>
        <v>-5.2969902060185934E-3</v>
      </c>
      <c r="CC21" s="1677">
        <f ca="1">INDEX(Tab1Price[Price19], MATCH(Tab_NewTRADER[[#This Row],[Show]], Tab_NewTRADER[Show], 0))</f>
        <v>15.035</v>
      </c>
      <c r="CD21" s="1679">
        <f ca="1">_xlfn.XMATCH(Tab_NewTRADER[[#This Row],[Show]]&amp;1, TabConsolid[#Headers])</f>
        <v>56</v>
      </c>
      <c r="CE21" s="1678"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729" t="str" cm="1">
        <f t="array" aca="1" ref="CF21" ca="1">_xlfn.LET(
    _xlpm.FMT, _xlfn.LAMBDA(_xlpm.n, REPT(" ", 7 - LEN(TEXT(_xlpm.n,"0.00"))) &amp; TEXT(_xlpm.n,"0.00")),
    _xlpm.FMT(Tab_NewTRADER[[#This Row],[A]]) &amp; " -" &amp; _xlpm.FMT(Tab_NewTRADER[[#This Row],[M]]) &amp; " -" &amp; _xlpm.FMT(Tab_NewTRADER[[#This Row],[Y]])
)</f>
        <v xml:space="preserve">  16.04 -  15.04 -  16.93</v>
      </c>
      <c r="CG21" s="1730" t="str" cm="1">
        <f t="array" aca="1" ref="CG21" ca="1">_xlfn.LET(
    _xlpm.W, 7,
    _xlpm.FMT, _xlfn.LAMBDA(_xlpm.n, REPT(" ", _xlpm.W - LEN(TEXT(_xlpm.n,"0.00"))) &amp; TEXT(_xlpm.n,"0.00")),
    _xlpm.FMT(Tab_NewTRADER[[#This Row],[A]]) &amp; " * " &amp; _xlpm.FMT(Tab_NewTRADER[[#This Row],[M]]) &amp; " * " &amp; _xlpm.FMT(Tab_NewTRADER[[#This Row],[Y]])
)</f>
        <v xml:space="preserve">  16.04 *   15.04 *   16.93</v>
      </c>
      <c r="CH21" s="1842">
        <f>0</f>
        <v>0</v>
      </c>
      <c r="CI21" t="str">
        <f ca="1">IF(ABS(NewTrader!$Q21)&gt;=NewTrader!$Y21,"OK")</f>
        <v>OK</v>
      </c>
    </row>
    <row r="22" spans="1:87" ht="23" hidden="1" thickBot="1">
      <c r="A22" s="1839">
        <f ca="1">IF(_xlfn.XLOOKUP(NewTrader!$V22,TabCalc[Ticker],TabCalc[Cur])="GBp",0.01,1)</f>
        <v>1</v>
      </c>
      <c r="B22" s="1681" t="str">
        <f ca="1">IFERROR(TRUNC(_xlfn.XLOOKUP(NewTrader!$V22,TabCalc[Ticker],ListLastBuyp),2)&amp;"x"&amp;_xlfn.XLOOKUP(NewTrader!$V22,TabCalc[Ticker],ListLastBuyn)&amp;"=    "&amp;IF(_xlfn.XLOOKUP(NewTrader!$V22,TabCalc[Ticker],ListReverseS)&gt;0,"+","")&amp;TEXT(_xlfn.XLOOKUP(NewTrader!$V22,TabCalc[Ticker],ListReverseS),"#,#0")&amp;" "&amp;#REF!,"")</f>
        <v/>
      </c>
      <c r="C22" s="1682" t="str">
        <f ca="1">_xlfn.XLOOKUP(NewTrader!$V22,TabCalc[Ticker],ListResale)&amp;" @ "&amp;TEXT((_xlfn.XLOOKUP(NewTrader!$V22,TabCalc[Ticker],TabCalc[L_Bp])+_xlfn.XLOOKUP(NewTrader!$V22,TabCalc[Ticker],TabCalc[M]))/_xlfn.XLOOKUP(NewTrader!$V22,TabCalc[Ticker],TabCalc[M]),"#0.0%")</f>
        <v>B_more @ -754.9%</v>
      </c>
      <c r="D22" s="1683"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84" t="str">
        <f ca="1">IF(      AND(NewTrader!$X22&lt;NewTrader!$Y22,    _xlfn.XLOOKUP(NewTrader!$V22,TabCalc[Ticker],TabCalc[L_Sp])&gt;NewTrader!$Y22),"BUY  "&amp;TEXT(DesiredBuyGain/NewTrader!$A22/(_xlfn.XLOOKUP(NewTrader!$V22,TabCalc[Ticker],TabCalc[L_Sp])-NewTrader!$Y22),"#,##0"),"")</f>
        <v/>
      </c>
      <c r="F22" s="1681" t="str">
        <f ca="1">TRUNC(TabCalc[[#This Row],[L_B1p]],2)&amp;"x"&amp;TabCalc[[#This Row],[L_B1n]]&amp;"=   "&amp;TEXT(TabCalc[[#This Row],[ReverseS1]],"#,#0")&amp;"$"</f>
        <v>-1.82x15000=   -24,282$</v>
      </c>
      <c r="G22" s="1685" t="str">
        <f ca="1">IFERROR(TRUNC(_xlfn.XLOOKUP(NewTrader!$V22,TabCalc[Ticker],ListLastSalep),2)&amp;"x"&amp;_xlfn.XLOOKUP(NewTrader!$V22,TabCalc[Ticker],ListLastSalen)&amp;"=   "&amp;TEXT(-_xlfn.XLOOKUP(NewTrader!$V22,TabCalc[Ticker],ListReverseB),"#,#0")&amp;"$","")</f>
        <v>5.77x10000=   -55,688$</v>
      </c>
      <c r="H22" s="1686"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81" t="str">
        <f ca="1">IFERROR(TRUNC(TabCalc[[#This Row],[L_S1p]],2)&amp;"x"&amp;TabCalc[[#This Row],[L_S1n]]&amp;"=   "&amp;TEXT(TabCalc[[#This Row],[ReverseB1]],"#,#0"),"")</f>
        <v>5.55x3000=   16,046</v>
      </c>
      <c r="J22" s="1687">
        <f ca="1">_xlfn.XLOOKUP(NewTrader!$V22,TabCalc[Ticker],ListGravity)</f>
        <v>0</v>
      </c>
      <c r="K22" s="1688" cm="1">
        <f t="array" aca="1" ref="K22" ca="1">IF(_xlfn.XLOOKUP(NewTrader!$V22,NewTrader!$V$3:$V$96,ListExtra_n)&gt;0,_xlfn.XLOOKUP(NewTrader!$V22,NewTrader!$V$3:$V$96,ListExtra_n),"")</f>
        <v>12313</v>
      </c>
      <c r="L22" s="1689">
        <f ca="1">IF(_xlfn.XLOOKUP(NewTrader!$V22,TabCalc[Ticker],ListExtra_n)&gt;0,_xlfn.XLOOKUP(NewTrader!$V22,TabCalc[Ticker],ListExtra_n)*NewTrader!$Y22*_xlfn.XLOOKUP(NewTrader!$V22,TabCalc[Ticker],ListScale),"")</f>
        <v>2477.3755999999998</v>
      </c>
      <c r="M22" s="1690">
        <f ca="1">_xlfn.XLOOKUP(NewTrader!$V22,TabCalc[Ticker],TabCalc[Agiotage])</f>
        <v>1.8522760022071003</v>
      </c>
      <c r="N22" s="1691" cm="1">
        <f t="array" aca="1" ref="N22" ca="1">_xlfn.XLOOKUP(NewTrader!$V22,ListTickers,Tab2RSIConventional[RSIConv20])</f>
        <v>98</v>
      </c>
      <c r="O22" s="1631" t="str">
        <f ca="1">TEXT(_xlfn.XLOOKUP(NewTrader!$V22,TabCalc[Ticker],TabCalc[Nbegin]),"#,#0")&amp;": "&amp;_xlfn.XLOOKUP(NewTrader!$V22,TabCalc[Ticker],TabCalc[Pile?])</f>
        <v xml:space="preserve">17,687: </v>
      </c>
      <c r="P22" s="1691">
        <f ca="1">_xlfn.XLOOKUP(NewTrader!$V22,TabCalc[Ticker],TabCalc[L_Bn])</f>
        <v>12000</v>
      </c>
      <c r="Q22" s="1731">
        <f ca="1">_xlfn.XLOOKUP(NewTrader!$V22,TabCalc[Ticker],TabCalc[L_Bp])</f>
        <v>-1.72</v>
      </c>
      <c r="R22" s="1694">
        <f ca="1">(NewTrader!$Y22+NewTrader!$Q22)/ABS(NewTrader!$Q22)</f>
        <v>-0.88302325581395347</v>
      </c>
      <c r="S22" s="262">
        <f ca="1">INT(_xlfn.XLOOKUP(NewTrader!$V22,TabCalc[Ticker],TabCalc[Rev(MinStock)])*Comm_Net)</f>
        <v>-18128</v>
      </c>
      <c r="T22" s="1635">
        <f ca="1">_xlfn.XLOOKUP(NewTrader!$V22,TabCalc[Ticker],TabCalc[Agiotage])</f>
        <v>1.8522760022071003</v>
      </c>
      <c r="U22" s="1695"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78" t="str">
        <f ca="1">SORTING!B22</f>
        <v>EPIX</v>
      </c>
      <c r="W22" s="1637">
        <f ca="1">_xlfn.XLOOKUP(NewTrader!$V22,TabCalc[Ticker],TabCalc[Y])</f>
        <v>0</v>
      </c>
      <c r="X22" s="1639">
        <f ca="1">-_xlfn.XLOOKUP(NewTrader!$V22&amp;2,Consolid!B$3:JZ$3,Consolid!B$4:JZ$4)</f>
        <v>2.1324098880000002</v>
      </c>
      <c r="Y22" s="1639">
        <f ca="1">_xlfn.XLOOKUP(NewTrader!$V22,TabCalc[Ticker],TabCalc[M])</f>
        <v>0.20119999999999999</v>
      </c>
      <c r="Z22" s="1640">
        <f ca="1">_xlfn.XLOOKUP(NewTrader!$V22,[1]!RTData[Ticker_Symbol],[1]!RTData[YTChange])</f>
        <v>0</v>
      </c>
      <c r="AA22" s="1640" cm="1">
        <f t="array" aca="1" ref="AA22" ca="1">_xlfn.XLOOKUP(NewTrader!$V22,ListTickers,Tab1ChangePercent[Change%19])</f>
        <v>0</v>
      </c>
      <c r="AB22" s="1641">
        <f ca="1">_xlfn.XLOOKUP(NewTrader!$V22,TabCalc[Ticker],TabCalc[NAfter])</f>
        <v>30000</v>
      </c>
      <c r="AC22" s="1641">
        <f ca="1">_xlfn.XLOOKUP(NewTrader!$V22,TabCalc[Ticker],TabCalc[Nbegin])</f>
        <v>17687</v>
      </c>
      <c r="AD22" s="1642" t="str">
        <f ca="1">_xlfn.LET(_xlpm.PILE,_xlfn.XLOOKUP(NewTrader!$V22,TabCalc[Ticker],TabCalc[Pile?]),                    _xlpm.GL,_xlfn.XLOOKUP(NewTrader!$V22,TabCalc[Ticker],TabCalc[GL]),                        _xlpm.GLK,_xlfn.XLOOKUP(NewTrader!$V22,TabCalc[Ticker],TabCalc[GL])/1000,                             _xlpm.MVal,_xlfn.XLOOKUP(NewTrader!$V22,TabCalc[Ticker],TabCalc[M_V])/1000,                   _xlpm.PILE&amp;" "&amp;IF(_xlpm.GL&lt;0,TEXT(_xlpm.GLK,"#,#0")&amp;"K /"&amp;TEXT(_xlpm.MVal,"#,#0")&amp;" K$","^"&amp;TEXT(_xlpm.GLK,"#,#0")&amp;"K / "&amp;TEXT(_xlpm.MVal,"#,#0")&amp;" K$"))</f>
        <v xml:space="preserve"> 0K /6 K$</v>
      </c>
      <c r="AE22" s="1720" t="str">
        <f ca="1">_xlfn.XLOOKUP(NewTrader!$V22,[1]!RTData[Ticker_Symbol],[1]!RTData[Currency])</f>
        <v>USD</v>
      </c>
      <c r="AF22" s="1721"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698" t="str" cm="1">
        <f t="array" aca="1" ref="AH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51" t="str" cm="1">
        <f t="array" aca="1" ref="AJ22" ca="1">_xlfn.IFS(Tab_NewTRADER[[#This Row],[State]]="Sell More",TEXT(MIN(Tab_NewTRADER[[#This Row],[N]],Tab_NewTRADER[[#This Row],[L_Bn]])*(Tab_NewTRADER[[#This Row],[M]]-Tab_NewTRADER[[#This Row],[L_Sp]])*Tab_NewTRADER[[#This Row],[Scale]]*ComFactor,"#,#0"), TRUE,"M= "&amp;TEXT(Tab_NewTRADER[[#This Row],[M]],"#,#0.00"))</f>
        <v>M= 0.20</v>
      </c>
      <c r="AK22" s="1699" cm="1">
        <f t="array" aca="1" ref="AK22" ca="1">_xlfn.IFS(Tab_NewTRADER[[#This Row],[Y]]&gt;Tab_NewTRADER[[#This Row],[A]],                 TEXT(MIN(Tab_NewTRADER[[#This Row],[L_Bn]],Tab_NewTRADER[[#This Row],[N]])*(Tab_NewTRADER[[#This Row],[M]]-Tab_NewTRADER[[#This Row],[A]])*Tab_NewTRADER[[#This Row],[Scale]]*ComFactor,"#,#0"), TRUE,0)</f>
        <v>0</v>
      </c>
      <c r="AL22" s="1700" cm="1">
        <f t="array" aca="1" ref="AL22" ca="1">_xlfn.IFS(Tab_NewTRADER[[#This Row],[M]]&gt;Tab_NewTRADER[[#This Row],[A]],                  Tab_NewTRADER[[#This Row],[N]]*(Tab_NewTRADER[[#This Row],[M]]-Tab_NewTRADER[[#This Row],[A]])*Tab_NewTRADER[[#This Row],[Scale]]*ComFactor, TRUE,0)</f>
        <v>0</v>
      </c>
      <c r="AM22" s="1592" t="str">
        <f ca="1">_xlfn.XLOOKUP(Tab_NewTRADER[[#This Row],[Show]],TabCalc[Ticker],TabCalc[Max_Bn])&amp;" x "&amp;TEXT(_xlfn.XLOOKUP(Tab_NewTRADER[[#This Row],[Show]],TabCalc[Ticker],TabCalc[Max_Bp]),"#,#0.00")</f>
        <v>3000 x 5.29</v>
      </c>
      <c r="AN22" s="1650" t="str">
        <f ca="1">NewTrader!$V22</f>
        <v>EPIX</v>
      </c>
      <c r="AO22" s="1651"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2" t="str">
        <f ca="1">_xlfn.XLOOKUP(Tab_NewTRADER[[#This Row],[Show]],TabCalc[Ticker],TabCalc[Min_Sn])&amp;" x "&amp;TEXT(_xlfn.XLOOKUP(Tab_NewTRADER[[#This Row],[Show]],TabCalc[Ticker],TabCalc[Min_Sp]),"#,#0.00")</f>
        <v>2000 x 5.55</v>
      </c>
      <c r="AQ2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702" t="str" cm="1">
        <f t="array" aca="1" ref="AR22" ca="1">_xlfn.IFS(Tab_NewTRADER[[#This Row],[State]]="Reverse Buy",TEXT(-Tab_NewTRADER[[#This Row],[Buy_Back]],"#,#0")&amp;" / "&amp;TEXT(Tab_NewTRADER[[#This Row],[Rev_Buy]],"#,#0.0%"),TRUE,Tab_NewTRADER[[#This Row],[AMY]])</f>
        <v xml:space="preserve">   2.13 -   0.20 -   0.00</v>
      </c>
      <c r="AS22" s="1651"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99"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99" t="str" cm="1">
        <f t="array" aca="1" ref="AU22" ca="1">_xlfn.IFS(Tab_NewTRADER[[#This Row],[M]]&lt;Tab_NewTRADER[[#This Row],[A]],TEXT(Tab_NewTRADER[[#This Row],[N]]*Tab_NewTRADER[[#This Row],[M]]*Tab_NewTRADER[[#This Row],[Scale]]*Comm_Net,"#,#0")&amp;" @ "&amp;TEXT(Tab_NewTRADER[[#This Row],[M]],"#,#0.#0"),TRUE,"M: "&amp; Tab_NewTRADER[[#This Row],[M]])</f>
        <v>6,020 @ 0.20</v>
      </c>
      <c r="AV22" s="1703" cm="1">
        <f t="array" aca="1" ref="AV22" ca="1">-_xlfn.XLOOKUP(
    Tab_NewTRADER[[#This Row],[Show]] &amp; 2,
    TabConsolid[#Headers],
    INDEX(TabConsolid[], 1, 0)
)</f>
        <v>2.1324098880000002</v>
      </c>
      <c r="AW22" s="1704">
        <f ca="1">Tab_NewTRADER[[#This Row],[M]]*Tab_NewTRADER[[#This Row],[N]]*(1-Commission)*Tab_NewTRADER[[#This Row],[Scale]]</f>
        <v>6020.3063999999995</v>
      </c>
      <c r="AX22" s="1705"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705"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706" t="str" cm="1">
        <f t="array" aca="1" ref="AZ22" ca="1">_xlfn.IFS(   Tab_NewTRADER[[#This Row],[State]]=SellMorePercentGain,                     MIN(Tab_NewTRADER[[#This Row],[L_Sn]],Tab_NewTRADER[[#This Row],[N]])*(Tab_NewTRADER[[#This Row],[M]]-Tab_NewTRADER[[#This Row],[L_Sp]])*(1-Commission)*Tab_NewTRADER[[#This Row],[Scale]],                    TRUE,"")</f>
        <v/>
      </c>
      <c r="BA22" s="1723">
        <f ca="1">_xlfn.XLOOKUP(NewTrader!$V22,TabCalc[Ticker],TabCalc[Ann%RevLB])</f>
        <v>-1.0059758610538709</v>
      </c>
      <c r="BB22" s="1746">
        <f ca="1">_xlfn.XLOOKUP(NewTrader!$V22,TabCalc[Ticker],TabCalc[Up20])</f>
        <v>0</v>
      </c>
      <c r="BC22" s="1709"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706" t="str" cm="1">
        <f t="array" aca="1" ref="BD22" ca="1">_xlfn.IFS(         NewTrader!$AF22=MDown,NewTrader!$P22*NewTrader!$Y22*(-(NewTrader!$Q22+NewTrader!$Y22)/NewTrader!$Y22)*(1-Commission)*NewTrader!$A22,                               TRUE,"")</f>
        <v/>
      </c>
      <c r="BE22" s="1705" t="str" cm="1">
        <f t="array" aca="1" ref="BE22" ca="1">_xlfn.IFS(   NewTrader!$AF22=MUp,NewTrader!$BP22-Commission,        NewTrader!$AF22=MDown,(NewTrader!$X22-NewTrader!$Y22)/NewTrader!$Y22-Commission,                              TRUE,"")</f>
        <v/>
      </c>
      <c r="BF22" s="1706"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710" t="str" cm="1">
        <f t="array" aca="1" ref="BG22" ca="1">_xlfn.LET(_xlpm.SumChTxt,TEXT(_xlfn.XLOOKUP(NewTrader!$V22,ListTickers,Tab2SumChangePercent[AVGChan20]),"#0.0%"),
      _xlfn.IFS(NewTrader!$AF22=NoStock,_xlpm.SumChTxt,
      TRUE, IF(NewTrader!$AF22=SellMorePercentGain,             "SumChange "&amp;_xlpm.SumChTxt,                         "&lt;"&amp;INT(_xlfn.XLOOKUP(NewTrader!$V22,ListTickers,Tab2ReverseGL[Rev_GL19]))&amp;    "&lt;"&amp;INT(_xlfn.XLOOKUP(NewTrader!$V22,ListTickers,Tab2ReverseGL[Rev_GL18]))&amp;":      "&amp;_xlpm.SumChTxt)))</f>
        <v>&lt;-1&lt;-1:      0.4%</v>
      </c>
      <c r="BH22" s="1711"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712" cm="1">
        <f t="array" aca="1" ref="BI22" ca="1">_xlfn.IFS(NewTrader!$AF22=Sale_Back,"",         NewTrader!$AF22=MDown, (NewTrader!$Y22-NewTrader!$X22)/NewTrader!$X22*ComFactor,             TRUE, IFERROR((NewTrader!$Y22-NewTrader!$X22)/NewTrader!$X22*ComFactor,""))</f>
        <v>-0.9032919764303774</v>
      </c>
      <c r="BJ22" s="1664" cm="1">
        <f t="array" aca="1" ref="BJ22" ca="1">_xlfn.IFS(               NewTrader!$AF22=NoStock,(NewTrader!$BL22-NewTrader!$Y22)/NewTrader!$Y22-Commission,             NewTrader!$X22&lt;&gt;0,(NewTrader!$X22-NewTrader!$Y22)/NewTrader!$Y22-Commission)</f>
        <v>9.5958586878727647</v>
      </c>
      <c r="BK22" s="1713">
        <f ca="1">_xlfn.XLOOKUP(NewTrader!$V22,TabCalc[Ticker],TabCalc[L_Sn])</f>
        <v>10000</v>
      </c>
      <c r="BL22" s="1693">
        <f ca="1">_xlfn.XLOOKUP(NewTrader!$V22,TabCalc[Ticker],TabCalc[L_Sp])</f>
        <v>5.77</v>
      </c>
      <c r="BM22" s="1694">
        <f ca="1">-IFERROR((Tab_NewTRADER[[#This Row],[M]]-Tab_NewTRADER[[#This Row],[L_Sp]])/Tab_NewTRADER[[#This Row],[L_Sp]],0)</f>
        <v>0.96512998266897743</v>
      </c>
      <c r="BN22" s="1714">
        <f ca="1">MIN(Tab_NewTRADER[[#This Row],[L_Sn]],Tab_NewTRADER[[#This Row],[N]])*(Tab_NewTRADER[[#This Row],[M]]-Tab_NewTRADER[[#This Row],[L_Sp]])*Comm_Net*Tab_NewTRADER[[#This Row],[Scale]]</f>
        <v>-55537.64239999999</v>
      </c>
      <c r="BO22" s="1715">
        <f ca="1">Tab_NewTRADER[[#This Row],[L_Sn]]*(Tab_NewTRADER[[#This Row],[Agiotage]]-Tab_NewTRADER[[#This Row],[M]])/(Tab_NewTRADER[[#This Row],[L_Bn]]*Tab_NewTRADER[[#This Row],[M]])</f>
        <v>6.8384526267689694</v>
      </c>
      <c r="BP22" s="1716">
        <f ca="1">IFERROR((Tab_NewTRADER[[#This Row],[M]]-Tab_NewTRADER[[#This Row],[A]])/Tab_NewTRADER[[#This Row],[A]],0)</f>
        <v>-0.90564665774050279</v>
      </c>
      <c r="BQ22" s="1671"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Row],[GL]])*(1-Commission)</f>
        <v>-379.75151209640836</v>
      </c>
      <c r="BS22" s="262"/>
      <c r="BT22" s="1672" t="str">
        <f ca="1">Tab_NewTRADER[[#This Row],[Show]]&amp;": "&amp;_xlfn.XLOOKUP(Tab_NewTRADER[[#This Row],[Show]],TabCalc[Ticker],TabCalc[Pile?])</f>
        <v xml:space="preserve">EPIX: </v>
      </c>
      <c r="BU22" s="1717" t="s">
        <v>2024</v>
      </c>
      <c r="BV22" s="1674" t="str" cm="1">
        <f t="array" aca="1" ref="BV22" ca="1">_xlfn.TEXTJOIN("",,INDEX({"M","A","Y"}, _xlfn.SORTBY({1,2,3}, -CHOOSE({1,2,3}, Tab_NewTRADER[[#This Row],[M]], Tab_NewTRADER[[#This Row],[A]], Tab_NewTRADER[[#This Row],[Y]]))))</f>
        <v>AMY</v>
      </c>
      <c r="BW22" s="1675"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76" t="e">
        <f ca="1">Tab_NewTRADER[[#This Row],[L_Sn]]*Tab_NewTRADER[[#This Row],[L_Sp]]+Tab_NewTRADER[[#This Row],[SellMore]]*Tab_NewTRADER[[#This Row],[M]]</f>
        <v>#N/A</v>
      </c>
      <c r="BY22" s="1676" t="e">
        <f ca="1">INDEX(
  INDEX(TabConsolid[], , _xlfn.XMATCH(Tab_NewTRADER[[#This Row],[ClickTick]]&amp;1, TabConsolid[#Headers])),
  MATCH(
    -Tab_NewTRADER[[#This Row],[M]],
    INDEX(TabConsolid[], , _xlfn.XMATCH(Tab_NewTRADER[[#This Row],[ClickTick]]&amp;2, TabConsolid[#Headers])),
    -1
  )
)</f>
        <v>#N/A</v>
      </c>
      <c r="BZ22" s="1676"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77" t="e">
        <f ca="1">Tab_NewTRADER[[#This Row],[ReBuy]]/(Tab_NewTRADER[[#This Row],[L_Sn]]+Tab_NewTRADER[[#This Row],[SellMore]])</f>
        <v>#N/A</v>
      </c>
      <c r="CB22" s="1678">
        <f ca="1">((_xlfn.XLOOKUP(Tab_NewTRADER[[#This Row],[Show]],TabCalc[Ticker],TabCalc[NAfter])+Tab_NewTRADER[[#This Row],[L_Sn]])*(Tab_NewTRADER[[#This Row],[Agiotage]]-Tab_NewTRADER[[#This Row],[M]]))/(Tab_NewTRADER[[#This Row],[L_Sn]]*_xlfn.XLOOKUP(Tab_NewTRADER[[#This Row],[Show]],TabCalc[Ticker],TabCalc[NAfter]))</f>
        <v>2.2014346696094667E-4</v>
      </c>
      <c r="CC22" s="1677">
        <f ca="1">INDEX(Tab1Price[Price19], MATCH(Tab_NewTRADER[[#This Row],[Show]], Tab_NewTRADER[Show], 0))</f>
        <v>0.20119999999999999</v>
      </c>
      <c r="CD22" s="1679">
        <f ca="1">_xlfn.XMATCH(Tab_NewTRADER[[#This Row],[Show]]&amp;1, TabConsolid[#Headers])</f>
        <v>59</v>
      </c>
      <c r="CE22" s="1678"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729" t="str" cm="1">
        <f t="array" aca="1" ref="CF22" ca="1">_xlfn.LET(
    _xlpm.FMT, _xlfn.LAMBDA(_xlpm.n, REPT(" ", 7 - LEN(TEXT(_xlpm.n,"0.00"))) &amp; TEXT(_xlpm.n,"0.00")),
    _xlpm.FMT(Tab_NewTRADER[[#This Row],[A]]) &amp; " -" &amp; _xlpm.FMT(Tab_NewTRADER[[#This Row],[M]]) &amp; " -" &amp; _xlpm.FMT(Tab_NewTRADER[[#This Row],[Y]])
)</f>
        <v xml:space="preserve">   2.13 -   0.20 -   0.00</v>
      </c>
      <c r="CG22" s="1730"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42">
        <f>0</f>
        <v>0</v>
      </c>
      <c r="CI22" t="str">
        <f ca="1">IF(ABS(NewTrader!$Q22)&gt;=NewTrader!$Y22,"OK")</f>
        <v>OK</v>
      </c>
    </row>
    <row r="23" spans="1:87" ht="23" thickBot="1">
      <c r="A23" s="1838">
        <f ca="1">IF(_xlfn.XLOOKUP(NewTrader!$V23,TabCalc[Ticker],TabCalc[Cur])="GBp",0.01,1)</f>
        <v>1</v>
      </c>
      <c r="B23" s="1620" t="str">
        <f ca="1">IFERROR(TRUNC(_xlfn.XLOOKUP(NewTrader!$V23,TabCalc[Ticker],ListLastBuyp),2)&amp;"x"&amp;_xlfn.XLOOKUP(NewTrader!$V23,TabCalc[Ticker],ListLastBuyn)&amp;"=    "&amp;IF(_xlfn.XLOOKUP(NewTrader!$V23,TabCalc[Ticker],ListReverseS)&gt;0,"+","")&amp;TEXT(_xlfn.XLOOKUP(NewTrader!$V23,TabCalc[Ticker],ListReverseS),"#,#0")&amp;" "&amp;#REF!,"")</f>
        <v/>
      </c>
      <c r="C23" s="1621" t="str">
        <f ca="1">_xlfn.XLOOKUP(NewTrader!$V23,TabCalc[Ticker],ListResale)&amp;" @ "&amp;TEXT((_xlfn.XLOOKUP(NewTrader!$V23,TabCalc[Ticker],TabCalc[L_Bp])+_xlfn.XLOOKUP(NewTrader!$V23,TabCalc[Ticker],TabCalc[M]))/_xlfn.XLOOKUP(NewTrader!$V23,TabCalc[Ticker],TabCalc[M]),"#0.0%")</f>
        <v>Resell @ 42.3%</v>
      </c>
      <c r="D23" s="1622"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718" t="str">
        <f ca="1">IF(      AND(NewTrader!$X23&lt;NewTrader!$Y23,    _xlfn.XLOOKUP(NewTrader!$V23,TabCalc[Ticker],TabCalc[L_Sp])&gt;NewTrader!$Y23),"BUY  "&amp;TEXT(DesiredBuyGain/NewTrader!$A23/(_xlfn.XLOOKUP(NewTrader!$V23,TabCalc[Ticker],TabCalc[L_Sp])-NewTrader!$Y23),"#,##0"),"")</f>
        <v/>
      </c>
      <c r="F23" s="1620" t="str">
        <f ca="1">TRUNC(TabCalc[[#This Row],[L_B1p]],2)&amp;"x"&amp;TabCalc[[#This Row],[L_B1n]]&amp;"=   "&amp;TEXT(TabCalc[[#This Row],[ReverseS1]],"#,#0")&amp;"$"</f>
        <v>-43.55x4000=   37$</v>
      </c>
      <c r="G23" s="1624" t="str">
        <f ca="1">IFERROR(TRUNC(_xlfn.XLOOKUP(NewTrader!$V23,TabCalc[Ticker],ListLastSalep),2)&amp;"x"&amp;_xlfn.XLOOKUP(NewTrader!$V23,TabCalc[Ticker],ListLastSalen)&amp;"=   "&amp;TEXT(-_xlfn.XLOOKUP(NewTrader!$V23,TabCalc[Ticker],ListReverseB),"#,#0")&amp;"$","")</f>
        <v>76.96x9=   35$</v>
      </c>
      <c r="H23" s="1625"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-4.8% = 0</v>
      </c>
      <c r="I23" s="1620" t="str">
        <f ca="1">IFERROR(TRUNC(TabCalc[[#This Row],[L_S1p]],2)&amp;"x"&amp;TabCalc[[#This Row],[L_S1n]]&amp;"=   "&amp;TEXT(TabCalc[[#This Row],[ReverseB1]],"#,#0"),"")</f>
        <v>47.63x990=   -32,880</v>
      </c>
      <c r="J23" s="1626">
        <f ca="1">_xlfn.XLOOKUP(NewTrader!$V23,TabCalc[Ticker],ListGravity)</f>
        <v>0.91866200754530269</v>
      </c>
      <c r="K23" s="1627" t="str" cm="1">
        <f t="array" aca="1" ref="K23" ca="1">IF(_xlfn.XLOOKUP(NewTrader!$V23,NewTrader!$V$3:$V$96,ListExtra_n)&gt;0,_xlfn.XLOOKUP(NewTrader!$V23,NewTrader!$V$3:$V$96,ListExtra_n),"")</f>
        <v/>
      </c>
      <c r="L23" s="1628" t="str">
        <f ca="1">IF(_xlfn.XLOOKUP(NewTrader!$V23,TabCalc[Ticker],ListExtra_n)&gt;0,_xlfn.XLOOKUP(NewTrader!$V23,TabCalc[Ticker],ListExtra_n)*NewTrader!$Y23*_xlfn.XLOOKUP(NewTrader!$V23,TabCalc[Ticker],ListScale),"")</f>
        <v/>
      </c>
      <c r="M23" s="1629">
        <f ca="1">_xlfn.XLOOKUP(NewTrader!$V23,TabCalc[Ticker],TabCalc[Agiotage])</f>
        <v>1.0689103082554057</v>
      </c>
      <c r="N23" s="1630" cm="1">
        <f t="array" aca="1" ref="N23" ca="1">_xlfn.XLOOKUP(NewTrader!$V23,ListTickers,Tab2RSIConventional[RSIConv20])</f>
        <v>74</v>
      </c>
      <c r="O23" s="1631" t="str">
        <f ca="1">TEXT(_xlfn.XLOOKUP(NewTrader!$V23,TabCalc[Ticker],TabCalc[Nbegin]),"#,#0")&amp;": "&amp;_xlfn.XLOOKUP(NewTrader!$V23,TabCalc[Ticker],TabCalc[Pile?])</f>
        <v>1,000: Pile</v>
      </c>
      <c r="P23" s="1630">
        <f ca="1">_xlfn.XLOOKUP(NewTrader!$V23,TabCalc[Ticker],TabCalc[L_Bn])</f>
        <v>990</v>
      </c>
      <c r="Q23" s="1633">
        <f ca="1">_xlfn.XLOOKUP(NewTrader!$V23,TabCalc[Ticker],TabCalc[L_Bp])</f>
        <v>-46.676000000000002</v>
      </c>
      <c r="R23" s="1634">
        <f ca="1">(NewTrader!$Y23+NewTrader!$Q23)/ABS(NewTrader!$Q23)</f>
        <v>0.73204644785328643</v>
      </c>
      <c r="S23" s="259">
        <f ca="1">INT(_xlfn.XLOOKUP(NewTrader!$V23,TabCalc[Ticker],TabCalc[Rev(MinStock)])*Comm_Net)</f>
        <v>33</v>
      </c>
      <c r="T23" s="1635">
        <f ca="1">_xlfn.XLOOKUP(NewTrader!$V23,TabCalc[Ticker],TabCalc[Agiotage])</f>
        <v>1.0689103082554057</v>
      </c>
      <c r="U23" s="1719"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0/0=&gt;0.1% / 0.1%</v>
      </c>
      <c r="V23" s="1578" t="str">
        <f ca="1">SORTING!B23</f>
        <v>GM</v>
      </c>
      <c r="W23" s="1637">
        <f ca="1">_xlfn.XLOOKUP(NewTrader!$V23,TabCalc[Ticker],TabCalc[Y])</f>
        <v>74.269229999999993</v>
      </c>
      <c r="X23" s="1639">
        <f ca="1">-_xlfn.XLOOKUP(NewTrader!$V23&amp;2,Consolid!B$3:JZ$3,Consolid!B$4:JZ$4)</f>
        <v>46.797357599999998</v>
      </c>
      <c r="Y23" s="1639">
        <f ca="1">_xlfn.XLOOKUP(NewTrader!$V23,TabCalc[Ticker],TabCalc[M])</f>
        <v>80.844999999999999</v>
      </c>
      <c r="Z23" s="1640">
        <f ca="1">_xlfn.XLOOKUP(NewTrader!$V23,[1]!RTData[Ticker_Symbol],[1]!RTData[YTChange])</f>
        <v>6.9688015021459222</v>
      </c>
      <c r="AA23" s="1640" cm="1">
        <f t="array" aca="1" ref="AA23" ca="1">_xlfn.XLOOKUP(NewTrader!$V23,ListTickers,Tab1ChangePercent[Change%19])</f>
        <v>5.5690000000000004E-4</v>
      </c>
      <c r="AB23" s="1641">
        <f ca="1">_xlfn.XLOOKUP(NewTrader!$V23,TabCalc[Ticker],TabCalc[NAfter])</f>
        <v>1</v>
      </c>
      <c r="AC23" s="1641">
        <f ca="1">_xlfn.XLOOKUP(NewTrader!$V23,TabCalc[Ticker],TabCalc[Nbegin])</f>
        <v>1000</v>
      </c>
      <c r="AD23" s="1642" t="str">
        <f ca="1">_xlfn.LET(_xlpm.PILE,_xlfn.XLOOKUP(NewTrader!$V23,TabCalc[Ticker],TabCalc[Pile?]),                    _xlpm.GL,_xlfn.XLOOKUP(NewTrader!$V23,TabCalc[Ticker],TabCalc[GL]),                        _xlpm.GLK,_xlfn.XLOOKUP(NewTrader!$V23,TabCalc[Ticker],TabCalc[GL])/1000,                             _xlpm.MVal,_xlfn.XLOOKUP(NewTrader!$V23,TabCalc[Ticker],TabCalc[M_V])/1000,                   _xlpm.PILE&amp;" "&amp;IF(_xlpm.GL&lt;0,TEXT(_xlpm.GLK,"#,#0")&amp;"K /"&amp;TEXT(_xlpm.MVal,"#,#0")&amp;" K$","^"&amp;TEXT(_xlpm.GLK,"#,#0")&amp;"K / "&amp;TEXT(_xlpm.MVal,"#,#0")&amp;" K$"))</f>
        <v>Pile ^15K / 0 K$</v>
      </c>
      <c r="AE23" s="1643" t="str">
        <f ca="1">_xlfn.XLOOKUP(NewTrader!$V23,[1]!RTData[Ticker_Symbol],[1]!RTData[Currency])</f>
        <v>USD</v>
      </c>
      <c r="AF23" s="1721"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46.68     /       1 x 46.80</v>
      </c>
      <c r="AH23" s="1646" t="str" cm="1">
        <f t="array" aca="1" ref="AH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80.85 -  74.27</v>
      </c>
      <c r="AI2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3" s="1739" t="str" cm="1">
        <f t="array" aca="1" ref="AJ23" ca="1">_xlfn.IFS(Tab_NewTRADER[[#This Row],[State]]="Sell More",TEXT(MIN(Tab_NewTRADER[[#This Row],[N]],Tab_NewTRADER[[#This Row],[L_Bn]])*(Tab_NewTRADER[[#This Row],[M]]-Tab_NewTRADER[[#This Row],[L_Sp]])*Tab_NewTRADER[[#This Row],[Scale]]*ComFactor,"#,#0"), TRUE,"M= "&amp;TEXT(Tab_NewTRADER[[#This Row],[M]],"#,#0.00"))</f>
        <v>4</v>
      </c>
      <c r="AK23" s="1699" t="str" cm="1">
        <f t="array" aca="1" ref="AK23" ca="1">_xlfn.IFS(Tab_NewTRADER[[#This Row],[Y]]&gt;Tab_NewTRADER[[#This Row],[A]],                 TEXT(MIN(Tab_NewTRADER[[#This Row],[L_Bn]],Tab_NewTRADER[[#This Row],[N]])*(Tab_NewTRADER[[#This Row],[M]]-Tab_NewTRADER[[#This Row],[A]])*Tab_NewTRADER[[#This Row],[Scale]]*ComFactor,"#,#0"), TRUE,0)</f>
        <v>34</v>
      </c>
      <c r="AL23" s="1700" cm="1">
        <f t="array" aca="1" ref="AL23" ca="1">_xlfn.IFS(Tab_NewTRADER[[#This Row],[M]]&gt;Tab_NewTRADER[[#This Row],[A]],                  Tab_NewTRADER[[#This Row],[N]]*(Tab_NewTRADER[[#This Row],[M]]-Tab_NewTRADER[[#This Row],[A]])*Tab_NewTRADER[[#This Row],[Scale]]*ComFactor, TRUE,0)</f>
        <v>33.959118529759998</v>
      </c>
      <c r="AM23" s="1592" t="str">
        <f ca="1">_xlfn.XLOOKUP(Tab_NewTRADER[[#This Row],[Show]],TabCalc[Ticker],TabCalc[Max_Bn])&amp;" x "&amp;TEXT(_xlfn.XLOOKUP(Tab_NewTRADER[[#This Row],[Show]],TabCalc[Ticker],TabCalc[Max_Bp]),"#,#0.00")</f>
        <v>1 x 46.80</v>
      </c>
      <c r="AN23" s="1650" t="str">
        <f ca="1">NewTrader!$V23</f>
        <v>GM</v>
      </c>
      <c r="AO23" s="1651" t="str">
        <f ca="1">TEXT(_xlfn.XLOOKUP(Tab_NewTRADER[[#This Row],[ClickTick]],TabCalc[Ticker],TabCalc[NAfter]),"#,#0")&amp;"x"&amp;_xlfn.XLOOKUP(Tab_NewTRADER[[#This Row],[ClickTick]],TabCalc[Ticker],TabCalc[M])&amp;"           (A: "&amp;TEXT(-_xlfn.XLOOKUP(Tab_NewTRADER[[#This Row],[ClickTick]]&amp;2,Consolid!B$3:JZ$3,Consolid!B$4:JZ$4),"#,??0.00")&amp;")"</f>
        <v>1x80.845           (A:  46.80)</v>
      </c>
      <c r="AP23" s="1592" t="str">
        <f ca="1">_xlfn.XLOOKUP(Tab_NewTRADER[[#This Row],[Show]],TabCalc[Ticker],TabCalc[Min_Sn])&amp;" x "&amp;TEXT(_xlfn.XLOOKUP(Tab_NewTRADER[[#This Row],[Show]],TabCalc[Ticker],TabCalc[Min_Sp]),"#,#0.00")</f>
        <v>9 x 44.47</v>
      </c>
      <c r="AQ2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702" t="str" cm="1">
        <f t="array" aca="1" ref="AR23" ca="1">_xlfn.IFS(Tab_NewTRADER[[#This Row],[State]]="Reverse Buy",TEXT(-Tab_NewTRADER[[#This Row],[Buy_Back]],"#,#0")&amp;" / "&amp;TEXT(Tab_NewTRADER[[#This Row],[Rev_Buy]],"#,#0.0%"),TRUE,Tab_NewTRADER[[#This Row],[AMY]])</f>
        <v xml:space="preserve">  46.80 -  80.85 -  74.27</v>
      </c>
      <c r="AS23" s="1651"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99"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99" t="str" cm="1">
        <f t="array" aca="1" ref="AU23" ca="1">_xlfn.IFS(Tab_NewTRADER[[#This Row],[M]]&lt;Tab_NewTRADER[[#This Row],[A]],TEXT(Tab_NewTRADER[[#This Row],[N]]*Tab_NewTRADER[[#This Row],[M]]*Tab_NewTRADER[[#This Row],[Scale]]*Comm_Net,"#,#0")&amp;" @ "&amp;TEXT(Tab_NewTRADER[[#This Row],[M]],"#,#0.#0"),TRUE,"M: "&amp; Tab_NewTRADER[[#This Row],[M]])</f>
        <v>M: 80.845</v>
      </c>
      <c r="AV23" s="1722" cm="1">
        <f t="array" aca="1" ref="AV23" ca="1">-_xlfn.XLOOKUP(
    Tab_NewTRADER[[#This Row],[Show]] &amp; 2,
    TabConsolid[#Headers],
    INDEX(TabConsolid[], 1, 0)
)</f>
        <v>46.797357599999998</v>
      </c>
      <c r="AW23" s="1710">
        <f ca="1">Tab_NewTRADER[[#This Row],[M]]*Tab_NewTRADER[[#This Row],[N]]*(1-Commission)*Tab_NewTRADER[[#This Row],[Scale]]</f>
        <v>80.634802999999991</v>
      </c>
      <c r="AX23" s="1705"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705"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706" t="str" cm="1">
        <f t="array" aca="1" ref="AZ23" ca="1">_xlfn.IFS(   Tab_NewTRADER[[#This Row],[State]]=SellMorePercentGain,                     MIN(Tab_NewTRADER[[#This Row],[L_Sn]],Tab_NewTRADER[[#This Row],[N]])*(Tab_NewTRADER[[#This Row],[M]]-Tab_NewTRADER[[#This Row],[L_Sp]])*(1-Commission)*Tab_NewTRADER[[#This Row],[Scale]],                    TRUE,"")</f>
        <v/>
      </c>
      <c r="BA23" s="1752">
        <f ca="1">_xlfn.XLOOKUP(NewTrader!$V23,TabCalc[Ticker],TabCalc[Ann%RevLB])</f>
        <v>0.53673466645047474</v>
      </c>
      <c r="BB23" s="1708">
        <f ca="1">_xlfn.XLOOKUP(NewTrader!$V23,TabCalc[Ticker],TabCalc[Up20])</f>
        <v>0</v>
      </c>
      <c r="BC23" s="1725"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706" t="str" cm="1">
        <f t="array" aca="1" ref="BD23" ca="1">_xlfn.IFS(         NewTrader!$AF23=MDown,NewTrader!$P23*NewTrader!$Y23*(-(NewTrader!$Q23+NewTrader!$Y23)/NewTrader!$Y23)*(1-Commission)*NewTrader!$A23,                               TRUE,"")</f>
        <v/>
      </c>
      <c r="BE23" s="1705" t="str" cm="1">
        <f t="array" aca="1" ref="BE23" ca="1">_xlfn.IFS(   NewTrader!$AF23=MUp,NewTrader!$BP23-Commission,        NewTrader!$AF23=MDown,(NewTrader!$X23-NewTrader!$Y23)/NewTrader!$Y23-Commission,                              TRUE,"")</f>
        <v/>
      </c>
      <c r="BF23" s="1710"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710" t="str" cm="1">
        <f t="array" aca="1" ref="BG23" ca="1">_xlfn.LET(_xlpm.SumChTxt,TEXT(_xlfn.XLOOKUP(NewTrader!$V23,ListTickers,Tab2SumChangePercent[AVGChan20]),"#0.0%"),
      _xlfn.IFS(NewTrader!$AF23=NoStock,_xlpm.SumChTxt,
      TRUE, IF(NewTrader!$AF23=SellMorePercentGain,             "SumChange "&amp;_xlpm.SumChTxt,                         "&lt;"&amp;INT(_xlfn.XLOOKUP(NewTrader!$V23,ListTickers,Tab2ReverseGL[Rev_GL19]))&amp;    "&lt;"&amp;INT(_xlfn.XLOOKUP(NewTrader!$V23,ListTickers,Tab2ReverseGL[Rev_GL18]))&amp;":      "&amp;_xlpm.SumChTxt)))</f>
        <v>&lt;-1&lt;-1:      0.4%</v>
      </c>
      <c r="BH23" s="1711"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1x34.04</v>
      </c>
      <c r="BI23" s="1712" cm="1">
        <f t="array" aca="1" ref="BI23" ca="1">_xlfn.IFS(NewTrader!$AF23=Sale_Back,"",         NewTrader!$AF23=MDown, (NewTrader!$Y23-NewTrader!$X23)/NewTrader!$X23*ComFactor,             TRUE, IFERROR((NewTrader!$Y23-NewTrader!$X23)/NewTrader!$X23*ComFactor,""))</f>
        <v>0.72566316286541788</v>
      </c>
      <c r="BJ23" s="1664" cm="1">
        <f t="array" aca="1" ref="BJ23" ca="1">_xlfn.IFS(               NewTrader!$AF23=NoStock,(NewTrader!$BL23-NewTrader!$Y23)/NewTrader!$Y23-Commission,             NewTrader!$X23&lt;&gt;0,(NewTrader!$X23-NewTrader!$Y23)/NewTrader!$Y23-Commission)</f>
        <v>-0.42374716308986332</v>
      </c>
      <c r="BK23" s="1726">
        <f ca="1">_xlfn.XLOOKUP(NewTrader!$V23,TabCalc[Ticker],TabCalc[L_Sn])</f>
        <v>9</v>
      </c>
      <c r="BL23" s="1727">
        <f ca="1">_xlfn.XLOOKUP(NewTrader!$V23,TabCalc[Ticker],TabCalc[L_Sp])</f>
        <v>76.959999999999994</v>
      </c>
      <c r="BM23" s="1634">
        <f ca="1">-IFERROR((Tab_NewTRADER[[#This Row],[M]]-Tab_NewTRADER[[#This Row],[L_Sp]])/Tab_NewTRADER[[#This Row],[L_Sp]],0)</f>
        <v>-5.0480769230769301E-2</v>
      </c>
      <c r="BN23" s="1728">
        <f ca="1">MIN(Tab_NewTRADER[[#This Row],[L_Sn]],Tab_NewTRADER[[#This Row],[N]])*(Tab_NewTRADER[[#This Row],[M]]-Tab_NewTRADER[[#This Row],[L_Sp]])*Comm_Net*Tab_NewTRADER[[#This Row],[Scale]]</f>
        <v>3.8745105000000049</v>
      </c>
      <c r="BO23" s="1715">
        <f ca="1">Tab_NewTRADER[[#This Row],[L_Sn]]*(Tab_NewTRADER[[#This Row],[Agiotage]]-Tab_NewTRADER[[#This Row],[M]])/(Tab_NewTRADER[[#This Row],[L_Bn]]*Tab_NewTRADER[[#This Row],[M]])</f>
        <v>-8.9707115964606319E-3</v>
      </c>
      <c r="BP23" s="1670">
        <f ca="1">IFERROR((Tab_NewTRADER[[#This Row],[M]]-Tab_NewTRADER[[#This Row],[A]])/Tab_NewTRADER[[#This Row],[A]],0)</f>
        <v>0.72755480535935224</v>
      </c>
      <c r="BQ23" s="1671" t="str">
        <f ca="1">TEXT(_xlfn.XLOOKUP(Tab_NewTRADER[[#This Row],[ClickTick]],TabCalc[Ticker],TabCalc[NAfter]),"#,#0")&amp;" : "&amp;TEXT(_xlfn.XLOOKUP(Tab_NewTRADER[[#This Row],[ClickTick]],TabCalc[Ticker],TabCalc[NAfter])*(Tab_NewTRADER[[#This Row],[M]]-Tab_NewTRADER[[#This Row],[A]])*(1-Commission)*Tab_NewTRADER[[#This Row],[Scale]],"#,#0$")</f>
        <v>1 : 34$</v>
      </c>
      <c r="BR23" s="259">
        <f ca="1">_xlfn.XLOOKUP(NewTrader!$V23,TabCalc[[#This Row],[Ticker]],TabCalc[[#This Row],[GL]])*(1-Commission)</f>
        <v>14480.680656747214</v>
      </c>
      <c r="BS23" s="259"/>
      <c r="BT23" s="1672" t="str">
        <f ca="1">Tab_NewTRADER[[#This Row],[Show]]&amp;": "&amp;_xlfn.XLOOKUP(Tab_NewTRADER[[#This Row],[Show]],TabCalc[Ticker],TabCalc[Pile?])</f>
        <v>GM: Pile</v>
      </c>
      <c r="BU23" s="1717" t="s">
        <v>2058</v>
      </c>
      <c r="BV23" s="1674" t="str" cm="1">
        <f t="array" aca="1" ref="BV23" ca="1">_xlfn.TEXTJOIN("",,INDEX({"M","A","Y"}, _xlfn.SORTBY({1,2,3}, -CHOOSE({1,2,3}, Tab_NewTRADER[[#This Row],[M]], Tab_NewTRADER[[#This Row],[A]], Tab_NewTRADER[[#This Row],[Y]]))))</f>
        <v>MYA</v>
      </c>
      <c r="BW23" s="1675"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76">
        <f ca="1">Tab_NewTRADER[[#This Row],[L_Sn]]*Tab_NewTRADER[[#This Row],[L_Sp]]+Tab_NewTRADER[[#This Row],[SellMore]]*Tab_NewTRADER[[#This Row],[M]]</f>
        <v>1501.0900000000001</v>
      </c>
      <c r="BY23" s="1676">
        <f ca="1">INDEX(
  INDEX(TabConsolid[], , _xlfn.XMATCH(Tab_NewTRADER[[#This Row],[ClickTick]]&amp;1, TabConsolid[#Headers])),
  MATCH(
    -Tab_NewTRADER[[#This Row],[M]],
    INDEX(TabConsolid[], , _xlfn.XMATCH(Tab_NewTRADER[[#This Row],[ClickTick]]&amp;2, TabConsolid[#Headers])),
    -1
  )
)</f>
        <v>10</v>
      </c>
      <c r="BZ23" s="1676"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77">
        <f ca="1">Tab_NewTRADER[[#This Row],[ReBuy]]/(Tab_NewTRADER[[#This Row],[L_Sn]]+Tab_NewTRADER[[#This Row],[SellMore]])</f>
        <v>79.004736842105274</v>
      </c>
      <c r="CB23" s="1678">
        <f ca="1">((_xlfn.XLOOKUP(Tab_NewTRADER[[#This Row],[Show]],TabCalc[Ticker],TabCalc[NAfter])+Tab_NewTRADER[[#This Row],[L_Sn]])*(Tab_NewTRADER[[#This Row],[Agiotage]]-Tab_NewTRADER[[#This Row],[M]]))/(Tab_NewTRADER[[#This Row],[L_Sn]]*_xlfn.XLOOKUP(Tab_NewTRADER[[#This Row],[Show]],TabCalc[Ticker],TabCalc[NAfter]))</f>
        <v>-88.640099657493977</v>
      </c>
      <c r="CC23" s="1677">
        <f ca="1">INDEX(Tab1Price[Price19], MATCH(Tab_NewTRADER[[#This Row],[Show]], Tab_NewTRADER[Show], 0))</f>
        <v>80.844999999999999</v>
      </c>
      <c r="CD23" s="1679">
        <f ca="1">_xlfn.XMATCH(Tab_NewTRADER[[#This Row],[Show]]&amp;1, TabConsolid[#Headers])</f>
        <v>62</v>
      </c>
      <c r="CE23" s="1678"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729" t="str" cm="1">
        <f t="array" aca="1" ref="CF23" ca="1">_xlfn.LET(
    _xlpm.FMT, _xlfn.LAMBDA(_xlpm.n, REPT(" ", 7 - LEN(TEXT(_xlpm.n,"0.00"))) &amp; TEXT(_xlpm.n,"0.00")),
    _xlpm.FMT(Tab_NewTRADER[[#This Row],[A]]) &amp; " -" &amp; _xlpm.FMT(Tab_NewTRADER[[#This Row],[M]]) &amp; " -" &amp; _xlpm.FMT(Tab_NewTRADER[[#This Row],[Y]])
)</f>
        <v xml:space="preserve">  46.80 -  80.85 -  74.27</v>
      </c>
      <c r="CG23" s="1730" t="str" cm="1">
        <f t="array" aca="1" ref="CG23" ca="1">_xlfn.LET(
    _xlpm.W, 7,
    _xlpm.FMT, _xlfn.LAMBDA(_xlpm.n, REPT(" ", _xlpm.W - LEN(TEXT(_xlpm.n,"0.00"))) &amp; TEXT(_xlpm.n,"0.00")),
    _xlpm.FMT(Tab_NewTRADER[[#This Row],[A]]) &amp; " * " &amp; _xlpm.FMT(Tab_NewTRADER[[#This Row],[M]]) &amp; " * " &amp; _xlpm.FMT(Tab_NewTRADER[[#This Row],[Y]])
)</f>
        <v xml:space="preserve">  46.80 *   80.85 *   74.27</v>
      </c>
      <c r="CH23" s="1842">
        <f>0</f>
        <v>0</v>
      </c>
      <c r="CI23" t="b">
        <f ca="1">IF(ABS(NewTrader!$Q23)&gt;=NewTrader!$Y23,"OK")</f>
        <v>0</v>
      </c>
    </row>
    <row r="24" spans="1:87" ht="1" hidden="1" customHeight="1" thickBot="1">
      <c r="A24" s="1839">
        <f ca="1">IF(_xlfn.XLOOKUP(NewTrader!$V24,TabCalc[Ticker],TabCalc[Cur])="GBp",0.01,1)</f>
        <v>1</v>
      </c>
      <c r="B24" s="1681" t="str">
        <f ca="1">IFERROR(TRUNC(_xlfn.XLOOKUP(NewTrader!$V24,TabCalc[Ticker],ListLastBuyp),2)&amp;"x"&amp;_xlfn.XLOOKUP(NewTrader!$V24,TabCalc[Ticker],ListLastBuyn)&amp;"=    "&amp;IF(_xlfn.XLOOKUP(NewTrader!$V24,TabCalc[Ticker],ListReverseS)&gt;0,"+","")&amp;TEXT(_xlfn.XLOOKUP(NewTrader!$V24,TabCalc[Ticker],ListReverseS),"#,#0")&amp;" "&amp;#REF!,"")</f>
        <v/>
      </c>
      <c r="C24" s="1682" t="str">
        <f ca="1">_xlfn.XLOOKUP(NewTrader!$V24,TabCalc[Ticker],ListResale)&amp;" @ "&amp;TEXT((_xlfn.XLOOKUP(NewTrader!$V24,TabCalc[Ticker],TabCalc[L_Bp])+_xlfn.XLOOKUP(NewTrader!$V24,TabCalc[Ticker],TabCalc[M]))/_xlfn.XLOOKUP(NewTrader!$V24,TabCalc[Ticker],TabCalc[M]),"#0.0%")</f>
        <v>Sell @ 10.5%</v>
      </c>
      <c r="D24" s="1683"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1,938/14,200=47,558</v>
      </c>
      <c r="E24" s="1684" t="str">
        <f ca="1">IF(      AND(NewTrader!$X24&lt;NewTrader!$Y24,    _xlfn.XLOOKUP(NewTrader!$V24,TabCalc[Ticker],TabCalc[L_Sp])&gt;NewTrader!$Y24),"BUY  "&amp;TEXT(DesiredBuyGain/NewTrader!$A24/(_xlfn.XLOOKUP(NewTrader!$V24,TabCalc[Ticker],TabCalc[L_Sp])-NewTrader!$Y24),"#,##0"),"")</f>
        <v/>
      </c>
      <c r="F24" s="1681" t="str">
        <f ca="1">TRUNC(TabCalc[[#This Row],[L_B1p]],2)&amp;"x"&amp;TabCalc[[#This Row],[L_B1n]]&amp;"=   "&amp;TEXT(TabCalc[[#This Row],[ReverseS1]],"#,#0")&amp;"$"</f>
        <v>-22.63x1800=   3,438$</v>
      </c>
      <c r="G24" s="1685" t="str">
        <f ca="1">IFERROR(TRUNC(_xlfn.XLOOKUP(NewTrader!$V24,TabCalc[Ticker],ListLastSalep),2)&amp;"x"&amp;_xlfn.XLOOKUP(NewTrader!$V24,TabCalc[Ticker],ListLastSalen)&amp;"=   "&amp;TEXT(-_xlfn.XLOOKUP(NewTrader!$V24,TabCalc[Ticker],ListReverseB),"#,#0")&amp;"$","")</f>
        <v>24.12x1800=   756$</v>
      </c>
      <c r="H24" s="1686"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-1.7% = 0</v>
      </c>
      <c r="I24" s="1681" t="str">
        <f ca="1">IFERROR(TRUNC(TabCalc[[#This Row],[L_S1p]],2)&amp;"x"&amp;TabCalc[[#This Row],[L_S1n]]&amp;"=   "&amp;TEXT(TabCalc[[#This Row],[ReverseB1]],"#,#0"),"")</f>
        <v>26.07x1200=   1,836</v>
      </c>
      <c r="J24" s="1687">
        <f ca="1">_xlfn.XLOOKUP(NewTrader!$V24,TabCalc[Ticker],ListGravity)</f>
        <v>1.0753418907905461</v>
      </c>
      <c r="K24" s="1688" cm="1">
        <f t="array" aca="1" ref="K24" ca="1">IF(_xlfn.XLOOKUP(NewTrader!$V24,NewTrader!$V$3:$V$96,ListExtra_n)&gt;0,_xlfn.XLOOKUP(NewTrader!$V24,NewTrader!$V$3:$V$96,ListExtra_n),"")</f>
        <v>2200</v>
      </c>
      <c r="L24" s="1689">
        <f ca="1">IF(_xlfn.XLOOKUP(NewTrader!$V24,TabCalc[Ticker],ListExtra_n)&gt;0,_xlfn.XLOOKUP(NewTrader!$V24,TabCalc[Ticker],ListExtra_n)*NewTrader!$Y24*_xlfn.XLOOKUP(NewTrader!$V24,TabCalc[Ticker],ListScale),"")</f>
        <v>53988</v>
      </c>
      <c r="M24" s="1690">
        <f ca="1">_xlfn.XLOOKUP(NewTrader!$V24,TabCalc[Ticker],TabCalc[Agiotage])</f>
        <v>0.88895401902287108</v>
      </c>
      <c r="N24" s="1691" cm="1">
        <f t="array" aca="1" ref="N24" ca="1">_xlfn.XLOOKUP(NewTrader!$V24,ListTickers,Tab2RSIConventional[RSIConv20])</f>
        <v>80</v>
      </c>
      <c r="O24" s="1631" t="str">
        <f ca="1">TEXT(_xlfn.XLOOKUP(NewTrader!$V24,TabCalc[Ticker],TabCalc[Nbegin]),"#,#0")&amp;": "&amp;_xlfn.XLOOKUP(NewTrader!$V24,TabCalc[Ticker],TabCalc[Pile?])</f>
        <v xml:space="preserve">12,000: </v>
      </c>
      <c r="P24" s="1692">
        <f ca="1">_xlfn.XLOOKUP(NewTrader!$V24,TabCalc[Ticker],TabCalc[L_Bn])</f>
        <v>5000</v>
      </c>
      <c r="Q24" s="1731">
        <f ca="1">_xlfn.XLOOKUP(NewTrader!$V24,TabCalc[Ticker],TabCalc[L_Bp])</f>
        <v>-21.96</v>
      </c>
      <c r="R24" s="1694">
        <f ca="1">(NewTrader!$Y24+NewTrader!$Q24)/ABS(NewTrader!$Q24)</f>
        <v>0.11748633879781413</v>
      </c>
      <c r="S24" s="262">
        <f ca="1">INT(_xlfn.XLOOKUP(NewTrader!$V24,TabCalc[Ticker],TabCalc[Rev(MinStock)])*Comm_Net)</f>
        <v>12830</v>
      </c>
      <c r="T24" s="1635">
        <f ca="1">_xlfn.XLOOKUP(NewTrader!$V24,TabCalc[Ticker],TabCalc[Agiotage])</f>
        <v>0.88895401902287108</v>
      </c>
      <c r="U24" s="1695"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-2,272/-2,272=&gt;-2.9% / -2.9%</v>
      </c>
      <c r="V24" s="1578" t="str">
        <f ca="1">SORTING!B24</f>
        <v>HPE</v>
      </c>
      <c r="W24" s="1637">
        <f ca="1">_xlfn.XLOOKUP(NewTrader!$V24,TabCalc[Ticker],TabCalc[Y])</f>
        <v>26.38889</v>
      </c>
      <c r="X24" s="1639">
        <f ca="1">-_xlfn.XLOOKUP(NewTrader!$V24&amp;2,Consolid!B$3:JZ$3,Consolid!B$4:JZ$4)</f>
        <v>20.994714560788733</v>
      </c>
      <c r="Y24" s="1639">
        <f ca="1">_xlfn.XLOOKUP(NewTrader!$V24,TabCalc[Ticker],TabCalc[M])</f>
        <v>24.54</v>
      </c>
      <c r="Z24" s="1640">
        <f ca="1">_xlfn.XLOOKUP(NewTrader!$V24,[1]!RTData[Ticker_Symbol],[1]!RTData[YTChange])</f>
        <v>-0.53086417777777772</v>
      </c>
      <c r="AA24" s="1640" cm="1">
        <f t="array" aca="1" ref="AA24" ca="1">_xlfn.XLOOKUP(NewTrader!$V24,ListTickers,Tab1ChangePercent[Change%19])</f>
        <v>-2.8504000000000002E-2</v>
      </c>
      <c r="AB24" s="1641">
        <f ca="1">_xlfn.XLOOKUP(NewTrader!$V24,TabCalc[Ticker],TabCalc[NAfter])</f>
        <v>14200</v>
      </c>
      <c r="AC24" s="1641">
        <f ca="1">_xlfn.XLOOKUP(NewTrader!$V24,TabCalc[Ticker],TabCalc[Nbegin])</f>
        <v>12000</v>
      </c>
      <c r="AD24" s="1642" t="str">
        <f ca="1">_xlfn.LET(_xlpm.PILE,_xlfn.XLOOKUP(NewTrader!$V24,TabCalc[Ticker],TabCalc[Pile?]),                    _xlpm.GL,_xlfn.XLOOKUP(NewTrader!$V24,TabCalc[Ticker],TabCalc[GL]),                        _xlpm.GLK,_xlfn.XLOOKUP(NewTrader!$V24,TabCalc[Ticker],TabCalc[GL])/1000,                             _xlpm.MVal,_xlfn.XLOOKUP(NewTrader!$V24,TabCalc[Ticker],TabCalc[M_V])/1000,                   _xlpm.PILE&amp;" "&amp;IF(_xlpm.GL&lt;0,TEXT(_xlpm.GLK,"#,#0")&amp;"K /"&amp;TEXT(_xlpm.MVal,"#,#0")&amp;" K$","^"&amp;TEXT(_xlpm.GLK,"#,#0")&amp;"K / "&amp;TEXT(_xlpm.MVal,"#,#0")&amp;" K$"))</f>
        <v xml:space="preserve"> ^200K / 348 K$</v>
      </c>
      <c r="AE24" s="1643" t="str">
        <f ca="1">_xlfn.XLOOKUP(NewTrader!$V24,[1]!RTData[Ticker_Symbol],[1]!RTData[Currency])</f>
        <v>USD</v>
      </c>
      <c r="AF24" s="1696"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AG2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646" t="str" cm="1">
        <f t="array" aca="1" ref="AH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12,830 @ 24.54 : (10.5%, 469.9%)</v>
      </c>
      <c r="AI2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24" s="1651" t="str" cm="1">
        <f t="array" aca="1" ref="AJ24" ca="1">_xlfn.IFS(Tab_NewTRADER[[#This Row],[State]]="Sell More",TEXT(MIN(Tab_NewTRADER[[#This Row],[N]],Tab_NewTRADER[[#This Row],[L_Bn]])*(Tab_NewTRADER[[#This Row],[M]]-Tab_NewTRADER[[#This Row],[L_Sp]])*Tab_NewTRADER[[#This Row],[Scale]]*ComFactor,"#,#0"), TRUE,"M= "&amp;TEXT(Tab_NewTRADER[[#This Row],[M]],"#,#0.00"))</f>
        <v>M= 24.54</v>
      </c>
      <c r="AK24" s="1699" t="str" cm="1">
        <f t="array" aca="1" ref="AK24" ca="1">_xlfn.IFS(Tab_NewTRADER[[#This Row],[Y]]&gt;Tab_NewTRADER[[#This Row],[A]],                 TEXT(MIN(Tab_NewTRADER[[#This Row],[L_Bn]],Tab_NewTRADER[[#This Row],[N]])*(Tab_NewTRADER[[#This Row],[M]]-Tab_NewTRADER[[#This Row],[A]])*Tab_NewTRADER[[#This Row],[Scale]]*ComFactor,"#,#0"), TRUE,0)</f>
        <v>17,680</v>
      </c>
      <c r="AL24" s="1700" cm="1">
        <f t="array" aca="1" ref="AL24" ca="1">_xlfn.IFS(Tab_NewTRADER[[#This Row],[M]]&gt;Tab_NewTRADER[[#This Row],[A]],                  Tab_NewTRADER[[#This Row],[N]]*(Tab_NewTRADER[[#This Row],[M]]-Tab_NewTRADER[[#This Row],[A]])*Tab_NewTRADER[[#This Row],[Scale]]*ComFactor, TRUE,0)</f>
        <v>50212.161298384301</v>
      </c>
      <c r="AM24" s="1592" t="str">
        <f ca="1">_xlfn.XLOOKUP(Tab_NewTRADER[[#This Row],[Show]],TabCalc[Ticker],TabCalc[Max_Bn])&amp;" x "&amp;TEXT(_xlfn.XLOOKUP(Tab_NewTRADER[[#This Row],[Show]],TabCalc[Ticker],TabCalc[Max_Bp]),"#,#0.00")</f>
        <v>1200 x 24.92</v>
      </c>
      <c r="AN24" s="1650" t="str">
        <f ca="1">NewTrader!$V24</f>
        <v>HPE</v>
      </c>
      <c r="AO24" s="1651" t="str">
        <f ca="1">TEXT(_xlfn.XLOOKUP(Tab_NewTRADER[[#This Row],[ClickTick]],TabCalc[Ticker],TabCalc[NAfter]),"#,#0")&amp;"x"&amp;_xlfn.XLOOKUP(Tab_NewTRADER[[#This Row],[ClickTick]],TabCalc[Ticker],TabCalc[M])&amp;"           (A: "&amp;TEXT(-_xlfn.XLOOKUP(Tab_NewTRADER[[#This Row],[ClickTick]]&amp;2,Consolid!B$3:JZ$3,Consolid!B$4:JZ$4),"#,??0.00")&amp;")"</f>
        <v>14,200x24.54           (A:  20.99)</v>
      </c>
      <c r="AP24" s="1592" t="str">
        <f ca="1">_xlfn.XLOOKUP(Tab_NewTRADER[[#This Row],[Show]],TabCalc[Ticker],TabCalc[Min_Sn])&amp;" x "&amp;TEXT(_xlfn.XLOOKUP(Tab_NewTRADER[[#This Row],[Show]],TabCalc[Ticker],TabCalc[Min_Sp]),"#,#0.00")</f>
        <v>500 x 15.12</v>
      </c>
      <c r="AQ2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702" t="str" cm="1">
        <f t="array" aca="1" ref="AR24" ca="1">_xlfn.IFS(Tab_NewTRADER[[#This Row],[State]]="Reverse Buy",TEXT(-Tab_NewTRADER[[#This Row],[Buy_Back]],"#,#0")&amp;" / "&amp;TEXT(Tab_NewTRADER[[#This Row],[Rev_Buy]],"#,#0.0%"),TRUE,Tab_NewTRADER[[#This Row],[AMY]])</f>
        <v xml:space="preserve">  20.99 -  24.54 -  26.39</v>
      </c>
      <c r="AS24" s="1651"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99"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99" t="str" cm="1">
        <f t="array" aca="1" ref="AU24" ca="1">_xlfn.IFS(Tab_NewTRADER[[#This Row],[M]]&lt;Tab_NewTRADER[[#This Row],[A]],TEXT(Tab_NewTRADER[[#This Row],[N]]*Tab_NewTRADER[[#This Row],[M]]*Tab_NewTRADER[[#This Row],[Scale]]*Comm_Net,"#,#0")&amp;" @ "&amp;TEXT(Tab_NewTRADER[[#This Row],[M]],"#,#0.#0"),TRUE,"M: "&amp; Tab_NewTRADER[[#This Row],[M]])</f>
        <v>M: 24.54</v>
      </c>
      <c r="AV24" s="1722" cm="1">
        <f t="array" aca="1" ref="AV24" ca="1">-_xlfn.XLOOKUP(
    Tab_NewTRADER[[#This Row],[Show]] &amp; 2,
    TabConsolid[#Headers],
    INDEX(TabConsolid[], 1, 0)
)</f>
        <v>20.994714560788733</v>
      </c>
      <c r="AW24" s="1710">
        <f ca="1">Tab_NewTRADER[[#This Row],[M]]*Tab_NewTRADER[[#This Row],[N]]*(1-Commission)*Tab_NewTRADER[[#This Row],[Scale]]</f>
        <v>347561.98319999996</v>
      </c>
      <c r="AX24" s="1705"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705"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706" t="str" cm="1">
        <f t="array" aca="1" ref="AZ24" ca="1">_xlfn.IFS(   Tab_NewTRADER[[#This Row],[State]]=SellMorePercentGain,                     MIN(Tab_NewTRADER[[#This Row],[L_Sn]],Tab_NewTRADER[[#This Row],[N]])*(Tab_NewTRADER[[#This Row],[M]]-Tab_NewTRADER[[#This Row],[L_Sp]])*(1-Commission)*Tab_NewTRADER[[#This Row],[Scale]],                    TRUE,"")</f>
        <v/>
      </c>
      <c r="BA24" s="1707">
        <f ca="1">_xlfn.XLOOKUP(NewTrader!$V24,TabCalc[Ticker],TabCalc[Ann%RevLB])</f>
        <v>4.6994535519125655</v>
      </c>
      <c r="BB24" s="1708">
        <f ca="1">_xlfn.XLOOKUP(NewTrader!$V24,TabCalc[Ticker],TabCalc[Up20])</f>
        <v>0</v>
      </c>
      <c r="BC24" s="1709"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706" t="str" cm="1">
        <f t="array" aca="1" ref="BD24" ca="1">_xlfn.IFS(         NewTrader!$AF24=MDown,NewTrader!$P24*NewTrader!$Y24*(-(NewTrader!$Q24+NewTrader!$Y24)/NewTrader!$Y24)*(1-Commission)*NewTrader!$A24,                               TRUE,"")</f>
        <v/>
      </c>
      <c r="BE24" s="1705" t="str" cm="1">
        <f t="array" aca="1" ref="BE24" ca="1">_xlfn.IFS(   NewTrader!$AF24=MUp,NewTrader!$BP24-Commission,        NewTrader!$AF24=MDown,(NewTrader!$X24-NewTrader!$Y24)/NewTrader!$Y24-Commission,                              TRUE,"")</f>
        <v/>
      </c>
      <c r="BF24" s="1706"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710" t="str" cm="1">
        <f t="array" aca="1" ref="BG24" ca="1">_xlfn.LET(_xlpm.SumChTxt,TEXT(_xlfn.XLOOKUP(NewTrader!$V24,ListTickers,Tab2SumChangePercent[AVGChan20]),"#0.0%"),
      _xlfn.IFS(NewTrader!$AF24=NoStock,_xlpm.SumChTxt,
      TRUE, IF(NewTrader!$AF24=SellMorePercentGain,             "SumChange "&amp;_xlpm.SumChTxt,                         "&lt;"&amp;INT(_xlfn.XLOOKUP(NewTrader!$V24,ListTickers,Tab2ReverseGL[Rev_GL19]))&amp;    "&lt;"&amp;INT(_xlfn.XLOOKUP(NewTrader!$V24,ListTickers,Tab2ReverseGL[Rev_GL18]))&amp;":      "&amp;_xlpm.SumChTxt)))</f>
        <v>&lt;-1&lt;-1:      0.2%</v>
      </c>
      <c r="BH24" s="1711"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M&gt;L_Bp</v>
      </c>
      <c r="BI24" s="1712" cm="1">
        <f t="array" aca="1" ref="BI24" ca="1">_xlfn.IFS(NewTrader!$AF24=Sale_Back,"",         NewTrader!$AF24=MDown, (NewTrader!$Y24-NewTrader!$X24)/NewTrader!$X24*ComFactor,             TRUE, IFERROR((NewTrader!$Y24-NewTrader!$X24)/NewTrader!$X24*ComFactor,""))</f>
        <v>0.168426566926208</v>
      </c>
      <c r="BJ24" s="1664" cm="1">
        <f t="array" aca="1" ref="BJ24" ca="1">_xlfn.IFS(               NewTrader!$AF24=NoStock,(NewTrader!$BL24-NewTrader!$Y24)/NewTrader!$Y24-Commission,             NewTrader!$X24&lt;&gt;0,(NewTrader!$X24-NewTrader!$Y24)/NewTrader!$Y24-Commission)</f>
        <v>-0.14706965929956259</v>
      </c>
      <c r="BK24" s="1713">
        <f ca="1">_xlfn.XLOOKUP(NewTrader!$V24,TabCalc[Ticker],TabCalc[L_Sn])</f>
        <v>1800</v>
      </c>
      <c r="BL24" s="1693">
        <f ca="1">_xlfn.XLOOKUP(NewTrader!$V24,TabCalc[Ticker],TabCalc[L_Sp])</f>
        <v>24.12</v>
      </c>
      <c r="BM24" s="1694">
        <f ca="1">-IFERROR((Tab_NewTRADER[[#This Row],[M]]-Tab_NewTRADER[[#This Row],[L_Sp]])/Tab_NewTRADER[[#This Row],[L_Sp]],0)</f>
        <v>-1.7412935323383009E-2</v>
      </c>
      <c r="BN24" s="1714">
        <f ca="1">MIN(Tab_NewTRADER[[#This Row],[L_Sn]],Tab_NewTRADER[[#This Row],[N]])*(Tab_NewTRADER[[#This Row],[M]]-Tab_NewTRADER[[#This Row],[L_Sp]])*Comm_Net*Tab_NewTRADER[[#This Row],[Scale]]</f>
        <v>753.9587999999967</v>
      </c>
      <c r="BO24" s="1715">
        <f ca="1">Tab_NewTRADER[[#This Row],[L_Sn]]*(Tab_NewTRADER[[#This Row],[Agiotage]]-Tab_NewTRADER[[#This Row],[M]])/(Tab_NewTRADER[[#This Row],[L_Bn]]*Tab_NewTRADER[[#This Row],[M]])</f>
        <v>-0.34695910974538569</v>
      </c>
      <c r="BP24" s="1716">
        <f ca="1">IFERROR((Tab_NewTRADER[[#This Row],[M]]-Tab_NewTRADER[[#This Row],[A]])/Tab_NewTRADER[[#This Row],[A]],0)</f>
        <v>0.16886561753179066</v>
      </c>
      <c r="BQ24" s="1671" t="str">
        <f ca="1">TEXT(_xlfn.XLOOKUP(Tab_NewTRADER[[#This Row],[ClickTick]],TabCalc[Ticker],TabCalc[NAfter]),"#,#0")&amp;" : "&amp;TEXT(_xlfn.XLOOKUP(Tab_NewTRADER[[#This Row],[ClickTick]],TabCalc[Ticker],TabCalc[NAfter])*(Tab_NewTRADER[[#This Row],[M]]-Tab_NewTRADER[[#This Row],[A]])*(1-Commission)*Tab_NewTRADER[[#This Row],[Scale]],"#,#0$")</f>
        <v>14,200 : 50,212$</v>
      </c>
      <c r="BR24" s="262">
        <f ca="1">_xlfn.XLOOKUP(NewTrader!$V24,TabCalc[[#This Row],[Ticker]],TabCalc[[#This Row],[GL]])*(1-Commission)</f>
        <v>199633.33214256199</v>
      </c>
      <c r="BS24" s="262"/>
      <c r="BT24" s="1672" t="str">
        <f ca="1">Tab_NewTRADER[[#This Row],[Show]]&amp;": "&amp;_xlfn.XLOOKUP(Tab_NewTRADER[[#This Row],[Show]],TabCalc[Ticker],TabCalc[Pile?])</f>
        <v xml:space="preserve">HPE: </v>
      </c>
      <c r="BU24" s="1717" t="s">
        <v>2054</v>
      </c>
      <c r="BV24" s="1674" t="str" cm="1">
        <f t="array" aca="1" ref="BV24" ca="1">_xlfn.TEXTJOIN("",,INDEX({"M","A","Y"}, _xlfn.SORTBY({1,2,3}, -CHOOSE({1,2,3}, Tab_NewTRADER[[#This Row],[M]], Tab_NewTRADER[[#This Row],[A]], Tab_NewTRADER[[#This Row],[Y]]))))</f>
        <v>YMA</v>
      </c>
      <c r="BW24" s="1675"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76">
        <f ca="1">Tab_NewTRADER[[#This Row],[L_Sn]]*Tab_NewTRADER[[#This Row],[L_Sp]]+Tab_NewTRADER[[#This Row],[SellMore]]*Tab_NewTRADER[[#This Row],[M]]</f>
        <v>87588</v>
      </c>
      <c r="BY24" s="1676">
        <f ca="1">INDEX(
  INDEX(TabConsolid[], , _xlfn.XMATCH(Tab_NewTRADER[[#This Row],[ClickTick]]&amp;1, TabConsolid[#Headers])),
  MATCH(
    -Tab_NewTRADER[[#This Row],[M]],
    INDEX(TabConsolid[], , _xlfn.XMATCH(Tab_NewTRADER[[#This Row],[ClickTick]]&amp;2, TabConsolid[#Headers])),
    -1
  )
)</f>
        <v>1800</v>
      </c>
      <c r="BZ24" s="1676"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77">
        <f ca="1">Tab_NewTRADER[[#This Row],[ReBuy]]/(Tab_NewTRADER[[#This Row],[L_Sn]]+Tab_NewTRADER[[#This Row],[SellMore]])</f>
        <v>24.33</v>
      </c>
      <c r="CB24" s="1678">
        <f ca="1">((_xlfn.XLOOKUP(Tab_NewTRADER[[#This Row],[Show]],TabCalc[Ticker],TabCalc[NAfter])+Tab_NewTRADER[[#This Row],[L_Sn]])*(Tab_NewTRADER[[#This Row],[Agiotage]]-Tab_NewTRADER[[#This Row],[M]]))/(Tab_NewTRADER[[#This Row],[L_Sn]]*_xlfn.XLOOKUP(Tab_NewTRADER[[#This Row],[Show]],TabCalc[Ticker],TabCalc[NAfter]))</f>
        <v>-1.4805036607810408E-2</v>
      </c>
      <c r="CC24" s="1677">
        <f ca="1">INDEX(Tab1Price[Price19], MATCH(Tab_NewTRADER[[#This Row],[Show]], Tab_NewTRADER[Show], 0))</f>
        <v>24.54</v>
      </c>
      <c r="CD24" s="1679">
        <f ca="1">_xlfn.XMATCH(Tab_NewTRADER[[#This Row],[Show]]&amp;1, TabConsolid[#Headers])</f>
        <v>65</v>
      </c>
      <c r="CE24" s="1678"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729" t="str" cm="1">
        <f t="array" aca="1" ref="CF24" ca="1">_xlfn.LET(
    _xlpm.FMT, _xlfn.LAMBDA(_xlpm.n, REPT(" ", 7 - LEN(TEXT(_xlpm.n,"0.00"))) &amp; TEXT(_xlpm.n,"0.00")),
    _xlpm.FMT(Tab_NewTRADER[[#This Row],[A]]) &amp; " -" &amp; _xlpm.FMT(Tab_NewTRADER[[#This Row],[M]]) &amp; " -" &amp; _xlpm.FMT(Tab_NewTRADER[[#This Row],[Y]])
)</f>
        <v xml:space="preserve">  20.99 -  24.54 -  26.39</v>
      </c>
      <c r="CG24" s="1730" t="str" cm="1">
        <f t="array" aca="1" ref="CG24" ca="1">_xlfn.LET(
    _xlpm.W, 7,
    _xlpm.FMT, _xlfn.LAMBDA(_xlpm.n, REPT(" ", _xlpm.W - LEN(TEXT(_xlpm.n,"0.00"))) &amp; TEXT(_xlpm.n,"0.00")),
    _xlpm.FMT(Tab_NewTRADER[[#This Row],[A]]) &amp; " * " &amp; _xlpm.FMT(Tab_NewTRADER[[#This Row],[M]]) &amp; " * " &amp; _xlpm.FMT(Tab_NewTRADER[[#This Row],[Y]])
)</f>
        <v xml:space="preserve">  20.99 *   24.54 *   26.39</v>
      </c>
      <c r="CH24" s="1842">
        <f>0</f>
        <v>0</v>
      </c>
      <c r="CI24" t="b">
        <f ca="1">IF(ABS(NewTrader!$Q24)&gt;=NewTrader!$Y24,"OK")</f>
        <v>0</v>
      </c>
    </row>
    <row r="25" spans="1:87" ht="23" hidden="1" thickBot="1">
      <c r="A25" s="1838">
        <f ca="1">IF(_xlfn.XLOOKUP(NewTrader!$V25,TabCalc[Ticker],TabCalc[Cur])="GBp",0.01,1)</f>
        <v>1</v>
      </c>
      <c r="B25" s="1620" t="str">
        <f ca="1">IFERROR(TRUNC(_xlfn.XLOOKUP(NewTrader!$V25,TabCalc[Ticker],ListLastBuyp),2)&amp;"x"&amp;_xlfn.XLOOKUP(NewTrader!$V25,TabCalc[Ticker],ListLastBuyn)&amp;"=    "&amp;IF(_xlfn.XLOOKUP(NewTrader!$V25,TabCalc[Ticker],ListReverseS)&gt;0,"+","")&amp;TEXT(_xlfn.XLOOKUP(NewTrader!$V25,TabCalc[Ticker],ListReverseS),"#,#0")&amp;" "&amp;#REF!,"")</f>
        <v/>
      </c>
      <c r="C25" s="1621" t="str">
        <f ca="1">_xlfn.XLOOKUP(NewTrader!$V25,TabCalc[Ticker],ListResale)&amp;" @ "&amp;TEXT((_xlfn.XLOOKUP(NewTrader!$V25,TabCalc[Ticker],TabCalc[L_Bp])+_xlfn.XLOOKUP(NewTrader!$V25,TabCalc[Ticker],TabCalc[M]))/_xlfn.XLOOKUP(NewTrader!$V25,TabCalc[Ticker],TabCalc[M]),"#0.0%")</f>
        <v>Resell @ 0.5%</v>
      </c>
      <c r="D25" s="1622"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718" t="str">
        <f ca="1">IF(      AND(NewTrader!$X25&lt;NewTrader!$Y25,    _xlfn.XLOOKUP(NewTrader!$V25,TabCalc[Ticker],TabCalc[L_Sp])&gt;NewTrader!$Y25),"BUY  "&amp;TEXT(DesiredBuyGain/NewTrader!$A25/(_xlfn.XLOOKUP(NewTrader!$V25,TabCalc[Ticker],TabCalc[L_Sp])-NewTrader!$Y25),"#,##0"),"")</f>
        <v/>
      </c>
      <c r="F25" s="1620" t="str">
        <f ca="1">TRUNC(TabCalc[[#This Row],[L_B1p]],2)&amp;"x"&amp;TabCalc[[#This Row],[L_B1n]]&amp;"=   "&amp;TEXT(TabCalc[[#This Row],[ReverseS1]],"#,#0")&amp;"$"</f>
        <v>-27.53x1000=   -2,125$</v>
      </c>
      <c r="G25" s="1624" t="str">
        <f ca="1">IFERROR(TRUNC(_xlfn.XLOOKUP(NewTrader!$V25,TabCalc[Ticker],ListLastSalep),2)&amp;"x"&amp;_xlfn.XLOOKUP(NewTrader!$V25,TabCalc[Ticker],ListLastSalen)&amp;"=   "&amp;TEXT(-_xlfn.XLOOKUP(NewTrader!$V25,TabCalc[Ticker],ListReverseB),"#,#0")&amp;"$","")</f>
        <v>28.94x1000=   -3,535$</v>
      </c>
      <c r="H25" s="1625"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13.9% = 1,414</v>
      </c>
      <c r="I25" s="1620" t="str">
        <f ca="1">IFERROR(TRUNC(TabCalc[[#This Row],[L_S1p]],2)&amp;"x"&amp;TabCalc[[#This Row],[L_S1n]]&amp;"=   "&amp;TEXT(TabCalc[[#This Row],[ReverseB1]],"#,#0"),"")</f>
        <v>27.08x4000=   6,700</v>
      </c>
      <c r="J25" s="1626">
        <f ca="1">_xlfn.XLOOKUP(NewTrader!$V25,TabCalc[Ticker],ListGravity)</f>
        <v>1.018746309781539</v>
      </c>
      <c r="K25" s="1627" cm="1">
        <f t="array" aca="1" ref="K25" ca="1">IF(_xlfn.XLOOKUP(NewTrader!$V25,NewTrader!$V$3:$V$96,ListExtra_n)&gt;0,_xlfn.XLOOKUP(NewTrader!$V25,NewTrader!$V$3:$V$96,ListExtra_n),"")</f>
        <v>8000</v>
      </c>
      <c r="L25" s="1628">
        <f ca="1">IF(_xlfn.XLOOKUP(NewTrader!$V25,TabCalc[Ticker],ListExtra_n)&gt;0,_xlfn.XLOOKUP(NewTrader!$V25,TabCalc[Ticker],ListExtra_n)*NewTrader!$Y25*_xlfn.XLOOKUP(NewTrader!$V25,TabCalc[Ticker],ListScale),"")</f>
        <v>203240</v>
      </c>
      <c r="M25" s="1629">
        <f ca="1">_xlfn.XLOOKUP(NewTrader!$V25,TabCalc[Ticker],TabCalc[Agiotage])</f>
        <v>0.75804832493027485</v>
      </c>
      <c r="N25" s="1630" cm="1">
        <f t="array" aca="1" ref="N25" ca="1">_xlfn.XLOOKUP(NewTrader!$V25,ListTickers,Tab2RSIConventional[RSIConv20])</f>
        <v>55</v>
      </c>
      <c r="O25" s="1631" t="str">
        <f ca="1">TEXT(_xlfn.XLOOKUP(NewTrader!$V25,TabCalc[Ticker],TabCalc[Nbegin]),"#,#0")&amp;": "&amp;_xlfn.XLOOKUP(NewTrader!$V25,TabCalc[Ticker],TabCalc[Pile?])</f>
        <v xml:space="preserve">1,000: </v>
      </c>
      <c r="P25" s="1632">
        <f ca="1">_xlfn.XLOOKUP(NewTrader!$V25,TabCalc[Ticker],TabCalc[L_Bn])</f>
        <v>4000</v>
      </c>
      <c r="Q25" s="1727">
        <f ca="1">_xlfn.XLOOKUP(NewTrader!$V25,TabCalc[Ticker],TabCalc[L_Bp])</f>
        <v>-25.28</v>
      </c>
      <c r="R25" s="1634">
        <f ca="1">(NewTrader!$Y25+NewTrader!$Q25)/ABS(NewTrader!$Q25)</f>
        <v>4.9446202531645564E-3</v>
      </c>
      <c r="S25" s="259">
        <f ca="1">INT(_xlfn.XLOOKUP(NewTrader!$V25,TabCalc[Ticker],TabCalc[Rev(MinStock)])*Comm_Net)</f>
        <v>496</v>
      </c>
      <c r="T25" s="1635">
        <f ca="1">_xlfn.XLOOKUP(NewTrader!$V25,TabCalc[Ticker],TabCalc[Agiotage])</f>
        <v>0.75804832493027485</v>
      </c>
      <c r="U25" s="1719"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2,655/2,655=&gt;0.9% / 0.9%</v>
      </c>
      <c r="V25" s="1578" t="str">
        <f ca="1">SORTING!B25</f>
        <v>HPQ</v>
      </c>
      <c r="W25" s="1637">
        <f ca="1">_xlfn.XLOOKUP(NewTrader!$V25,TabCalc[Ticker],TabCalc[Y])</f>
        <v>25.881250000000001</v>
      </c>
      <c r="X25" s="1639">
        <f ca="1">-_xlfn.XLOOKUP(NewTrader!$V25&amp;2,Consolid!B$3:JZ$3,Consolid!B$4:JZ$4)</f>
        <v>25.801354</v>
      </c>
      <c r="Y25" s="1639">
        <f ca="1">_xlfn.XLOOKUP(NewTrader!$V25,TabCalc[Ticker],TabCalc[M])</f>
        <v>25.405000000000001</v>
      </c>
      <c r="Z25" s="1640">
        <f ca="1">_xlfn.XLOOKUP(NewTrader!$V25,[1]!RTData[Ticker_Symbol],[1]!RTData[YTChange])</f>
        <v>0.20546110852352131</v>
      </c>
      <c r="AA25" s="1640" cm="1">
        <f t="array" aca="1" ref="AA25" ca="1">_xlfn.XLOOKUP(NewTrader!$V25,ListTickers,Tab1ChangePercent[Change%19])</f>
        <v>8.5350000000000009E-3</v>
      </c>
      <c r="AB25" s="1641">
        <f ca="1">_xlfn.XLOOKUP(NewTrader!$V25,TabCalc[Ticker],TabCalc[NAfter])</f>
        <v>9000</v>
      </c>
      <c r="AC25" s="1641">
        <f ca="1">_xlfn.XLOOKUP(NewTrader!$V25,TabCalc[Ticker],TabCalc[Nbegin])</f>
        <v>1000</v>
      </c>
      <c r="AD25" s="1642" t="str">
        <f ca="1">_xlfn.LET(_xlpm.PILE,_xlfn.XLOOKUP(NewTrader!$V25,TabCalc[Ticker],TabCalc[Pile?]),                    _xlpm.GL,_xlfn.XLOOKUP(NewTrader!$V25,TabCalc[Ticker],TabCalc[GL]),                        _xlpm.GLK,_xlfn.XLOOKUP(NewTrader!$V25,TabCalc[Ticker],TabCalc[GL])/1000,                             _xlpm.MVal,_xlfn.XLOOKUP(NewTrader!$V25,TabCalc[Ticker],TabCalc[M_V])/1000,                   _xlpm.PILE&amp;" "&amp;IF(_xlpm.GL&lt;0,TEXT(_xlpm.GLK,"#,#0")&amp;"K /"&amp;TEXT(_xlpm.MVal,"#,#0")&amp;" K$","^"&amp;TEXT(_xlpm.GLK,"#,#0")&amp;"K / "&amp;TEXT(_xlpm.MVal,"#,#0")&amp;" K$"))</f>
        <v xml:space="preserve"> ^42K / 228 K$</v>
      </c>
      <c r="AE25" s="1643" t="str">
        <f ca="1">_xlfn.XLOOKUP(NewTrader!$V25,[1]!RTData[Ticker_Symbol],[1]!RTData[Currency])</f>
        <v>USD</v>
      </c>
      <c r="AF25" s="1696"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Reverse Sale</v>
      </c>
      <c r="AG2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698" t="str" cm="1">
        <f t="array" aca="1" ref="AH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497 @ 25.41 : (0.5%, 22.3%)</v>
      </c>
      <c r="AI2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25" s="1651" t="str" cm="1">
        <f t="array" aca="1" ref="AJ25" ca="1">_xlfn.IFS(Tab_NewTRADER[[#This Row],[State]]="Sell More",TEXT(MIN(Tab_NewTRADER[[#This Row],[N]],Tab_NewTRADER[[#This Row],[L_Bn]])*(Tab_NewTRADER[[#This Row],[M]]-Tab_NewTRADER[[#This Row],[L_Sp]])*Tab_NewTRADER[[#This Row],[Scale]]*ComFactor,"#,#0"), TRUE,"M= "&amp;TEXT(Tab_NewTRADER[[#This Row],[M]],"#,#0.00"))</f>
        <v>M= 25.41</v>
      </c>
      <c r="AK25" s="1699" t="str" cm="1">
        <f t="array" aca="1" ref="AK25" ca="1">_xlfn.IFS(Tab_NewTRADER[[#This Row],[Y]]&gt;Tab_NewTRADER[[#This Row],[A]],                 TEXT(MIN(Tab_NewTRADER[[#This Row],[L_Bn]],Tab_NewTRADER[[#This Row],[N]])*(Tab_NewTRADER[[#This Row],[M]]-Tab_NewTRADER[[#This Row],[A]])*Tab_NewTRADER[[#This Row],[Scale]]*ComFactor,"#,#0"), TRUE,0)</f>
        <v>-1,581</v>
      </c>
      <c r="AL25" s="1700" cm="1">
        <f t="array" aca="1" ref="AL25" ca="1">_xlfn.IFS(Tab_NewTRADER[[#This Row],[M]]&gt;Tab_NewTRADER[[#This Row],[A]],                  Tab_NewTRADER[[#This Row],[N]]*(Tab_NewTRADER[[#This Row],[M]]-Tab_NewTRADER[[#This Row],[A]])*Tab_NewTRADER[[#This Row],[Scale]]*ComFactor, TRUE,0)</f>
        <v>0</v>
      </c>
      <c r="AM25" s="1592" t="str">
        <f ca="1">_xlfn.XLOOKUP(Tab_NewTRADER[[#This Row],[Show]],TabCalc[Ticker],TabCalc[Max_Bn])&amp;" x "&amp;TEXT(_xlfn.XLOOKUP(Tab_NewTRADER[[#This Row],[Show]],TabCalc[Ticker],TabCalc[Max_Bp]),"#,#0.00")</f>
        <v>1000 x 27.53</v>
      </c>
      <c r="AN25" s="1650" t="str">
        <f ca="1">NewTrader!$V25</f>
        <v>HPQ</v>
      </c>
      <c r="AO25" s="1651" t="str">
        <f ca="1">TEXT(_xlfn.XLOOKUP(Tab_NewTRADER[[#This Row],[ClickTick]],TabCalc[Ticker],TabCalc[NAfter]),"#,#0")&amp;"x"&amp;_xlfn.XLOOKUP(Tab_NewTRADER[[#This Row],[ClickTick]],TabCalc[Ticker],TabCalc[M])&amp;"           (A: "&amp;TEXT(-_xlfn.XLOOKUP(Tab_NewTRADER[[#This Row],[ClickTick]]&amp;2,Consolid!B$3:JZ$3,Consolid!B$4:JZ$4),"#,??0.00")&amp;")"</f>
        <v>9,000x25.405           (A:  25.80)</v>
      </c>
      <c r="AP25" s="1592" t="str">
        <f ca="1">_xlfn.XLOOKUP(Tab_NewTRADER[[#This Row],[Show]],TabCalc[Ticker],TabCalc[Min_Sn])&amp;" x "&amp;TEXT(_xlfn.XLOOKUP(Tab_NewTRADER[[#This Row],[Show]],TabCalc[Ticker],TabCalc[Min_Sp]),"#,#0.00")</f>
        <v>900 x 25.40</v>
      </c>
      <c r="AQ2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702" t="str" cm="1">
        <f t="array" aca="1" ref="AR25" ca="1">_xlfn.IFS(Tab_NewTRADER[[#This Row],[State]]="Reverse Buy",TEXT(-Tab_NewTRADER[[#This Row],[Buy_Back]],"#,#0")&amp;" / "&amp;TEXT(Tab_NewTRADER[[#This Row],[Rev_Buy]],"#,#0.0%"),TRUE,Tab_NewTRADER[[#This Row],[AMY]])</f>
        <v xml:space="preserve">  25.80 -  25.41 -  25.88</v>
      </c>
      <c r="AS25" s="1651"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-1,122       / -00.5%</v>
      </c>
      <c r="AT25" s="1699"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-3,558   / -1.6%</v>
      </c>
      <c r="AU25" s="1699" t="str" cm="1">
        <f t="array" aca="1" ref="AU25" ca="1">_xlfn.IFS(Tab_NewTRADER[[#This Row],[M]]&lt;Tab_NewTRADER[[#This Row],[A]],TEXT(Tab_NewTRADER[[#This Row],[N]]*Tab_NewTRADER[[#This Row],[M]]*Tab_NewTRADER[[#This Row],[Scale]]*Comm_Net,"#,#0")&amp;" @ "&amp;TEXT(Tab_NewTRADER[[#This Row],[M]],"#,#0.#0"),TRUE,"M: "&amp; Tab_NewTRADER[[#This Row],[M]])</f>
        <v>228,028 @ 25.41</v>
      </c>
      <c r="AV25" s="1722" cm="1">
        <f t="array" aca="1" ref="AV25" ca="1">-_xlfn.XLOOKUP(
    Tab_NewTRADER[[#This Row],[Show]] &amp; 2,
    TabConsolid[#Headers],
    INDEX(TabConsolid[], 1, 0)
)</f>
        <v>25.801354</v>
      </c>
      <c r="AW25" s="1710">
        <f ca="1">Tab_NewTRADER[[#This Row],[M]]*Tab_NewTRADER[[#This Row],[N]]*(1-Commission)*Tab_NewTRADER[[#This Row],[Scale]]</f>
        <v>228050.52299999999</v>
      </c>
      <c r="AX25" s="1705"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705"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706" t="str" cm="1">
        <f t="array" aca="1" ref="AZ25" ca="1">_xlfn.IFS(   Tab_NewTRADER[[#This Row],[State]]=SellMorePercentGain,                     MIN(Tab_NewTRADER[[#This Row],[L_Sn]],Tab_NewTRADER[[#This Row],[N]])*(Tab_NewTRADER[[#This Row],[M]]-Tab_NewTRADER[[#This Row],[L_Sp]])*(1-Commission)*Tab_NewTRADER[[#This Row],[Scale]],                    TRUE,"")</f>
        <v/>
      </c>
      <c r="BA25" s="1752">
        <f ca="1">_xlfn.XLOOKUP(NewTrader!$V25,TabCalc[Ticker],TabCalc[Ann%RevLB])</f>
        <v>0.22250791139240503</v>
      </c>
      <c r="BB25" s="1708">
        <f ca="1">_xlfn.XLOOKUP(NewTrader!$V25,TabCalc[Ticker],TabCalc[Up20])</f>
        <v>0</v>
      </c>
      <c r="BC25" s="1725"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706" t="str" cm="1">
        <f t="array" aca="1" ref="BD25" ca="1">_xlfn.IFS(         NewTrader!$AF25=MDown,NewTrader!$P25*NewTrader!$Y25*(-(NewTrader!$Q25+NewTrader!$Y25)/NewTrader!$Y25)*(1-Commission)*NewTrader!$A25,                               TRUE,"")</f>
        <v/>
      </c>
      <c r="BE25" s="1705" t="str" cm="1">
        <f t="array" aca="1" ref="BE25" ca="1">_xlfn.IFS(   NewTrader!$AF25=MUp,NewTrader!$BP25-Commission,        NewTrader!$AF25=MDown,(NewTrader!$X25-NewTrader!$Y25)/NewTrader!$Y25-Commission,                              TRUE,"")</f>
        <v/>
      </c>
      <c r="BF25" s="1706"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710" t="str" cm="1">
        <f t="array" aca="1" ref="BG25" ca="1">_xlfn.LET(_xlpm.SumChTxt,TEXT(_xlfn.XLOOKUP(NewTrader!$V25,ListTickers,Tab2SumChangePercent[AVGChan20]),"#0.0%"),
      _xlfn.IFS(NewTrader!$AF25=NoStock,_xlpm.SumChTxt,
      TRUE, IF(NewTrader!$AF25=SellMorePercentGain,             "SumChange "&amp;_xlpm.SumChTxt,                         "&lt;"&amp;INT(_xlfn.XLOOKUP(NewTrader!$V25,ListTickers,Tab2ReverseGL[Rev_GL19]))&amp;    "&lt;"&amp;INT(_xlfn.XLOOKUP(NewTrader!$V25,ListTickers,Tab2ReverseGL[Rev_GL18]))&amp;":      "&amp;_xlpm.SumChTxt)))</f>
        <v>&lt;0&lt;0:      1.0%</v>
      </c>
      <c r="BH25" s="1711" t="str"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M&gt;L_Bp</v>
      </c>
      <c r="BI25" s="1712" cm="1">
        <f t="array" aca="1" ref="BI25" ca="1">_xlfn.IFS(NewTrader!$AF25=Sale_Back,"",         NewTrader!$AF25=MDown, (NewTrader!$Y25-NewTrader!$X25)/NewTrader!$X25*ComFactor,             TRUE, IFERROR((NewTrader!$Y25-NewTrader!$X25)/NewTrader!$X25*ComFactor,""))</f>
        <v>-1.5321811390208388E-2</v>
      </c>
      <c r="BJ25" s="1664" cm="1">
        <f t="array" aca="1" ref="BJ25" ca="1">_xlfn.IFS(               NewTrader!$AF25=NoStock,(NewTrader!$BL25-NewTrader!$Y25)/NewTrader!$Y25-Commission,             NewTrader!$X25&lt;&gt;0,(NewTrader!$X25-NewTrader!$Y25)/NewTrader!$Y25-Commission)</f>
        <v>1.3001417043888949E-2</v>
      </c>
      <c r="BK25" s="1726">
        <f ca="1">_xlfn.XLOOKUP(NewTrader!$V25,TabCalc[Ticker],TabCalc[L_Sn])</f>
        <v>1000</v>
      </c>
      <c r="BL25" s="1727">
        <f ca="1">_xlfn.XLOOKUP(NewTrader!$V25,TabCalc[Ticker],TabCalc[L_Sp])</f>
        <v>28.94</v>
      </c>
      <c r="BM25" s="1634">
        <f ca="1">-IFERROR((Tab_NewTRADER[[#This Row],[M]]-Tab_NewTRADER[[#This Row],[L_Sp]])/Tab_NewTRADER[[#This Row],[L_Sp]],0)</f>
        <v>0.12214927436074637</v>
      </c>
      <c r="BN25" s="1728">
        <f ca="1">MIN(Tab_NewTRADER[[#This Row],[L_Sn]],Tab_NewTRADER[[#This Row],[N]])*(Tab_NewTRADER[[#This Row],[M]]-Tab_NewTRADER[[#This Row],[L_Sp]])*Comm_Net*Tab_NewTRADER[[#This Row],[Scale]]</f>
        <v>-3525.4555</v>
      </c>
      <c r="BO25" s="1715">
        <f ca="1">Tab_NewTRADER[[#This Row],[L_Sn]]*(Tab_NewTRADER[[#This Row],[Agiotage]]-Tab_NewTRADER[[#This Row],[M]])/(Tab_NewTRADER[[#This Row],[L_Bn]]*Tab_NewTRADER[[#This Row],[M]])</f>
        <v>-0.24254036287216812</v>
      </c>
      <c r="BP25" s="1670">
        <f ca="1">IFERROR((Tab_NewTRADER[[#This Row],[M]]-Tab_NewTRADER[[#This Row],[A]])/Tab_NewTRADER[[#This Row],[A]],0)</f>
        <v>-1.5361751945266081E-2</v>
      </c>
      <c r="BQ25" s="1671" t="str">
        <f ca="1">TEXT(_xlfn.XLOOKUP(Tab_NewTRADER[[#This Row],[ClickTick]],TabCalc[Ticker],TabCalc[NAfter]),"#,#0")&amp;" : "&amp;TEXT(_xlfn.XLOOKUP(Tab_NewTRADER[[#This Row],[ClickTick]],TabCalc[Ticker],TabCalc[NAfter])*(Tab_NewTRADER[[#This Row],[M]]-Tab_NewTRADER[[#This Row],[A]])*(1-Commission)*Tab_NewTRADER[[#This Row],[Scale]],"#,#0$")</f>
        <v>9,000 : -3,558$</v>
      </c>
      <c r="BR25" s="259">
        <f ca="1">_xlfn.XLOOKUP(NewTrader!$V25,TabCalc[[#This Row],[Ticker]],TabCalc[[#This Row],[GL]])*(1-Commission)</f>
        <v>41768.915255125408</v>
      </c>
      <c r="BS25" s="259"/>
      <c r="BT25" s="1672" t="str">
        <f ca="1">Tab_NewTRADER[[#This Row],[Show]]&amp;": "&amp;_xlfn.XLOOKUP(Tab_NewTRADER[[#This Row],[Show]],TabCalc[Ticker],TabCalc[Pile?])</f>
        <v xml:space="preserve">HPQ: </v>
      </c>
      <c r="BU25" s="1717" t="s">
        <v>2053</v>
      </c>
      <c r="BV25" s="1674" t="str" cm="1">
        <f t="array" aca="1" ref="BV25" ca="1">_xlfn.TEXTJOIN("",,INDEX({"M","A","Y"}, _xlfn.SORTBY({1,2,3}, -CHOOSE({1,2,3}, Tab_NewTRADER[[#This Row],[M]], Tab_NewTRADER[[#This Row],[A]], Tab_NewTRADER[[#This Row],[Y]]))))</f>
        <v>YAM</v>
      </c>
      <c r="BW25" s="1675"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76" t="e">
        <f ca="1">Tab_NewTRADER[[#This Row],[L_Sn]]*Tab_NewTRADER[[#This Row],[L_Sp]]+Tab_NewTRADER[[#This Row],[SellMore]]*Tab_NewTRADER[[#This Row],[M]]</f>
        <v>#N/A</v>
      </c>
      <c r="BY25" s="1676" t="e">
        <f ca="1">INDEX(
  INDEX(TabConsolid[], , _xlfn.XMATCH(Tab_NewTRADER[[#This Row],[ClickTick]]&amp;1, TabConsolid[#Headers])),
  MATCH(
    -Tab_NewTRADER[[#This Row],[M]],
    INDEX(TabConsolid[], , _xlfn.XMATCH(Tab_NewTRADER[[#This Row],[ClickTick]]&amp;2, TabConsolid[#Headers])),
    -1
  )
)</f>
        <v>#N/A</v>
      </c>
      <c r="BZ25" s="1676"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77" t="e">
        <f ca="1">Tab_NewTRADER[[#This Row],[ReBuy]]/(Tab_NewTRADER[[#This Row],[L_Sn]]+Tab_NewTRADER[[#This Row],[SellMore]])</f>
        <v>#N/A</v>
      </c>
      <c r="CB25" s="1678">
        <f ca="1">((_xlfn.XLOOKUP(Tab_NewTRADER[[#This Row],[Show]],TabCalc[Ticker],TabCalc[NAfter])+Tab_NewTRADER[[#This Row],[L_Sn]])*(Tab_NewTRADER[[#This Row],[Agiotage]]-Tab_NewTRADER[[#This Row],[M]]))/(Tab_NewTRADER[[#This Row],[L_Sn]]*_xlfn.XLOOKUP(Tab_NewTRADER[[#This Row],[Show]],TabCalc[Ticker],TabCalc[NAfter]))</f>
        <v>-2.7385501861188582E-2</v>
      </c>
      <c r="CC25" s="1677">
        <f ca="1">INDEX(Tab1Price[Price19], MATCH(Tab_NewTRADER[[#This Row],[Show]], Tab_NewTRADER[Show], 0))</f>
        <v>25.405000000000001</v>
      </c>
      <c r="CD25" s="1679">
        <f ca="1">_xlfn.XMATCH(Tab_NewTRADER[[#This Row],[Show]]&amp;1, TabConsolid[#Headers])</f>
        <v>68</v>
      </c>
      <c r="CE25" s="1678"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5" s="1729" t="str" cm="1">
        <f t="array" aca="1" ref="CF25" ca="1">_xlfn.LET(
    _xlpm.FMT, _xlfn.LAMBDA(_xlpm.n, REPT(" ", 7 - LEN(TEXT(_xlpm.n,"0.00"))) &amp; TEXT(_xlpm.n,"0.00")),
    _xlpm.FMT(Tab_NewTRADER[[#This Row],[A]]) &amp; " -" &amp; _xlpm.FMT(Tab_NewTRADER[[#This Row],[M]]) &amp; " -" &amp; _xlpm.FMT(Tab_NewTRADER[[#This Row],[Y]])
)</f>
        <v xml:space="preserve">  25.80 -  25.41 -  25.88</v>
      </c>
      <c r="CG25" s="1730" t="str" cm="1">
        <f t="array" aca="1" ref="CG25" ca="1">_xlfn.LET(
    _xlpm.W, 7,
    _xlpm.FMT, _xlfn.LAMBDA(_xlpm.n, REPT(" ", _xlpm.W - LEN(TEXT(_xlpm.n,"0.00"))) &amp; TEXT(_xlpm.n,"0.00")),
    _xlpm.FMT(Tab_NewTRADER[[#This Row],[A]]) &amp; " * " &amp; _xlpm.FMT(Tab_NewTRADER[[#This Row],[M]]) &amp; " * " &amp; _xlpm.FMT(Tab_NewTRADER[[#This Row],[Y]])
)</f>
        <v xml:space="preserve">  25.80 *   25.41 *   25.88</v>
      </c>
      <c r="CH25" s="1842">
        <f>0</f>
        <v>0</v>
      </c>
      <c r="CI25" t="b">
        <f ca="1">IF(ABS(NewTrader!$Q25)&gt;=NewTrader!$Y25,"OK")</f>
        <v>0</v>
      </c>
    </row>
    <row r="26" spans="1:87" ht="23" hidden="1" thickBot="1">
      <c r="A26" s="1839">
        <f ca="1">IF(_xlfn.XLOOKUP(NewTrader!$V26,TabCalc[Ticker],TabCalc[Cur])="GBp",0.01,1)</f>
        <v>0.01</v>
      </c>
      <c r="B26" s="1681" t="str">
        <f ca="1">IFERROR(TRUNC(_xlfn.XLOOKUP(NewTrader!$V26,TabCalc[Ticker],ListLastBuyp),2)&amp;"x"&amp;_xlfn.XLOOKUP(NewTrader!$V26,TabCalc[Ticker],ListLastBuyn)&amp;"=    "&amp;IF(_xlfn.XLOOKUP(NewTrader!$V26,TabCalc[Ticker],ListReverseS)&gt;0,"+","")&amp;TEXT(_xlfn.XLOOKUP(NewTrader!$V26,TabCalc[Ticker],ListReverseS),"#,#0")&amp;" "&amp;#REF!,"")</f>
        <v/>
      </c>
      <c r="C26" s="1682" t="str">
        <f ca="1">_xlfn.XLOOKUP(NewTrader!$V26,TabCalc[Ticker],ListResale)&amp;" @ "&amp;TEXT((_xlfn.XLOOKUP(NewTrader!$V26,TabCalc[Ticker],TabCalc[L_Bp])+_xlfn.XLOOKUP(NewTrader!$V26,TabCalc[Ticker],TabCalc[M]))/_xlfn.XLOOKUP(NewTrader!$V26,TabCalc[Ticker],TabCalc[M]),"#0.0%")</f>
        <v>Sell @ 5.6%</v>
      </c>
      <c r="D26" s="1683"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84" t="str">
        <f ca="1">IF(      AND(NewTrader!$X26&lt;NewTrader!$Y26,    _xlfn.XLOOKUP(NewTrader!$V26,TabCalc[Ticker],TabCalc[L_Sp])&gt;NewTrader!$Y26),"BUY  "&amp;TEXT(DesiredBuyGain/NewTrader!$A26/(_xlfn.XLOOKUP(NewTrader!$V26,TabCalc[Ticker],TabCalc[L_Sp])-NewTrader!$Y26),"#,##0"),"")</f>
        <v>BUY  1,219,512</v>
      </c>
      <c r="F26" s="1681" t="str">
        <f ca="1">TRUNC(TabCalc[[#This Row],[L_B1p]],2)&amp;"x"&amp;TabCalc[[#This Row],[L_B1n]]&amp;"=   "&amp;TEXT(TabCalc[[#This Row],[ReverseS1]],"#,#0")&amp;"$"</f>
        <v>-249.01x20000=   29,718$</v>
      </c>
      <c r="G26" s="1685" t="str">
        <f ca="1">IFERROR(TRUNC(_xlfn.XLOOKUP(NewTrader!$V26,TabCalc[Ticker],ListLastSalep),2)&amp;"x"&amp;_xlfn.XLOOKUP(NewTrader!$V26,TabCalc[Ticker],ListLastSalen)&amp;"=   "&amp;TEXT(-_xlfn.XLOOKUP(NewTrader!$V26,TabCalc[Ticker],ListReverseB),"#,#0")&amp;"$","")</f>
        <v>398.01x10000=   -41$</v>
      </c>
      <c r="H26" s="1686"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0.1% = 12,195</v>
      </c>
      <c r="I26" s="1681" t="str">
        <f ca="1">IFERROR(TRUNC(TabCalc[[#This Row],[L_S1p]],2)&amp;"x"&amp;TabCalc[[#This Row],[L_S1n]]&amp;"=   "&amp;TEXT(TabCalc[[#This Row],[ReverseB1]],"#,#0"),"")</f>
        <v>399.2x10000=   160</v>
      </c>
      <c r="J26" s="1687">
        <f ca="1">_xlfn.XLOOKUP(NewTrader!$V26,TabCalc[Ticker],ListGravity)</f>
        <v>1.160889134808853</v>
      </c>
      <c r="K26" s="1688" t="str" cm="1">
        <f t="array" aca="1" ref="K26" ca="1">IF(_xlfn.XLOOKUP(NewTrader!$V26,NewTrader!$V$3:$V$96,ListExtra_n)&gt;0,_xlfn.XLOOKUP(NewTrader!$V26,NewTrader!$V$3:$V$96,ListExtra_n),"")</f>
        <v/>
      </c>
      <c r="L26" s="1689" t="str">
        <f ca="1">IF(_xlfn.XLOOKUP(NewTrader!$V26,TabCalc[Ticker],ListExtra_n)&gt;0,_xlfn.XLOOKUP(NewTrader!$V26,TabCalc[Ticker],ListExtra_n)*NewTrader!$Y26*_xlfn.XLOOKUP(NewTrader!$V26,TabCalc[Ticker],ListScale),"")</f>
        <v/>
      </c>
      <c r="M26" s="1690">
        <f ca="1">_xlfn.XLOOKUP(NewTrader!$V26,TabCalc[Ticker],TabCalc[Agiotage])</f>
        <v>0.83897669667496144</v>
      </c>
      <c r="N26" s="1691" cm="1">
        <f t="array" aca="1" ref="N26" ca="1">_xlfn.XLOOKUP(NewTrader!$V26,ListTickers,Tab2RSIConventional[RSIConv20])</f>
        <v>33</v>
      </c>
      <c r="O26" s="1631" t="str">
        <f ca="1">TEXT(_xlfn.XLOOKUP(NewTrader!$V26,TabCalc[Ticker],TabCalc[Nbegin]),"#,#0")&amp;": "&amp;_xlfn.XLOOKUP(NewTrader!$V26,TabCalc[Ticker],TabCalc[Pile?])</f>
        <v>500,000: Pile</v>
      </c>
      <c r="P26" s="1692">
        <f ca="1">_xlfn.XLOOKUP(NewTrader!$V26,TabCalc[Ticker],TabCalc[L_Bn])</f>
        <v>10000</v>
      </c>
      <c r="Q26" s="1693">
        <f ca="1">_xlfn.XLOOKUP(NewTrader!$V26,TabCalc[Ticker],TabCalc[L_Bp])</f>
        <v>-375.2</v>
      </c>
      <c r="R26" s="1694">
        <f ca="1">(NewTrader!$Y26+NewTrader!$Q26)/ABS(NewTrader!$Q26)</f>
        <v>5.9701492537313529E-2</v>
      </c>
      <c r="S26" s="262">
        <f ca="1">INT(_xlfn.XLOOKUP(NewTrader!$V26,TabCalc[Ticker],TabCalc[Rev(MinStock)])*Comm_Net)</f>
        <v>2226</v>
      </c>
      <c r="T26" s="1635">
        <f ca="1">_xlfn.XLOOKUP(NewTrader!$V26,TabCalc[Ticker],TabCalc[Agiotage])</f>
        <v>0.83897669667496144</v>
      </c>
      <c r="U26" s="1695"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8,700/8,700=&gt;3.1% / 3.1%</v>
      </c>
      <c r="V26" s="1578" t="str">
        <f ca="1">SORTING!B26</f>
        <v>IAG</v>
      </c>
      <c r="W26" s="1637">
        <f ca="1">_xlfn.XLOOKUP(NewTrader!$V26,TabCalc[Ticker],TabCalc[Y])</f>
        <v>461.56952000000001</v>
      </c>
      <c r="X26" s="1639">
        <f ca="1">-_xlfn.XLOOKUP(NewTrader!$V26&amp;2,Consolid!B$3:JZ$3,Consolid!B$4:JZ$4)</f>
        <v>294.65409394800002</v>
      </c>
      <c r="Y26" s="1639">
        <f ca="1">_xlfn.XLOOKUP(NewTrader!$V26,TabCalc[Ticker],TabCalc[M])</f>
        <v>397.6</v>
      </c>
      <c r="Z26" s="1640">
        <f ca="1">_xlfn.XLOOKUP(NewTrader!$V26,[1]!RTData[Ticker_Symbol],[1]!RTData[YTChange])</f>
        <v>11.729440706012136</v>
      </c>
      <c r="AA26" s="1640" cm="1">
        <f t="array" aca="1" ref="AA26" ca="1">_xlfn.XLOOKUP(NewTrader!$V26,ListTickers,Tab1ChangePercent[Change%19])</f>
        <v>3.1120000000000002E-2</v>
      </c>
      <c r="AB26" s="1641">
        <f ca="1">_xlfn.XLOOKUP(NewTrader!$V26,TabCalc[Ticker],TabCalc[NAfter])</f>
        <v>100000</v>
      </c>
      <c r="AC26" s="1641">
        <f ca="1">_xlfn.XLOOKUP(NewTrader!$V26,TabCalc[Ticker],TabCalc[Nbegin])</f>
        <v>500000</v>
      </c>
      <c r="AD26" s="1642" t="str">
        <f ca="1">_xlfn.LET(_xlpm.PILE,_xlfn.XLOOKUP(NewTrader!$V26,TabCalc[Ticker],TabCalc[Pile?]),                    _xlpm.GL,_xlfn.XLOOKUP(NewTrader!$V26,TabCalc[Ticker],TabCalc[GL]),                        _xlpm.GLK,_xlfn.XLOOKUP(NewTrader!$V26,TabCalc[Ticker],TabCalc[GL])/1000,                             _xlpm.MVal,_xlfn.XLOOKUP(NewTrader!$V26,TabCalc[Ticker],TabCalc[M_V])/1000,                   _xlpm.PILE&amp;" "&amp;IF(_xlpm.GL&lt;0,TEXT(_xlpm.GLK,"#,#0")&amp;"K /"&amp;TEXT(_xlpm.MVal,"#,#0")&amp;" K$","^"&amp;TEXT(_xlpm.GLK,"#,#0")&amp;"K / "&amp;TEXT(_xlpm.MVal,"#,#0")&amp;" K$"))</f>
        <v>Pile ^1,169K / 397 K$</v>
      </c>
      <c r="AE26" s="1720" t="str">
        <f ca="1">_xlfn.XLOOKUP(NewTrader!$V26,[1]!RTData[Ticker_Symbol],[1]!RTData[Currency])</f>
        <v>GBp</v>
      </c>
      <c r="AF26" s="1721"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G2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294.65</v>
      </c>
      <c r="AH26" s="1698" t="str" cm="1">
        <f t="array" aca="1" ref="AH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294.65 - 397.60 - 461.57</v>
      </c>
      <c r="AI2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26" s="1651" t="str" cm="1">
        <f t="array" aca="1" ref="AJ26" ca="1">_xlfn.IFS(Tab_NewTRADER[[#This Row],[State]]="Sell More",TEXT(MIN(Tab_NewTRADER[[#This Row],[N]],Tab_NewTRADER[[#This Row],[L_Bn]])*(Tab_NewTRADER[[#This Row],[M]]-Tab_NewTRADER[[#This Row],[L_Sp]])*Tab_NewTRADER[[#This Row],[Scale]]*ComFactor,"#,#0"), TRUE,"M= "&amp;TEXT(Tab_NewTRADER[[#This Row],[M]],"#,#0.00"))</f>
        <v>M= 397.60</v>
      </c>
      <c r="AK26" s="1699" t="str" cm="1">
        <f t="array" aca="1" ref="AK26" ca="1">_xlfn.IFS(Tab_NewTRADER[[#This Row],[Y]]&gt;Tab_NewTRADER[[#This Row],[A]],                 TEXT(MIN(Tab_NewTRADER[[#This Row],[L_Bn]],Tab_NewTRADER[[#This Row],[N]])*(Tab_NewTRADER[[#This Row],[M]]-Tab_NewTRADER[[#This Row],[A]])*Tab_NewTRADER[[#This Row],[Scale]]*ComFactor,"#,#0"), TRUE,0)</f>
        <v>10,268</v>
      </c>
      <c r="AL26" s="1700" cm="1">
        <f t="array" aca="1" ref="AL26" ca="1">_xlfn.IFS(Tab_NewTRADER[[#This Row],[M]]&gt;Tab_NewTRADER[[#This Row],[A]],                  Tab_NewTRADER[[#This Row],[N]]*(Tab_NewTRADER[[#This Row],[M]]-Tab_NewTRADER[[#This Row],[A]])*Tab_NewTRADER[[#This Row],[Scale]]*ComFactor, TRUE,0)</f>
        <v>102678.2466962648</v>
      </c>
      <c r="AM26" s="1592" t="str">
        <f ca="1">_xlfn.XLOOKUP(Tab_NewTRADER[[#This Row],[Show]],TabCalc[Ticker],TabCalc[Max_Bn])&amp;" x "&amp;TEXT(_xlfn.XLOOKUP(Tab_NewTRADER[[#This Row],[Show]],TabCalc[Ticker],TabCalc[Max_Bp]),"#,#0.00")</f>
        <v>10000 x 375.20</v>
      </c>
      <c r="AN26" s="1650" t="str">
        <f ca="1">NewTrader!$V26</f>
        <v>IAG</v>
      </c>
      <c r="AO26" s="1651" t="str">
        <f ca="1">TEXT(_xlfn.XLOOKUP(Tab_NewTRADER[[#This Row],[ClickTick]],TabCalc[Ticker],TabCalc[NAfter]),"#,#0")&amp;"x"&amp;_xlfn.XLOOKUP(Tab_NewTRADER[[#This Row],[ClickTick]],TabCalc[Ticker],TabCalc[M])&amp;"           (A: "&amp;TEXT(-_xlfn.XLOOKUP(Tab_NewTRADER[[#This Row],[ClickTick]]&amp;2,Consolid!B$3:JZ$3,Consolid!B$4:JZ$4),"#,??0.00")&amp;")"</f>
        <v>100,000x397.6           (A: 294.65)</v>
      </c>
      <c r="AP26" s="1592" t="str">
        <f ca="1">_xlfn.XLOOKUP(Tab_NewTRADER[[#This Row],[Show]],TabCalc[Ticker],TabCalc[Min_Sn])&amp;" x "&amp;TEXT(_xlfn.XLOOKUP(Tab_NewTRADER[[#This Row],[Show]],TabCalc[Ticker],TabCalc[Min_Sp]),"#,#0.00")</f>
        <v>250 x 152.00</v>
      </c>
      <c r="AQ2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294.65</v>
      </c>
      <c r="AR26" s="1702" t="str" cm="1">
        <f t="array" aca="1" ref="AR26" ca="1">_xlfn.IFS(Tab_NewTRADER[[#This Row],[State]]="Reverse Buy",TEXT(-Tab_NewTRADER[[#This Row],[Buy_Back]],"#,#0")&amp;" / "&amp;TEXT(Tab_NewTRADER[[#This Row],[Rev_Buy]],"#,#0.0%"),TRUE,Tab_NewTRADER[[#This Row],[AMY]])</f>
        <v>41 / 0.1%</v>
      </c>
      <c r="AS26" s="1651"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99"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99" t="str" cm="1">
        <f t="array" aca="1" ref="AU26" ca="1">_xlfn.IFS(Tab_NewTRADER[[#This Row],[M]]&lt;Tab_NewTRADER[[#This Row],[A]],TEXT(Tab_NewTRADER[[#This Row],[N]]*Tab_NewTRADER[[#This Row],[M]]*Tab_NewTRADER[[#This Row],[Scale]]*Comm_Net,"#,#0")&amp;" @ "&amp;TEXT(Tab_NewTRADER[[#This Row],[M]],"#,#0.#0"),TRUE,"M: "&amp; Tab_NewTRADER[[#This Row],[M]])</f>
        <v>M: 397.6</v>
      </c>
      <c r="AV26" s="1722" cm="1">
        <f t="array" aca="1" ref="AV26" ca="1">-_xlfn.XLOOKUP(
    Tab_NewTRADER[[#This Row],[Show]] &amp; 2,
    TabConsolid[#Headers],
    INDEX(TabConsolid[], 1, 0)
)</f>
        <v>294.65409394800002</v>
      </c>
      <c r="AW26" s="1710">
        <f ca="1">Tab_NewTRADER[[#This Row],[M]]*Tab_NewTRADER[[#This Row],[N]]*(1-Commission)*Tab_NewTRADER[[#This Row],[Scale]]</f>
        <v>396566.24</v>
      </c>
      <c r="AX26" s="1705"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705"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706" t="str" cm="1">
        <f t="array" aca="1" ref="AZ26" ca="1">_xlfn.IFS(   Tab_NewTRADER[[#This Row],[State]]=SellMorePercentGain,                     MIN(Tab_NewTRADER[[#This Row],[L_Sn]],Tab_NewTRADER[[#This Row],[N]])*(Tab_NewTRADER[[#This Row],[M]]-Tab_NewTRADER[[#This Row],[L_Sp]])*(1-Commission)*Tab_NewTRADER[[#This Row],[Scale]],                    TRUE,"")</f>
        <v/>
      </c>
      <c r="BA26" s="1707">
        <f ca="1">_xlfn.XLOOKUP(NewTrader!$V26,TabCalc[Ticker],TabCalc[Ann%RevLB])</f>
        <v>1.0746268656716436</v>
      </c>
      <c r="BB26" s="1708">
        <f ca="1">_xlfn.XLOOKUP(NewTrader!$V26,TabCalc[Ticker],TabCalc[Up20])</f>
        <v>0</v>
      </c>
      <c r="BC26" s="1709"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706" t="str" cm="1">
        <f t="array" aca="1" ref="BD26" ca="1">_xlfn.IFS(         NewTrader!$AF26=MDown,NewTrader!$P26*NewTrader!$Y26*(-(NewTrader!$Q26+NewTrader!$Y26)/NewTrader!$Y26)*(1-Commission)*NewTrader!$A26,                               TRUE,"")</f>
        <v/>
      </c>
      <c r="BE26" s="1705" t="str" cm="1">
        <f t="array" aca="1" ref="BE26" ca="1">_xlfn.IFS(   NewTrader!$AF26=MUp,NewTrader!$BP26-Commission,        NewTrader!$AF26=MDown,(NewTrader!$X26-NewTrader!$Y26)/NewTrader!$Y26-Commission,                              TRUE,"")</f>
        <v/>
      </c>
      <c r="BF26" s="1710"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710" t="str" cm="1">
        <f t="array" aca="1" ref="BG26" ca="1">_xlfn.LET(_xlpm.SumChTxt,TEXT(_xlfn.XLOOKUP(NewTrader!$V26,ListTickers,Tab2SumChangePercent[AVGChan20]),"#0.0%"),
      _xlfn.IFS(NewTrader!$AF26=NoStock,_xlpm.SumChTxt,
      TRUE, IF(NewTrader!$AF26=SellMorePercentGain,             "SumChange "&amp;_xlpm.SumChTxt,                         "&lt;"&amp;INT(_xlfn.XLOOKUP(NewTrader!$V26,ListTickers,Tab2ReverseGL[Rev_GL19]))&amp;    "&lt;"&amp;INT(_xlfn.XLOOKUP(NewTrader!$V26,ListTickers,Tab2ReverseGL[Rev_GL18]))&amp;":      "&amp;_xlpm.SumChTxt)))</f>
        <v>&lt;0&lt;0:      -1.0%</v>
      </c>
      <c r="BH26" s="1711"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712" cm="1">
        <f t="array" aca="1" ref="BI26" ca="1">_xlfn.IFS(NewTrader!$AF26=Sale_Back,"",         NewTrader!$AF26=MDown, (NewTrader!$Y26-NewTrader!$X26)/NewTrader!$X26*ComFactor,             TRUE, IFERROR((NewTrader!$Y26-NewTrader!$X26)/NewTrader!$X26*ComFactor,""))</f>
        <v>0.34847045673285387</v>
      </c>
      <c r="BJ26" s="1664" cm="1">
        <f t="array" aca="1" ref="BJ26" ca="1">_xlfn.IFS(               NewTrader!$AF26=NoStock,(NewTrader!$BL26-NewTrader!$Y26)/NewTrader!$Y26-Commission,             NewTrader!$X26&lt;&gt;0,(NewTrader!$X26-NewTrader!$Y26)/NewTrader!$Y26-Commission)</f>
        <v>-0.26151827477867201</v>
      </c>
      <c r="BK26" s="1713">
        <f ca="1">_xlfn.XLOOKUP(NewTrader!$V26,TabCalc[Ticker],TabCalc[L_Sn])</f>
        <v>10000</v>
      </c>
      <c r="BL26" s="1693">
        <f ca="1">_xlfn.XLOOKUP(NewTrader!$V26,TabCalc[Ticker],TabCalc[L_Sp])</f>
        <v>398.01</v>
      </c>
      <c r="BM26" s="1694">
        <f ca="1">-IFERROR((Tab_NewTRADER[[#This Row],[M]]-Tab_NewTRADER[[#This Row],[L_Sp]])/Tab_NewTRADER[[#This Row],[L_Sp]],0)</f>
        <v>1.0301248712343111E-3</v>
      </c>
      <c r="BN26" s="1714">
        <f ca="1">MIN(Tab_NewTRADER[[#This Row],[L_Sn]],Tab_NewTRADER[[#This Row],[N]])*(Tab_NewTRADER[[#This Row],[M]]-Tab_NewTRADER[[#This Row],[L_Sp]])*Comm_Net*Tab_NewTRADER[[#This Row],[Scale]]</f>
        <v>-40.889299999996823</v>
      </c>
      <c r="BO26" s="1715">
        <f ca="1">Tab_NewTRADER[[#This Row],[L_Sn]]*(Tab_NewTRADER[[#This Row],[Agiotage]]-Tab_NewTRADER[[#This Row],[M]])/(Tab_NewTRADER[[#This Row],[L_Bn]]*Tab_NewTRADER[[#This Row],[M]])</f>
        <v>-0.99788989764417779</v>
      </c>
      <c r="BP26" s="1716">
        <f ca="1">IFERROR((Tab_NewTRADER[[#This Row],[M]]-Tab_NewTRADER[[#This Row],[A]])/Tab_NewTRADER[[#This Row],[A]],0)</f>
        <v>0.34937884172132933</v>
      </c>
      <c r="BQ26" s="1671" t="str">
        <f ca="1">TEXT(_xlfn.XLOOKUP(Tab_NewTRADER[[#This Row],[ClickTick]],TabCalc[Ticker],TabCalc[NAfter]),"#,#0")&amp;" : "&amp;TEXT(_xlfn.XLOOKUP(Tab_NewTRADER[[#This Row],[ClickTick]],TabCalc[Ticker],TabCalc[NAfter])*(Tab_NewTRADER[[#This Row],[M]]-Tab_NewTRADER[[#This Row],[A]])*(1-Commission)*Tab_NewTRADER[[#This Row],[Scale]],"#,#0$")</f>
        <v>100,000 : 102,678$</v>
      </c>
      <c r="BR26" s="262">
        <f ca="1">_xlfn.XLOOKUP(NewTrader!$V26,TabCalc[[#This Row],[Ticker]],TabCalc[[#This Row],[GL]])*(1-Commission)</f>
        <v>1166143.6733549351</v>
      </c>
      <c r="BS26" s="262"/>
      <c r="BT26" s="1672" t="str">
        <f ca="1">Tab_NewTRADER[[#This Row],[Show]]&amp;": "&amp;_xlfn.XLOOKUP(Tab_NewTRADER[[#This Row],[Show]],TabCalc[Ticker],TabCalc[Pile?])</f>
        <v>IAG: Pile</v>
      </c>
      <c r="BU26" s="1717" t="s">
        <v>2051</v>
      </c>
      <c r="BV26" s="1674" t="str" cm="1">
        <f t="array" aca="1" ref="BV26" ca="1">_xlfn.TEXTJOIN("",,INDEX({"M","A","Y"}, _xlfn.SORTBY({1,2,3}, -CHOOSE({1,2,3}, Tab_NewTRADER[[#This Row],[M]], Tab_NewTRADER[[#This Row],[A]], Tab_NewTRADER[[#This Row],[Y]]))))</f>
        <v>YMA</v>
      </c>
      <c r="BW26" s="1675"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76">
        <f ca="1">Tab_NewTRADER[[#This Row],[L_Sn]]*Tab_NewTRADER[[#This Row],[L_Sp]]+Tab_NewTRADER[[#This Row],[SellMore]]*Tab_NewTRADER[[#This Row],[M]]</f>
        <v>7956100</v>
      </c>
      <c r="BY26" s="1676">
        <f ca="1">INDEX(
  INDEX(TabConsolid[], , _xlfn.XMATCH(Tab_NewTRADER[[#This Row],[ClickTick]]&amp;1, TabConsolid[#Headers])),
  MATCH(
    -Tab_NewTRADER[[#This Row],[M]],
    INDEX(TabConsolid[], , _xlfn.XMATCH(Tab_NewTRADER[[#This Row],[ClickTick]]&amp;2, TabConsolid[#Headers])),
    -1
  )
)</f>
        <v>10000</v>
      </c>
      <c r="BZ26" s="1676"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77">
        <f ca="1">Tab_NewTRADER[[#This Row],[ReBuy]]/(Tab_NewTRADER[[#This Row],[L_Sn]]+Tab_NewTRADER[[#This Row],[SellMore]])</f>
        <v>397.80500000000001</v>
      </c>
      <c r="CB26" s="1678">
        <f ca="1">((_xlfn.XLOOKUP(Tab_NewTRADER[[#This Row],[Show]],TabCalc[Ticker],TabCalc[NAfter])+Tab_NewTRADER[[#This Row],[L_Sn]])*(Tab_NewTRADER[[#This Row],[Agiotage]]-Tab_NewTRADER[[#This Row],[M]]))/(Tab_NewTRADER[[#This Row],[L_Sn]]*_xlfn.XLOOKUP(Tab_NewTRADER[[#This Row],[Show]],TabCalc[Ticker],TabCalc[NAfter]))</f>
        <v>-4.3643712563365758E-2</v>
      </c>
      <c r="CC26" s="1677">
        <f ca="1">INDEX(Tab1Price[Price19], MATCH(Tab_NewTRADER[[#This Row],[Show]], Tab_NewTRADER[Show], 0))</f>
        <v>397.6</v>
      </c>
      <c r="CD26" s="1679">
        <f ca="1">_xlfn.XMATCH(Tab_NewTRADER[[#This Row],[Show]]&amp;1, TabConsolid[#Headers])</f>
        <v>71</v>
      </c>
      <c r="CE26" s="1678"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729" t="str" cm="1">
        <f t="array" aca="1" ref="CF26" ca="1">_xlfn.LET(
    _xlpm.FMT, _xlfn.LAMBDA(_xlpm.n, REPT(" ", 7 - LEN(TEXT(_xlpm.n,"0.00"))) &amp; TEXT(_xlpm.n,"0.00")),
    _xlpm.FMT(Tab_NewTRADER[[#This Row],[A]]) &amp; " -" &amp; _xlpm.FMT(Tab_NewTRADER[[#This Row],[M]]) &amp; " -" &amp; _xlpm.FMT(Tab_NewTRADER[[#This Row],[Y]])
)</f>
        <v xml:space="preserve"> 294.65 - 397.60 - 461.57</v>
      </c>
      <c r="CG26" s="1730" t="str" cm="1">
        <f t="array" aca="1" ref="CG26" ca="1">_xlfn.LET(
    _xlpm.W, 7,
    _xlpm.FMT, _xlfn.LAMBDA(_xlpm.n, REPT(" ", _xlpm.W - LEN(TEXT(_xlpm.n,"0.00"))) &amp; TEXT(_xlpm.n,"0.00")),
    _xlpm.FMT(Tab_NewTRADER[[#This Row],[A]]) &amp; " * " &amp; _xlpm.FMT(Tab_NewTRADER[[#This Row],[M]]) &amp; " * " &amp; _xlpm.FMT(Tab_NewTRADER[[#This Row],[Y]])
)</f>
        <v xml:space="preserve"> 294.65 *  397.60 *  461.57</v>
      </c>
      <c r="CH26" s="1842">
        <f>0</f>
        <v>0</v>
      </c>
      <c r="CI26" t="b">
        <f ca="1">IF(ABS(NewTrader!$Q26)&gt;=NewTrader!$Y26,"OK")</f>
        <v>0</v>
      </c>
    </row>
    <row r="27" spans="1:87" ht="23" hidden="1" thickBot="1">
      <c r="A27" s="1838">
        <f ca="1">IF(_xlfn.XLOOKUP(NewTrader!$V27,TabCalc[Ticker],TabCalc[Cur])="GBp",0.01,1)</f>
        <v>1</v>
      </c>
      <c r="B27" s="1620" t="str">
        <f ca="1">IFERROR(TRUNC(_xlfn.XLOOKUP(NewTrader!$V27,TabCalc[Ticker],ListLastBuyp),2)&amp;"x"&amp;_xlfn.XLOOKUP(NewTrader!$V27,TabCalc[Ticker],ListLastBuyn)&amp;"=    "&amp;IF(_xlfn.XLOOKUP(NewTrader!$V27,TabCalc[Ticker],ListReverseS)&gt;0,"+","")&amp;TEXT(_xlfn.XLOOKUP(NewTrader!$V27,TabCalc[Ticker],ListReverseS),"#,#0")&amp;" "&amp;#REF!,"")</f>
        <v/>
      </c>
      <c r="C27" s="1621" t="str">
        <f ca="1">_xlfn.XLOOKUP(NewTrader!$V27,TabCalc[Ticker],ListResale)&amp;" @ "&amp;TEXT((_xlfn.XLOOKUP(NewTrader!$V27,TabCalc[Ticker],TabCalc[L_Bp])+_xlfn.XLOOKUP(NewTrader!$V27,TabCalc[Ticker],TabCalc[M]))/_xlfn.XLOOKUP(NewTrader!$V27,TabCalc[Ticker],TabCalc[M]),"#0.0%")</f>
        <v>Resell @ 0.4%</v>
      </c>
      <c r="D27" s="1622"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718" t="str">
        <f ca="1">IF(      AND(NewTrader!$X27&lt;NewTrader!$Y27,    _xlfn.XLOOKUP(NewTrader!$V27,TabCalc[Ticker],TabCalc[L_Sp])&gt;NewTrader!$Y27),"BUY  "&amp;TEXT(DesiredBuyGain/NewTrader!$A27/(_xlfn.XLOOKUP(NewTrader!$V27,TabCalc[Ticker],TabCalc[L_Sp])-NewTrader!$Y27),"#,##0"),"")</f>
        <v/>
      </c>
      <c r="F27" s="1620" t="str">
        <f ca="1">TRUNC(TabCalc[[#This Row],[L_B1p]],2)&amp;"x"&amp;TabCalc[[#This Row],[L_B1n]]&amp;"=   "&amp;TEXT(TabCalc[[#This Row],[ReverseS1]],"#,#0")&amp;"$"</f>
        <v>-63.69x2000=   -2,950$</v>
      </c>
      <c r="G27" s="1624" t="str">
        <f ca="1">IFERROR(TRUNC(_xlfn.XLOOKUP(NewTrader!$V27,TabCalc[Ticker],ListLastSalep),2)&amp;"x"&amp;_xlfn.XLOOKUP(NewTrader!$V27,TabCalc[Ticker],ListLastSalen)&amp;"=   "&amp;TEXT(-_xlfn.XLOOKUP(NewTrader!$V27,TabCalc[Ticker],ListReverseB),"#,#0")&amp;"$","")</f>
        <v>67.35x1000=   -5,135$</v>
      </c>
      <c r="H27" s="1625"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8.3% = 974</v>
      </c>
      <c r="I27" s="1620" t="str">
        <f ca="1">IFERROR(TRUNC(TabCalc[[#This Row],[L_S1p]],2)&amp;"x"&amp;TabCalc[[#This Row],[L_S1n]]&amp;"=   "&amp;TEXT(TabCalc[[#This Row],[ReverseB1]],"#,#0"),"")</f>
        <v>64.9x1000=   2,685</v>
      </c>
      <c r="J27" s="1626">
        <f ca="1">_xlfn.XLOOKUP(NewTrader!$V27,TabCalc[Ticker],ListGravity)</f>
        <v>1.195268665112915</v>
      </c>
      <c r="K27" s="1627" cm="1">
        <f t="array" aca="1" ref="K27" ca="1">IF(_xlfn.XLOOKUP(NewTrader!$V27,NewTrader!$V$3:$V$96,ListExtra_n)&gt;0,_xlfn.XLOOKUP(NewTrader!$V27,NewTrader!$V$3:$V$96,ListExtra_n),"")</f>
        <v>2000</v>
      </c>
      <c r="L27" s="1628">
        <f ca="1">IF(_xlfn.XLOOKUP(NewTrader!$V27,TabCalc[Ticker],ListExtra_n)&gt;0,_xlfn.XLOOKUP(NewTrader!$V27,TabCalc[Ticker],ListExtra_n)*NewTrader!$Y27*_xlfn.XLOOKUP(NewTrader!$V27,TabCalc[Ticker],ListScale),"")</f>
        <v>124430</v>
      </c>
      <c r="M27" s="1629">
        <f ca="1">_xlfn.XLOOKUP(NewTrader!$V27,TabCalc[Ticker],TabCalc[Agiotage])</f>
        <v>1.053096110163761</v>
      </c>
      <c r="N27" s="1630" cm="1">
        <f t="array" aca="1" ref="N27" ca="1">_xlfn.XLOOKUP(NewTrader!$V27,ListTickers,Tab2RSIConventional[RSIConv20])</f>
        <v>71</v>
      </c>
      <c r="O27" s="1631" t="str">
        <f ca="1">TEXT(_xlfn.XLOOKUP(NewTrader!$V27,TabCalc[Ticker],TabCalc[Nbegin]),"#,#0")&amp;": "&amp;_xlfn.XLOOKUP(NewTrader!$V27,TabCalc[Ticker],TabCalc[Pile?])</f>
        <v>5,000: Pile</v>
      </c>
      <c r="P27" s="1630">
        <f ca="1">_xlfn.XLOOKUP(NewTrader!$V27,TabCalc[Ticker],TabCalc[L_Bn])</f>
        <v>2000</v>
      </c>
      <c r="Q27" s="1633">
        <f ca="1">_xlfn.XLOOKUP(NewTrader!$V27,TabCalc[Ticker],TabCalc[L_Bp])</f>
        <v>-61.98</v>
      </c>
      <c r="R27" s="1634">
        <f ca="1">(NewTrader!$Y27+NewTrader!$Q27)/ABS(NewTrader!$Q27)</f>
        <v>3.7915456598903927E-3</v>
      </c>
      <c r="S27" s="259">
        <f ca="1">INT(_xlfn.XLOOKUP(NewTrader!$V27,TabCalc[Ticker],TabCalc[Rev(MinStock)])*Comm_Net)</f>
        <v>466</v>
      </c>
      <c r="T27" s="1635">
        <f ca="1">_xlfn.XLOOKUP(NewTrader!$V27,TabCalc[Ticker],TabCalc[Agiotage])</f>
        <v>1.053096110163761</v>
      </c>
      <c r="U27" s="1719"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4,235/4,235=&gt;1.6% / 1.6%</v>
      </c>
      <c r="V27" s="1578" t="str">
        <f ca="1">SORTING!B27</f>
        <v>KR</v>
      </c>
      <c r="W27" s="1637">
        <f ca="1">_xlfn.XLOOKUP(NewTrader!$V27,TabCalc[Ticker],TabCalc[Y])</f>
        <v>74.363640000000004</v>
      </c>
      <c r="X27" s="1639">
        <f ca="1">-_xlfn.XLOOKUP(NewTrader!$V27&amp;2,Consolid!B$3:JZ$3,Consolid!B$4:JZ$4)</f>
        <v>65.184325457142847</v>
      </c>
      <c r="Y27" s="1639">
        <f ca="1">_xlfn.XLOOKUP(NewTrader!$V27,TabCalc[Ticker],TabCalc[M])</f>
        <v>62.215000000000003</v>
      </c>
      <c r="Z27" s="1640">
        <f ca="1">_xlfn.XLOOKUP(NewTrader!$V27,[1]!RTData[Ticker_Symbol],[1]!RTData[YTChange])</f>
        <v>-0.81082767743576689</v>
      </c>
      <c r="AA27" s="1640" cm="1">
        <f t="array" aca="1" ref="AA27" ca="1">_xlfn.XLOOKUP(NewTrader!$V27,ListTickers,Tab1ChangePercent[Change%19])</f>
        <v>1.5921000000000001E-2</v>
      </c>
      <c r="AB27" s="1641">
        <f ca="1">_xlfn.XLOOKUP(NewTrader!$V27,TabCalc[Ticker],TabCalc[NAfter])</f>
        <v>7000</v>
      </c>
      <c r="AC27" s="1641">
        <f ca="1">_xlfn.XLOOKUP(NewTrader!$V27,TabCalc[Ticker],TabCalc[Nbegin])</f>
        <v>5000</v>
      </c>
      <c r="AD27" s="1642" t="str">
        <f ca="1">_xlfn.LET(_xlpm.PILE,_xlfn.XLOOKUP(NewTrader!$V27,TabCalc[Ticker],TabCalc[Pile?]),                    _xlpm.GL,_xlfn.XLOOKUP(NewTrader!$V27,TabCalc[Ticker],TabCalc[GL]),                        _xlpm.GLK,_xlfn.XLOOKUP(NewTrader!$V27,TabCalc[Ticker],TabCalc[GL])/1000,                             _xlpm.MVal,_xlfn.XLOOKUP(NewTrader!$V27,TabCalc[Ticker],TabCalc[M_V])/1000,                   _xlpm.PILE&amp;" "&amp;IF(_xlpm.GL&lt;0,TEXT(_xlpm.GLK,"#,#0")&amp;"K /"&amp;TEXT(_xlpm.MVal,"#,#0")&amp;" K$","^"&amp;TEXT(_xlpm.GLK,"#,#0")&amp;"K / "&amp;TEXT(_xlpm.MVal,"#,#0")&amp;" K$"))</f>
        <v>Pile ^87K / 434 K$</v>
      </c>
      <c r="AE27" s="1720" t="str">
        <f ca="1">_xlfn.XLOOKUP(NewTrader!$V27,[1]!RTData[Ticker_Symbol],[1]!RTData[Currency])</f>
        <v>USD</v>
      </c>
      <c r="AF27" s="1721"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Sale</v>
      </c>
      <c r="AG2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733" t="str" cm="1">
        <f t="array" aca="1" ref="AH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467 @ 62.22 : (0.4%, 19.5%)</v>
      </c>
      <c r="AI27" s="17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27" s="1739" t="str" cm="1">
        <f t="array" aca="1" ref="AJ27" ca="1">_xlfn.IFS(Tab_NewTRADER[[#This Row],[State]]="Sell More",TEXT(MIN(Tab_NewTRADER[[#This Row],[N]],Tab_NewTRADER[[#This Row],[L_Bn]])*(Tab_NewTRADER[[#This Row],[M]]-Tab_NewTRADER[[#This Row],[L_Sp]])*Tab_NewTRADER[[#This Row],[Scale]]*ComFactor,"#,#0"), TRUE,"M= "&amp;TEXT(Tab_NewTRADER[[#This Row],[M]],"#,#0.00"))</f>
        <v>M= 62.22</v>
      </c>
      <c r="AK27" s="1699" t="str" cm="1">
        <f t="array" aca="1" ref="AK27" ca="1">_xlfn.IFS(Tab_NewTRADER[[#This Row],[Y]]&gt;Tab_NewTRADER[[#This Row],[A]],                 TEXT(MIN(Tab_NewTRADER[[#This Row],[L_Bn]],Tab_NewTRADER[[#This Row],[N]])*(Tab_NewTRADER[[#This Row],[M]]-Tab_NewTRADER[[#This Row],[A]])*Tab_NewTRADER[[#This Row],[Scale]]*ComFactor,"#,#0"), TRUE,0)</f>
        <v>-5,923</v>
      </c>
      <c r="AL27" s="1700" cm="1">
        <f t="array" aca="1" ref="AL27" ca="1">_xlfn.IFS(Tab_NewTRADER[[#This Row],[M]]&gt;Tab_NewTRADER[[#This Row],[A]],                  Tab_NewTRADER[[#This Row],[N]]*(Tab_NewTRADER[[#This Row],[M]]-Tab_NewTRADER[[#This Row],[A]])*Tab_NewTRADER[[#This Row],[Scale]]*ComFactor, TRUE,0)</f>
        <v>0</v>
      </c>
      <c r="AM27" s="1592" t="str">
        <f ca="1">_xlfn.XLOOKUP(Tab_NewTRADER[[#This Row],[Show]],TabCalc[Ticker],TabCalc[Max_Bn])&amp;" x "&amp;TEXT(_xlfn.XLOOKUP(Tab_NewTRADER[[#This Row],[Show]],TabCalc[Ticker],TabCalc[Max_Bp]),"#,#0.00")</f>
        <v>1340 x 68.98</v>
      </c>
      <c r="AN27" s="1650" t="str">
        <f ca="1">NewTrader!$V27</f>
        <v>KR</v>
      </c>
      <c r="AO27" s="1651" t="str">
        <f ca="1">TEXT(_xlfn.XLOOKUP(Tab_NewTRADER[[#This Row],[ClickTick]],TabCalc[Ticker],TabCalc[NAfter]),"#,#0")&amp;"x"&amp;_xlfn.XLOOKUP(Tab_NewTRADER[[#This Row],[ClickTick]],TabCalc[Ticker],TabCalc[M])&amp;"           (A: "&amp;TEXT(-_xlfn.XLOOKUP(Tab_NewTRADER[[#This Row],[ClickTick]]&amp;2,Consolid!B$3:JZ$3,Consolid!B$4:JZ$4),"#,??0.00")&amp;")"</f>
        <v>7,000x62.215           (A:  65.18)</v>
      </c>
      <c r="AP27" s="1592" t="str">
        <f ca="1">_xlfn.XLOOKUP(Tab_NewTRADER[[#This Row],[Show]],TabCalc[Ticker],TabCalc[Min_Sn])&amp;" x "&amp;TEXT(_xlfn.XLOOKUP(Tab_NewTRADER[[#This Row],[Show]],TabCalc[Ticker],TabCalc[Min_Sp]),"#,#0.00")</f>
        <v>900 x 45.85</v>
      </c>
      <c r="AQ2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702" t="str" cm="1">
        <f t="array" aca="1" ref="AR27" ca="1">_xlfn.IFS(Tab_NewTRADER[[#This Row],[State]]="Reverse Buy",TEXT(-Tab_NewTRADER[[#This Row],[Buy_Back]],"#,#0")&amp;" / "&amp;TEXT(Tab_NewTRADER[[#This Row],[Rev_Buy]],"#,#0.0%"),TRUE,Tab_NewTRADER[[#This Row],[AMY]])</f>
        <v xml:space="preserve">  65.18 -  62.22 -  74.36</v>
      </c>
      <c r="AS27" s="1651"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-1,641       / -00.4%</v>
      </c>
      <c r="AT27" s="1699"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-20,731   / -4.8%</v>
      </c>
      <c r="AU27" s="1699" t="str" cm="1">
        <f t="array" aca="1" ref="AU27" ca="1">_xlfn.IFS(Tab_NewTRADER[[#This Row],[M]]&lt;Tab_NewTRADER[[#This Row],[A]],TEXT(Tab_NewTRADER[[#This Row],[N]]*Tab_NewTRADER[[#This Row],[M]]*Tab_NewTRADER[[#This Row],[Scale]]*Comm_Net,"#,#0")&amp;" @ "&amp;TEXT(Tab_NewTRADER[[#This Row],[M]],"#,#0.#0"),TRUE,"M: "&amp; Tab_NewTRADER[[#This Row],[M]])</f>
        <v>434,329 @ 62.22</v>
      </c>
      <c r="AV27" s="1740" cm="1">
        <f t="array" aca="1" ref="AV27" ca="1">-_xlfn.XLOOKUP(
    Tab_NewTRADER[[#This Row],[Show]] &amp; 2,
    TabConsolid[#Headers],
    INDEX(TabConsolid[], 1, 0)
)</f>
        <v>65.184325457142847</v>
      </c>
      <c r="AW27" s="1741">
        <f ca="1">Tab_NewTRADER[[#This Row],[M]]*Tab_NewTRADER[[#This Row],[N]]*(1-Commission)*Tab_NewTRADER[[#This Row],[Scale]]</f>
        <v>434372.68699999998</v>
      </c>
      <c r="AX27" s="1705"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705"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706" t="str" cm="1">
        <f t="array" aca="1" ref="AZ27" ca="1">_xlfn.IFS(   Tab_NewTRADER[[#This Row],[State]]=SellMorePercentGain,                     MIN(Tab_NewTRADER[[#This Row],[L_Sn]],Tab_NewTRADER[[#This Row],[N]])*(Tab_NewTRADER[[#This Row],[M]]-Tab_NewTRADER[[#This Row],[L_Sp]])*(1-Commission)*Tab_NewTRADER[[#This Row],[Scale]],                    TRUE,"")</f>
        <v/>
      </c>
      <c r="BA27" s="1707">
        <f ca="1">_xlfn.XLOOKUP(NewTrader!$V27,TabCalc[Ticker],TabCalc[Ann%RevLB])</f>
        <v>0.19499377679436306</v>
      </c>
      <c r="BB27" s="1708">
        <f ca="1">_xlfn.XLOOKUP(NewTrader!$V27,TabCalc[Ticker],TabCalc[Up20])</f>
        <v>0</v>
      </c>
      <c r="BC27" s="1725"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706" t="str" cm="1">
        <f t="array" aca="1" ref="BD27" ca="1">_xlfn.IFS(         NewTrader!$AF27=MDown,NewTrader!$P27*NewTrader!$Y27*(-(NewTrader!$Q27+NewTrader!$Y27)/NewTrader!$Y27)*(1-Commission)*NewTrader!$A27,                               TRUE,"")</f>
        <v/>
      </c>
      <c r="BE27" s="1705" t="str" cm="1">
        <f t="array" aca="1" ref="BE27" ca="1">_xlfn.IFS(   NewTrader!$AF27=MUp,NewTrader!$BP27-Commission,        NewTrader!$AF27=MDown,(NewTrader!$X27-NewTrader!$Y27)/NewTrader!$Y27-Commission,                              TRUE,"")</f>
        <v/>
      </c>
      <c r="BF27" s="1706"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710" t="str" cm="1">
        <f t="array" aca="1" ref="BG27" ca="1">_xlfn.LET(_xlpm.SumChTxt,TEXT(_xlfn.XLOOKUP(NewTrader!$V27,ListTickers,Tab2SumChangePercent[AVGChan20]),"#0.0%"),
      _xlfn.IFS(NewTrader!$AF27=NoStock,_xlpm.SumChTxt,
      TRUE, IF(NewTrader!$AF27=SellMorePercentGain,             "SumChange "&amp;_xlpm.SumChTxt,                         "&lt;"&amp;INT(_xlfn.XLOOKUP(NewTrader!$V27,ListTickers,Tab2ReverseGL[Rev_GL19]))&amp;    "&lt;"&amp;INT(_xlfn.XLOOKUP(NewTrader!$V27,ListTickers,Tab2ReverseGL[Rev_GL18]))&amp;":      "&amp;_xlpm.SumChTxt)))</f>
        <v>&lt;-1&lt;-1:      0.3%</v>
      </c>
      <c r="BH27" s="1711"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M&gt;L_Bp</v>
      </c>
      <c r="BI27" s="1712" cm="1">
        <f t="array" aca="1" ref="BI27" ca="1">_xlfn.IFS(NewTrader!$AF27=Sale_Back,"",         NewTrader!$AF27=MDown, (NewTrader!$Y27-NewTrader!$X27)/NewTrader!$X27*ComFactor,             TRUE, IFERROR((NewTrader!$Y27-NewTrader!$X27)/NewTrader!$X27*ComFactor,""))</f>
        <v>-4.5434315538042315E-2</v>
      </c>
      <c r="BJ27" s="1664" cm="1">
        <f t="array" aca="1" ref="BJ27" ca="1">_xlfn.IFS(               NewTrader!$AF27=NoStock,(NewTrader!$BL27-NewTrader!$Y27)/NewTrader!$Y27-Commission,             NewTrader!$X27&lt;&gt;0,(NewTrader!$X27-NewTrader!$Y27)/NewTrader!$Y27-Commission)</f>
        <v>4.5126841712494481E-2</v>
      </c>
      <c r="BK27" s="1726">
        <f ca="1">_xlfn.XLOOKUP(NewTrader!$V27,TabCalc[Ticker],TabCalc[L_Sn])</f>
        <v>1000</v>
      </c>
      <c r="BL27" s="1727">
        <f ca="1">_xlfn.XLOOKUP(NewTrader!$V27,TabCalc[Ticker],TabCalc[L_Sp])</f>
        <v>67.349999999999994</v>
      </c>
      <c r="BM27" s="1634">
        <f ca="1">-IFERROR((Tab_NewTRADER[[#This Row],[M]]-Tab_NewTRADER[[#This Row],[L_Sp]])/Tab_NewTRADER[[#This Row],[L_Sp]],0)</f>
        <v>7.6243504083147604E-2</v>
      </c>
      <c r="BN27" s="1728">
        <f ca="1">MIN(Tab_NewTRADER[[#This Row],[L_Sn]],Tab_NewTRADER[[#This Row],[N]])*(Tab_NewTRADER[[#This Row],[M]]-Tab_NewTRADER[[#This Row],[L_Sp]])*Comm_Net*Tab_NewTRADER[[#This Row],[Scale]]</f>
        <v>-5121.1354999999903</v>
      </c>
      <c r="BO27" s="1715">
        <f ca="1">Tab_NewTRADER[[#This Row],[L_Sn]]*(Tab_NewTRADER[[#This Row],[Agiotage]]-Tab_NewTRADER[[#This Row],[M]])/(Tab_NewTRADER[[#This Row],[L_Bn]]*Tab_NewTRADER[[#This Row],[M]])</f>
        <v>-0.49153663818883098</v>
      </c>
      <c r="BP27" s="1670">
        <f ca="1">IFERROR((Tab_NewTRADER[[#This Row],[M]]-Tab_NewTRADER[[#This Row],[A]])/Tab_NewTRADER[[#This Row],[A]],0)</f>
        <v>-4.5552752695049444E-2</v>
      </c>
      <c r="BQ27" s="1671" t="str">
        <f ca="1">TEXT(_xlfn.XLOOKUP(Tab_NewTRADER[[#This Row],[ClickTick]],TabCalc[Ticker],TabCalc[NAfter]),"#,#0")&amp;" : "&amp;TEXT(_xlfn.XLOOKUP(Tab_NewTRADER[[#This Row],[ClickTick]],TabCalc[Ticker],TabCalc[NAfter])*(Tab_NewTRADER[[#This Row],[M]]-Tab_NewTRADER[[#This Row],[A]])*(1-Commission)*Tab_NewTRADER[[#This Row],[Scale]],"#,#0$")</f>
        <v>7,000 : -20,731$</v>
      </c>
      <c r="BR27" s="259">
        <f ca="1">_xlfn.XLOOKUP(NewTrader!$V27,TabCalc[[#This Row],[Ticker]],TabCalc[[#This Row],[GL]])*(1-Commission)</f>
        <v>86753.885431950272</v>
      </c>
      <c r="BS27" s="259"/>
      <c r="BT27" s="1672" t="str">
        <f ca="1">Tab_NewTRADER[[#This Row],[Show]]&amp;": "&amp;_xlfn.XLOOKUP(Tab_NewTRADER[[#This Row],[Show]],TabCalc[Ticker],TabCalc[Pile?])</f>
        <v>KR: Pile</v>
      </c>
      <c r="BU27" s="1717" t="s">
        <v>2030</v>
      </c>
      <c r="BV27" s="1674" t="str" cm="1">
        <f t="array" aca="1" ref="BV27" ca="1">_xlfn.TEXTJOIN("",,INDEX({"M","A","Y"}, _xlfn.SORTBY({1,2,3}, -CHOOSE({1,2,3}, Tab_NewTRADER[[#This Row],[M]], Tab_NewTRADER[[#This Row],[A]], Tab_NewTRADER[[#This Row],[Y]]))))</f>
        <v>YAM</v>
      </c>
      <c r="BW27" s="1675"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76" t="e">
        <f ca="1">Tab_NewTRADER[[#This Row],[L_Sn]]*Tab_NewTRADER[[#This Row],[L_Sp]]+Tab_NewTRADER[[#This Row],[SellMore]]*Tab_NewTRADER[[#This Row],[M]]</f>
        <v>#N/A</v>
      </c>
      <c r="BY27" s="1676" t="e">
        <f ca="1">INDEX(
  INDEX(TabConsolid[], , _xlfn.XMATCH(Tab_NewTRADER[[#This Row],[ClickTick]]&amp;1, TabConsolid[#Headers])),
  MATCH(
    -Tab_NewTRADER[[#This Row],[M]],
    INDEX(TabConsolid[], , _xlfn.XMATCH(Tab_NewTRADER[[#This Row],[ClickTick]]&amp;2, TabConsolid[#Headers])),
    -1
  )
)</f>
        <v>#N/A</v>
      </c>
      <c r="BZ27" s="1676"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77" t="e">
        <f ca="1">Tab_NewTRADER[[#This Row],[ReBuy]]/(Tab_NewTRADER[[#This Row],[L_Sn]]+Tab_NewTRADER[[#This Row],[SellMore]])</f>
        <v>#N/A</v>
      </c>
      <c r="CB27" s="1678">
        <f ca="1">((_xlfn.XLOOKUP(Tab_NewTRADER[[#This Row],[Show]],TabCalc[Ticker],TabCalc[NAfter])+Tab_NewTRADER[[#This Row],[L_Sn]])*(Tab_NewTRADER[[#This Row],[Agiotage]]-Tab_NewTRADER[[#This Row],[M]]))/(Tab_NewTRADER[[#This Row],[L_Sn]]*_xlfn.XLOOKUP(Tab_NewTRADER[[#This Row],[Show]],TabCalc[Ticker],TabCalc[NAfter]))</f>
        <v>-6.9899318731241417E-2</v>
      </c>
      <c r="CC27" s="1677">
        <f ca="1">INDEX(Tab1Price[Price19], MATCH(Tab_NewTRADER[[#This Row],[Show]], Tab_NewTRADER[Show], 0))</f>
        <v>62.215000000000003</v>
      </c>
      <c r="CD27" s="1679">
        <f ca="1">_xlfn.XMATCH(Tab_NewTRADER[[#This Row],[Show]]&amp;1, TabConsolid[#Headers])</f>
        <v>74</v>
      </c>
      <c r="CE27" s="1678"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729" t="str" cm="1">
        <f t="array" aca="1" ref="CF27" ca="1">_xlfn.LET(
    _xlpm.FMT, _xlfn.LAMBDA(_xlpm.n, REPT(" ", 7 - LEN(TEXT(_xlpm.n,"0.00"))) &amp; TEXT(_xlpm.n,"0.00")),
    _xlpm.FMT(Tab_NewTRADER[[#This Row],[A]]) &amp; " -" &amp; _xlpm.FMT(Tab_NewTRADER[[#This Row],[M]]) &amp; " -" &amp; _xlpm.FMT(Tab_NewTRADER[[#This Row],[Y]])
)</f>
        <v xml:space="preserve">  65.18 -  62.22 -  74.36</v>
      </c>
      <c r="CG27" s="1730" t="str" cm="1">
        <f t="array" aca="1" ref="CG27" ca="1">_xlfn.LET(
    _xlpm.W, 7,
    _xlpm.FMT, _xlfn.LAMBDA(_xlpm.n, REPT(" ", _xlpm.W - LEN(TEXT(_xlpm.n,"0.00"))) &amp; TEXT(_xlpm.n,"0.00")),
    _xlpm.FMT(Tab_NewTRADER[[#This Row],[A]]) &amp; " * " &amp; _xlpm.FMT(Tab_NewTRADER[[#This Row],[M]]) &amp; " * " &amp; _xlpm.FMT(Tab_NewTRADER[[#This Row],[Y]])
)</f>
        <v xml:space="preserve">  65.18 *   62.22 *   74.36</v>
      </c>
      <c r="CH27" s="1842">
        <f>0</f>
        <v>0</v>
      </c>
      <c r="CI27" t="b">
        <f ca="1">IF(ABS(NewTrader!$Q27)&gt;=NewTrader!$Y27,"OK")</f>
        <v>0</v>
      </c>
    </row>
    <row r="28" spans="1:87" ht="23" hidden="1" thickBot="1">
      <c r="A28" s="1839">
        <f ca="1">IF(_xlfn.XLOOKUP(NewTrader!$V28,TabCalc[Ticker],TabCalc[Cur])="GBp",0.01,1)</f>
        <v>1</v>
      </c>
      <c r="B28" s="1681" t="str">
        <f ca="1">IFERROR(TRUNC(_xlfn.XLOOKUP(NewTrader!$V28,TabCalc[Ticker],ListLastBuyp),2)&amp;"x"&amp;_xlfn.XLOOKUP(NewTrader!$V28,TabCalc[Ticker],ListLastBuyn)&amp;"=    "&amp;IF(_xlfn.XLOOKUP(NewTrader!$V28,TabCalc[Ticker],ListReverseS)&gt;0,"+","")&amp;TEXT(_xlfn.XLOOKUP(NewTrader!$V28,TabCalc[Ticker],ListReverseS),"#,#0")&amp;" "&amp;#REF!,"")</f>
        <v/>
      </c>
      <c r="C28" s="1682" t="str">
        <f ca="1">_xlfn.XLOOKUP(NewTrader!$V28,TabCalc[Ticker],ListResale)&amp;" @ "&amp;TEXT((_xlfn.XLOOKUP(NewTrader!$V28,TabCalc[Ticker],TabCalc[L_Bp])+_xlfn.XLOOKUP(NewTrader!$V28,TabCalc[Ticker],TabCalc[M]))/_xlfn.XLOOKUP(NewTrader!$V28,TabCalc[Ticker],TabCalc[M]),"#0.0%")</f>
        <v>Resell @ 35.5%</v>
      </c>
      <c r="D28" s="1683"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84" t="str">
        <f ca="1">IF(      AND(NewTrader!$X28&lt;NewTrader!$Y28,    _xlfn.XLOOKUP(NewTrader!$V28,TabCalc[Ticker],TabCalc[L_Sp])&gt;NewTrader!$Y28),"BUY  "&amp;TEXT(DesiredBuyGain/NewTrader!$A28/(_xlfn.XLOOKUP(NewTrader!$V28,TabCalc[Ticker],TabCalc[L_Sp])-NewTrader!$Y28),"#,##0"),"")</f>
        <v/>
      </c>
      <c r="F28" s="1681" t="str">
        <f ca="1">TRUNC(TabCalc[[#This Row],[L_B1p]],2)&amp;"x"&amp;TabCalc[[#This Row],[L_B1n]]&amp;"=   "&amp;TEXT(TabCalc[[#This Row],[ReverseS1]],"#,#0")&amp;"$"</f>
        <v>-3.92x5000=   0$</v>
      </c>
      <c r="G28" s="1685" t="str">
        <f ca="1">IFERROR(TRUNC(_xlfn.XLOOKUP(NewTrader!$V28,TabCalc[Ticker],ListLastSalep),2)&amp;"x"&amp;_xlfn.XLOOKUP(NewTrader!$V28,TabCalc[Ticker],ListLastSalen)&amp;"=   "&amp;TEXT(-_xlfn.XLOOKUP(NewTrader!$V28,TabCalc[Ticker],ListReverseB),"#,#0")&amp;"$","")</f>
        <v>8.46x3000=   9,120$</v>
      </c>
      <c r="H28" s="1686"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26.4% = 0</v>
      </c>
      <c r="I28" s="1681" t="str">
        <f ca="1">IFERROR(TRUNC(TabCalc[[#This Row],[L_S1p]],2)&amp;"x"&amp;TabCalc[[#This Row],[L_S1n]]&amp;"=   "&amp;TEXT(TabCalc[[#This Row],[ReverseB1]],"#,#0"),"")</f>
        <v>4.96x2276=   -14,878</v>
      </c>
      <c r="J28" s="1687">
        <f ca="1">_xlfn.XLOOKUP(NewTrader!$V28,TabCalc[Ticker],ListGravity)</f>
        <v>1.3043478260869565</v>
      </c>
      <c r="K28" s="1688" t="str" cm="1">
        <f t="array" aca="1" ref="K28" ca="1">IF(_xlfn.XLOOKUP(NewTrader!$V28,NewTrader!$V$3:$V$96,ListExtra_n)&gt;0,_xlfn.XLOOKUP(NewTrader!$V28,NewTrader!$V$3:$V$96,ListExtra_n),"")</f>
        <v/>
      </c>
      <c r="L28" s="1689" t="str">
        <f ca="1">IF(_xlfn.XLOOKUP(NewTrader!$V28,TabCalc[Ticker],ListExtra_n)&gt;0,_xlfn.XLOOKUP(NewTrader!$V28,TabCalc[Ticker],ListExtra_n)*NewTrader!$Y28*_xlfn.XLOOKUP(NewTrader!$V28,TabCalc[Ticker],ListScale),"")</f>
        <v/>
      </c>
      <c r="M28" s="1690">
        <f ca="1">_xlfn.XLOOKUP(NewTrader!$V28,TabCalc[Ticker],TabCalc[Agiotage])</f>
        <v>0.63306340549771389</v>
      </c>
      <c r="N28" s="1691" cm="1">
        <f t="array" aca="1" ref="N28" ca="1">_xlfn.XLOOKUP(NewTrader!$V28,ListTickers,Tab2RSIConventional[RSIConv20])</f>
        <v>62</v>
      </c>
      <c r="O28" s="1631" t="str">
        <f ca="1">TEXT(_xlfn.XLOOKUP(NewTrader!$V28,TabCalc[Ticker],TabCalc[Nbegin]),"#,#0")&amp;": "&amp;_xlfn.XLOOKUP(NewTrader!$V28,TabCalc[Ticker],TabCalc[Pile?])</f>
        <v>2,276: Pile</v>
      </c>
      <c r="P28" s="1692">
        <f ca="1">_xlfn.XLOOKUP(NewTrader!$V28,TabCalc[Ticker],TabCalc[L_Bn])</f>
        <v>3000</v>
      </c>
      <c r="Q28" s="1693">
        <f ca="1">_xlfn.XLOOKUP(NewTrader!$V28,TabCalc[Ticker],TabCalc[L_Bp])</f>
        <v>-7.42</v>
      </c>
      <c r="R28" s="1694">
        <f ca="1">(NewTrader!$Y28+NewTrader!$Q28)/ABS(NewTrader!$Q28)</f>
        <v>0.54986522911051217</v>
      </c>
      <c r="S28" s="262">
        <f ca="1">INT(_xlfn.XLOOKUP(NewTrader!$V28,TabCalc[Ticker],TabCalc[Rev(MinStock)])*Comm_Net)</f>
        <v>0</v>
      </c>
      <c r="T28" s="1635">
        <f ca="1">_xlfn.XLOOKUP(NewTrader!$V28,TabCalc[Ticker],TabCalc[Agiotage])</f>
        <v>0.63306340549771389</v>
      </c>
      <c r="U28" s="1695"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0/0=&gt;-0.4% / -0.4%</v>
      </c>
      <c r="V28" s="1578" t="str">
        <f ca="1">SORTING!B28</f>
        <v>LNSR</v>
      </c>
      <c r="W28" s="1637">
        <f ca="1">_xlfn.XLOOKUP(NewTrader!$V28,TabCalc[Ticker],TabCalc[Y])</f>
        <v>15</v>
      </c>
      <c r="X28" s="1639">
        <f ca="1">-_xlfn.XLOOKUP(NewTrader!$V28&amp;2,Consolid!B$3:JZ$3,Consolid!B$4:JZ$4)</f>
        <v>0</v>
      </c>
      <c r="Y28" s="1639">
        <f ca="1">_xlfn.XLOOKUP(NewTrader!$V28,TabCalc[Ticker],TabCalc[M])</f>
        <v>11.5</v>
      </c>
      <c r="Z28" s="1640">
        <f ca="1">_xlfn.XLOOKUP(NewTrader!$V28,[1]!RTData[Ticker_Symbol],[1]!RTData[YTChange])</f>
        <v>-0.77443609022556392</v>
      </c>
      <c r="AA28" s="1640" cm="1">
        <f t="array" aca="1" ref="AA28" ca="1">_xlfn.XLOOKUP(NewTrader!$V28,ListTickers,Tab1ChangePercent[Change%19])</f>
        <v>-4.3290000000000004E-3</v>
      </c>
      <c r="AB28" s="1641">
        <f ca="1">_xlfn.XLOOKUP(NewTrader!$V28,TabCalc[Ticker],TabCalc[NAfter])</f>
        <v>0</v>
      </c>
      <c r="AC28" s="1641">
        <f ca="1">_xlfn.XLOOKUP(NewTrader!$V28,TabCalc[Ticker],TabCalc[Nbegin])</f>
        <v>2276</v>
      </c>
      <c r="AD28" s="1642" t="str">
        <f ca="1">_xlfn.LET(_xlpm.PILE,_xlfn.XLOOKUP(NewTrader!$V28,TabCalc[Ticker],TabCalc[Pile?]),                    _xlpm.GL,_xlfn.XLOOKUP(NewTrader!$V28,TabCalc[Ticker],TabCalc[GL]),                        _xlpm.GLK,_xlfn.XLOOKUP(NewTrader!$V28,TabCalc[Ticker],TabCalc[GL])/1000,                             _xlpm.MVal,_xlfn.XLOOKUP(NewTrader!$V28,TabCalc[Ticker],TabCalc[M_V])/1000,                   _xlpm.PILE&amp;" "&amp;IF(_xlpm.GL&lt;0,TEXT(_xlpm.GLK,"#,#0")&amp;"K /"&amp;TEXT(_xlpm.MVal,"#,#0")&amp;" K$","^"&amp;TEXT(_xlpm.GLK,"#,#0")&amp;"K / "&amp;TEXT(_xlpm.MVal,"#,#0")&amp;" K$"))</f>
        <v>Pile -16K /0 K$</v>
      </c>
      <c r="AE28" s="1643" t="str">
        <f ca="1">_xlfn.XLOOKUP(NewTrader!$V28,[1]!RTData[Ticker_Symbol],[1]!RTData[Currency])</f>
        <v>USD</v>
      </c>
      <c r="AF28" s="1721"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646" t="str" cm="1">
        <f t="array" aca="1" ref="AH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11.50 -  15.00</v>
      </c>
      <c r="AI2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8" s="1651" t="str" cm="1">
        <f t="array" aca="1" ref="AJ28" ca="1">_xlfn.IFS(Tab_NewTRADER[[#This Row],[State]]="Sell More",TEXT(MIN(Tab_NewTRADER[[#This Row],[N]],Tab_NewTRADER[[#This Row],[L_Bn]])*(Tab_NewTRADER[[#This Row],[M]]-Tab_NewTRADER[[#This Row],[L_Sp]])*Tab_NewTRADER[[#This Row],[Scale]]*ComFactor,"#,#0"), TRUE,"M= "&amp;TEXT(Tab_NewTRADER[[#This Row],[M]],"#,#0.00"))</f>
        <v>M= 11.50</v>
      </c>
      <c r="AK28" s="1699" t="str" cm="1">
        <f t="array" aca="1" ref="AK28" ca="1">_xlfn.IFS(Tab_NewTRADER[[#This Row],[Y]]&gt;Tab_NewTRADER[[#This Row],[A]],                 TEXT(MIN(Tab_NewTRADER[[#This Row],[L_Bn]],Tab_NewTRADER[[#This Row],[N]])*(Tab_NewTRADER[[#This Row],[M]]-Tab_NewTRADER[[#This Row],[A]])*Tab_NewTRADER[[#This Row],[Scale]]*ComFactor,"#,#0"), TRUE,0)</f>
        <v>0</v>
      </c>
      <c r="AL28" s="1700" cm="1">
        <f t="array" aca="1" ref="AL28" ca="1">_xlfn.IFS(Tab_NewTRADER[[#This Row],[M]]&gt;Tab_NewTRADER[[#This Row],[A]],                  Tab_NewTRADER[[#This Row],[N]]*(Tab_NewTRADER[[#This Row],[M]]-Tab_NewTRADER[[#This Row],[A]])*Tab_NewTRADER[[#This Row],[Scale]]*ComFactor, TRUE,0)</f>
        <v>0</v>
      </c>
      <c r="AM28" s="1592" t="e">
        <f ca="1">_xlfn.XLOOKUP(Tab_NewTRADER[[#This Row],[Show]],TabCalc[Ticker],TabCalc[Max_Bn])&amp;" x "&amp;TEXT(_xlfn.XLOOKUP(Tab_NewTRADER[[#This Row],[Show]],TabCalc[Ticker],TabCalc[Max_Bp]),"#,#0.00")</f>
        <v>#N/A</v>
      </c>
      <c r="AN28" s="1650" t="str">
        <f ca="1">NewTrader!$V28</f>
        <v>LNSR</v>
      </c>
      <c r="AO28" s="1651" t="str">
        <f ca="1">TEXT(_xlfn.XLOOKUP(Tab_NewTRADER[[#This Row],[ClickTick]],TabCalc[Ticker],TabCalc[NAfter]),"#,#0")&amp;"x"&amp;_xlfn.XLOOKUP(Tab_NewTRADER[[#This Row],[ClickTick]],TabCalc[Ticker],TabCalc[M])&amp;"           (A: "&amp;TEXT(-_xlfn.XLOOKUP(Tab_NewTRADER[[#This Row],[ClickTick]]&amp;2,Consolid!B$3:JZ$3,Consolid!B$4:JZ$4),"#,??0.00")&amp;")"</f>
        <v>0x11.5           (A:   0.00)</v>
      </c>
      <c r="AP28" s="1592" t="str">
        <f ca="1">_xlfn.XLOOKUP(Tab_NewTRADER[[#This Row],[Show]],TabCalc[Ticker],TabCalc[Min_Sn])&amp;" x "&amp;TEXT(_xlfn.XLOOKUP(Tab_NewTRADER[[#This Row],[Show]],TabCalc[Ticker],TabCalc[Min_Sp]),"#,#0.00")</f>
        <v>2276 x 4.52</v>
      </c>
      <c r="AQ2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702" t="str" cm="1">
        <f t="array" aca="1" ref="AR28" ca="1">_xlfn.IFS(Tab_NewTRADER[[#This Row],[State]]="Reverse Buy",TEXT(-Tab_NewTRADER[[#This Row],[Buy_Back]],"#,#0")&amp;" / "&amp;TEXT(Tab_NewTRADER[[#This Row],[Rev_Buy]],"#,#0.0%"),TRUE,Tab_NewTRADER[[#This Row],[AMY]])</f>
        <v xml:space="preserve">   0.00 -  11.50 -  15.00</v>
      </c>
      <c r="AS28" s="1651"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99"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99" t="str" cm="1">
        <f t="array" aca="1" ref="AU28" ca="1">_xlfn.IFS(Tab_NewTRADER[[#This Row],[M]]&lt;Tab_NewTRADER[[#This Row],[A]],TEXT(Tab_NewTRADER[[#This Row],[N]]*Tab_NewTRADER[[#This Row],[M]]*Tab_NewTRADER[[#This Row],[Scale]]*Comm_Net,"#,#0")&amp;" @ "&amp;TEXT(Tab_NewTRADER[[#This Row],[M]],"#,#0.#0"),TRUE,"M: "&amp; Tab_NewTRADER[[#This Row],[M]])</f>
        <v>M: 11.5</v>
      </c>
      <c r="AV28" s="1703" cm="1">
        <f t="array" aca="1" ref="AV28" ca="1">-_xlfn.XLOOKUP(
    Tab_NewTRADER[[#This Row],[Show]] &amp; 2,
    TabConsolid[#Headers],
    INDEX(TabConsolid[], 1, 0)
)</f>
        <v>0</v>
      </c>
      <c r="AW28" s="1704">
        <f ca="1">Tab_NewTRADER[[#This Row],[M]]*Tab_NewTRADER[[#This Row],[N]]*(1-Commission)*Tab_NewTRADER[[#This Row],[Scale]]</f>
        <v>0</v>
      </c>
      <c r="AX28" s="1705"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705"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706" t="str" cm="1">
        <f t="array" aca="1" ref="AZ28" ca="1">_xlfn.IFS(   Tab_NewTRADER[[#This Row],[State]]=SellMorePercentGain,                     MIN(Tab_NewTRADER[[#This Row],[L_Sn]],Tab_NewTRADER[[#This Row],[N]])*(Tab_NewTRADER[[#This Row],[M]]-Tab_NewTRADER[[#This Row],[L_Sp]])*(1-Commission)*Tab_NewTRADER[[#This Row],[Scale]],                    TRUE,"")</f>
        <v/>
      </c>
      <c r="BA28" s="1723">
        <f ca="1">_xlfn.XLOOKUP(NewTrader!$V28,TabCalc[Ticker],TabCalc[Ann%RevLB])</f>
        <v>0.55139688713031865</v>
      </c>
      <c r="BB28" s="1724">
        <f ca="1">_xlfn.XLOOKUP(NewTrader!$V28,TabCalc[Ticker],TabCalc[Up20])</f>
        <v>0</v>
      </c>
      <c r="BC28" s="1709"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706" t="str" cm="1">
        <f t="array" aca="1" ref="BD28" ca="1">_xlfn.IFS(         NewTrader!$AF28=MDown,NewTrader!$P28*NewTrader!$Y28*(-(NewTrader!$Q28+NewTrader!$Y28)/NewTrader!$Y28)*(1-Commission)*NewTrader!$A28,                               TRUE,"")</f>
        <v/>
      </c>
      <c r="BE28" s="1705" t="str" cm="1">
        <f t="array" aca="1" ref="BE28" ca="1">_xlfn.IFS(   NewTrader!$AF28=MUp,NewTrader!$BP28-Commission,        NewTrader!$AF28=MDown,(NewTrader!$X28-NewTrader!$Y28)/NewTrader!$Y28-Commission,                              TRUE,"")</f>
        <v/>
      </c>
      <c r="BF28" s="1706"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710" t="str" cm="1">
        <f t="array" aca="1" ref="BG28" ca="1">_xlfn.LET(_xlpm.SumChTxt,TEXT(_xlfn.XLOOKUP(NewTrader!$V28,ListTickers,Tab2SumChangePercent[AVGChan20]),"#0.0%"),
      _xlfn.IFS(NewTrader!$AF28=NoStock,_xlpm.SumChTxt,
      TRUE, IF(NewTrader!$AF28=SellMorePercentGain,             "SumChange "&amp;_xlpm.SumChTxt,                         "&lt;"&amp;INT(_xlfn.XLOOKUP(NewTrader!$V28,ListTickers,Tab2ReverseGL[Rev_GL19]))&amp;    "&lt;"&amp;INT(_xlfn.XLOOKUP(NewTrader!$V28,ListTickers,Tab2ReverseGL[Rev_GL18]))&amp;":      "&amp;_xlpm.SumChTxt)))</f>
        <v>-0.7%</v>
      </c>
      <c r="BH28" s="1711"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0x11.5</v>
      </c>
      <c r="BI28" s="1712" t="str" cm="1">
        <f t="array" aca="1" ref="BI28" ca="1">_xlfn.IFS(NewTrader!$AF28=Sale_Back,"",         NewTrader!$AF28=MDown, (NewTrader!$Y28-NewTrader!$X28)/NewTrader!$X28*ComFactor,             TRUE, IFERROR((NewTrader!$Y28-NewTrader!$X28)/NewTrader!$X28*ComFactor,""))</f>
        <v/>
      </c>
      <c r="BJ28" s="1664" cm="1">
        <f t="array" aca="1" ref="BJ28" ca="1">_xlfn.IFS(               NewTrader!$AF28=NoStock,(NewTrader!$BL28-NewTrader!$Y28)/NewTrader!$Y28-Commission,             NewTrader!$X28&lt;&gt;0,(NewTrader!$X28-NewTrader!$Y28)/NewTrader!$Y28-Commission)</f>
        <v>-0.26694782608695644</v>
      </c>
      <c r="BK28" s="1713">
        <f ca="1">_xlfn.XLOOKUP(NewTrader!$V28,TabCalc[Ticker],TabCalc[L_Sn])</f>
        <v>3000</v>
      </c>
      <c r="BL28" s="1693">
        <f ca="1">_xlfn.XLOOKUP(NewTrader!$V28,TabCalc[Ticker],TabCalc[L_Sp])</f>
        <v>8.4600000000000009</v>
      </c>
      <c r="BM28" s="1694">
        <f ca="1">-IFERROR((Tab_NewTRADER[[#This Row],[M]]-Tab_NewTRADER[[#This Row],[L_Sp]])/Tab_NewTRADER[[#This Row],[L_Sp]],0)</f>
        <v>-0.35933806146572089</v>
      </c>
      <c r="BN28" s="1714">
        <f ca="1">MIN(Tab_NewTRADER[[#This Row],[L_Sn]],Tab_NewTRADER[[#This Row],[N]])*(Tab_NewTRADER[[#This Row],[M]]-Tab_NewTRADER[[#This Row],[L_Sp]])*Comm_Net*Tab_NewTRADER[[#This Row],[Scale]]</f>
        <v>0</v>
      </c>
      <c r="BO28" s="1715">
        <f ca="1">Tab_NewTRADER[[#This Row],[L_Sn]]*(Tab_NewTRADER[[#This Row],[Agiotage]]-Tab_NewTRADER[[#This Row],[M]])/(Tab_NewTRADER[[#This Row],[L_Bn]]*Tab_NewTRADER[[#This Row],[M]])</f>
        <v>-0.94495100821759015</v>
      </c>
      <c r="BP28" s="1716">
        <f ca="1">IFERROR((Tab_NewTRADER[[#This Row],[M]]-Tab_NewTRADER[[#This Row],[A]])/Tab_NewTRADER[[#This Row],[A]],0)</f>
        <v>0</v>
      </c>
      <c r="BQ28" s="1671"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Row],[GL]])*(1-Commission)</f>
        <v>-16028.876444062746</v>
      </c>
      <c r="BS28" s="262"/>
      <c r="BT28" s="1672" t="str">
        <f ca="1">Tab_NewTRADER[[#This Row],[Show]]&amp;": "&amp;_xlfn.XLOOKUP(Tab_NewTRADER[[#This Row],[Show]],TabCalc[Ticker],TabCalc[Pile?])</f>
        <v>LNSR: Pile</v>
      </c>
      <c r="BU28" s="1717" t="s">
        <v>2036</v>
      </c>
      <c r="BV28" s="1674" t="str" cm="1">
        <f t="array" aca="1" ref="BV28" ca="1">_xlfn.TEXTJOIN("",,INDEX({"M","A","Y"}, _xlfn.SORTBY({1,2,3}, -CHOOSE({1,2,3}, Tab_NewTRADER[[#This Row],[M]], Tab_NewTRADER[[#This Row],[A]], Tab_NewTRADER[[#This Row],[Y]]))))</f>
        <v>YMA</v>
      </c>
      <c r="BW28" s="1675"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76" t="e">
        <f ca="1">Tab_NewTRADER[[#This Row],[L_Sn]]*Tab_NewTRADER[[#This Row],[L_Sp]]+Tab_NewTRADER[[#This Row],[SellMore]]*Tab_NewTRADER[[#This Row],[M]]</f>
        <v>#N/A</v>
      </c>
      <c r="BY28" s="1676" t="e">
        <f ca="1">INDEX(
  INDEX(TabConsolid[], , _xlfn.XMATCH(Tab_NewTRADER[[#This Row],[ClickTick]]&amp;1, TabConsolid[#Headers])),
  MATCH(
    -Tab_NewTRADER[[#This Row],[M]],
    INDEX(TabConsolid[], , _xlfn.XMATCH(Tab_NewTRADER[[#This Row],[ClickTick]]&amp;2, TabConsolid[#Headers])),
    -1
  )
)</f>
        <v>#N/A</v>
      </c>
      <c r="BZ28" s="1676"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77" t="e">
        <f ca="1">Tab_NewTRADER[[#This Row],[ReBuy]]/(Tab_NewTRADER[[#This Row],[L_Sn]]+Tab_NewTRADER[[#This Row],[SellMore]])</f>
        <v>#N/A</v>
      </c>
      <c r="CB28" s="1678" t="e">
        <f ca="1">((_xlfn.XLOOKUP(Tab_NewTRADER[[#This Row],[Show]],TabCalc[Ticker],TabCalc[NAfter])+Tab_NewTRADER[[#This Row],[L_Sn]])*(Tab_NewTRADER[[#This Row],[Agiotage]]-Tab_NewTRADER[[#This Row],[M]]))/(Tab_NewTRADER[[#This Row],[L_Sn]]*_xlfn.XLOOKUP(Tab_NewTRADER[[#This Row],[Show]],TabCalc[Ticker],TabCalc[NAfter]))</f>
        <v>#DIV/0!</v>
      </c>
      <c r="CC28" s="1677">
        <f ca="1">INDEX(Tab1Price[Price19], MATCH(Tab_NewTRADER[[#This Row],[Show]], Tab_NewTRADER[Show], 0))</f>
        <v>11.5</v>
      </c>
      <c r="CD28" s="1679">
        <f ca="1">_xlfn.XMATCH(Tab_NewTRADER[[#This Row],[Show]]&amp;1, TabConsolid[#Headers])</f>
        <v>77</v>
      </c>
      <c r="CE28" s="1678"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729" t="str" cm="1">
        <f t="array" aca="1" ref="CF28" ca="1">_xlfn.LET(
    _xlpm.FMT, _xlfn.LAMBDA(_xlpm.n, REPT(" ", 7 - LEN(TEXT(_xlpm.n,"0.00"))) &amp; TEXT(_xlpm.n,"0.00")),
    _xlpm.FMT(Tab_NewTRADER[[#This Row],[A]]) &amp; " -" &amp; _xlpm.FMT(Tab_NewTRADER[[#This Row],[M]]) &amp; " -" &amp; _xlpm.FMT(Tab_NewTRADER[[#This Row],[Y]])
)</f>
        <v xml:space="preserve">   0.00 -  11.50 -  15.00</v>
      </c>
      <c r="CG28" s="1730" t="str" cm="1">
        <f t="array" aca="1" ref="CG28" ca="1">_xlfn.LET(
    _xlpm.W, 7,
    _xlpm.FMT, _xlfn.LAMBDA(_xlpm.n, REPT(" ", _xlpm.W - LEN(TEXT(_xlpm.n,"0.00"))) &amp; TEXT(_xlpm.n,"0.00")),
    _xlpm.FMT(Tab_NewTRADER[[#This Row],[A]]) &amp; " * " &amp; _xlpm.FMT(Tab_NewTRADER[[#This Row],[M]]) &amp; " * " &amp; _xlpm.FMT(Tab_NewTRADER[[#This Row],[Y]])
)</f>
        <v xml:space="preserve">   0.00 *   11.50 *   15.00</v>
      </c>
      <c r="CH28" s="1842">
        <f>0</f>
        <v>0</v>
      </c>
      <c r="CI28" t="b">
        <f ca="1">IF(ABS(NewTrader!$Q28)&gt;=NewTrader!$Y28,"OK")</f>
        <v>0</v>
      </c>
    </row>
    <row r="29" spans="1:87">
      <c r="A29" s="1838">
        <f ca="1">IF(_xlfn.XLOOKUP(NewTrader!$V29,TabCalc[Ticker],TabCalc[Cur])="GBp",0.01,1)</f>
        <v>1</v>
      </c>
      <c r="B29" s="1620" t="str">
        <f ca="1">IFERROR(TRUNC(_xlfn.XLOOKUP(NewTrader!$V29,TabCalc[Ticker],ListLastBuyp),2)&amp;"x"&amp;_xlfn.XLOOKUP(NewTrader!$V29,TabCalc[Ticker],ListLastBuyn)&amp;"=    "&amp;IF(_xlfn.XLOOKUP(NewTrader!$V29,TabCalc[Ticker],ListReverseS)&gt;0,"+","")&amp;TEXT(_xlfn.XLOOKUP(NewTrader!$V29,TabCalc[Ticker],ListReverseS),"#,#0")&amp;" "&amp;#REF!,"")</f>
        <v/>
      </c>
      <c r="C29" s="1621" t="str">
        <f ca="1">_xlfn.XLOOKUP(NewTrader!$V29,TabCalc[Ticker],ListResale)&amp;" @ "&amp;TEXT((_xlfn.XLOOKUP(NewTrader!$V29,TabCalc[Ticker],TabCalc[L_Bp])+_xlfn.XLOOKUP(NewTrader!$V29,TabCalc[Ticker],TabCalc[M]))/_xlfn.XLOOKUP(NewTrader!$V29,TabCalc[Ticker],TabCalc[M]),"#0.0%")</f>
        <v>Resell @ 41.4%</v>
      </c>
      <c r="D29" s="1622"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718" t="str">
        <f ca="1">IF(      AND(NewTrader!$X29&lt;NewTrader!$Y29,    _xlfn.XLOOKUP(NewTrader!$V29,TabCalc[Ticker],TabCalc[L_Sp])&gt;NewTrader!$Y29),"BUY  "&amp;TEXT(DesiredBuyGain/NewTrader!$A29/(_xlfn.XLOOKUP(NewTrader!$V29,TabCalc[Ticker],TabCalc[L_Sp])-NewTrader!$Y29),"#,##0"),"")</f>
        <v/>
      </c>
      <c r="F29" s="1620" t="str">
        <f ca="1">TRUNC(TabCalc[[#This Row],[L_B1p]],2)&amp;"x"&amp;TabCalc[[#This Row],[L_B1n]]&amp;"=   "&amp;TEXT(TabCalc[[#This Row],[ReverseS1]],"#,#0")&amp;"$"</f>
        <v>-2.98x15000=   57$</v>
      </c>
      <c r="G29" s="1624" t="str">
        <f ca="1">IFERROR(TRUNC(_xlfn.XLOOKUP(NewTrader!$V29,TabCalc[Ticker],ListLastSalep),2)&amp;"x"&amp;_xlfn.XLOOKUP(NewTrader!$V29,TabCalc[Ticker],ListLastSalen)&amp;"=   "&amp;TEXT(-_xlfn.XLOOKUP(NewTrader!$V29,TabCalc[Ticker],ListReverseB),"#,#0")&amp;"$","")</f>
        <v>6.8x990=   1,832$</v>
      </c>
      <c r="H29" s="1625"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-21.4% = 0</v>
      </c>
      <c r="I29" s="1620" t="str">
        <f ca="1">IFERROR(TRUNC(TabCalc[[#This Row],[L_S1p]],2)&amp;"x"&amp;TabCalc[[#This Row],[L_S1n]]&amp;"=   "&amp;TEXT(TabCalc[[#This Row],[ReverseB1]],"#,#0"),"")</f>
        <v>5.56x1000=   -3,090</v>
      </c>
      <c r="J29" s="1626">
        <f ca="1">_xlfn.XLOOKUP(NewTrader!$V29,TabCalc[Ticker],ListGravity)</f>
        <v>0.83618497109826584</v>
      </c>
      <c r="K29" s="1627" t="str" cm="1">
        <f t="array" aca="1" ref="K29" ca="1">IF(_xlfn.XLOOKUP(NewTrader!$V29,NewTrader!$V$3:$V$96,ListExtra_n)&gt;0,_xlfn.XLOOKUP(NewTrader!$V29,NewTrader!$V$3:$V$96,ListExtra_n),"")</f>
        <v/>
      </c>
      <c r="L29" s="1628" t="str">
        <f ca="1">IF(_xlfn.XLOOKUP(NewTrader!$V29,TabCalc[Ticker],ListExtra_n)&gt;0,_xlfn.XLOOKUP(NewTrader!$V29,TabCalc[Ticker],ListExtra_n)*NewTrader!$Y29*_xlfn.XLOOKUP(NewTrader!$V29,TabCalc[Ticker],ListScale),"")</f>
        <v/>
      </c>
      <c r="M29" s="1629">
        <f ca="1">_xlfn.XLOOKUP(NewTrader!$V29,TabCalc[Ticker],TabCalc[Agiotage])</f>
        <v>0.59192387880588593</v>
      </c>
      <c r="N29" s="1630" cm="1">
        <f t="array" aca="1" ref="N29" ca="1">_xlfn.XLOOKUP(NewTrader!$V29,ListTickers,Tab2RSIConventional[RSIConv20])</f>
        <v>74</v>
      </c>
      <c r="O29" s="1631" t="str">
        <f ca="1">TEXT(_xlfn.XLOOKUP(NewTrader!$V29,TabCalc[Ticker],TabCalc[Nbegin]),"#,#0")&amp;": "&amp;_xlfn.XLOOKUP(NewTrader!$V29,TabCalc[Ticker],TabCalc[Pile?])</f>
        <v xml:space="preserve">2,000: </v>
      </c>
      <c r="P29" s="1632">
        <f ca="1">_xlfn.XLOOKUP(NewTrader!$V29,TabCalc[Ticker],TabCalc[L_Bn])</f>
        <v>2000</v>
      </c>
      <c r="Q29" s="1727">
        <f ca="1">_xlfn.XLOOKUP(NewTrader!$V29,TabCalc[Ticker],TabCalc[L_Bp])</f>
        <v>-5.0682999999999998</v>
      </c>
      <c r="R29" s="1634">
        <f ca="1">(NewTrader!$Y29+NewTrader!$Q29)/ABS(NewTrader!$Q29)</f>
        <v>0.70668666022137616</v>
      </c>
      <c r="S29" s="259">
        <f ca="1">INT(_xlfn.XLOOKUP(NewTrader!$V29,TabCalc[Ticker],TabCalc[Rev(MinStock)])*Comm_Net)</f>
        <v>34</v>
      </c>
      <c r="T29" s="1635">
        <f ca="1">_xlfn.XLOOKUP(NewTrader!$V29,TabCalc[Ticker],TabCalc[Agiotage])</f>
        <v>0.59192387880588593</v>
      </c>
      <c r="U29" s="1719"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0/0=&gt;-0.5% / -0.5%</v>
      </c>
      <c r="V29" s="1578" t="str">
        <f ca="1">SORTING!B29</f>
        <v>LUMN</v>
      </c>
      <c r="W29" s="1637">
        <f ca="1">_xlfn.XLOOKUP(NewTrader!$V29,TabCalc[Ticker],TabCalc[Y])</f>
        <v>7.2329999999999997</v>
      </c>
      <c r="X29" s="1639">
        <f ca="1">-_xlfn.XLOOKUP(NewTrader!$V29&amp;2,Consolid!B$3:JZ$3,Consolid!B$4:JZ$4)</f>
        <v>5.0814775799999996</v>
      </c>
      <c r="Y29" s="1639">
        <f ca="1">_xlfn.XLOOKUP(NewTrader!$V29,TabCalc[Ticker],TabCalc[M])</f>
        <v>8.65</v>
      </c>
      <c r="Z29" s="1640">
        <f ca="1">_xlfn.XLOOKUP(NewTrader!$V29,[1]!RTData[Ticker_Symbol],[1]!RTData[YTChange])</f>
        <v>-0.53335483870967737</v>
      </c>
      <c r="AA29" s="1640" cm="1">
        <f t="array" aca="1" ref="AA29" ca="1">_xlfn.XLOOKUP(NewTrader!$V29,ListTickers,Tab1ChangePercent[Change%19])</f>
        <v>-4.6029999999999995E-3</v>
      </c>
      <c r="AB29" s="1641">
        <f ca="1">_xlfn.XLOOKUP(NewTrader!$V29,TabCalc[Ticker],TabCalc[NAfter])</f>
        <v>10</v>
      </c>
      <c r="AC29" s="1641">
        <f ca="1">_xlfn.XLOOKUP(NewTrader!$V29,TabCalc[Ticker],TabCalc[Nbegin])</f>
        <v>2000</v>
      </c>
      <c r="AD29" s="1642" t="str">
        <f ca="1">_xlfn.LET(_xlpm.PILE,_xlfn.XLOOKUP(NewTrader!$V29,TabCalc[Ticker],TabCalc[Pile?]),                    _xlpm.GL,_xlfn.XLOOKUP(NewTrader!$V29,TabCalc[Ticker],TabCalc[GL]),                        _xlpm.GLK,_xlfn.XLOOKUP(NewTrader!$V29,TabCalc[Ticker],TabCalc[GL])/1000,                             _xlpm.MVal,_xlfn.XLOOKUP(NewTrader!$V29,TabCalc[Ticker],TabCalc[M_V])/1000,                   _xlpm.PILE&amp;" "&amp;IF(_xlpm.GL&lt;0,TEXT(_xlpm.GLK,"#,#0")&amp;"K /"&amp;TEXT(_xlpm.MVal,"#,#0")&amp;" K$","^"&amp;TEXT(_xlpm.GLK,"#,#0")&amp;"K / "&amp;TEXT(_xlpm.MVal,"#,#0")&amp;" K$"))</f>
        <v xml:space="preserve"> ^15K / 0 K$</v>
      </c>
      <c r="AE29" s="1643" t="str">
        <f ca="1">_xlfn.XLOOKUP(NewTrader!$V29,[1]!RTData[Ticker_Symbol],[1]!RTData[Currency])</f>
        <v>USD</v>
      </c>
      <c r="AF29" s="1721"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733" t="str" cm="1">
        <f t="array" aca="1" ref="AH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8.65 -   7.23</v>
      </c>
      <c r="AI2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29" s="1739" t="str" cm="1">
        <f t="array" aca="1" ref="AJ29" ca="1">_xlfn.IFS(Tab_NewTRADER[[#This Row],[State]]="Sell More",TEXT(MIN(Tab_NewTRADER[[#This Row],[N]],Tab_NewTRADER[[#This Row],[L_Bn]])*(Tab_NewTRADER[[#This Row],[M]]-Tab_NewTRADER[[#This Row],[L_Sp]])*Tab_NewTRADER[[#This Row],[Scale]]*ComFactor,"#,#0"), TRUE,"M= "&amp;TEXT(Tab_NewTRADER[[#This Row],[M]],"#,#0.00"))</f>
        <v>18</v>
      </c>
      <c r="AK29" s="1699" t="str" cm="1">
        <f t="array" aca="1" ref="AK29" ca="1">_xlfn.IFS(Tab_NewTRADER[[#This Row],[Y]]&gt;Tab_NewTRADER[[#This Row],[A]],                 TEXT(MIN(Tab_NewTRADER[[#This Row],[L_Bn]],Tab_NewTRADER[[#This Row],[N]])*(Tab_NewTRADER[[#This Row],[M]]-Tab_NewTRADER[[#This Row],[A]])*Tab_NewTRADER[[#This Row],[Scale]]*ComFactor,"#,#0"), TRUE,0)</f>
        <v>36</v>
      </c>
      <c r="AL29" s="1700" cm="1">
        <f t="array" aca="1" ref="AL29" ca="1">_xlfn.IFS(Tab_NewTRADER[[#This Row],[M]]&gt;Tab_NewTRADER[[#This Row],[A]],                  Tab_NewTRADER[[#This Row],[N]]*(Tab_NewTRADER[[#This Row],[M]]-Tab_NewTRADER[[#This Row],[A]])*Tab_NewTRADER[[#This Row],[Scale]]*ComFactor, TRUE,0)</f>
        <v>35.592442617080003</v>
      </c>
      <c r="AM29" s="1592" t="str">
        <f ca="1">_xlfn.XLOOKUP(Tab_NewTRADER[[#This Row],[Show]],TabCalc[Ticker],TabCalc[Max_Bn])&amp;" x "&amp;TEXT(_xlfn.XLOOKUP(Tab_NewTRADER[[#This Row],[Show]],TabCalc[Ticker],TabCalc[Max_Bp]),"#,#0.00")</f>
        <v>10 x 5.08</v>
      </c>
      <c r="AN29" s="1650" t="str">
        <f ca="1">NewTrader!$V29</f>
        <v>LUMN</v>
      </c>
      <c r="AO29" s="1651" t="str">
        <f ca="1">TEXT(_xlfn.XLOOKUP(Tab_NewTRADER[[#This Row],[ClickTick]],TabCalc[Ticker],TabCalc[NAfter]),"#,#0")&amp;"x"&amp;_xlfn.XLOOKUP(Tab_NewTRADER[[#This Row],[ClickTick]],TabCalc[Ticker],TabCalc[M])&amp;"           (A: "&amp;TEXT(-_xlfn.XLOOKUP(Tab_NewTRADER[[#This Row],[ClickTick]]&amp;2,Consolid!B$3:JZ$3,Consolid!B$4:JZ$4),"#,??0.00")&amp;")"</f>
        <v>10x8.65           (A:   5.08)</v>
      </c>
      <c r="AP29" s="1592" t="str">
        <f ca="1">_xlfn.XLOOKUP(Tab_NewTRADER[[#This Row],[Show]],TabCalc[Ticker],TabCalc[Min_Sn])&amp;" x "&amp;TEXT(_xlfn.XLOOKUP(Tab_NewTRADER[[#This Row],[Show]],TabCalc[Ticker],TabCalc[Min_Sp]),"#,#0.00")</f>
        <v>990 x 1.56</v>
      </c>
      <c r="AQ2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702" t="str" cm="1">
        <f t="array" aca="1" ref="AR29" ca="1">_xlfn.IFS(Tab_NewTRADER[[#This Row],[State]]="Reverse Buy",TEXT(-Tab_NewTRADER[[#This Row],[Buy_Back]],"#,#0")&amp;" / "&amp;TEXT(Tab_NewTRADER[[#This Row],[Rev_Buy]],"#,#0.0%"),TRUE,Tab_NewTRADER[[#This Row],[AMY]])</f>
        <v xml:space="preserve">   5.08 -   8.65 -   7.23</v>
      </c>
      <c r="AS29" s="1651"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99"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99" t="str" cm="1">
        <f t="array" aca="1" ref="AU29" ca="1">_xlfn.IFS(Tab_NewTRADER[[#This Row],[M]]&lt;Tab_NewTRADER[[#This Row],[A]],TEXT(Tab_NewTRADER[[#This Row],[N]]*Tab_NewTRADER[[#This Row],[M]]*Tab_NewTRADER[[#This Row],[Scale]]*Comm_Net,"#,#0")&amp;" @ "&amp;TEXT(Tab_NewTRADER[[#This Row],[M]],"#,#0.#0"),TRUE,"M: "&amp; Tab_NewTRADER[[#This Row],[M]])</f>
        <v>M: 8.65</v>
      </c>
      <c r="AV29" s="1722" cm="1">
        <f t="array" aca="1" ref="AV29" ca="1">-_xlfn.XLOOKUP(
    Tab_NewTRADER[[#This Row],[Show]] &amp; 2,
    TabConsolid[#Headers],
    INDEX(TabConsolid[], 1, 0)
)</f>
        <v>5.0814775799999996</v>
      </c>
      <c r="AW29" s="1710">
        <f ca="1">Tab_NewTRADER[[#This Row],[M]]*Tab_NewTRADER[[#This Row],[N]]*(1-Commission)*Tab_NewTRADER[[#This Row],[Scale]]</f>
        <v>86.275099999999995</v>
      </c>
      <c r="AX29" s="1705"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705"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706" t="str" cm="1">
        <f t="array" aca="1" ref="AZ29" ca="1">_xlfn.IFS(   Tab_NewTRADER[[#This Row],[State]]=SellMorePercentGain,                     MIN(Tab_NewTRADER[[#This Row],[L_Sn]],Tab_NewTRADER[[#This Row],[N]])*(Tab_NewTRADER[[#This Row],[M]]-Tab_NewTRADER[[#This Row],[L_Sp]])*(1-Commission)*Tab_NewTRADER[[#This Row],[Scale]],                    TRUE,"")</f>
        <v/>
      </c>
      <c r="BA29" s="1707">
        <f ca="1">_xlfn.XLOOKUP(NewTrader!$V29,TabCalc[Ticker],TabCalc[Ann%RevLB])</f>
        <v>0.80002263421287867</v>
      </c>
      <c r="BB29" s="1708">
        <f ca="1">_xlfn.XLOOKUP(NewTrader!$V29,TabCalc[Ticker],TabCalc[Up20])</f>
        <v>0</v>
      </c>
      <c r="BC29" s="1725"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706" t="str" cm="1">
        <f t="array" aca="1" ref="BD29" ca="1">_xlfn.IFS(         NewTrader!$AF29=MDown,NewTrader!$P29*NewTrader!$Y29*(-(NewTrader!$Q29+NewTrader!$Y29)/NewTrader!$Y29)*(1-Commission)*NewTrader!$A29,                               TRUE,"")</f>
        <v/>
      </c>
      <c r="BE29" s="1705" t="str" cm="1">
        <f t="array" aca="1" ref="BE29" ca="1">_xlfn.IFS(   NewTrader!$AF29=MUp,NewTrader!$BP29-Commission,        NewTrader!$AF29=MDown,(NewTrader!$X29-NewTrader!$Y29)/NewTrader!$Y29-Commission,                              TRUE,"")</f>
        <v/>
      </c>
      <c r="BF29" s="1706"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710" t="str" cm="1">
        <f t="array" aca="1" ref="BG29" ca="1">_xlfn.LET(_xlpm.SumChTxt,TEXT(_xlfn.XLOOKUP(NewTrader!$V29,ListTickers,Tab2SumChangePercent[AVGChan20]),"#0.0%"),
      _xlfn.IFS(NewTrader!$AF29=NoStock,_xlpm.SumChTxt,
      TRUE, IF(NewTrader!$AF29=SellMorePercentGain,             "SumChange "&amp;_xlpm.SumChTxt,                         "&lt;"&amp;INT(_xlfn.XLOOKUP(NewTrader!$V29,ListTickers,Tab2ReverseGL[Rev_GL19]))&amp;    "&lt;"&amp;INT(_xlfn.XLOOKUP(NewTrader!$V29,ListTickers,Tab2ReverseGL[Rev_GL18]))&amp;":      "&amp;_xlpm.SumChTxt)))</f>
        <v>&lt;0&lt;0:      2.1%</v>
      </c>
      <c r="BH29" s="1711"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10x3.56</v>
      </c>
      <c r="BI29" s="1712" cm="1">
        <f t="array" aca="1" ref="BI29" ca="1">_xlfn.IFS(NewTrader!$AF29=Sale_Back,"",         NewTrader!$AF29=MDown, (NewTrader!$Y29-NewTrader!$X29)/NewTrader!$X29*ComFactor,             TRUE, IFERROR((NewTrader!$Y29-NewTrader!$X29)/NewTrader!$X29*ComFactor,""))</f>
        <v>0.70043490415400012</v>
      </c>
      <c r="BJ29" s="1664" cm="1">
        <f t="array" aca="1" ref="BJ29" ca="1">_xlfn.IFS(               NewTrader!$AF29=NoStock,(NewTrader!$BL29-NewTrader!$Y29)/NewTrader!$Y29-Commission,             NewTrader!$X29&lt;&gt;0,(NewTrader!$X29-NewTrader!$Y29)/NewTrader!$Y29-Commission)</f>
        <v>-0.41514594450867059</v>
      </c>
      <c r="BK29" s="1726">
        <f ca="1">_xlfn.XLOOKUP(NewTrader!$V29,TabCalc[Ticker],TabCalc[L_Sn])</f>
        <v>990</v>
      </c>
      <c r="BL29" s="1727">
        <f ca="1">_xlfn.XLOOKUP(NewTrader!$V29,TabCalc[Ticker],TabCalc[L_Sp])</f>
        <v>6.8</v>
      </c>
      <c r="BM29" s="1634">
        <f ca="1">-IFERROR((Tab_NewTRADER[[#This Row],[M]]-Tab_NewTRADER[[#This Row],[L_Sp]])/Tab_NewTRADER[[#This Row],[L_Sp]],0)</f>
        <v>-0.27205882352941185</v>
      </c>
      <c r="BN29" s="1728">
        <f ca="1">MIN(Tab_NewTRADER[[#This Row],[L_Sn]],Tab_NewTRADER[[#This Row],[N]])*(Tab_NewTRADER[[#This Row],[M]]-Tab_NewTRADER[[#This Row],[L_Sp]])*Comm_Net*Tab_NewTRADER[[#This Row],[Scale]]</f>
        <v>18.450050000000008</v>
      </c>
      <c r="BO29" s="1715">
        <f ca="1">Tab_NewTRADER[[#This Row],[L_Sn]]*(Tab_NewTRADER[[#This Row],[Agiotage]]-Tab_NewTRADER[[#This Row],[M]])/(Tab_NewTRADER[[#This Row],[L_Bn]]*Tab_NewTRADER[[#This Row],[M]])</f>
        <v>-0.46112689942093482</v>
      </c>
      <c r="BP29" s="1670">
        <f ca="1">IFERROR((Tab_NewTRADER[[#This Row],[M]]-Tab_NewTRADER[[#This Row],[A]])/Tab_NewTRADER[[#This Row],[A]],0)</f>
        <v>0.70226078218768817</v>
      </c>
      <c r="BQ29" s="1671" t="str">
        <f ca="1">TEXT(_xlfn.XLOOKUP(Tab_NewTRADER[[#This Row],[ClickTick]],TabCalc[Ticker],TabCalc[NAfter]),"#,#0")&amp;" : "&amp;TEXT(_xlfn.XLOOKUP(Tab_NewTRADER[[#This Row],[ClickTick]],TabCalc[Ticker],TabCalc[NAfter])*(Tab_NewTRADER[[#This Row],[M]]-Tab_NewTRADER[[#This Row],[A]])*(1-Commission)*Tab_NewTRADER[[#This Row],[Scale]],"#,#0$")</f>
        <v>10 : 36$</v>
      </c>
      <c r="BR29" s="259">
        <f ca="1">_xlfn.XLOOKUP(NewTrader!$V29,TabCalc[[#This Row],[Ticker]],TabCalc[[#This Row],[GL]])*(1-Commission)</f>
        <v>14776.619137137201</v>
      </c>
      <c r="BS29" s="259"/>
      <c r="BT29" s="1672" t="str">
        <f ca="1">Tab_NewTRADER[[#This Row],[Show]]&amp;": "&amp;_xlfn.XLOOKUP(Tab_NewTRADER[[#This Row],[Show]],TabCalc[Ticker],TabCalc[Pile?])</f>
        <v xml:space="preserve">LUMN: </v>
      </c>
      <c r="BU29" s="1717" t="s">
        <v>2048</v>
      </c>
      <c r="BV29" s="1674" t="str" cm="1">
        <f t="array" aca="1" ref="BV29" ca="1">_xlfn.TEXTJOIN("",,INDEX({"M","A","Y"}, _xlfn.SORTBY({1,2,3}, -CHOOSE({1,2,3}, Tab_NewTRADER[[#This Row],[M]], Tab_NewTRADER[[#This Row],[A]], Tab_NewTRADER[[#This Row],[Y]]))))</f>
        <v>MYA</v>
      </c>
      <c r="BW29" s="1675"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76">
        <f ca="1">Tab_NewTRADER[[#This Row],[L_Sn]]*Tab_NewTRADER[[#This Row],[L_Sp]]+Tab_NewTRADER[[#This Row],[SellMore]]*Tab_NewTRADER[[#This Row],[M]]</f>
        <v>6818.5</v>
      </c>
      <c r="BY29" s="1676">
        <f ca="1">INDEX(
  INDEX(TabConsolid[], , _xlfn.XMATCH(Tab_NewTRADER[[#This Row],[ClickTick]]&amp;1, TabConsolid[#Headers])),
  MATCH(
    -Tab_NewTRADER[[#This Row],[M]],
    INDEX(TabConsolid[], , _xlfn.XMATCH(Tab_NewTRADER[[#This Row],[ClickTick]]&amp;2, TabConsolid[#Headers])),
    -1
  )
)</f>
        <v>10</v>
      </c>
      <c r="BZ29" s="1676"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77">
        <f ca="1">Tab_NewTRADER[[#This Row],[ReBuy]]/(Tab_NewTRADER[[#This Row],[L_Sn]]+Tab_NewTRADER[[#This Row],[SellMore]])</f>
        <v>6.8185000000000002</v>
      </c>
      <c r="CB29" s="1678">
        <f ca="1">((_xlfn.XLOOKUP(Tab_NewTRADER[[#This Row],[Show]],TabCalc[Ticker],TabCalc[NAfter])+Tab_NewTRADER[[#This Row],[L_Sn]])*(Tab_NewTRADER[[#This Row],[Agiotage]]-Tab_NewTRADER[[#This Row],[M]]))/(Tab_NewTRADER[[#This Row],[L_Sn]]*_xlfn.XLOOKUP(Tab_NewTRADER[[#This Row],[Show]],TabCalc[Ticker],TabCalc[NAfter]))</f>
        <v>-0.81394708294890039</v>
      </c>
      <c r="CC29" s="1677">
        <f ca="1">INDEX(Tab1Price[Price19], MATCH(Tab_NewTRADER[[#This Row],[Show]], Tab_NewTRADER[Show], 0))</f>
        <v>8.65</v>
      </c>
      <c r="CD29" s="1679">
        <f ca="1">_xlfn.XMATCH(Tab_NewTRADER[[#This Row],[Show]]&amp;1, TabConsolid[#Headers])</f>
        <v>80</v>
      </c>
      <c r="CE29" s="1678"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729" t="str" cm="1">
        <f t="array" aca="1" ref="CF29" ca="1">_xlfn.LET(
    _xlpm.FMT, _xlfn.LAMBDA(_xlpm.n, REPT(" ", 7 - LEN(TEXT(_xlpm.n,"0.00"))) &amp; TEXT(_xlpm.n,"0.00")),
    _xlpm.FMT(Tab_NewTRADER[[#This Row],[A]]) &amp; " -" &amp; _xlpm.FMT(Tab_NewTRADER[[#This Row],[M]]) &amp; " -" &amp; _xlpm.FMT(Tab_NewTRADER[[#This Row],[Y]])
)</f>
        <v xml:space="preserve">   5.08 -   8.65 -   7.23</v>
      </c>
      <c r="CG29" s="1730" t="str" cm="1">
        <f t="array" aca="1" ref="CG29" ca="1">_xlfn.LET(
    _xlpm.W, 7,
    _xlpm.FMT, _xlfn.LAMBDA(_xlpm.n, REPT(" ", _xlpm.W - LEN(TEXT(_xlpm.n,"0.00"))) &amp; TEXT(_xlpm.n,"0.00")),
    _xlpm.FMT(Tab_NewTRADER[[#This Row],[A]]) &amp; " * " &amp; _xlpm.FMT(Tab_NewTRADER[[#This Row],[M]]) &amp; " * " &amp; _xlpm.FMT(Tab_NewTRADER[[#This Row],[Y]])
)</f>
        <v xml:space="preserve">   5.08 *    8.65 *    7.23</v>
      </c>
      <c r="CH29" s="1842">
        <f>0</f>
        <v>0</v>
      </c>
      <c r="CI29" t="b">
        <f ca="1">IF(ABS(NewTrader!$Q29)&gt;=NewTrader!$Y29,"OK")</f>
        <v>0</v>
      </c>
    </row>
    <row r="30" spans="1:87" hidden="1">
      <c r="A30" s="1839">
        <f ca="1">IF(_xlfn.XLOOKUP(NewTrader!$V30,TabCalc[Ticker],TabCalc[Cur])="GBp",0.01,1)</f>
        <v>1</v>
      </c>
      <c r="B30" s="1681" t="str">
        <f ca="1">IFERROR(TRUNC(_xlfn.XLOOKUP(NewTrader!$V30,TabCalc[Ticker],ListLastBuyp),2)&amp;"x"&amp;_xlfn.XLOOKUP(NewTrader!$V30,TabCalc[Ticker],ListLastBuyn)&amp;"=    "&amp;IF(_xlfn.XLOOKUP(NewTrader!$V30,TabCalc[Ticker],ListReverseS)&gt;0,"+","")&amp;TEXT(_xlfn.XLOOKUP(NewTrader!$V30,TabCalc[Ticker],ListReverseS),"#,#0")&amp;" "&amp;#REF!,"")</f>
        <v/>
      </c>
      <c r="C30" s="1682" t="str">
        <f ca="1">_xlfn.XLOOKUP(NewTrader!$V30,TabCalc[Ticker],ListResale)&amp;" @ "&amp;TEXT((_xlfn.XLOOKUP(NewTrader!$V30,TabCalc[Ticker],TabCalc[L_Bp])+_xlfn.XLOOKUP(NewTrader!$V30,TabCalc[Ticker],TabCalc[M]))/_xlfn.XLOOKUP(NewTrader!$V30,TabCalc[Ticker],TabCalc[M]),"#0.0%")</f>
        <v>B_more @ -39.6%</v>
      </c>
      <c r="D30" s="1683"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84" t="str">
        <f ca="1">IF(      AND(NewTrader!$X30&lt;NewTrader!$Y30,    _xlfn.XLOOKUP(NewTrader!$V30,TabCalc[Ticker],TabCalc[L_Sp])&gt;NewTrader!$Y30),"BUY  "&amp;TEXT(DesiredBuyGain/NewTrader!$A30/(_xlfn.XLOOKUP(NewTrader!$V30,TabCalc[Ticker],TabCalc[L_Sp])-NewTrader!$Y30),"#,##0"),"")</f>
        <v/>
      </c>
      <c r="F30" s="1681" t="str">
        <f ca="1">TRUNC(TabCalc[[#This Row],[L_B1p]],2)&amp;"x"&amp;TabCalc[[#This Row],[L_B1n]]&amp;"=   "&amp;TEXT(TabCalc[[#This Row],[ReverseS1]],"#,#0")&amp;"$"</f>
        <v>-47.13x1000=   -17,500$</v>
      </c>
      <c r="G30" s="1685" t="str">
        <f ca="1">IFERROR(TRUNC(_xlfn.XLOOKUP(NewTrader!$V30,TabCalc[Ticker],ListLastSalep),2)&amp;"x"&amp;_xlfn.XLOOKUP(NewTrader!$V30,TabCalc[Ticker],ListLastSalen)&amp;"=   "&amp;TEXT(-_xlfn.XLOOKUP(NewTrader!$V30,TabCalc[Ticker],ListReverseB),"#,#0")&amp;"$","")</f>
        <v>88.24x1500=   -87,915$</v>
      </c>
      <c r="H30" s="1686"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197.8% = 85</v>
      </c>
      <c r="I30" s="1681" t="str">
        <f ca="1">IFERROR(TRUNC(TabCalc[[#This Row],[L_S1p]],2)&amp;"x"&amp;TabCalc[[#This Row],[L_S1n]]&amp;"=   "&amp;TEXT(TabCalc[[#This Row],[ReverseB1]],"#,#0"),"")</f>
        <v>125.31x2800=   267,904</v>
      </c>
      <c r="J30" s="1687">
        <f ca="1">_xlfn.XLOOKUP(NewTrader!$V30,TabCalc[Ticker],ListGravity)</f>
        <v>1.207484981437732</v>
      </c>
      <c r="K30" s="1688" cm="1">
        <f t="array" aca="1" ref="K30" ca="1">IF(_xlfn.XLOOKUP(NewTrader!$V30,NewTrader!$V$3:$V$96,ListExtra_n)&gt;0,_xlfn.XLOOKUP(NewTrader!$V30,NewTrader!$V$3:$V$96,ListExtra_n),"")</f>
        <v>11800</v>
      </c>
      <c r="L30" s="1689">
        <f ca="1">IF(_xlfn.XLOOKUP(NewTrader!$V30,TabCalc[Ticker],ListExtra_n)&gt;0,_xlfn.XLOOKUP(NewTrader!$V30,TabCalc[Ticker],ListExtra_n)*NewTrader!$Y30*_xlfn.XLOOKUP(NewTrader!$V30,TabCalc[Ticker],ListScale),"")</f>
        <v>349634</v>
      </c>
      <c r="M30" s="1690">
        <f ca="1">_xlfn.XLOOKUP(NewTrader!$V30,TabCalc[Ticker],TabCalc[Agiotage])</f>
        <v>0.78849697446149747</v>
      </c>
      <c r="N30" s="1691" cm="1">
        <f t="array" aca="1" ref="N30" ca="1">_xlfn.XLOOKUP(NewTrader!$V30,ListTickers,Tab2RSIConventional[RSIConv20])</f>
        <v>43</v>
      </c>
      <c r="O30" s="1631" t="str">
        <f ca="1">TEXT(_xlfn.XLOOKUP(NewTrader!$V30,TabCalc[Ticker],TabCalc[Nbegin]),"#,#0")&amp;": "&amp;_xlfn.XLOOKUP(NewTrader!$V30,TabCalc[Ticker],TabCalc[Pile?])</f>
        <v>200: Pile</v>
      </c>
      <c r="P30" s="1691">
        <f ca="1">_xlfn.XLOOKUP(NewTrader!$V30,TabCalc[Ticker],TabCalc[L_Bn])</f>
        <v>3000</v>
      </c>
      <c r="Q30" s="1731">
        <f ca="1">_xlfn.XLOOKUP(NewTrader!$V30,TabCalc[Ticker],TabCalc[L_Bp])</f>
        <v>-41.35</v>
      </c>
      <c r="R30" s="1694">
        <f ca="1">(NewTrader!$Y30+NewTrader!$Q30)/ABS(NewTrader!$Q30)</f>
        <v>-0.28343409915356715</v>
      </c>
      <c r="S30" s="262">
        <f ca="1">INT(_xlfn.XLOOKUP(NewTrader!$V30,TabCalc[Ticker],TabCalc[Rev(MinStock)])*Comm_Net)</f>
        <v>-34972</v>
      </c>
      <c r="T30" s="1635">
        <f ca="1">_xlfn.XLOOKUP(NewTrader!$V30,TabCalc[Ticker],TabCalc[Agiotage])</f>
        <v>0.78849697446149747</v>
      </c>
      <c r="U30" s="1695"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7,560/7,560=&gt;2.1% / 2.1%</v>
      </c>
      <c r="V30" s="1578" t="str">
        <f ca="1">SORTING!B30</f>
        <v>MRNA</v>
      </c>
      <c r="W30" s="1637">
        <f ca="1">_xlfn.XLOOKUP(NewTrader!$V30,TabCalc[Ticker],TabCalc[Y])</f>
        <v>35.77778</v>
      </c>
      <c r="X30" s="1639">
        <f ca="1">-_xlfn.XLOOKUP(NewTrader!$V30&amp;2,Consolid!B$3:JZ$3,Consolid!B$4:JZ$4)</f>
        <v>71.831614541999997</v>
      </c>
      <c r="Y30" s="1639">
        <f ca="1">_xlfn.XLOOKUP(NewTrader!$V30,TabCalc[Ticker],TabCalc[M])</f>
        <v>29.63</v>
      </c>
      <c r="Z30" s="1640">
        <f ca="1">_xlfn.XLOOKUP(NewTrader!$V30,[1]!RTData[Ticker_Symbol],[1]!RTData[YTChange])</f>
        <v>6.7441082251082252</v>
      </c>
      <c r="AA30" s="1640" cm="1">
        <f t="array" aca="1" ref="AA30" ca="1">_xlfn.XLOOKUP(NewTrader!$V30,ListTickers,Tab1ChangePercent[Change%19])</f>
        <v>2.0668000000000002E-2</v>
      </c>
      <c r="AB30" s="1641">
        <f ca="1">_xlfn.XLOOKUP(NewTrader!$V30,TabCalc[Ticker],TabCalc[NAfter])</f>
        <v>12000</v>
      </c>
      <c r="AC30" s="1641">
        <f ca="1">_xlfn.XLOOKUP(NewTrader!$V30,TabCalc[Ticker],TabCalc[Nbegin])</f>
        <v>200</v>
      </c>
      <c r="AD30" s="1642" t="str">
        <f ca="1">_xlfn.LET(_xlpm.PILE,_xlfn.XLOOKUP(NewTrader!$V30,TabCalc[Ticker],TabCalc[Pile?]),                    _xlpm.GL,_xlfn.XLOOKUP(NewTrader!$V30,TabCalc[Ticker],TabCalc[GL]),                        _xlpm.GLK,_xlfn.XLOOKUP(NewTrader!$V30,TabCalc[Ticker],TabCalc[GL])/1000,                             _xlpm.MVal,_xlfn.XLOOKUP(NewTrader!$V30,TabCalc[Ticker],TabCalc[M_V])/1000,                   _xlpm.PILE&amp;" "&amp;IF(_xlpm.GL&lt;0,TEXT(_xlpm.GLK,"#,#0")&amp;"K /"&amp;TEXT(_xlpm.MVal,"#,#0")&amp;" K$","^"&amp;TEXT(_xlpm.GLK,"#,#0")&amp;"K / "&amp;TEXT(_xlpm.MVal,"#,#0")&amp;" K$"))</f>
        <v>Pile -462K /355 K$</v>
      </c>
      <c r="AE30" s="1643" t="str">
        <f ca="1">_xlfn.XLOOKUP(NewTrader!$V30,[1]!RTData[Ticker_Symbol],[1]!RTData[Currency])</f>
        <v>USD</v>
      </c>
      <c r="AF30" s="1696"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646" t="str" cm="1">
        <f t="array" aca="1" ref="AH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29.63 -  35.78</v>
      </c>
      <c r="AI3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30" s="1651" t="str" cm="1">
        <f t="array" aca="1" ref="AJ30" ca="1">_xlfn.IFS(Tab_NewTRADER[[#This Row],[State]]="Sell More",TEXT(MIN(Tab_NewTRADER[[#This Row],[N]],Tab_NewTRADER[[#This Row],[L_Bn]])*(Tab_NewTRADER[[#This Row],[M]]-Tab_NewTRADER[[#This Row],[L_Sp]])*Tab_NewTRADER[[#This Row],[Scale]]*ComFactor,"#,#0"), TRUE,"M= "&amp;TEXT(Tab_NewTRADER[[#This Row],[M]],"#,#0.00"))</f>
        <v>M= 29.63</v>
      </c>
      <c r="AK30" s="1699" cm="1">
        <f t="array" aca="1" ref="AK30" ca="1">_xlfn.IFS(Tab_NewTRADER[[#This Row],[Y]]&gt;Tab_NewTRADER[[#This Row],[A]],                 TEXT(MIN(Tab_NewTRADER[[#This Row],[L_Bn]],Tab_NewTRADER[[#This Row],[N]])*(Tab_NewTRADER[[#This Row],[M]]-Tab_NewTRADER[[#This Row],[A]])*Tab_NewTRADER[[#This Row],[Scale]]*ComFactor,"#,#0"), TRUE,0)</f>
        <v>0</v>
      </c>
      <c r="AL30" s="1700" cm="1">
        <f t="array" aca="1" ref="AL30" ca="1">_xlfn.IFS(Tab_NewTRADER[[#This Row],[M]]&gt;Tab_NewTRADER[[#This Row],[A]],                  Tab_NewTRADER[[#This Row],[N]]*(Tab_NewTRADER[[#This Row],[M]]-Tab_NewTRADER[[#This Row],[A]])*Tab_NewTRADER[[#This Row],[Scale]]*ComFactor, TRUE,0)</f>
        <v>0</v>
      </c>
      <c r="AM30" s="1592" t="str">
        <f ca="1">_xlfn.XLOOKUP(Tab_NewTRADER[[#This Row],[Show]],TabCalc[Ticker],TabCalc[Max_Bn])&amp;" x "&amp;TEXT(_xlfn.XLOOKUP(Tab_NewTRADER[[#This Row],[Show]],TabCalc[Ticker],TabCalc[Max_Bp]),"#,#0.00")</f>
        <v>200 x 124.14</v>
      </c>
      <c r="AN30" s="1650" t="str">
        <f ca="1">NewTrader!$V30</f>
        <v>MRNA</v>
      </c>
      <c r="AO30" s="1651" t="str">
        <f ca="1">TEXT(_xlfn.XLOOKUP(Tab_NewTRADER[[#This Row],[ClickTick]],TabCalc[Ticker],TabCalc[NAfter]),"#,#0")&amp;"x"&amp;_xlfn.XLOOKUP(Tab_NewTRADER[[#This Row],[ClickTick]],TabCalc[Ticker],TabCalc[M])&amp;"           (A: "&amp;TEXT(-_xlfn.XLOOKUP(Tab_NewTRADER[[#This Row],[ClickTick]]&amp;2,Consolid!B$3:JZ$3,Consolid!B$4:JZ$4),"#,??0.00")&amp;")"</f>
        <v>12,000x29.63           (A:  71.83)</v>
      </c>
      <c r="AP30" s="1592" t="str">
        <f ca="1">_xlfn.XLOOKUP(Tab_NewTRADER[[#This Row],[Show]],TabCalc[Ticker],TabCalc[Min_Sn])&amp;" x "&amp;TEXT(_xlfn.XLOOKUP(Tab_NewTRADER[[#This Row],[Show]],TabCalc[Ticker],TabCalc[Min_Sp]),"#,#0.00")</f>
        <v>500 x 88.24</v>
      </c>
      <c r="AQ3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702" t="str" cm="1">
        <f t="array" aca="1" ref="AR30" ca="1">_xlfn.IFS(Tab_NewTRADER[[#This Row],[State]]="Reverse Buy",TEXT(-Tab_NewTRADER[[#This Row],[Buy_Back]],"#,#0")&amp;" / "&amp;TEXT(Tab_NewTRADER[[#This Row],[Rev_Buy]],"#,#0.0%"),TRUE,Tab_NewTRADER[[#This Row],[AMY]])</f>
        <v xml:space="preserve">  71.83 -  29.63 -  35.78</v>
      </c>
      <c r="AS30" s="1651"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140,274       / 39.6%</v>
      </c>
      <c r="AT30" s="1699"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-505,103   / -142.4%</v>
      </c>
      <c r="AU30" s="1699" t="str" cm="1">
        <f t="array" aca="1" ref="AU30" ca="1">_xlfn.IFS(Tab_NewTRADER[[#This Row],[M]]&lt;Tab_NewTRADER[[#This Row],[A]],TEXT(Tab_NewTRADER[[#This Row],[N]]*Tab_NewTRADER[[#This Row],[M]]*Tab_NewTRADER[[#This Row],[Scale]]*Comm_Net,"#,#0")&amp;" @ "&amp;TEXT(Tab_NewTRADER[[#This Row],[M]],"#,#0.#0"),TRUE,"M: "&amp; Tab_NewTRADER[[#This Row],[M]])</f>
        <v>354,600 @ 29.63</v>
      </c>
      <c r="AV30" s="1703" cm="1">
        <f t="array" aca="1" ref="AV30" ca="1">-_xlfn.XLOOKUP(
    Tab_NewTRADER[[#This Row],[Show]] &amp; 2,
    TabConsolid[#Headers],
    INDEX(TabConsolid[], 1, 0)
)</f>
        <v>71.831614541999997</v>
      </c>
      <c r="AW30" s="1704">
        <f ca="1">Tab_NewTRADER[[#This Row],[M]]*Tab_NewTRADER[[#This Row],[N]]*(1-Commission)*Tab_NewTRADER[[#This Row],[Scale]]</f>
        <v>354635.54399999999</v>
      </c>
      <c r="AX30" s="1705"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705"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706" t="str" cm="1">
        <f t="array" aca="1" ref="AZ30" ca="1">_xlfn.IFS(   Tab_NewTRADER[[#This Row],[State]]=SellMorePercentGain,                     MIN(Tab_NewTRADER[[#This Row],[L_Sn]],Tab_NewTRADER[[#This Row],[N]])*(Tab_NewTRADER[[#This Row],[M]]-Tab_NewTRADER[[#This Row],[L_Sp]])*(1-Commission)*Tab_NewTRADER[[#This Row],[Scale]],                    TRUE,"")</f>
        <v/>
      </c>
      <c r="BA30" s="1723">
        <f ca="1">_xlfn.XLOOKUP(NewTrader!$V30,TabCalc[Ticker],TabCalc[Ann%RevLB])</f>
        <v>-0.3228996066306461</v>
      </c>
      <c r="BB30" s="1724">
        <f ca="1">_xlfn.XLOOKUP(NewTrader!$V30,TabCalc[Ticker],TabCalc[Up20])</f>
        <v>0</v>
      </c>
      <c r="BC30" s="1747"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706" t="str" cm="1">
        <f t="array" aca="1" ref="BD30" ca="1">_xlfn.IFS(         NewTrader!$AF30=MDown,NewTrader!$P30*NewTrader!$Y30*(-(NewTrader!$Q30+NewTrader!$Y30)/NewTrader!$Y30)*(1-Commission)*NewTrader!$A30,                               TRUE,"")</f>
        <v/>
      </c>
      <c r="BE30" s="1705" t="str" cm="1">
        <f t="array" aca="1" ref="BE30" ca="1">_xlfn.IFS(   NewTrader!$AF30=MUp,NewTrader!$BP30-Commission,        NewTrader!$AF30=MDown,(NewTrader!$X30-NewTrader!$Y30)/NewTrader!$Y30-Commission,                              TRUE,"")</f>
        <v/>
      </c>
      <c r="BF30" s="1706"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710" t="str" cm="1">
        <f t="array" aca="1" ref="BG30" ca="1">_xlfn.LET(_xlpm.SumChTxt,TEXT(_xlfn.XLOOKUP(NewTrader!$V30,ListTickers,Tab2SumChangePercent[AVGChan20]),"#0.0%"),
      _xlfn.IFS(NewTrader!$AF30=NoStock,_xlpm.SumChTxt,
      TRUE, IF(NewTrader!$AF30=SellMorePercentGain,             "SumChange "&amp;_xlpm.SumChTxt,                         "&lt;"&amp;INT(_xlfn.XLOOKUP(NewTrader!$V30,ListTickers,Tab2ReverseGL[Rev_GL19]))&amp;    "&lt;"&amp;INT(_xlfn.XLOOKUP(NewTrader!$V30,ListTickers,Tab2ReverseGL[Rev_GL18]))&amp;":      "&amp;_xlpm.SumChTxt)))</f>
        <v>&lt;-1&lt;-1:      -0.2%</v>
      </c>
      <c r="BH30" s="1711"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-11.72</v>
      </c>
      <c r="BI30" s="1712" cm="1">
        <f t="array" aca="1" ref="BI30" ca="1">_xlfn.IFS(NewTrader!$AF30=Sale_Back,"",         NewTrader!$AF30=MDown, (NewTrader!$Y30-NewTrader!$X30)/NewTrader!$X30*ComFactor,             TRUE, IFERROR((NewTrader!$Y30-NewTrader!$X30)/NewTrader!$X30*ComFactor,""))</f>
        <v>-0.58598001190102222</v>
      </c>
      <c r="BJ30" s="1664" cm="1">
        <f t="array" aca="1" ref="BJ30" ca="1">_xlfn.IFS(               NewTrader!$AF30=NoStock,(NewTrader!$BL30-NewTrader!$Y30)/NewTrader!$Y30-Commission,             NewTrader!$X30&lt;&gt;0,(NewTrader!$X30-NewTrader!$Y30)/NewTrader!$Y30-Commission)</f>
        <v>1.42168668720891</v>
      </c>
      <c r="BK30" s="1713">
        <f ca="1">_xlfn.XLOOKUP(NewTrader!$V30,TabCalc[Ticker],TabCalc[L_Sn])</f>
        <v>1500</v>
      </c>
      <c r="BL30" s="1693">
        <f ca="1">_xlfn.XLOOKUP(NewTrader!$V30,TabCalc[Ticker],TabCalc[L_Sp])</f>
        <v>88.24</v>
      </c>
      <c r="BM30" s="1694">
        <f ca="1">-IFERROR((Tab_NewTRADER[[#This Row],[M]]-Tab_NewTRADER[[#This Row],[L_Sp]])/Tab_NewTRADER[[#This Row],[L_Sp]],0)</f>
        <v>0.66421124206708981</v>
      </c>
      <c r="BN30" s="1714">
        <f ca="1">MIN(Tab_NewTRADER[[#This Row],[L_Sn]],Tab_NewTRADER[[#This Row],[N]])*(Tab_NewTRADER[[#This Row],[M]]-Tab_NewTRADER[[#This Row],[L_Sp]])*Comm_Net*Tab_NewTRADER[[#This Row],[Scale]]</f>
        <v>-87677.629499999995</v>
      </c>
      <c r="BO30" s="1715">
        <f ca="1">Tab_NewTRADER[[#This Row],[L_Sn]]*(Tab_NewTRADER[[#This Row],[Agiotage]]-Tab_NewTRADER[[#This Row],[M]])/(Tab_NewTRADER[[#This Row],[L_Bn]]*Tab_NewTRADER[[#This Row],[M]])</f>
        <v>-0.48669427987746372</v>
      </c>
      <c r="BP30" s="1716">
        <f ca="1">IFERROR((Tab_NewTRADER[[#This Row],[M]]-Tab_NewTRADER[[#This Row],[A]])/Tab_NewTRADER[[#This Row],[A]],0)</f>
        <v>-0.58750753148287771</v>
      </c>
      <c r="BQ30" s="1671" t="str">
        <f ca="1">TEXT(_xlfn.XLOOKUP(Tab_NewTRADER[[#This Row],[ClickTick]],TabCalc[Ticker],TabCalc[NAfter]),"#,#0")&amp;" : "&amp;TEXT(_xlfn.XLOOKUP(Tab_NewTRADER[[#This Row],[ClickTick]],TabCalc[Ticker],TabCalc[NAfter])*(Tab_NewTRADER[[#This Row],[M]]-Tab_NewTRADER[[#This Row],[A]])*(1-Commission)*Tab_NewTRADER[[#This Row],[Scale]],"#,#0$")</f>
        <v>12,000 : -505,103$</v>
      </c>
      <c r="BR30" s="262">
        <f ca="1">_xlfn.XLOOKUP(NewTrader!$V30,TabCalc[[#This Row],[Ticker]],TabCalc[[#This Row],[GL]])*(1-Commission)</f>
        <v>-460438.00759636384</v>
      </c>
      <c r="BS30" s="262"/>
      <c r="BT30" s="1672" t="str">
        <f ca="1">Tab_NewTRADER[[#This Row],[Show]]&amp;": "&amp;_xlfn.XLOOKUP(Tab_NewTRADER[[#This Row],[Show]],TabCalc[Ticker],TabCalc[Pile?])</f>
        <v>MRNA: Pile</v>
      </c>
      <c r="BU30" s="1717" t="s">
        <v>1954</v>
      </c>
      <c r="BV30" s="1674" t="str" cm="1">
        <f t="array" aca="1" ref="BV30" ca="1">_xlfn.TEXTJOIN("",,INDEX({"M","A","Y"}, _xlfn.SORTBY({1,2,3}, -CHOOSE({1,2,3}, Tab_NewTRADER[[#This Row],[M]], Tab_NewTRADER[[#This Row],[A]], Tab_NewTRADER[[#This Row],[Y]]))))</f>
        <v>AYM</v>
      </c>
      <c r="BW30" s="1675"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76" t="e">
        <f ca="1">Tab_NewTRADER[[#This Row],[L_Sn]]*Tab_NewTRADER[[#This Row],[L_Sp]]+Tab_NewTRADER[[#This Row],[SellMore]]*Tab_NewTRADER[[#This Row],[M]]</f>
        <v>#N/A</v>
      </c>
      <c r="BY30" s="1676" t="e">
        <f ca="1">INDEX(
  INDEX(TabConsolid[], , _xlfn.XMATCH(Tab_NewTRADER[[#This Row],[ClickTick]]&amp;1, TabConsolid[#Headers])),
  MATCH(
    -Tab_NewTRADER[[#This Row],[M]],
    INDEX(TabConsolid[], , _xlfn.XMATCH(Tab_NewTRADER[[#This Row],[ClickTick]]&amp;2, TabConsolid[#Headers])),
    -1
  )
)</f>
        <v>#N/A</v>
      </c>
      <c r="BZ30" s="1676"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77" t="e">
        <f ca="1">Tab_NewTRADER[[#This Row],[ReBuy]]/(Tab_NewTRADER[[#This Row],[L_Sn]]+Tab_NewTRADER[[#This Row],[SellMore]])</f>
        <v>#N/A</v>
      </c>
      <c r="CB30" s="1678">
        <f ca="1">((_xlfn.XLOOKUP(Tab_NewTRADER[[#This Row],[Show]],TabCalc[Ticker],TabCalc[NAfter])+Tab_NewTRADER[[#This Row],[L_Sn]])*(Tab_NewTRADER[[#This Row],[Agiotage]]-Tab_NewTRADER[[#This Row],[M]]))/(Tab_NewTRADER[[#This Row],[L_Sn]]*_xlfn.XLOOKUP(Tab_NewTRADER[[#This Row],[Show]],TabCalc[Ticker],TabCalc[NAfter]))</f>
        <v>-2.1631127269153873E-2</v>
      </c>
      <c r="CC30" s="1677">
        <f ca="1">INDEX(Tab1Price[Price19], MATCH(Tab_NewTRADER[[#This Row],[Show]], Tab_NewTRADER[Show], 0))</f>
        <v>29.63</v>
      </c>
      <c r="CD30" s="1679">
        <f ca="1">_xlfn.XMATCH(Tab_NewTRADER[[#This Row],[Show]]&amp;1, TabConsolid[#Headers])</f>
        <v>83</v>
      </c>
      <c r="CE30" s="1678"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729" t="str" cm="1">
        <f t="array" aca="1" ref="CF30" ca="1">_xlfn.LET(
    _xlpm.FMT, _xlfn.LAMBDA(_xlpm.n, REPT(" ", 7 - LEN(TEXT(_xlpm.n,"0.00"))) &amp; TEXT(_xlpm.n,"0.00")),
    _xlpm.FMT(Tab_NewTRADER[[#This Row],[A]]) &amp; " -" &amp; _xlpm.FMT(Tab_NewTRADER[[#This Row],[M]]) &amp; " -" &amp; _xlpm.FMT(Tab_NewTRADER[[#This Row],[Y]])
)</f>
        <v xml:space="preserve">  71.83 -  29.63 -  35.78</v>
      </c>
      <c r="CG30" s="1730" t="str" cm="1">
        <f t="array" aca="1" ref="CG30" ca="1">_xlfn.LET(
    _xlpm.W, 7,
    _xlpm.FMT, _xlfn.LAMBDA(_xlpm.n, REPT(" ", _xlpm.W - LEN(TEXT(_xlpm.n,"0.00"))) &amp; TEXT(_xlpm.n,"0.00")),
    _xlpm.FMT(Tab_NewTRADER[[#This Row],[A]]) &amp; " * " &amp; _xlpm.FMT(Tab_NewTRADER[[#This Row],[M]]) &amp; " * " &amp; _xlpm.FMT(Tab_NewTRADER[[#This Row],[Y]])
)</f>
        <v xml:space="preserve">  71.83 *   29.63 *   35.78</v>
      </c>
      <c r="CH30" s="1842">
        <f>0</f>
        <v>0</v>
      </c>
      <c r="CI30" t="str">
        <f ca="1">IF(ABS(NewTrader!$Q30)&gt;=NewTrader!$Y30,"OK")</f>
        <v>OK</v>
      </c>
    </row>
    <row r="31" spans="1:87" hidden="1">
      <c r="A31" s="1838">
        <f ca="1">IF(_xlfn.XLOOKUP(NewTrader!$V31,TabCalc[Ticker],TabCalc[Cur])="GBp",0.01,1)</f>
        <v>1</v>
      </c>
      <c r="B31" s="1620" t="str">
        <f ca="1">IFERROR(TRUNC(_xlfn.XLOOKUP(NewTrader!$V31,TabCalc[Ticker],ListLastBuyp),2)&amp;"x"&amp;_xlfn.XLOOKUP(NewTrader!$V31,TabCalc[Ticker],ListLastBuyn)&amp;"=    "&amp;IF(_xlfn.XLOOKUP(NewTrader!$V31,TabCalc[Ticker],ListReverseS)&gt;0,"+","")&amp;TEXT(_xlfn.XLOOKUP(NewTrader!$V31,TabCalc[Ticker],ListReverseS),"#,#0")&amp;" "&amp;#REF!,"")</f>
        <v/>
      </c>
      <c r="C31" s="1621" t="str">
        <f ca="1">_xlfn.XLOOKUP(NewTrader!$V31,TabCalc[Ticker],ListResale)&amp;" @ "&amp;TEXT((_xlfn.XLOOKUP(NewTrader!$V31,TabCalc[Ticker],TabCalc[L_Bp])+_xlfn.XLOOKUP(NewTrader!$V31,TabCalc[Ticker],TabCalc[M]))/_xlfn.XLOOKUP(NewTrader!$V31,TabCalc[Ticker],TabCalc[M]),"#0.0%")</f>
        <v>Sell @ 0.9%</v>
      </c>
      <c r="D31" s="1622"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718" t="str">
        <f ca="1">IF(      AND(NewTrader!$X31&lt;NewTrader!$Y31,    _xlfn.XLOOKUP(NewTrader!$V31,TabCalc[Ticker],TabCalc[L_Sp])&gt;NewTrader!$Y31),"BUY  "&amp;TEXT(DesiredBuyGain/NewTrader!$A31/(_xlfn.XLOOKUP(NewTrader!$V31,TabCalc[Ticker],TabCalc[L_Sp])-NewTrader!$Y31),"#,##0"),"")</f>
        <v>BUY  124</v>
      </c>
      <c r="F31" s="1620" t="str">
        <f ca="1">TRUNC(TabCalc[[#This Row],[L_B1p]],2)&amp;"x"&amp;TabCalc[[#This Row],[L_B1n]]&amp;"=   "&amp;TEXT(TabCalc[[#This Row],[ReverseS1]],"#,#0")&amp;"$"</f>
        <v>-513.83x150=   -4,554$</v>
      </c>
      <c r="G31" s="1624" t="str">
        <f ca="1">IFERROR(TRUNC(_xlfn.XLOOKUP(NewTrader!$V31,TabCalc[Ticker],ListLastSalep),2)&amp;"x"&amp;_xlfn.XLOOKUP(NewTrader!$V31,TabCalc[Ticker],ListLastSalen)&amp;"=   "&amp;TEXT(-_xlfn.XLOOKUP(NewTrader!$V31,TabCalc[Ticker],ListReverseB),"#,#0")&amp;"$","")</f>
        <v>523.92x150=   -6,067$</v>
      </c>
      <c r="H31" s="1625"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8.4% = 124</v>
      </c>
      <c r="I31" s="1620" t="str">
        <f ca="1">IFERROR(TRUNC(TabCalc[[#This Row],[L_S1p]],2)&amp;"x"&amp;TabCalc[[#This Row],[L_S1n]]&amp;"=   "&amp;TEXT(TabCalc[[#This Row],[ReverseB1]],"#,#0"),"")</f>
        <v>515.24x200=   6,355</v>
      </c>
      <c r="J31" s="1626">
        <f ca="1">_xlfn.XLOOKUP(NewTrader!$V31,TabCalc[Ticker],ListGravity)</f>
        <v>1.2935851242062588</v>
      </c>
      <c r="K31" s="1627" t="str" cm="1">
        <f t="array" aca="1" ref="K31" ca="1">IF(_xlfn.XLOOKUP(NewTrader!$V31,NewTrader!$V$3:$V$96,ListExtra_n)&gt;0,_xlfn.XLOOKUP(NewTrader!$V31,NewTrader!$V$3:$V$96,ListExtra_n),"")</f>
        <v/>
      </c>
      <c r="L31" s="1628" t="str">
        <f ca="1">IF(_xlfn.XLOOKUP(NewTrader!$V31,TabCalc[Ticker],ListExtra_n)&gt;0,_xlfn.XLOOKUP(NewTrader!$V31,TabCalc[Ticker],ListExtra_n)*NewTrader!$Y31*_xlfn.XLOOKUP(NewTrader!$V31,TabCalc[Ticker],ListScale),"")</f>
        <v/>
      </c>
      <c r="M31" s="1629">
        <f ca="1">_xlfn.XLOOKUP(NewTrader!$V31,TabCalc[Ticker],TabCalc[Agiotage])</f>
        <v>0.86604808882101203</v>
      </c>
      <c r="N31" s="1630" cm="1">
        <f t="array" aca="1" ref="N31" ca="1">_xlfn.XLOOKUP(NewTrader!$V31,ListTickers,Tab2RSIConventional[RSIConv20])</f>
        <v>58</v>
      </c>
      <c r="O31" s="1631" t="str">
        <f ca="1">TEXT(_xlfn.XLOOKUP(NewTrader!$V31,TabCalc[Ticker],TabCalc[Nbegin]),"#,#0")&amp;": "&amp;_xlfn.XLOOKUP(NewTrader!$V31,TabCalc[Ticker],TabCalc[Pile?])</f>
        <v xml:space="preserve">10,000: </v>
      </c>
      <c r="P31" s="1630">
        <f ca="1">_xlfn.XLOOKUP(NewTrader!$V31,TabCalc[Ticker],TabCalc[L_Bn])</f>
        <v>200</v>
      </c>
      <c r="Q31" s="1727">
        <f ca="1">_xlfn.XLOOKUP(NewTrader!$V31,TabCalc[Ticker],TabCalc[L_Bp])</f>
        <v>-478.88</v>
      </c>
      <c r="R31" s="1634">
        <f ca="1">(NewTrader!$Y31+NewTrader!$Q31)/ABS(NewTrader!$Q31)</f>
        <v>9.5848646842633476E-3</v>
      </c>
      <c r="S31" s="259">
        <f ca="1">INT(_xlfn.XLOOKUP(NewTrader!$V31,TabCalc[Ticker],TabCalc[Rev(MinStock)])*Comm_Net)</f>
        <v>912</v>
      </c>
      <c r="T31" s="1635">
        <f ca="1">_xlfn.XLOOKUP(NewTrader!$V31,TabCalc[Ticker],TabCalc[Agiotage])</f>
        <v>0.86604808882101203</v>
      </c>
      <c r="U31" s="1719"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70,700/70,700=&gt;1.0% / 1.0%</v>
      </c>
      <c r="V31" s="1578" t="str">
        <f ca="1">SORTING!B31</f>
        <v>MSFT</v>
      </c>
      <c r="W31" s="1637">
        <f ca="1">_xlfn.XLOOKUP(NewTrader!$V31,TabCalc[Ticker],TabCalc[Y])</f>
        <v>625.40959999999995</v>
      </c>
      <c r="X31" s="1639">
        <f ca="1">-_xlfn.XLOOKUP(NewTrader!$V31&amp;2,Consolid!B$3:JZ$3,Consolid!B$4:JZ$4)</f>
        <v>337.75484529599998</v>
      </c>
      <c r="Y31" s="1639">
        <f ca="1">_xlfn.XLOOKUP(NewTrader!$V31,TabCalc[Ticker],TabCalc[M])</f>
        <v>483.47</v>
      </c>
      <c r="Z31" s="1640">
        <f ca="1">_xlfn.XLOOKUP(NewTrader!$V31,[1]!RTData[Ticker_Symbol],[1]!RTData[YTChange])</f>
        <v>5.2647460683161365</v>
      </c>
      <c r="AA31" s="1640" cm="1">
        <f t="array" aca="1" ref="AA31" ca="1">_xlfn.XLOOKUP(NewTrader!$V31,ListTickers,Tab1ChangePercent[Change%19])</f>
        <v>1.026E-2</v>
      </c>
      <c r="AB31" s="1641">
        <f ca="1">_xlfn.XLOOKUP(NewTrader!$V31,TabCalc[Ticker],TabCalc[NAfter])</f>
        <v>10000</v>
      </c>
      <c r="AC31" s="1641">
        <f ca="1">_xlfn.XLOOKUP(NewTrader!$V31,TabCalc[Ticker],TabCalc[Nbegin])</f>
        <v>10000</v>
      </c>
      <c r="AD31" s="1642" t="str">
        <f ca="1">_xlfn.LET(_xlpm.PILE,_xlfn.XLOOKUP(NewTrader!$V31,TabCalc[Ticker],TabCalc[Pile?]),                    _xlpm.GL,_xlfn.XLOOKUP(NewTrader!$V31,TabCalc[Ticker],TabCalc[GL]),                        _xlpm.GLK,_xlfn.XLOOKUP(NewTrader!$V31,TabCalc[Ticker],TabCalc[GL])/1000,                             _xlpm.MVal,_xlfn.XLOOKUP(NewTrader!$V31,TabCalc[Ticker],TabCalc[M_V])/1000,                   _xlpm.PILE&amp;" "&amp;IF(_xlpm.GL&lt;0,TEXT(_xlpm.GLK,"#,#0")&amp;"K /"&amp;TEXT(_xlpm.MVal,"#,#0")&amp;" K$","^"&amp;TEXT(_xlpm.GLK,"#,#0")&amp;"K / "&amp;TEXT(_xlpm.MVal,"#,#0")&amp;" K$"))</f>
        <v xml:space="preserve"> ^3,796K / 4,822 K$</v>
      </c>
      <c r="AE31" s="1643" t="str">
        <f ca="1">_xlfn.XLOOKUP(NewTrader!$V31,[1]!RTData[Ticker_Symbol],[1]!RTData[Currency])</f>
        <v>USD</v>
      </c>
      <c r="AF31" s="1721"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Sale</v>
      </c>
      <c r="AG3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698" t="str" cm="1">
        <f t="array" aca="1" ref="AH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913 @ 483.47 : (0.9%, 43.1%)</v>
      </c>
      <c r="AI3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1" s="1651" t="str" cm="1">
        <f t="array" aca="1" ref="AJ31" ca="1">_xlfn.IFS(Tab_NewTRADER[[#This Row],[State]]="Sell More",TEXT(MIN(Tab_NewTRADER[[#This Row],[N]],Tab_NewTRADER[[#This Row],[L_Bn]])*(Tab_NewTRADER[[#This Row],[M]]-Tab_NewTRADER[[#This Row],[L_Sp]])*Tab_NewTRADER[[#This Row],[Scale]]*ComFactor,"#,#0"), TRUE,"M= "&amp;TEXT(Tab_NewTRADER[[#This Row],[M]],"#,#0.00"))</f>
        <v>M= 483.47</v>
      </c>
      <c r="AK31" s="1699" t="str" cm="1">
        <f t="array" aca="1" ref="AK31" ca="1">_xlfn.IFS(Tab_NewTRADER[[#This Row],[Y]]&gt;Tab_NewTRADER[[#This Row],[A]],                 TEXT(MIN(Tab_NewTRADER[[#This Row],[L_Bn]],Tab_NewTRADER[[#This Row],[N]])*(Tab_NewTRADER[[#This Row],[M]]-Tab_NewTRADER[[#This Row],[A]])*Tab_NewTRADER[[#This Row],[Scale]]*ComFactor,"#,#0"), TRUE,0)</f>
        <v>29,067</v>
      </c>
      <c r="AL31" s="1700" cm="1">
        <f t="array" aca="1" ref="AL31" ca="1">_xlfn.IFS(Tab_NewTRADER[[#This Row],[M]]&gt;Tab_NewTRADER[[#This Row],[A]],                  Tab_NewTRADER[[#This Row],[N]]*(Tab_NewTRADER[[#This Row],[M]]-Tab_NewTRADER[[#This Row],[A]])*Tab_NewTRADER[[#This Row],[Scale]]*ComFactor, TRUE,0)</f>
        <v>1453362.9530176963</v>
      </c>
      <c r="AM31" s="1592" t="str">
        <f ca="1">_xlfn.XLOOKUP(Tab_NewTRADER[[#This Row],[Show]],TabCalc[Ticker],TabCalc[Max_Bn])&amp;" x "&amp;TEXT(_xlfn.XLOOKUP(Tab_NewTRADER[[#This Row],[Show]],TabCalc[Ticker],TabCalc[Max_Bp]),"#,#0.00")</f>
        <v>150 x 513.83</v>
      </c>
      <c r="AN31" s="1650" t="str">
        <f ca="1">NewTrader!$V31</f>
        <v>MSFT</v>
      </c>
      <c r="AO31" s="1651" t="str">
        <f ca="1">TEXT(_xlfn.XLOOKUP(Tab_NewTRADER[[#This Row],[ClickTick]],TabCalc[Ticker],TabCalc[NAfter]),"#,#0")&amp;"x"&amp;_xlfn.XLOOKUP(Tab_NewTRADER[[#This Row],[ClickTick]],TabCalc[Ticker],TabCalc[M])&amp;"           (A: "&amp;TEXT(-_xlfn.XLOOKUP(Tab_NewTRADER[[#This Row],[ClickTick]]&amp;2,Consolid!B$3:JZ$3,Consolid!B$4:JZ$4),"#,??0.00")&amp;")"</f>
        <v>10,000x483.47           (A: 337.75)</v>
      </c>
      <c r="AP31" s="1592" t="str">
        <f ca="1">_xlfn.XLOOKUP(Tab_NewTRADER[[#This Row],[Show]],TabCalc[Ticker],TabCalc[Min_Sn])&amp;" x "&amp;TEXT(_xlfn.XLOOKUP(Tab_NewTRADER[[#This Row],[Show]],TabCalc[Ticker],TabCalc[Min_Sp]),"#,#0.00")</f>
        <v>150 x 382.85</v>
      </c>
      <c r="AQ3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702" t="str" cm="1">
        <f t="array" aca="1" ref="AR31" ca="1">_xlfn.IFS(Tab_NewTRADER[[#This Row],[State]]="Reverse Buy",TEXT(-Tab_NewTRADER[[#This Row],[Buy_Back]],"#,#0")&amp;" / "&amp;TEXT(Tab_NewTRADER[[#This Row],[Rev_Buy]],"#,#0.0%"),TRUE,Tab_NewTRADER[[#This Row],[AMY]])</f>
        <v xml:space="preserve"> 337.75 - 483.47 - 625.41</v>
      </c>
      <c r="AS31" s="1651"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99"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99" t="str" cm="1">
        <f t="array" aca="1" ref="AU31" ca="1">_xlfn.IFS(Tab_NewTRADER[[#This Row],[M]]&lt;Tab_NewTRADER[[#This Row],[A]],TEXT(Tab_NewTRADER[[#This Row],[N]]*Tab_NewTRADER[[#This Row],[M]]*Tab_NewTRADER[[#This Row],[Scale]]*Comm_Net,"#,#0")&amp;" @ "&amp;TEXT(Tab_NewTRADER[[#This Row],[M]],"#,#0.#0"),TRUE,"M: "&amp; Tab_NewTRADER[[#This Row],[M]])</f>
        <v>M: 483.47</v>
      </c>
      <c r="AV31" s="1740" cm="1">
        <f t="array" aca="1" ref="AV31" ca="1">-_xlfn.XLOOKUP(
    Tab_NewTRADER[[#This Row],[Show]] &amp; 2,
    TabConsolid[#Headers],
    INDEX(TabConsolid[], 1, 0)
)</f>
        <v>337.75484529599998</v>
      </c>
      <c r="AW31" s="1741">
        <f ca="1">Tab_NewTRADER[[#This Row],[M]]*Tab_NewTRADER[[#This Row],[N]]*(1-Commission)*Tab_NewTRADER[[#This Row],[Scale]]</f>
        <v>4822129.7799999993</v>
      </c>
      <c r="AX31" s="1705"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705"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706" t="str" cm="1">
        <f t="array" aca="1" ref="AZ31" ca="1">_xlfn.IFS(   Tab_NewTRADER[[#This Row],[State]]=SellMorePercentGain,                     MIN(Tab_NewTRADER[[#This Row],[L_Sn]],Tab_NewTRADER[[#This Row],[N]])*(Tab_NewTRADER[[#This Row],[M]]-Tab_NewTRADER[[#This Row],[L_Sp]])*(1-Commission)*Tab_NewTRADER[[#This Row],[Scale]],                    TRUE,"")</f>
        <v/>
      </c>
      <c r="BA31" s="1723">
        <f ca="1">_xlfn.XLOOKUP(NewTrader!$V31,TabCalc[Ticker],TabCalc[Ann%RevLB])</f>
        <v>0.43131891079185064</v>
      </c>
      <c r="BB31" s="1724">
        <f ca="1">_xlfn.XLOOKUP(NewTrader!$V31,TabCalc[Ticker],TabCalc[Up20])</f>
        <v>0</v>
      </c>
      <c r="BC31" s="1725"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706" t="str" cm="1">
        <f t="array" aca="1" ref="BD31" ca="1">_xlfn.IFS(         NewTrader!$AF31=MDown,NewTrader!$P31*NewTrader!$Y31*(-(NewTrader!$Q31+NewTrader!$Y31)/NewTrader!$Y31)*(1-Commission)*NewTrader!$A31,                               TRUE,"")</f>
        <v/>
      </c>
      <c r="BE31" s="1705" t="str" cm="1">
        <f t="array" aca="1" ref="BE31" ca="1">_xlfn.IFS(   NewTrader!$AF31=MUp,NewTrader!$BP31-Commission,        NewTrader!$AF31=MDown,(NewTrader!$X31-NewTrader!$Y31)/NewTrader!$Y31-Commission,                              TRUE,"")</f>
        <v/>
      </c>
      <c r="BF31" s="1710"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710" t="str" cm="1">
        <f t="array" aca="1" ref="BG31" ca="1">_xlfn.LET(_xlpm.SumChTxt,TEXT(_xlfn.XLOOKUP(NewTrader!$V31,ListTickers,Tab2SumChangePercent[AVGChan20]),"#0.0%"),
      _xlfn.IFS(NewTrader!$AF31=NoStock,_xlpm.SumChTxt,
      TRUE, IF(NewTrader!$AF31=SellMorePercentGain,             "SumChange "&amp;_xlpm.SumChTxt,                         "&lt;"&amp;INT(_xlfn.XLOOKUP(NewTrader!$V31,ListTickers,Tab2ReverseGL[Rev_GL19]))&amp;    "&lt;"&amp;INT(_xlfn.XLOOKUP(NewTrader!$V31,ListTickers,Tab2ReverseGL[Rev_GL18]))&amp;":      "&amp;_xlpm.SumChTxt)))</f>
        <v>&lt;-1&lt;-1:      0.0%</v>
      </c>
      <c r="BH31" s="1711"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M&gt;L_Bp</v>
      </c>
      <c r="BI31" s="1712" cm="1">
        <f t="array" aca="1" ref="BI31" ca="1">_xlfn.IFS(NewTrader!$AF31=Sale_Back,"",         NewTrader!$AF31=MDown, (NewTrader!$Y31-NewTrader!$X31)/NewTrader!$X31*ComFactor,             TRUE, IFERROR((NewTrader!$Y31-NewTrader!$X31)/NewTrader!$X31*ComFactor,""))</f>
        <v>0.4303011409781568</v>
      </c>
      <c r="BJ31" s="1664" cm="1">
        <f t="array" aca="1" ref="BJ31" ca="1">_xlfn.IFS(               NewTrader!$AF31=NoStock,(NewTrader!$BL31-NewTrader!$Y31)/NewTrader!$Y31-Commission,             NewTrader!$X31&lt;&gt;0,(NewTrader!$X31-NewTrader!$Y31)/NewTrader!$Y31-Commission)</f>
        <v>-0.30399440855482252</v>
      </c>
      <c r="BK31" s="1726">
        <f ca="1">_xlfn.XLOOKUP(NewTrader!$V31,TabCalc[Ticker],TabCalc[L_Sn])</f>
        <v>150</v>
      </c>
      <c r="BL31" s="1727">
        <f ca="1">_xlfn.XLOOKUP(NewTrader!$V31,TabCalc[Ticker],TabCalc[L_Sp])</f>
        <v>523.91999999999996</v>
      </c>
      <c r="BM31" s="1634">
        <f ca="1">-IFERROR((Tab_NewTRADER[[#This Row],[M]]-Tab_NewTRADER[[#This Row],[L_Sp]])/Tab_NewTRADER[[#This Row],[L_Sp]],0)</f>
        <v>7.720644373186733E-2</v>
      </c>
      <c r="BN31" s="1728">
        <f ca="1">MIN(Tab_NewTRADER[[#This Row],[L_Sn]],Tab_NewTRADER[[#This Row],[N]])*(Tab_NewTRADER[[#This Row],[M]]-Tab_NewTRADER[[#This Row],[L_Sp]])*Comm_Net*Tab_NewTRADER[[#This Row],[Scale]]</f>
        <v>-6051.1177499999894</v>
      </c>
      <c r="BO31" s="1715">
        <f ca="1">Tab_NewTRADER[[#This Row],[L_Sn]]*(Tab_NewTRADER[[#This Row],[Agiotage]]-Tab_NewTRADER[[#This Row],[M]])/(Tab_NewTRADER[[#This Row],[L_Bn]]*Tab_NewTRADER[[#This Row],[M]])</f>
        <v>-0.7486565121587363</v>
      </c>
      <c r="BP31" s="1670">
        <f ca="1">IFERROR((Tab_NewTRADER[[#This Row],[M]]-Tab_NewTRADER[[#This Row],[A]])/Tab_NewTRADER[[#This Row],[A]],0)</f>
        <v>0.43142284036310091</v>
      </c>
      <c r="BQ31" s="1671" t="str">
        <f ca="1">TEXT(_xlfn.XLOOKUP(Tab_NewTRADER[[#This Row],[ClickTick]],TabCalc[Ticker],TabCalc[NAfter]),"#,#0")&amp;" : "&amp;TEXT(_xlfn.XLOOKUP(Tab_NewTRADER[[#This Row],[ClickTick]],TabCalc[Ticker],TabCalc[NAfter])*(Tab_NewTRADER[[#This Row],[M]]-Tab_NewTRADER[[#This Row],[A]])*(1-Commission)*Tab_NewTRADER[[#This Row],[Scale]],"#,#0$")</f>
        <v>10,000 : 1,453,363$</v>
      </c>
      <c r="BR31" s="259">
        <f ca="1">_xlfn.XLOOKUP(NewTrader!$V31,TabCalc[[#This Row],[Ticker]],TabCalc[[#This Row],[GL]])*(1-Commission)</f>
        <v>3786386.7326477892</v>
      </c>
      <c r="BS31" s="259"/>
      <c r="BT31" s="1672" t="str">
        <f ca="1">Tab_NewTRADER[[#This Row],[Show]]&amp;": "&amp;_xlfn.XLOOKUP(Tab_NewTRADER[[#This Row],[Show]],TabCalc[Ticker],TabCalc[Pile?])</f>
        <v xml:space="preserve">MSFT: </v>
      </c>
      <c r="BU31" s="1717" t="s">
        <v>1986</v>
      </c>
      <c r="BV31" s="1674" t="str" cm="1">
        <f t="array" aca="1" ref="BV31" ca="1">_xlfn.TEXTJOIN("",,INDEX({"M","A","Y"}, _xlfn.SORTBY({1,2,3}, -CHOOSE({1,2,3}, Tab_NewTRADER[[#This Row],[M]], Tab_NewTRADER[[#This Row],[A]], Tab_NewTRADER[[#This Row],[Y]]))))</f>
        <v>YMA</v>
      </c>
      <c r="BW31" s="1675"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76">
        <f ca="1">Tab_NewTRADER[[#This Row],[L_Sn]]*Tab_NewTRADER[[#This Row],[L_Sp]]+Tab_NewTRADER[[#This Row],[SellMore]]*Tab_NewTRADER[[#This Row],[M]]</f>
        <v>175282</v>
      </c>
      <c r="BY31" s="1676">
        <f ca="1">INDEX(
  INDEX(TabConsolid[], , _xlfn.XMATCH(Tab_NewTRADER[[#This Row],[ClickTick]]&amp;1, TabConsolid[#Headers])),
  MATCH(
    -Tab_NewTRADER[[#This Row],[M]],
    INDEX(TabConsolid[], , _xlfn.XMATCH(Tab_NewTRADER[[#This Row],[ClickTick]]&amp;2, TabConsolid[#Headers])),
    -1
  )
)</f>
        <v>200</v>
      </c>
      <c r="BZ31" s="1676"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77">
        <f ca="1">Tab_NewTRADER[[#This Row],[ReBuy]]/(Tab_NewTRADER[[#This Row],[L_Sn]]+Tab_NewTRADER[[#This Row],[SellMore]])</f>
        <v>500.80571428571426</v>
      </c>
      <c r="CB31" s="1678">
        <f ca="1">((_xlfn.XLOOKUP(Tab_NewTRADER[[#This Row],[Show]],TabCalc[Ticker],TabCalc[NAfter])+Tab_NewTRADER[[#This Row],[L_Sn]])*(Tab_NewTRADER[[#This Row],[Agiotage]]-Tab_NewTRADER[[#This Row],[M]]))/(Tab_NewTRADER[[#This Row],[L_Sn]]*_xlfn.XLOOKUP(Tab_NewTRADER[[#This Row],[Show]],TabCalc[Ticker],TabCalc[NAfter]))</f>
        <v>-3.2656200745989779</v>
      </c>
      <c r="CC31" s="1677">
        <f ca="1">INDEX(Tab1Price[Price19], MATCH(Tab_NewTRADER[[#This Row],[Show]], Tab_NewTRADER[Show], 0))</f>
        <v>483.47</v>
      </c>
      <c r="CD31" s="1679">
        <f ca="1">_xlfn.XMATCH(Tab_NewTRADER[[#This Row],[Show]]&amp;1, TabConsolid[#Headers])</f>
        <v>86</v>
      </c>
      <c r="CE31" s="1678"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729" t="str" cm="1">
        <f t="array" aca="1" ref="CF31" ca="1">_xlfn.LET(
    _xlpm.FMT, _xlfn.LAMBDA(_xlpm.n, REPT(" ", 7 - LEN(TEXT(_xlpm.n,"0.00"))) &amp; TEXT(_xlpm.n,"0.00")),
    _xlpm.FMT(Tab_NewTRADER[[#This Row],[A]]) &amp; " -" &amp; _xlpm.FMT(Tab_NewTRADER[[#This Row],[M]]) &amp; " -" &amp; _xlpm.FMT(Tab_NewTRADER[[#This Row],[Y]])
)</f>
        <v xml:space="preserve"> 337.75 - 483.47 - 625.41</v>
      </c>
      <c r="CG31" s="1730" t="str" cm="1">
        <f t="array" aca="1" ref="CG31" ca="1">_xlfn.LET(
    _xlpm.W, 7,
    _xlpm.FMT, _xlfn.LAMBDA(_xlpm.n, REPT(" ", _xlpm.W - LEN(TEXT(_xlpm.n,"0.00"))) &amp; TEXT(_xlpm.n,"0.00")),
    _xlpm.FMT(Tab_NewTRADER[[#This Row],[A]]) &amp; " * " &amp; _xlpm.FMT(Tab_NewTRADER[[#This Row],[M]]) &amp; " * " &amp; _xlpm.FMT(Tab_NewTRADER[[#This Row],[Y]])
)</f>
        <v xml:space="preserve"> 337.75 *  483.47 *  625.41</v>
      </c>
      <c r="CH31" s="1842">
        <f>0</f>
        <v>0</v>
      </c>
      <c r="CI31" t="b">
        <f ca="1">IF(ABS(NewTrader!$Q31)&gt;=NewTrader!$Y31,"OK")</f>
        <v>0</v>
      </c>
    </row>
    <row r="32" spans="1:87" hidden="1">
      <c r="A32" s="1839">
        <f ca="1">IF(_xlfn.XLOOKUP(NewTrader!$V32,TabCalc[Ticker],TabCalc[Cur])="GBp",0.01,1)</f>
        <v>1</v>
      </c>
      <c r="B32" s="1681" t="str">
        <f ca="1">IFERROR(TRUNC(_xlfn.XLOOKUP(NewTrader!$V32,TabCalc[Ticker],ListLastBuyp),2)&amp;"x"&amp;_xlfn.XLOOKUP(NewTrader!$V32,TabCalc[Ticker],ListLastBuyn)&amp;"=    "&amp;IF(_xlfn.XLOOKUP(NewTrader!$V32,TabCalc[Ticker],ListReverseS)&gt;0,"+","")&amp;TEXT(_xlfn.XLOOKUP(NewTrader!$V32,TabCalc[Ticker],ListReverseS),"#,#0")&amp;" "&amp;#REF!,"")</f>
        <v/>
      </c>
      <c r="C32" s="1682" t="str">
        <f ca="1">_xlfn.XLOOKUP(NewTrader!$V32,TabCalc[Ticker],ListResale)&amp;" @ "&amp;TEXT((_xlfn.XLOOKUP(NewTrader!$V32,TabCalc[Ticker],TabCalc[L_Bp])+_xlfn.XLOOKUP(NewTrader!$V32,TabCalc[Ticker],TabCalc[M]))/_xlfn.XLOOKUP(NewTrader!$V32,TabCalc[Ticker],TabCalc[M]),"#0.0%")</f>
        <v>B_more @ -3.2%</v>
      </c>
      <c r="D32" s="1683"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84" t="str">
        <f ca="1">IF(      AND(NewTrader!$X32&lt;NewTrader!$Y32,    _xlfn.XLOOKUP(NewTrader!$V32,TabCalc[Ticker],TabCalc[L_Sp])&gt;NewTrader!$Y32),"BUY  "&amp;TEXT(DesiredBuyGain/NewTrader!$A32/(_xlfn.XLOOKUP(NewTrader!$V32,TabCalc[Ticker],TabCalc[L_Sp])-NewTrader!$Y32),"#,##0"),"")</f>
        <v/>
      </c>
      <c r="F32" s="1681" t="str">
        <f ca="1">TRUNC(TabCalc[[#This Row],[L_B1p]],2)&amp;"x"&amp;TabCalc[[#This Row],[L_B1n]]&amp;"=   "&amp;TEXT(TabCalc[[#This Row],[ReverseS1]],"#,#0")&amp;"$"</f>
        <v>-71x4000=   30,669$</v>
      </c>
      <c r="G32" s="1685" t="str">
        <f ca="1">IFERROR(TRUNC(_xlfn.XLOOKUP(NewTrader!$V32,TabCalc[Ticker],ListLastSalep),2)&amp;"x"&amp;_xlfn.XLOOKUP(NewTrader!$V32,TabCalc[Ticker],ListLastSalen)&amp;"=   "&amp;TEXT(-_xlfn.XLOOKUP(NewTrader!$V32,TabCalc[Ticker],ListReverseB),"#,#0")&amp;"$","")</f>
        <v>81.87x399=   -259$</v>
      </c>
      <c r="H32" s="1686"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0.8% = 7,692</v>
      </c>
      <c r="I32" s="1681" t="str">
        <f ca="1">IFERROR(TRUNC(TabCalc[[#This Row],[L_S1p]],2)&amp;"x"&amp;TabCalc[[#This Row],[L_S1n]]&amp;"=   "&amp;TEXT(TabCalc[[#This Row],[ReverseB1]],"#,#0"),"")</f>
        <v>84.7x300=   1,046</v>
      </c>
      <c r="J32" s="1687">
        <f ca="1">_xlfn.XLOOKUP(NewTrader!$V32,TabCalc[Ticker],ListGravity)</f>
        <v>1.1204136912090619</v>
      </c>
      <c r="K32" s="1688" t="str" cm="1">
        <f t="array" aca="1" ref="K32" ca="1">IF(_xlfn.XLOOKUP(NewTrader!$V32,NewTrader!$V$3:$V$96,ListExtra_n)&gt;0,_xlfn.XLOOKUP(NewTrader!$V32,NewTrader!$V$3:$V$96,ListExtra_n),"")</f>
        <v/>
      </c>
      <c r="L32" s="1689" t="str">
        <f ca="1">IF(_xlfn.XLOOKUP(NewTrader!$V32,TabCalc[Ticker],ListExtra_n)&gt;0,_xlfn.XLOOKUP(NewTrader!$V32,TabCalc[Ticker],ListExtra_n)*NewTrader!$Y32*_xlfn.XLOOKUP(NewTrader!$V32,TabCalc[Ticker],ListScale),"")</f>
        <v/>
      </c>
      <c r="M32" s="1690">
        <f ca="1">_xlfn.XLOOKUP(NewTrader!$V32,TabCalc[Ticker],TabCalc[Agiotage])</f>
        <v>0.90268026031108495</v>
      </c>
      <c r="N32" s="1691" cm="1">
        <f t="array" aca="1" ref="N32" ca="1">_xlfn.XLOOKUP(NewTrader!$V32,ListTickers,Tab2RSIConventional[RSIConv20])</f>
        <v>74</v>
      </c>
      <c r="O32" s="1631" t="str">
        <f ca="1">TEXT(_xlfn.XLOOKUP(NewTrader!$V32,TabCalc[Ticker],TabCalc[Nbegin]),"#,#0")&amp;": "&amp;_xlfn.XLOOKUP(NewTrader!$V32,TabCalc[Ticker],TabCalc[Pile?])</f>
        <v xml:space="preserve">4,200: </v>
      </c>
      <c r="P32" s="1692">
        <f ca="1">_xlfn.XLOOKUP(NewTrader!$V32,TabCalc[Ticker],TabCalc[L_Bn])</f>
        <v>3000</v>
      </c>
      <c r="Q32" s="1731">
        <f ca="1">_xlfn.XLOOKUP(NewTrader!$V32,TabCalc[Ticker],TabCalc[L_Bp])</f>
        <v>-83.78</v>
      </c>
      <c r="R32" s="1694">
        <f ca="1">(NewTrader!$Y32+NewTrader!$Q32)/ABS(NewTrader!$Q32)</f>
        <v>-3.055621866793987E-2</v>
      </c>
      <c r="S32" s="262">
        <f ca="1">INT(_xlfn.XLOOKUP(NewTrader!$V32,TabCalc[Ticker],TabCalc[Rev(MinStock)])*Comm_Net)</f>
        <v>-7640</v>
      </c>
      <c r="T32" s="1635">
        <f ca="1">_xlfn.XLOOKUP(NewTrader!$V32,TabCalc[Ticker],TabCalc[Agiotage])</f>
        <v>0.90268026031108495</v>
      </c>
      <c r="U32" s="1695"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-180/-180=&gt;-0.1% / -0.1%</v>
      </c>
      <c r="V32" s="1578" t="str">
        <f ca="1">SORTING!B32</f>
        <v>NEE</v>
      </c>
      <c r="W32" s="1637">
        <f ca="1">_xlfn.XLOOKUP(NewTrader!$V32,TabCalc[Ticker],TabCalc[Y])</f>
        <v>91</v>
      </c>
      <c r="X32" s="1639">
        <f ca="1">-_xlfn.XLOOKUP(NewTrader!$V32&amp;2,Consolid!B$3:JZ$3,Consolid!B$4:JZ$4)</f>
        <v>83.993558495218849</v>
      </c>
      <c r="Y32" s="1639">
        <f ca="1">_xlfn.XLOOKUP(NewTrader!$V32,TabCalc[Ticker],TabCalc[M])</f>
        <v>81.22</v>
      </c>
      <c r="Z32" s="1640">
        <f ca="1">_xlfn.XLOOKUP(NewTrader!$V32,[1]!RTData[Ticker_Symbol],[1]!RTData[YTChange])</f>
        <v>-0.82013677511167327</v>
      </c>
      <c r="AA32" s="1640" cm="1">
        <f t="array" aca="1" ref="AA32" ca="1">_xlfn.XLOOKUP(NewTrader!$V32,ListTickers,Tab1ChangePercent[Change%19])</f>
        <v>-6.1519999999999999E-4</v>
      </c>
      <c r="AB32" s="1641">
        <f ca="1">_xlfn.XLOOKUP(NewTrader!$V32,TabCalc[Ticker],TabCalc[NAfter])</f>
        <v>3001</v>
      </c>
      <c r="AC32" s="1641">
        <f ca="1">_xlfn.XLOOKUP(NewTrader!$V32,TabCalc[Ticker],TabCalc[Nbegin])</f>
        <v>4200</v>
      </c>
      <c r="AD32" s="1642" t="str">
        <f ca="1">_xlfn.LET(_xlpm.PILE,_xlfn.XLOOKUP(NewTrader!$V32,TabCalc[Ticker],TabCalc[Pile?]),                    _xlpm.GL,_xlfn.XLOOKUP(NewTrader!$V32,TabCalc[Ticker],TabCalc[GL]),                        _xlpm.GLK,_xlfn.XLOOKUP(NewTrader!$V32,TabCalc[Ticker],TabCalc[GL])/1000,                             _xlpm.MVal,_xlfn.XLOOKUP(NewTrader!$V32,TabCalc[Ticker],TabCalc[M_V])/1000,                   _xlpm.PILE&amp;" "&amp;IF(_xlpm.GL&lt;0,TEXT(_xlpm.GLK,"#,#0")&amp;"K /"&amp;TEXT(_xlpm.MVal,"#,#0")&amp;" K$","^"&amp;TEXT(_xlpm.GLK,"#,#0")&amp;"K / "&amp;TEXT(_xlpm.MVal,"#,#0")&amp;" K$"))</f>
        <v xml:space="preserve"> ^57K / 243 K$</v>
      </c>
      <c r="AE32" s="1643" t="str">
        <f ca="1">_xlfn.XLOOKUP(NewTrader!$V32,[1]!RTData[Ticker_Symbol],[1]!RTData[Currency])</f>
        <v>USD</v>
      </c>
      <c r="AF32" s="1721"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733" t="str" cm="1">
        <f t="array" aca="1" ref="AH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81.22 -  91.00</v>
      </c>
      <c r="AI32"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32" s="1739" t="str" cm="1">
        <f t="array" aca="1" ref="AJ32" ca="1">_xlfn.IFS(Tab_NewTRADER[[#This Row],[State]]="Sell More",TEXT(MIN(Tab_NewTRADER[[#This Row],[N]],Tab_NewTRADER[[#This Row],[L_Bn]])*(Tab_NewTRADER[[#This Row],[M]]-Tab_NewTRADER[[#This Row],[L_Sp]])*Tab_NewTRADER[[#This Row],[Scale]]*ComFactor,"#,#0"), TRUE,"M= "&amp;TEXT(Tab_NewTRADER[[#This Row],[M]],"#,#0.00"))</f>
        <v>M= 81.22</v>
      </c>
      <c r="AK32" s="1699" t="str" cm="1">
        <f t="array" aca="1" ref="AK32" ca="1">_xlfn.IFS(Tab_NewTRADER[[#This Row],[Y]]&gt;Tab_NewTRADER[[#This Row],[A]],                 TEXT(MIN(Tab_NewTRADER[[#This Row],[L_Bn]],Tab_NewTRADER[[#This Row],[N]])*(Tab_NewTRADER[[#This Row],[M]]-Tab_NewTRADER[[#This Row],[A]])*Tab_NewTRADER[[#This Row],[Scale]]*ComFactor,"#,#0"), TRUE,0)</f>
        <v>-8,299</v>
      </c>
      <c r="AL32" s="1700" cm="1">
        <f t="array" aca="1" ref="AL32" ca="1">_xlfn.IFS(Tab_NewTRADER[[#This Row],[M]]&gt;Tab_NewTRADER[[#This Row],[A]],                  Tab_NewTRADER[[#This Row],[N]]*(Tab_NewTRADER[[#This Row],[M]]-Tab_NewTRADER[[#This Row],[A]])*Tab_NewTRADER[[#This Row],[Scale]]*ComFactor, TRUE,0)</f>
        <v>0</v>
      </c>
      <c r="AM32" s="1592" t="str">
        <f ca="1">_xlfn.XLOOKUP(Tab_NewTRADER[[#This Row],[Show]],TabCalc[Ticker],TabCalc[Max_Bn])&amp;" x "&amp;TEXT(_xlfn.XLOOKUP(Tab_NewTRADER[[#This Row],[Show]],TabCalc[Ticker],TabCalc[Max_Bp]),"#,#0.00")</f>
        <v>3001 x 83.99</v>
      </c>
      <c r="AN32" s="1650" t="str">
        <f ca="1">NewTrader!$V32</f>
        <v>NEE</v>
      </c>
      <c r="AO32" s="1651" t="str">
        <f ca="1">TEXT(_xlfn.XLOOKUP(Tab_NewTRADER[[#This Row],[ClickTick]],TabCalc[Ticker],TabCalc[NAfter]),"#,#0")&amp;"x"&amp;_xlfn.XLOOKUP(Tab_NewTRADER[[#This Row],[ClickTick]],TabCalc[Ticker],TabCalc[M])&amp;"           (A: "&amp;TEXT(-_xlfn.XLOOKUP(Tab_NewTRADER[[#This Row],[ClickTick]]&amp;2,Consolid!B$3:JZ$3,Consolid!B$4:JZ$4),"#,??0.00")&amp;")"</f>
        <v>3,001x81.22           (A:  83.99)</v>
      </c>
      <c r="AP32" s="1592" t="str">
        <f ca="1">_xlfn.XLOOKUP(Tab_NewTRADER[[#This Row],[Show]],TabCalc[Ticker],TabCalc[Min_Sn])&amp;" x "&amp;TEXT(_xlfn.XLOOKUP(Tab_NewTRADER[[#This Row],[Show]],TabCalc[Ticker],TabCalc[Min_Sp]),"#,#0.00")</f>
        <v>300 x 69.83</v>
      </c>
      <c r="AQ3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702" t="str" cm="1">
        <f t="array" aca="1" ref="AR32" ca="1">_xlfn.IFS(Tab_NewTRADER[[#This Row],[State]]="Reverse Buy",TEXT(-Tab_NewTRADER[[#This Row],[Buy_Back]],"#,#0")&amp;" / "&amp;TEXT(Tab_NewTRADER[[#This Row],[Rev_Buy]],"#,#0.0%"),TRUE,Tab_NewTRADER[[#This Row],[AMY]])</f>
        <v xml:space="preserve">  83.99 -  81.22 -  91.00</v>
      </c>
      <c r="AS32" s="1651"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7,663       / 03.2%</v>
      </c>
      <c r="AT32" s="1699"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-8,302   / -3.4%</v>
      </c>
      <c r="AU32" s="1699" t="str" cm="1">
        <f t="array" aca="1" ref="AU32" ca="1">_xlfn.IFS(Tab_NewTRADER[[#This Row],[M]]&lt;Tab_NewTRADER[[#This Row],[A]],TEXT(Tab_NewTRADER[[#This Row],[N]]*Tab_NewTRADER[[#This Row],[M]]*Tab_NewTRADER[[#This Row],[Scale]]*Comm_Net,"#,#0")&amp;" @ "&amp;TEXT(Tab_NewTRADER[[#This Row],[M]],"#,#0.#0"),TRUE,"M: "&amp; Tab_NewTRADER[[#This Row],[M]])</f>
        <v>243,083 @ 81.22</v>
      </c>
      <c r="AV32" s="1703" cm="1">
        <f t="array" aca="1" ref="AV32" ca="1">-_xlfn.XLOOKUP(
    Tab_NewTRADER[[#This Row],[Show]] &amp; 2,
    TabConsolid[#Headers],
    INDEX(TabConsolid[], 1, 0)
)</f>
        <v>83.993558495218849</v>
      </c>
      <c r="AW32" s="1704">
        <f ca="1">Tab_NewTRADER[[#This Row],[M]]*Tab_NewTRADER[[#This Row],[N]]*(1-Commission)*Tab_NewTRADER[[#This Row],[Scale]]</f>
        <v>243107.49282799999</v>
      </c>
      <c r="AX32" s="1705"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705"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706" t="str" cm="1">
        <f t="array" aca="1" ref="AZ32" ca="1">_xlfn.IFS(   Tab_NewTRADER[[#This Row],[State]]=SellMorePercentGain,                     MIN(Tab_NewTRADER[[#This Row],[L_Sn]],Tab_NewTRADER[[#This Row],[N]])*(Tab_NewTRADER[[#This Row],[M]]-Tab_NewTRADER[[#This Row],[L_Sp]])*(1-Commission)*Tab_NewTRADER[[#This Row],[Scale]],                    TRUE,"")</f>
        <v/>
      </c>
      <c r="BA32" s="1723">
        <f ca="1">_xlfn.XLOOKUP(NewTrader!$V32,TabCalc[Ticker],TabCalc[Ann%RevLB])</f>
        <v>-1.5714626743511932</v>
      </c>
      <c r="BB32" s="1724">
        <f ca="1">_xlfn.XLOOKUP(NewTrader!$V32,TabCalc[Ticker],TabCalc[Up20])</f>
        <v>0</v>
      </c>
      <c r="BC32" s="1709"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706" t="str" cm="1">
        <f t="array" aca="1" ref="BD32" ca="1">_xlfn.IFS(         NewTrader!$AF32=MDown,NewTrader!$P32*NewTrader!$Y32*(-(NewTrader!$Q32+NewTrader!$Y32)/NewTrader!$Y32)*(1-Commission)*NewTrader!$A32,                               TRUE,"")</f>
        <v/>
      </c>
      <c r="BE32" s="1705" t="str" cm="1">
        <f t="array" aca="1" ref="BE32" ca="1">_xlfn.IFS(   NewTrader!$AF32=MUp,NewTrader!$BP32-Commission,        NewTrader!$AF32=MDown,(NewTrader!$X32-NewTrader!$Y32)/NewTrader!$Y32-Commission,                              TRUE,"")</f>
        <v/>
      </c>
      <c r="BF32" s="1710"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710" t="str" cm="1">
        <f t="array" aca="1" ref="BG32" ca="1">_xlfn.LET(_xlpm.SumChTxt,TEXT(_xlfn.XLOOKUP(NewTrader!$V32,ListTickers,Tab2SumChangePercent[AVGChan20]),"#0.0%"),
      _xlfn.IFS(NewTrader!$AF32=NoStock,_xlpm.SumChTxt,
      TRUE, IF(NewTrader!$AF32=SellMorePercentGain,             "SumChange "&amp;_xlpm.SumChTxt,                         "&lt;"&amp;INT(_xlfn.XLOOKUP(NewTrader!$V32,ListTickers,Tab2ReverseGL[Rev_GL19]))&amp;    "&lt;"&amp;INT(_xlfn.XLOOKUP(NewTrader!$V32,ListTickers,Tab2ReverseGL[Rev_GL18]))&amp;":      "&amp;_xlpm.SumChTxt)))</f>
        <v>&lt;-1&lt;-1:      0.6%</v>
      </c>
      <c r="BH32" s="1711"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-2.56</v>
      </c>
      <c r="BI32" s="1712" cm="1">
        <f t="array" aca="1" ref="BI32" ca="1">_xlfn.IFS(NewTrader!$AF32=Sale_Back,"",         NewTrader!$AF32=MDown, (NewTrader!$Y32-NewTrader!$X32)/NewTrader!$X32*ComFactor,             TRUE, IFERROR((NewTrader!$Y32-NewTrader!$X32)/NewTrader!$X32*ComFactor,""))</f>
        <v>-3.2935230899745122E-2</v>
      </c>
      <c r="BJ32" s="1664" cm="1">
        <f t="array" aca="1" ref="BJ32" ca="1">_xlfn.IFS(               NewTrader!$AF32=NoStock,(NewTrader!$BL32-NewTrader!$Y32)/NewTrader!$Y32-Commission,             NewTrader!$X32&lt;&gt;0,(NewTrader!$X32-NewTrader!$Y32)/NewTrader!$Y32-Commission)</f>
        <v>3.1548713312224211E-2</v>
      </c>
      <c r="BK32" s="1713">
        <f ca="1">_xlfn.XLOOKUP(NewTrader!$V32,TabCalc[Ticker],TabCalc[L_Sn])</f>
        <v>399</v>
      </c>
      <c r="BL32" s="1693">
        <f ca="1">_xlfn.XLOOKUP(NewTrader!$V32,TabCalc[Ticker],TabCalc[L_Sp])</f>
        <v>81.87</v>
      </c>
      <c r="BM32" s="1694">
        <f ca="1">-IFERROR((Tab_NewTRADER[[#This Row],[M]]-Tab_NewTRADER[[#This Row],[L_Sp]])/Tab_NewTRADER[[#This Row],[L_Sp]],0)</f>
        <v>7.9394161475510646E-3</v>
      </c>
      <c r="BN32" s="1714">
        <f ca="1">MIN(Tab_NewTRADER[[#This Row],[L_Sn]],Tab_NewTRADER[[#This Row],[N]])*(Tab_NewTRADER[[#This Row],[M]]-Tab_NewTRADER[[#This Row],[L_Sp]])*Comm_Net*Tab_NewTRADER[[#This Row],[Scale]]</f>
        <v>-258.6497550000023</v>
      </c>
      <c r="BO32" s="1715">
        <f ca="1">Tab_NewTRADER[[#This Row],[L_Sn]]*(Tab_NewTRADER[[#This Row],[Agiotage]]-Tab_NewTRADER[[#This Row],[M]])/(Tab_NewTRADER[[#This Row],[L_Bn]]*Tab_NewTRADER[[#This Row],[M]])</f>
        <v>-0.13152183606720791</v>
      </c>
      <c r="BP32" s="1716">
        <f ca="1">IFERROR((Tab_NewTRADER[[#This Row],[M]]-Tab_NewTRADER[[#This Row],[A]])/Tab_NewTRADER[[#This Row],[A]],0)</f>
        <v>-3.3021085722623945E-2</v>
      </c>
      <c r="BQ32" s="1671" t="str">
        <f ca="1">TEXT(_xlfn.XLOOKUP(Tab_NewTRADER[[#This Row],[ClickTick]],TabCalc[Ticker],TabCalc[NAfter]),"#,#0")&amp;" : "&amp;TEXT(_xlfn.XLOOKUP(Tab_NewTRADER[[#This Row],[ClickTick]],TabCalc[Ticker],TabCalc[NAfter])*(Tab_NewTRADER[[#This Row],[M]]-Tab_NewTRADER[[#This Row],[A]])*(1-Commission)*Tab_NewTRADER[[#This Row],[Scale]],"#,#0$")</f>
        <v>3,001 : -8,302$</v>
      </c>
      <c r="BR32" s="262">
        <f ca="1">_xlfn.XLOOKUP(NewTrader!$V32,TabCalc[[#This Row],[Ticker]],TabCalc[[#This Row],[GL]])*(1-Commission)</f>
        <v>57116.130342143697</v>
      </c>
      <c r="BS32" s="262"/>
      <c r="BT32" s="1672" t="str">
        <f ca="1">Tab_NewTRADER[[#This Row],[Show]]&amp;": "&amp;_xlfn.XLOOKUP(Tab_NewTRADER[[#This Row],[Show]],TabCalc[Ticker],TabCalc[Pile?])</f>
        <v xml:space="preserve">NEE: </v>
      </c>
      <c r="BU32" s="1717" t="s">
        <v>2042</v>
      </c>
      <c r="BV32" s="1674" t="str" cm="1">
        <f t="array" aca="1" ref="BV32" ca="1">_xlfn.TEXTJOIN("",,INDEX({"M","A","Y"}, _xlfn.SORTBY({1,2,3}, -CHOOSE({1,2,3}, Tab_NewTRADER[[#This Row],[M]], Tab_NewTRADER[[#This Row],[A]], Tab_NewTRADER[[#This Row],[Y]]))))</f>
        <v>YAM</v>
      </c>
      <c r="BW32" s="1675"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76" t="e">
        <f ca="1">Tab_NewTRADER[[#This Row],[L_Sn]]*Tab_NewTRADER[[#This Row],[L_Sp]]+Tab_NewTRADER[[#This Row],[SellMore]]*Tab_NewTRADER[[#This Row],[M]]</f>
        <v>#N/A</v>
      </c>
      <c r="BY32" s="1676" t="e">
        <f ca="1">INDEX(
  INDEX(TabConsolid[], , _xlfn.XMATCH(Tab_NewTRADER[[#This Row],[ClickTick]]&amp;1, TabConsolid[#Headers])),
  MATCH(
    -Tab_NewTRADER[[#This Row],[M]],
    INDEX(TabConsolid[], , _xlfn.XMATCH(Tab_NewTRADER[[#This Row],[ClickTick]]&amp;2, TabConsolid[#Headers])),
    -1
  )
)</f>
        <v>#N/A</v>
      </c>
      <c r="BZ32" s="1676"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77" t="e">
        <f ca="1">Tab_NewTRADER[[#This Row],[ReBuy]]/(Tab_NewTRADER[[#This Row],[L_Sn]]+Tab_NewTRADER[[#This Row],[SellMore]])</f>
        <v>#N/A</v>
      </c>
      <c r="CB32" s="1678">
        <f ca="1">((_xlfn.XLOOKUP(Tab_NewTRADER[[#This Row],[Show]],TabCalc[Ticker],TabCalc[NAfter])+Tab_NewTRADER[[#This Row],[L_Sn]])*(Tab_NewTRADER[[#This Row],[Agiotage]]-Tab_NewTRADER[[#This Row],[M]]))/(Tab_NewTRADER[[#This Row],[L_Sn]]*_xlfn.XLOOKUP(Tab_NewTRADER[[#This Row],[Show]],TabCalc[Ticker],TabCalc[NAfter]))</f>
        <v>-0.22806005944129093</v>
      </c>
      <c r="CC32" s="1677">
        <f ca="1">INDEX(Tab1Price[Price19], MATCH(Tab_NewTRADER[[#This Row],[Show]], Tab_NewTRADER[Show], 0))</f>
        <v>81.22</v>
      </c>
      <c r="CD32" s="1679">
        <f ca="1">_xlfn.XMATCH(Tab_NewTRADER[[#This Row],[Show]]&amp;1, TabConsolid[#Headers])</f>
        <v>89</v>
      </c>
      <c r="CE32" s="1678"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729" t="str" cm="1">
        <f t="array" aca="1" ref="CF32" ca="1">_xlfn.LET(
    _xlpm.FMT, _xlfn.LAMBDA(_xlpm.n, REPT(" ", 7 - LEN(TEXT(_xlpm.n,"0.00"))) &amp; TEXT(_xlpm.n,"0.00")),
    _xlpm.FMT(Tab_NewTRADER[[#This Row],[A]]) &amp; " -" &amp; _xlpm.FMT(Tab_NewTRADER[[#This Row],[M]]) &amp; " -" &amp; _xlpm.FMT(Tab_NewTRADER[[#This Row],[Y]])
)</f>
        <v xml:space="preserve">  83.99 -  81.22 -  91.00</v>
      </c>
      <c r="CG32" s="1730" t="str" cm="1">
        <f t="array" aca="1" ref="CG32" ca="1">_xlfn.LET(
    _xlpm.W, 7,
    _xlpm.FMT, _xlfn.LAMBDA(_xlpm.n, REPT(" ", _xlpm.W - LEN(TEXT(_xlpm.n,"0.00"))) &amp; TEXT(_xlpm.n,"0.00")),
    _xlpm.FMT(Tab_NewTRADER[[#This Row],[A]]) &amp; " * " &amp; _xlpm.FMT(Tab_NewTRADER[[#This Row],[M]]) &amp; " * " &amp; _xlpm.FMT(Tab_NewTRADER[[#This Row],[Y]])
)</f>
        <v xml:space="preserve">  83.99 *   81.22 *   91.00</v>
      </c>
      <c r="CH32" s="1842">
        <f>0</f>
        <v>0</v>
      </c>
      <c r="CI32" t="str">
        <f ca="1">IF(ABS(NewTrader!$Q32)&gt;=NewTrader!$Y32,"OK")</f>
        <v>OK</v>
      </c>
    </row>
    <row r="33" spans="1:87">
      <c r="A33" s="1838">
        <f ca="1">IF(_xlfn.XLOOKUP(NewTrader!$V33,TabCalc[Ticker],TabCalc[Cur])="GBp",0.01,1)</f>
        <v>1</v>
      </c>
      <c r="B33" s="1620" t="str">
        <f ca="1">IFERROR(TRUNC(_xlfn.XLOOKUP(NewTrader!$V33,TabCalc[Ticker],ListLastBuyp),2)&amp;"x"&amp;_xlfn.XLOOKUP(NewTrader!$V33,TabCalc[Ticker],ListLastBuyn)&amp;"=    "&amp;IF(_xlfn.XLOOKUP(NewTrader!$V33,TabCalc[Ticker],ListReverseS)&gt;0,"+","")&amp;TEXT(_xlfn.XLOOKUP(NewTrader!$V33,TabCalc[Ticker],ListReverseS),"#,#0")&amp;" "&amp;#REF!,"")</f>
        <v/>
      </c>
      <c r="C33" s="1621" t="str">
        <f ca="1">_xlfn.XLOOKUP(NewTrader!$V33,TabCalc[Ticker],ListResale)&amp;" @ "&amp;TEXT((_xlfn.XLOOKUP(NewTrader!$V33,TabCalc[Ticker],TabCalc[L_Bp])+_xlfn.XLOOKUP(NewTrader!$V33,TabCalc[Ticker],TabCalc[M]))/_xlfn.XLOOKUP(NewTrader!$V33,TabCalc[Ticker],TabCalc[M]),"#0.0%")</f>
        <v>Sell @ 20.7%</v>
      </c>
      <c r="D33" s="1622"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243/17,000=24,192</v>
      </c>
      <c r="E33" s="1718" t="str">
        <f ca="1">IF(      AND(NewTrader!$X33&lt;NewTrader!$Y33,    _xlfn.XLOOKUP(NewTrader!$V33,TabCalc[Ticker],TabCalc[L_Sp])&gt;NewTrader!$Y33),"BUY  "&amp;TEXT(DesiredBuyGain/NewTrader!$A33/(_xlfn.XLOOKUP(NewTrader!$V33,TabCalc[Ticker],TabCalc[L_Sp])-NewTrader!$Y33),"#,##0"),"")</f>
        <v/>
      </c>
      <c r="F33" s="1620" t="str">
        <f ca="1">TRUNC(TabCalc[[#This Row],[L_B1p]],2)&amp;"x"&amp;TabCalc[[#This Row],[L_B1n]]&amp;"=   "&amp;TEXT(TabCalc[[#This Row],[ReverseS1]],"#,#0")&amp;"$"</f>
        <v>-79.88x1000=   19,550$</v>
      </c>
      <c r="G33" s="1624" t="str">
        <f ca="1">IFERROR(TRUNC(_xlfn.XLOOKUP(NewTrader!$V33,TabCalc[Ticker],ListLastSalep),2)&amp;"x"&amp;_xlfn.XLOOKUP(NewTrader!$V33,TabCalc[Ticker],ListLastSalen)&amp;"=   "&amp;TEXT(-_xlfn.XLOOKUP(NewTrader!$V33,TabCalc[Ticker],ListReverseB),"#,#0")&amp;"$","")</f>
        <v>99.35x1000=   80$</v>
      </c>
      <c r="H33" s="1625"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-0.1% = 0</v>
      </c>
      <c r="I33" s="1620" t="str">
        <f ca="1">IFERROR(TRUNC(TabCalc[[#This Row],[L_S1p]],2)&amp;"x"&amp;TabCalc[[#This Row],[L_S1n]]&amp;"=   "&amp;TEXT(TabCalc[[#This Row],[ReverseB1]],"#,#0"),"")</f>
        <v>90.41x2000=   -18,040</v>
      </c>
      <c r="J33" s="1626">
        <f ca="1">_xlfn.XLOOKUP(NewTrader!$V33,TabCalc[Ticker],ListGravity)</f>
        <v>1.0537966408528612</v>
      </c>
      <c r="K33" s="1627" cm="1">
        <f t="array" aca="1" ref="K33" ca="1">IF(_xlfn.XLOOKUP(NewTrader!$V33,NewTrader!$V$3:$V$96,ListExtra_n)&gt;0,_xlfn.XLOOKUP(NewTrader!$V33,NewTrader!$V$3:$V$96,ListExtra_n),"")</f>
        <v>2000</v>
      </c>
      <c r="L33" s="1628">
        <f ca="1">IF(_xlfn.XLOOKUP(NewTrader!$V33,TabCalc[Ticker],ListExtra_n)&gt;0,_xlfn.XLOOKUP(NewTrader!$V33,TabCalc[Ticker],ListExtra_n)*NewTrader!$Y33*_xlfn.XLOOKUP(NewTrader!$V33,TabCalc[Ticker],ListScale),"")</f>
        <v>198860</v>
      </c>
      <c r="M33" s="1629">
        <f ca="1">_xlfn.XLOOKUP(NewTrader!$V33,TabCalc[Ticker],TabCalc[Agiotage])</f>
        <v>1.2314631296255434</v>
      </c>
      <c r="N33" s="1630" cm="1">
        <f t="array" aca="1" ref="N33" ca="1">_xlfn.XLOOKUP(NewTrader!$V33,ListTickers,Tab2RSIConventional[RSIConv20])</f>
        <v>23</v>
      </c>
      <c r="O33" s="1631" t="str">
        <f ca="1">TEXT(_xlfn.XLOOKUP(NewTrader!$V33,TabCalc[Ticker],TabCalc[Nbegin]),"#,#0")&amp;": "&amp;_xlfn.XLOOKUP(NewTrader!$V33,TabCalc[Ticker],TabCalc[Pile?])</f>
        <v xml:space="preserve">15,000: </v>
      </c>
      <c r="P33" s="1632">
        <f ca="1">_xlfn.XLOOKUP(NewTrader!$V33,TabCalc[Ticker],TabCalc[L_Bn])</f>
        <v>2000</v>
      </c>
      <c r="Q33" s="1727">
        <f ca="1">_xlfn.XLOOKUP(NewTrader!$V33,TabCalc[Ticker],TabCalc[L_Bp])</f>
        <v>-78.88</v>
      </c>
      <c r="R33" s="1634">
        <f ca="1">(NewTrader!$Y33+NewTrader!$Q33)/ABS(NewTrader!$Q33)</f>
        <v>0.26052231237322532</v>
      </c>
      <c r="S33" s="259">
        <f ca="1">INT(_xlfn.XLOOKUP(NewTrader!$V33,TabCalc[Ticker],TabCalc[Rev(MinStock)])*Comm_Net)</f>
        <v>40878</v>
      </c>
      <c r="T33" s="1635">
        <f ca="1">_xlfn.XLOOKUP(NewTrader!$V33,TabCalc[Ticker],TabCalc[Agiotage])</f>
        <v>1.2314631296255434</v>
      </c>
      <c r="U33" s="1719"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75,310/75,310=&gt;5.3% / 5.3%</v>
      </c>
      <c r="V33" s="1578" t="str">
        <f ca="1">SORTING!B33</f>
        <v>NEM</v>
      </c>
      <c r="W33" s="1637">
        <f ca="1">_xlfn.XLOOKUP(NewTrader!$V33,TabCalc[Ticker],TabCalc[Y])</f>
        <v>104.779</v>
      </c>
      <c r="X33" s="1639">
        <f ca="1">-_xlfn.XLOOKUP(NewTrader!$V33&amp;2,Consolid!B$3:JZ$3,Consolid!B$4:JZ$4)</f>
        <v>67.009778907882335</v>
      </c>
      <c r="Y33" s="1639">
        <f ca="1">_xlfn.XLOOKUP(NewTrader!$V33,TabCalc[Ticker],TabCalc[M])</f>
        <v>99.43</v>
      </c>
      <c r="Z33" s="1640">
        <f ca="1">_xlfn.XLOOKUP(NewTrader!$V33,[1]!RTData[Ticker_Symbol],[1]!RTData[YTChange])</f>
        <v>0.29197287299630093</v>
      </c>
      <c r="AA33" s="1640" cm="1">
        <f t="array" aca="1" ref="AA33" ca="1">_xlfn.XLOOKUP(NewTrader!$V33,ListTickers,Tab1ChangePercent[Change%19])</f>
        <v>5.3284000000000005E-2</v>
      </c>
      <c r="AB33" s="1641">
        <f ca="1">_xlfn.XLOOKUP(NewTrader!$V33,TabCalc[Ticker],TabCalc[NAfter])</f>
        <v>17000</v>
      </c>
      <c r="AC33" s="1641">
        <f ca="1">_xlfn.XLOOKUP(NewTrader!$V33,TabCalc[Ticker],TabCalc[Nbegin])</f>
        <v>15000</v>
      </c>
      <c r="AD33" s="1642" t="str">
        <f ca="1">_xlfn.LET(_xlpm.PILE,_xlfn.XLOOKUP(NewTrader!$V33,TabCalc[Ticker],TabCalc[Pile?]),                    _xlpm.GL,_xlfn.XLOOKUP(NewTrader!$V33,TabCalc[Ticker],TabCalc[GL]),                        _xlpm.GLK,_xlfn.XLOOKUP(NewTrader!$V33,TabCalc[Ticker],TabCalc[GL])/1000,                             _xlpm.MVal,_xlfn.XLOOKUP(NewTrader!$V33,TabCalc[Ticker],TabCalc[M_V])/1000,                   _xlpm.PILE&amp;" "&amp;IF(_xlpm.GL&lt;0,TEXT(_xlpm.GLK,"#,#0")&amp;"K /"&amp;TEXT(_xlpm.MVal,"#,#0")&amp;" K$","^"&amp;TEXT(_xlpm.GLK,"#,#0")&amp;"K / "&amp;TEXT(_xlpm.MVal,"#,#0")&amp;" K$"))</f>
        <v xml:space="preserve"> ^1,479K / 1,686 K$</v>
      </c>
      <c r="AE33" s="1643" t="str">
        <f ca="1">_xlfn.XLOOKUP(NewTrader!$V33,[1]!RTData[Ticker_Symbol],[1]!RTData[Currency])</f>
        <v>USD</v>
      </c>
      <c r="AF33" s="1721"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Sell More</v>
      </c>
      <c r="AG3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17,000 x 67.01</v>
      </c>
      <c r="AH33" s="1744" t="str" cm="1">
        <f t="array" aca="1" ref="AH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67.01 -  99.43 - 104.78</v>
      </c>
      <c r="AI33"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5.3%</v>
      </c>
      <c r="AJ33" s="1739" t="str" cm="1">
        <f t="array" aca="1" ref="AJ33" ca="1">_xlfn.IFS(Tab_NewTRADER[[#This Row],[State]]="Sell More",TEXT(MIN(Tab_NewTRADER[[#This Row],[N]],Tab_NewTRADER[[#This Row],[L_Bn]])*(Tab_NewTRADER[[#This Row],[M]]-Tab_NewTRADER[[#This Row],[L_Sp]])*Tab_NewTRADER[[#This Row],[Scale]]*ComFactor,"#,#0"), TRUE,"M= "&amp;TEXT(Tab_NewTRADER[[#This Row],[M]],"#,#0.00"))</f>
        <v>160</v>
      </c>
      <c r="AK33" s="1699" t="str" cm="1">
        <f t="array" aca="1" ref="AK33" ca="1">_xlfn.IFS(Tab_NewTRADER[[#This Row],[Y]]&gt;Tab_NewTRADER[[#This Row],[A]],                 TEXT(MIN(Tab_NewTRADER[[#This Row],[L_Bn]],Tab_NewTRADER[[#This Row],[N]])*(Tab_NewTRADER[[#This Row],[M]]-Tab_NewTRADER[[#This Row],[A]])*Tab_NewTRADER[[#This Row],[Scale]]*ComFactor,"#,#0"), TRUE,0)</f>
        <v>64,672</v>
      </c>
      <c r="AL33" s="1700" cm="1">
        <f t="array" aca="1" ref="AL33" ca="1">_xlfn.IFS(Tab_NewTRADER[[#This Row],[M]]&gt;Tab_NewTRADER[[#This Row],[A]],                  Tab_NewTRADER[[#This Row],[N]]*(Tab_NewTRADER[[#This Row],[M]]-Tab_NewTRADER[[#This Row],[A]])*Tab_NewTRADER[[#This Row],[Scale]]*ComFactor, TRUE,0)</f>
        <v>549710.78479372873</v>
      </c>
      <c r="AM33" s="1592" t="str">
        <f ca="1">_xlfn.XLOOKUP(Tab_NewTRADER[[#This Row],[Show]],TabCalc[Ticker],TabCalc[Max_Bn])&amp;" x "&amp;TEXT(_xlfn.XLOOKUP(Tab_NewTRADER[[#This Row],[Show]],TabCalc[Ticker],TabCalc[Max_Bp]),"#,#0.00")</f>
        <v>2000 x 86.41</v>
      </c>
      <c r="AN33" s="1650" t="str">
        <f ca="1">NewTrader!$V33</f>
        <v>NEM</v>
      </c>
      <c r="AO33" s="1651" t="str">
        <f ca="1">TEXT(_xlfn.XLOOKUP(Tab_NewTRADER[[#This Row],[ClickTick]],TabCalc[Ticker],TabCalc[NAfter]),"#,#0")&amp;"x"&amp;_xlfn.XLOOKUP(Tab_NewTRADER[[#This Row],[ClickTick]],TabCalc[Ticker],TabCalc[M])&amp;"           (A: "&amp;TEXT(-_xlfn.XLOOKUP(Tab_NewTRADER[[#This Row],[ClickTick]]&amp;2,Consolid!B$3:JZ$3,Consolid!B$4:JZ$4),"#,??0.00")&amp;")"</f>
        <v>17,000x99.43           (A:  67.01)</v>
      </c>
      <c r="AP33" s="1592" t="str">
        <f ca="1">_xlfn.XLOOKUP(Tab_NewTRADER[[#This Row],[Show]],TabCalc[Ticker],TabCalc[Min_Sn])&amp;" x "&amp;TEXT(_xlfn.XLOOKUP(Tab_NewTRADER[[#This Row],[Show]],TabCalc[Ticker],TabCalc[Min_Sp]),"#,#0.00")</f>
        <v>200 x 38.51</v>
      </c>
      <c r="AQ3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99.35 ;           17,000 x 67.01</v>
      </c>
      <c r="AR33" s="1702" t="str" cm="1">
        <f t="array" aca="1" ref="AR33" ca="1">_xlfn.IFS(Tab_NewTRADER[[#This Row],[State]]="Reverse Buy",TEXT(-Tab_NewTRADER[[#This Row],[Buy_Back]],"#,#0")&amp;" / "&amp;TEXT(Tab_NewTRADER[[#This Row],[Rev_Buy]],"#,#0.0%"),TRUE,Tab_NewTRADER[[#This Row],[AMY]])</f>
        <v xml:space="preserve">  67.01 -  99.43 - 104.78</v>
      </c>
      <c r="AS33" s="1651"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99"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99" t="str" cm="1">
        <f t="array" aca="1" ref="AU33" ca="1">_xlfn.IFS(Tab_NewTRADER[[#This Row],[M]]&lt;Tab_NewTRADER[[#This Row],[A]],TEXT(Tab_NewTRADER[[#This Row],[N]]*Tab_NewTRADER[[#This Row],[M]]*Tab_NewTRADER[[#This Row],[Scale]]*Comm_Net,"#,#0")&amp;" @ "&amp;TEXT(Tab_NewTRADER[[#This Row],[M]],"#,#0.#0"),TRUE,"M: "&amp; Tab_NewTRADER[[#This Row],[M]])</f>
        <v>M: 99.43</v>
      </c>
      <c r="AV33" s="1722" cm="1">
        <f t="array" aca="1" ref="AV33" ca="1">-_xlfn.XLOOKUP(
    Tab_NewTRADER[[#This Row],[Show]] &amp; 2,
    TabConsolid[#Headers],
    INDEX(TabConsolid[], 1, 0)
)</f>
        <v>67.009778907882335</v>
      </c>
      <c r="AW33" s="1710">
        <f ca="1">Tab_NewTRADER[[#This Row],[M]]*Tab_NewTRADER[[#This Row],[N]]*(1-Commission)*Tab_NewTRADER[[#This Row],[Scale]]</f>
        <v>1685915.1939999999</v>
      </c>
      <c r="AX33" s="1705"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705"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706" t="str" cm="1">
        <f t="array" aca="1" ref="AZ33" ca="1">_xlfn.IFS(   Tab_NewTRADER[[#This Row],[State]]=SellMorePercentGain,                     MIN(Tab_NewTRADER[[#This Row],[L_Sn]],Tab_NewTRADER[[#This Row],[N]])*(Tab_NewTRADER[[#This Row],[M]]-Tab_NewTRADER[[#This Row],[L_Sp]])*(1-Commission)*Tab_NewTRADER[[#This Row],[Scale]],                    TRUE,"")</f>
        <v/>
      </c>
      <c r="BA33" s="1707">
        <f ca="1">_xlfn.XLOOKUP(NewTrader!$V33,TabCalc[Ticker],TabCalc[Ann%RevLB])</f>
        <v>2.5348116879557057</v>
      </c>
      <c r="BB33" s="1708" t="str">
        <f ca="1">_xlfn.XLOOKUP(NewTrader!$V33,TabCalc[Ticker],TabCalc[Up20])</f>
        <v>/100/80%</v>
      </c>
      <c r="BC33" s="1725"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706" t="str" cm="1">
        <f t="array" aca="1" ref="BD33" ca="1">_xlfn.IFS(         NewTrader!$AF33=MDown,NewTrader!$P33*NewTrader!$Y33*(-(NewTrader!$Q33+NewTrader!$Y33)/NewTrader!$Y33)*(1-Commission)*NewTrader!$A33,                               TRUE,"")</f>
        <v/>
      </c>
      <c r="BE33" s="1705" t="str" cm="1">
        <f t="array" aca="1" ref="BE33" ca="1">_xlfn.IFS(   NewTrader!$AF33=MUp,NewTrader!$BP33-Commission,        NewTrader!$AF33=MDown,(NewTrader!$X33-NewTrader!$Y33)/NewTrader!$Y33-Commission,                              TRUE,"")</f>
        <v/>
      </c>
      <c r="BF33" s="1710"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710" t="e" cm="1">
        <f t="array" aca="1" ref="BG33" ca="1">_xlfn.LET(_xlpm.SumChTxt,TEXT(_xlfn.XLOOKUP(NewTrader!$V33,ListTickers,Tab2SumChangePercent[AVGChan20]),"#0.0%"),
      _xlfn.IFS(NewTrader!$AF33=NoStock,_xlpm.SumChTxt,
      TRUE, IF(NewTrader!$AF33=SellMorePercentGain,             "SumChange "&amp;_xlpm.SumChTxt,                         "&lt;"&amp;INT(_xlfn.XLOOKUP(NewTrader!$V33,ListTickers,Tab2ReverseGL[Rev_GL19]))&amp;    "&lt;"&amp;INT(_xlfn.XLOOKUP(NewTrader!$V33,ListTickers,Tab2ReverseGL[Rev_GL18]))&amp;":      "&amp;_xlpm.SumChTxt)))</f>
        <v>#VALUE!</v>
      </c>
      <c r="BH33" s="1711"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2,000x32.42</v>
      </c>
      <c r="BI33" s="1712" cm="1">
        <f t="array" aca="1" ref="BI33" ca="1">_xlfn.IFS(NewTrader!$AF33=Sale_Back,"",         NewTrader!$AF33=MDown, (NewTrader!$Y33-NewTrader!$X33)/NewTrader!$X33*ComFactor,             TRUE, IFERROR((NewTrader!$Y33-NewTrader!$X33)/NewTrader!$X33*ComFactor,""))</f>
        <v>0.48255536795204229</v>
      </c>
      <c r="BJ33" s="1664" cm="1">
        <f t="array" aca="1" ref="BJ33" ca="1">_xlfn.IFS(               NewTrader!$AF33=NoStock,(NewTrader!$BL33-NewTrader!$Y33)/NewTrader!$Y33-Commission,             NewTrader!$X33&lt;&gt;0,(NewTrader!$X33-NewTrader!$Y33)/NewTrader!$Y33-Commission)</f>
        <v>-0.32866075723743005</v>
      </c>
      <c r="BK33" s="1726">
        <f ca="1">_xlfn.XLOOKUP(NewTrader!$V33,TabCalc[Ticker],TabCalc[L_Sn])</f>
        <v>1000</v>
      </c>
      <c r="BL33" s="1727">
        <f ca="1">_xlfn.XLOOKUP(NewTrader!$V33,TabCalc[Ticker],TabCalc[L_Sp])</f>
        <v>99.35</v>
      </c>
      <c r="BM33" s="1634">
        <f ca="1">-IFERROR((Tab_NewTRADER[[#This Row],[M]]-Tab_NewTRADER[[#This Row],[L_Sp]])/Tab_NewTRADER[[#This Row],[L_Sp]],0)</f>
        <v>-8.0523402113751898E-4</v>
      </c>
      <c r="BN33" s="1728">
        <f ca="1">MIN(Tab_NewTRADER[[#This Row],[L_Sn]],Tab_NewTRADER[[#This Row],[N]])*(Tab_NewTRADER[[#This Row],[M]]-Tab_NewTRADER[[#This Row],[L_Sp]])*Comm_Net*Tab_NewTRADER[[#This Row],[Scale]]</f>
        <v>79.784000000012469</v>
      </c>
      <c r="BO33" s="1715">
        <f ca="1">Tab_NewTRADER[[#This Row],[L_Sn]]*(Tab_NewTRADER[[#This Row],[Agiotage]]-Tab_NewTRADER[[#This Row],[M]])/(Tab_NewTRADER[[#This Row],[L_Bn]]*Tab_NewTRADER[[#This Row],[M]])</f>
        <v>-0.49380738645466399</v>
      </c>
      <c r="BP33" s="1670">
        <f ca="1">IFERROR((Tab_NewTRADER[[#This Row],[M]]-Tab_NewTRADER[[#This Row],[A]])/Tab_NewTRADER[[#This Row],[A]],0)</f>
        <v>0.48381328248650723</v>
      </c>
      <c r="BQ33" s="1671" t="str">
        <f ca="1">TEXT(_xlfn.XLOOKUP(Tab_NewTRADER[[#This Row],[ClickTick]],TabCalc[Ticker],TabCalc[NAfter]),"#,#0")&amp;" : "&amp;TEXT(_xlfn.XLOOKUP(Tab_NewTRADER[[#This Row],[ClickTick]],TabCalc[Ticker],TabCalc[NAfter])*(Tab_NewTRADER[[#This Row],[M]]-Tab_NewTRADER[[#This Row],[A]])*(1-Commission)*Tab_NewTRADER[[#This Row],[Scale]],"#,#0$")</f>
        <v>17,000 : 549,711$</v>
      </c>
      <c r="BR33" s="259">
        <f ca="1">_xlfn.XLOOKUP(NewTrader!$V33,TabCalc[[#This Row],[Ticker]],TabCalc[[#This Row],[GL]])*(1-Commission)</f>
        <v>1475577.9701623351</v>
      </c>
      <c r="BS33" s="259"/>
      <c r="BT33" s="1672" t="str">
        <f ca="1">Tab_NewTRADER[[#This Row],[Show]]&amp;": "&amp;_xlfn.XLOOKUP(Tab_NewTRADER[[#This Row],[Show]],TabCalc[Ticker],TabCalc[Pile?])</f>
        <v xml:space="preserve">NEM: </v>
      </c>
      <c r="BU33" s="1717" t="s">
        <v>2045</v>
      </c>
      <c r="BV33" s="1674" t="str" cm="1">
        <f t="array" aca="1" ref="BV33" ca="1">_xlfn.TEXTJOIN("",,INDEX({"M","A","Y"}, _xlfn.SORTBY({1,2,3}, -CHOOSE({1,2,3}, Tab_NewTRADER[[#This Row],[M]], Tab_NewTRADER[[#This Row],[A]], Tab_NewTRADER[[#This Row],[Y]]))))</f>
        <v>YMA</v>
      </c>
      <c r="BW33" s="1675"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76">
        <f ca="1">Tab_NewTRADER[[#This Row],[L_Sn]]*Tab_NewTRADER[[#This Row],[L_Sp]]+Tab_NewTRADER[[#This Row],[SellMore]]*Tab_NewTRADER[[#This Row],[M]]</f>
        <v>298210</v>
      </c>
      <c r="BY33" s="1676">
        <f ca="1">INDEX(
  INDEX(TabConsolid[], , _xlfn.XMATCH(Tab_NewTRADER[[#This Row],[ClickTick]]&amp;1, TabConsolid[#Headers])),
  MATCH(
    -Tab_NewTRADER[[#This Row],[M]],
    INDEX(TabConsolid[], , _xlfn.XMATCH(Tab_NewTRADER[[#This Row],[ClickTick]]&amp;2, TabConsolid[#Headers])),
    -1
  )
)</f>
        <v>2000</v>
      </c>
      <c r="BZ33" s="1676"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2000</v>
      </c>
      <c r="CA33" s="1677">
        <f ca="1">Tab_NewTRADER[[#This Row],[ReBuy]]/(Tab_NewTRADER[[#This Row],[L_Sn]]+Tab_NewTRADER[[#This Row],[SellMore]])</f>
        <v>99.403333333333336</v>
      </c>
      <c r="CB33" s="1678">
        <f ca="1">((_xlfn.XLOOKUP(Tab_NewTRADER[[#This Row],[Show]],TabCalc[Ticker],TabCalc[NAfter])+Tab_NewTRADER[[#This Row],[L_Sn]])*(Tab_NewTRADER[[#This Row],[Agiotage]]-Tab_NewTRADER[[#This Row],[M]]))/(Tab_NewTRADER[[#This Row],[L_Sn]]*_xlfn.XLOOKUP(Tab_NewTRADER[[#This Row],[Show]],TabCalc[Ticker],TabCalc[NAfter]))</f>
        <v>-0.1039749213921612</v>
      </c>
      <c r="CC33" s="1677">
        <f ca="1">INDEX(Tab1Price[Price19], MATCH(Tab_NewTRADER[[#This Row],[Show]], Tab_NewTRADER[Show], 0))</f>
        <v>99.43</v>
      </c>
      <c r="CD33" s="1679">
        <f ca="1">_xlfn.XMATCH(Tab_NewTRADER[[#This Row],[Show]]&amp;1, TabConsolid[#Headers])</f>
        <v>92</v>
      </c>
      <c r="CE33" s="1678"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729" t="str" cm="1">
        <f t="array" aca="1" ref="CF33" ca="1">_xlfn.LET(
    _xlpm.FMT, _xlfn.LAMBDA(_xlpm.n, REPT(" ", 7 - LEN(TEXT(_xlpm.n,"0.00"))) &amp; TEXT(_xlpm.n,"0.00")),
    _xlpm.FMT(Tab_NewTRADER[[#This Row],[A]]) &amp; " -" &amp; _xlpm.FMT(Tab_NewTRADER[[#This Row],[M]]) &amp; " -" &amp; _xlpm.FMT(Tab_NewTRADER[[#This Row],[Y]])
)</f>
        <v xml:space="preserve">  67.01 -  99.43 - 104.78</v>
      </c>
      <c r="CG33" s="1730" t="str" cm="1">
        <f t="array" aca="1" ref="CG33" ca="1">_xlfn.LET(
    _xlpm.W, 7,
    _xlpm.FMT, _xlfn.LAMBDA(_xlpm.n, REPT(" ", _xlpm.W - LEN(TEXT(_xlpm.n,"0.00"))) &amp; TEXT(_xlpm.n,"0.00")),
    _xlpm.FMT(Tab_NewTRADER[[#This Row],[A]]) &amp; " * " &amp; _xlpm.FMT(Tab_NewTRADER[[#This Row],[M]]) &amp; " * " &amp; _xlpm.FMT(Tab_NewTRADER[[#This Row],[Y]])
)</f>
        <v xml:space="preserve">  67.01 *   99.43 *  104.78</v>
      </c>
      <c r="CH33" s="1842">
        <f>0</f>
        <v>0</v>
      </c>
      <c r="CI33" t="b">
        <f ca="1">IF(ABS(NewTrader!$Q33)&gt;=NewTrader!$Y33,"OK")</f>
        <v>0</v>
      </c>
    </row>
    <row r="34" spans="1:87" hidden="1">
      <c r="A34" s="1839">
        <f ca="1">IF(_xlfn.XLOOKUP(NewTrader!$V34,TabCalc[Ticker],TabCalc[Cur])="GBp",0.01,1)</f>
        <v>1</v>
      </c>
      <c r="B34" s="1681" t="str">
        <f ca="1">IFERROR(TRUNC(_xlfn.XLOOKUP(NewTrader!$V34,TabCalc[Ticker],ListLastBuyp),2)&amp;"x"&amp;_xlfn.XLOOKUP(NewTrader!$V34,TabCalc[Ticker],ListLastBuyn)&amp;"=    "&amp;IF(_xlfn.XLOOKUP(NewTrader!$V34,TabCalc[Ticker],ListReverseS)&gt;0,"+","")&amp;TEXT(_xlfn.XLOOKUP(NewTrader!$V34,TabCalc[Ticker],ListReverseS),"#,#0")&amp;" "&amp;#REF!,"")</f>
        <v/>
      </c>
      <c r="C34" s="1682" t="str">
        <f ca="1">_xlfn.XLOOKUP(NewTrader!$V34,TabCalc[Ticker],ListResale)&amp;" @ "&amp;TEXT((_xlfn.XLOOKUP(NewTrader!$V34,TabCalc[Ticker],TabCalc[L_Bp])+_xlfn.XLOOKUP(NewTrader!$V34,TabCalc[Ticker],TabCalc[M]))/_xlfn.XLOOKUP(NewTrader!$V34,TabCalc[Ticker],TabCalc[M]),"#0.0%")</f>
        <v>Resell @ 1.7%</v>
      </c>
      <c r="D34" s="1683"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84" t="str">
        <f ca="1">IF(      AND(NewTrader!$X34&lt;NewTrader!$Y34,    _xlfn.XLOOKUP(NewTrader!$V34,TabCalc[Ticker],TabCalc[L_Sp])&gt;NewTrader!$Y34),"BUY  "&amp;TEXT(DesiredBuyGain/NewTrader!$A34/(_xlfn.XLOOKUP(NewTrader!$V34,TabCalc[Ticker],TabCalc[L_Sp])-NewTrader!$Y34),"#,##0"),"")</f>
        <v/>
      </c>
      <c r="F34" s="1681" t="str">
        <f ca="1">TRUNC(TabCalc[[#This Row],[L_B1p]],2)&amp;"x"&amp;TabCalc[[#This Row],[L_B1n]]&amp;"=   "&amp;TEXT(TabCalc[[#This Row],[ReverseS1]],"#,#0")&amp;"$"</f>
        <v>-95.88x2000=   -3,586$</v>
      </c>
      <c r="G34" s="1685" t="str">
        <f ca="1">IFERROR(TRUNC(_xlfn.XLOOKUP(NewTrader!$V34,TabCalc[Ticker],ListLastSalep),2)&amp;"x"&amp;_xlfn.XLOOKUP(NewTrader!$V34,TabCalc[Ticker],ListLastSalen)&amp;"=   "&amp;TEXT(-_xlfn.XLOOKUP(NewTrader!$V34,TabCalc[Ticker],ListReverseB),"#,#0")&amp;"$","")</f>
        <v>123.35x1000=   -29,266$</v>
      </c>
      <c r="H34" s="1686"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31.1% = 171</v>
      </c>
      <c r="I34" s="1681" t="str">
        <f ca="1">IFERROR(TRUNC(TabCalc[[#This Row],[L_S1p]],2)&amp;"x"&amp;TabCalc[[#This Row],[L_S1n]]&amp;"=   "&amp;TEXT(TabCalc[[#This Row],[ReverseB1]],"#,#0"),"")</f>
        <v>123.53x1000=   29,443</v>
      </c>
      <c r="J34" s="1687">
        <f ca="1">_xlfn.XLOOKUP(NewTrader!$V34,TabCalc[Ticker],ListGravity)</f>
        <v>1.4179237963651823</v>
      </c>
      <c r="K34" s="1688" cm="1">
        <f t="array" aca="1" ref="K34" ca="1">IF(_xlfn.XLOOKUP(NewTrader!$V34,NewTrader!$V$3:$V$96,ListExtra_n)&gt;0,_xlfn.XLOOKUP(NewTrader!$V34,NewTrader!$V$3:$V$96,ListExtra_n),"")</f>
        <v>32000</v>
      </c>
      <c r="L34" s="1689">
        <f ca="1">IF(_xlfn.XLOOKUP(NewTrader!$V34,TabCalc[Ticker],ListExtra_n)&gt;0,_xlfn.XLOOKUP(NewTrader!$V34,TabCalc[Ticker],ListExtra_n)*NewTrader!$Y34*_xlfn.XLOOKUP(NewTrader!$V34,TabCalc[Ticker],ListScale),"")</f>
        <v>3010880</v>
      </c>
      <c r="M34" s="1690">
        <f ca="1">_xlfn.XLOOKUP(NewTrader!$V34,TabCalc[Ticker],TabCalc[Agiotage])</f>
        <v>0.93949121229058552</v>
      </c>
      <c r="N34" s="1691" cm="1">
        <f t="array" aca="1" ref="N34" ca="1">_xlfn.XLOOKUP(NewTrader!$V34,ListTickers,Tab2RSIConventional[RSIConv20])</f>
        <v>21</v>
      </c>
      <c r="O34" s="1631" t="str">
        <f ca="1">TEXT(_xlfn.XLOOKUP(NewTrader!$V34,TabCalc[Ticker],TabCalc[Nbegin]),"#,#0")&amp;": "&amp;_xlfn.XLOOKUP(NewTrader!$V34,TabCalc[Ticker],TabCalc[Pile?])</f>
        <v xml:space="preserve">4,000: </v>
      </c>
      <c r="P34" s="1692">
        <f ca="1">_xlfn.XLOOKUP(NewTrader!$V34,TabCalc[Ticker],TabCalc[L_Bn])</f>
        <v>1000</v>
      </c>
      <c r="Q34" s="1731">
        <f ca="1">_xlfn.XLOOKUP(NewTrader!$V34,TabCalc[Ticker],TabCalc[L_Bp])</f>
        <v>-92.48</v>
      </c>
      <c r="R34" s="1694">
        <f ca="1">(NewTrader!$Y34+NewTrader!$Q34)/ABS(NewTrader!$Q34)</f>
        <v>1.7409169550173003E-2</v>
      </c>
      <c r="S34" s="262">
        <f ca="1">INT(_xlfn.XLOOKUP(NewTrader!$V34,TabCalc[Ticker],TabCalc[Rev(MinStock)])*Comm_Net)</f>
        <v>1600</v>
      </c>
      <c r="T34" s="1635">
        <f ca="1">_xlfn.XLOOKUP(NewTrader!$V34,TabCalc[Ticker],TabCalc[Agiotage])</f>
        <v>0.93949121229058552</v>
      </c>
      <c r="U34" s="1695"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10,800/10,800=&gt;1.5% / 1.5%</v>
      </c>
      <c r="V34" s="1578" t="str">
        <f ca="1">SORTING!B34</f>
        <v>NFLX</v>
      </c>
      <c r="W34" s="1637">
        <f ca="1">_xlfn.XLOOKUP(NewTrader!$V34,TabCalc[Ticker],TabCalc[Y])</f>
        <v>133.41245000000001</v>
      </c>
      <c r="X34" s="1639">
        <f ca="1">-_xlfn.XLOOKUP(NewTrader!$V34&amp;2,Consolid!B$3:JZ$3,Consolid!B$4:JZ$4)</f>
        <v>111.38831573142856</v>
      </c>
      <c r="Y34" s="1639">
        <f ca="1">_xlfn.XLOOKUP(NewTrader!$V34,TabCalc[Ticker],TabCalc[M])</f>
        <v>94.09</v>
      </c>
      <c r="Z34" s="1640">
        <f ca="1">_xlfn.XLOOKUP(NewTrader!$V34,[1]!RTData[Ticker_Symbol],[1]!RTData[YTChange])</f>
        <v>1.2418492690304153</v>
      </c>
      <c r="AA34" s="1640" cm="1">
        <f t="array" aca="1" ref="AA34" ca="1">_xlfn.XLOOKUP(NewTrader!$V34,ListTickers,Tab1ChangePercent[Change%19])</f>
        <v>1.4884999999999999E-2</v>
      </c>
      <c r="AB34" s="1641">
        <f ca="1">_xlfn.XLOOKUP(NewTrader!$V34,TabCalc[Ticker],TabCalc[NAfter])</f>
        <v>36000</v>
      </c>
      <c r="AC34" s="1641">
        <f ca="1">_xlfn.XLOOKUP(NewTrader!$V34,TabCalc[Ticker],TabCalc[Nbegin])</f>
        <v>4000</v>
      </c>
      <c r="AD34" s="1642" t="str">
        <f ca="1">_xlfn.LET(_xlpm.PILE,_xlfn.XLOOKUP(NewTrader!$V34,TabCalc[Ticker],TabCalc[Pile?]),                    _xlpm.GL,_xlfn.XLOOKUP(NewTrader!$V34,TabCalc[Ticker],TabCalc[GL]),                        _xlpm.GLK,_xlfn.XLOOKUP(NewTrader!$V34,TabCalc[Ticker],TabCalc[GL])/1000,                             _xlpm.MVal,_xlfn.XLOOKUP(NewTrader!$V34,TabCalc[Ticker],TabCalc[M_V])/1000,                   _xlpm.PILE&amp;" "&amp;IF(_xlpm.GL&lt;0,TEXT(_xlpm.GLK,"#,#0")&amp;"K /"&amp;TEXT(_xlpm.MVal,"#,#0")&amp;" K$","^"&amp;TEXT(_xlpm.GLK,"#,#0")&amp;"K / "&amp;TEXT(_xlpm.MVal,"#,#0")&amp;" K$"))</f>
        <v xml:space="preserve"> ^934K / 3,378 K$</v>
      </c>
      <c r="AE34" s="1643" t="str">
        <f ca="1">_xlfn.XLOOKUP(NewTrader!$V34,[1]!RTData[Ticker_Symbol],[1]!RTData[Currency])</f>
        <v>USD</v>
      </c>
      <c r="AF34" s="1721"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92.48     /       36,000 x 111.39</v>
      </c>
      <c r="AH34" s="1646" t="str" cm="1">
        <f t="array" aca="1" ref="AH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1,601 @ 94.09 : (1.7%, 626.7%)</v>
      </c>
      <c r="AI3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34" s="1651" t="str" cm="1">
        <f t="array" aca="1" ref="AJ34" ca="1">_xlfn.IFS(Tab_NewTRADER[[#This Row],[State]]="Sell More",TEXT(MIN(Tab_NewTRADER[[#This Row],[N]],Tab_NewTRADER[[#This Row],[L_Bn]])*(Tab_NewTRADER[[#This Row],[M]]-Tab_NewTRADER[[#This Row],[L_Sp]])*Tab_NewTRADER[[#This Row],[Scale]]*ComFactor,"#,#0"), TRUE,"M= "&amp;TEXT(Tab_NewTRADER[[#This Row],[M]],"#,#0.00"))</f>
        <v>M= 94.09</v>
      </c>
      <c r="AK34" s="1699" t="str" cm="1">
        <f t="array" aca="1" ref="AK34" ca="1">_xlfn.IFS(Tab_NewTRADER[[#This Row],[Y]]&gt;Tab_NewTRADER[[#This Row],[A]],                 TEXT(MIN(Tab_NewTRADER[[#This Row],[L_Bn]],Tab_NewTRADER[[#This Row],[N]])*(Tab_NewTRADER[[#This Row],[M]]-Tab_NewTRADER[[#This Row],[A]])*Tab_NewTRADER[[#This Row],[Scale]]*ComFactor,"#,#0"), TRUE,0)</f>
        <v>-17,253</v>
      </c>
      <c r="AL34" s="1700" cm="1">
        <f t="array" aca="1" ref="AL34" ca="1">_xlfn.IFS(Tab_NewTRADER[[#This Row],[M]]&gt;Tab_NewTRADER[[#This Row],[A]],                  Tab_NewTRADER[[#This Row],[N]]*(Tab_NewTRADER[[#This Row],[M]]-Tab_NewTRADER[[#This Row],[A]])*Tab_NewTRADER[[#This Row],[Scale]]*ComFactor, TRUE,0)</f>
        <v>0</v>
      </c>
      <c r="AM34" s="1592" t="str">
        <f ca="1">_xlfn.XLOOKUP(Tab_NewTRADER[[#This Row],[Show]],TabCalc[Ticker],TabCalc[Max_Bn])&amp;" x "&amp;TEXT(_xlfn.XLOOKUP(Tab_NewTRADER[[#This Row],[Show]],TabCalc[Ticker],TabCalc[Max_Bp]),"#,#0.00")</f>
        <v>4000 x 120.90</v>
      </c>
      <c r="AN34" s="1650" t="str">
        <f ca="1">NewTrader!$V34</f>
        <v>NFLX</v>
      </c>
      <c r="AO34" s="1651" t="str">
        <f ca="1">TEXT(_xlfn.XLOOKUP(Tab_NewTRADER[[#This Row],[ClickTick]],TabCalc[Ticker],TabCalc[NAfter]),"#,#0")&amp;"x"&amp;_xlfn.XLOOKUP(Tab_NewTRADER[[#This Row],[ClickTick]],TabCalc[Ticker],TabCalc[M])&amp;"           (A: "&amp;TEXT(-_xlfn.XLOOKUP(Tab_NewTRADER[[#This Row],[ClickTick]]&amp;2,Consolid!B$3:JZ$3,Consolid!B$4:JZ$4),"#,??0.00")&amp;")"</f>
        <v>36,000x94.09           (A: 111.39)</v>
      </c>
      <c r="AP34" s="1592" t="str">
        <f ca="1">_xlfn.XLOOKUP(Tab_NewTRADER[[#This Row],[Show]],TabCalc[Ticker],TabCalc[Min_Sn])&amp;" x "&amp;TEXT(_xlfn.XLOOKUP(Tab_NewTRADER[[#This Row],[Show]],TabCalc[Ticker],TabCalc[Min_Sp]),"#,#0.00")</f>
        <v>1000 x 60.87</v>
      </c>
      <c r="AQ3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111.39</v>
      </c>
      <c r="AR34" s="1702" t="str" cm="1">
        <f t="array" aca="1" ref="AR34" ca="1">_xlfn.IFS(Tab_NewTRADER[[#This Row],[State]]="Reverse Buy",TEXT(-Tab_NewTRADER[[#This Row],[Buy_Back]],"#,#0")&amp;" / "&amp;TEXT(Tab_NewTRADER[[#This Row],[Rev_Buy]],"#,#0.0%"),TRUE,Tab_NewTRADER[[#This Row],[AMY]])</f>
        <v xml:space="preserve"> 111.39 -  94.09 - 133.41</v>
      </c>
      <c r="AS34" s="1651"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-57,809       / -01.7%</v>
      </c>
      <c r="AT34" s="1699"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-621,120   / -18.4%</v>
      </c>
      <c r="AU34" s="1699" t="str" cm="1">
        <f t="array" aca="1" ref="AU34" ca="1">_xlfn.IFS(Tab_NewTRADER[[#This Row],[M]]&lt;Tab_NewTRADER[[#This Row],[A]],TEXT(Tab_NewTRADER[[#This Row],[N]]*Tab_NewTRADER[[#This Row],[M]]*Tab_NewTRADER[[#This Row],[Scale]]*Comm_Net,"#,#0")&amp;" @ "&amp;TEXT(Tab_NewTRADER[[#This Row],[M]],"#,#0.#0"),TRUE,"M: "&amp; Tab_NewTRADER[[#This Row],[M]])</f>
        <v>3,378,094 @ 94.09</v>
      </c>
      <c r="AV34" s="1703" cm="1">
        <f t="array" aca="1" ref="AV34" ca="1">-_xlfn.XLOOKUP(
    Tab_NewTRADER[[#This Row],[Show]] &amp; 2,
    TabConsolid[#Headers],
    INDEX(TabConsolid[], 1, 0)
)</f>
        <v>111.38831573142856</v>
      </c>
      <c r="AW34" s="1704">
        <f ca="1">Tab_NewTRADER[[#This Row],[M]]*Tab_NewTRADER[[#This Row],[N]]*(1-Commission)*Tab_NewTRADER[[#This Row],[Scale]]</f>
        <v>3378433.176</v>
      </c>
      <c r="AX34" s="1705"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705"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706" t="str" cm="1">
        <f t="array" aca="1" ref="AZ34" ca="1">_xlfn.IFS(   Tab_NewTRADER[[#This Row],[State]]=SellMorePercentGain,                     MIN(Tab_NewTRADER[[#This Row],[L_Sn]],Tab_NewTRADER[[#This Row],[N]])*(Tab_NewTRADER[[#This Row],[M]]-Tab_NewTRADER[[#This Row],[L_Sp]])*(1-Commission)*Tab_NewTRADER[[#This Row],[Scale]],                    TRUE,"")</f>
        <v/>
      </c>
      <c r="BA34" s="1752">
        <f ca="1">_xlfn.XLOOKUP(NewTrader!$V34,TabCalc[Ticker],TabCalc[Ann%RevLB])</f>
        <v>6.2673010380622811</v>
      </c>
      <c r="BB34" s="1708">
        <f ca="1">_xlfn.XLOOKUP(NewTrader!$V34,TabCalc[Ticker],TabCalc[Up20])</f>
        <v>0</v>
      </c>
      <c r="BC34" s="1709"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706" t="str" cm="1">
        <f t="array" aca="1" ref="BD34" ca="1">_xlfn.IFS(         NewTrader!$AF34=MDown,NewTrader!$P34*NewTrader!$Y34*(-(NewTrader!$Q34+NewTrader!$Y34)/NewTrader!$Y34)*(1-Commission)*NewTrader!$A34,                               TRUE,"")</f>
        <v/>
      </c>
      <c r="BE34" s="1705" t="str" cm="1">
        <f t="array" aca="1" ref="BE34" ca="1">_xlfn.IFS(   NewTrader!$AF34=MUp,NewTrader!$BP34-Commission,        NewTrader!$AF34=MDown,(NewTrader!$X34-NewTrader!$Y34)/NewTrader!$Y34-Commission,                              TRUE,"")</f>
        <v/>
      </c>
      <c r="BF34" s="1706"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710" t="str" cm="1">
        <f t="array" aca="1" ref="BG34" ca="1">_xlfn.LET(_xlpm.SumChTxt,TEXT(_xlfn.XLOOKUP(NewTrader!$V34,ListTickers,Tab2SumChangePercent[AVGChan20]),"#0.0%"),
      _xlfn.IFS(NewTrader!$AF34=NoStock,_xlpm.SumChTxt,
      TRUE, IF(NewTrader!$AF34=SellMorePercentGain,             "SumChange "&amp;_xlpm.SumChTxt,                         "&lt;"&amp;INT(_xlfn.XLOOKUP(NewTrader!$V34,ListTickers,Tab2ReverseGL[Rev_GL19]))&amp;    "&lt;"&amp;INT(_xlfn.XLOOKUP(NewTrader!$V34,ListTickers,Tab2ReverseGL[Rev_GL18]))&amp;":      "&amp;_xlpm.SumChTxt)))</f>
        <v>&lt;-1&lt;-1:      0.6%</v>
      </c>
      <c r="BH34" s="1711"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712" cm="1">
        <f t="array" aca="1" ref="BI34" ca="1">_xlfn.IFS(NewTrader!$AF34=Sale_Back,"",         NewTrader!$AF34=MDown, (NewTrader!$Y34-NewTrader!$X34)/NewTrader!$X34*ComFactor,             TRUE, IFERROR((NewTrader!$Y34-NewTrader!$X34)/NewTrader!$X34*ComFactor,""))</f>
        <v>-0.15489362593583736</v>
      </c>
      <c r="BJ34" s="1664" cm="1">
        <f t="array" aca="1" ref="BJ34" ca="1">_xlfn.IFS(               NewTrader!$AF34=NoStock,(NewTrader!$BL34-NewTrader!$Y34)/NewTrader!$Y34-Commission,             NewTrader!$X34&lt;&gt;0,(NewTrader!$X34-NewTrader!$Y34)/NewTrader!$Y34-Commission)</f>
        <v>0.18124861017566754</v>
      </c>
      <c r="BK34" s="1713">
        <f ca="1">_xlfn.XLOOKUP(NewTrader!$V34,TabCalc[Ticker],TabCalc[L_Sn])</f>
        <v>1000</v>
      </c>
      <c r="BL34" s="1693">
        <f ca="1">_xlfn.XLOOKUP(NewTrader!$V34,TabCalc[Ticker],TabCalc[L_Sp])</f>
        <v>123.35599999999999</v>
      </c>
      <c r="BM34" s="1694">
        <f ca="1">-IFERROR((Tab_NewTRADER[[#This Row],[M]]-Tab_NewTRADER[[#This Row],[L_Sp]])/Tab_NewTRADER[[#This Row],[L_Sp]],0)</f>
        <v>0.23724828950355065</v>
      </c>
      <c r="BN34" s="1714">
        <f ca="1">MIN(Tab_NewTRADER[[#This Row],[L_Sn]],Tab_NewTRADER[[#This Row],[N]])*(Tab_NewTRADER[[#This Row],[M]]-Tab_NewTRADER[[#This Row],[L_Sp]])*Comm_Net*Tab_NewTRADER[[#This Row],[Scale]]</f>
        <v>-29186.98179999999</v>
      </c>
      <c r="BO34" s="1715">
        <f ca="1">Tab_NewTRADER[[#This Row],[L_Sn]]*(Tab_NewTRADER[[#This Row],[Agiotage]]-Tab_NewTRADER[[#This Row],[M]])/(Tab_NewTRADER[[#This Row],[L_Bn]]*Tab_NewTRADER[[#This Row],[M]])</f>
        <v>-0.99001497276766304</v>
      </c>
      <c r="BP34" s="1716">
        <f ca="1">IFERROR((Tab_NewTRADER[[#This Row],[M]]-Tab_NewTRADER[[#This Row],[A]])/Tab_NewTRADER[[#This Row],[A]],0)</f>
        <v>-0.15529739917368895</v>
      </c>
      <c r="BQ34" s="1671" t="str">
        <f ca="1">TEXT(_xlfn.XLOOKUP(Tab_NewTRADER[[#This Row],[ClickTick]],TabCalc[Ticker],TabCalc[NAfter]),"#,#0")&amp;" : "&amp;TEXT(_xlfn.XLOOKUP(Tab_NewTRADER[[#This Row],[ClickTick]],TabCalc[Ticker],TabCalc[NAfter])*(Tab_NewTRADER[[#This Row],[M]]-Tab_NewTRADER[[#This Row],[A]])*(1-Commission)*Tab_NewTRADER[[#This Row],[Scale]],"#,#0$")</f>
        <v>36,000 : -621,120$</v>
      </c>
      <c r="BR34" s="262">
        <f ca="1">_xlfn.XLOOKUP(NewTrader!$V34,TabCalc[[#This Row],[Ticker]],TabCalc[[#This Row],[GL]])*(1-Commission)</f>
        <v>931340.60834268364</v>
      </c>
      <c r="BS34" s="262"/>
      <c r="BT34" s="1672" t="str">
        <f ca="1">Tab_NewTRADER[[#This Row],[Show]]&amp;": "&amp;_xlfn.XLOOKUP(Tab_NewTRADER[[#This Row],[Show]],TabCalc[Ticker],TabCalc[Pile?])</f>
        <v xml:space="preserve">NFLX: </v>
      </c>
      <c r="BU34" s="1717" t="s">
        <v>1967</v>
      </c>
      <c r="BV34" s="1674" t="str" cm="1">
        <f t="array" aca="1" ref="BV34" ca="1">_xlfn.TEXTJOIN("",,INDEX({"M","A","Y"}, _xlfn.SORTBY({1,2,3}, -CHOOSE({1,2,3}, Tab_NewTRADER[[#This Row],[M]], Tab_NewTRADER[[#This Row],[A]], Tab_NewTRADER[[#This Row],[Y]]))))</f>
        <v>YAM</v>
      </c>
      <c r="BW34" s="1675"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76" t="e">
        <f ca="1">Tab_NewTRADER[[#This Row],[L_Sn]]*Tab_NewTRADER[[#This Row],[L_Sp]]+Tab_NewTRADER[[#This Row],[SellMore]]*Tab_NewTRADER[[#This Row],[M]]</f>
        <v>#N/A</v>
      </c>
      <c r="BY34" s="1676" t="e">
        <f ca="1">INDEX(
  INDEX(TabConsolid[], , _xlfn.XMATCH(Tab_NewTRADER[[#This Row],[ClickTick]]&amp;1, TabConsolid[#Headers])),
  MATCH(
    -Tab_NewTRADER[[#This Row],[M]],
    INDEX(TabConsolid[], , _xlfn.XMATCH(Tab_NewTRADER[[#This Row],[ClickTick]]&amp;2, TabConsolid[#Headers])),
    -1
  )
)</f>
        <v>#N/A</v>
      </c>
      <c r="BZ34" s="1676"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2000</v>
      </c>
      <c r="CA34" s="1677" t="e">
        <f ca="1">Tab_NewTRADER[[#This Row],[ReBuy]]/(Tab_NewTRADER[[#This Row],[L_Sn]]+Tab_NewTRADER[[#This Row],[SellMore]])</f>
        <v>#N/A</v>
      </c>
      <c r="CB34" s="1678">
        <f ca="1">((_xlfn.XLOOKUP(Tab_NewTRADER[[#This Row],[Show]],TabCalc[Ticker],TabCalc[NAfter])+Tab_NewTRADER[[#This Row],[L_Sn]])*(Tab_NewTRADER[[#This Row],[Agiotage]]-Tab_NewTRADER[[#This Row],[M]]))/(Tab_NewTRADER[[#This Row],[L_Sn]]*_xlfn.XLOOKUP(Tab_NewTRADER[[#This Row],[Show]],TabCalc[Ticker],TabCalc[NAfter]))</f>
        <v>-9.5738022920701341E-2</v>
      </c>
      <c r="CC34" s="1677">
        <f ca="1">INDEX(Tab1Price[Price19], MATCH(Tab_NewTRADER[[#This Row],[Show]], Tab_NewTRADER[Show], 0))</f>
        <v>94.09</v>
      </c>
      <c r="CD34" s="1679">
        <f ca="1">_xlfn.XMATCH(Tab_NewTRADER[[#This Row],[Show]]&amp;1, TabConsolid[#Headers])</f>
        <v>95</v>
      </c>
      <c r="CE34" s="1678"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729" t="str" cm="1">
        <f t="array" aca="1" ref="CF34" ca="1">_xlfn.LET(
    _xlpm.FMT, _xlfn.LAMBDA(_xlpm.n, REPT(" ", 7 - LEN(TEXT(_xlpm.n,"0.00"))) &amp; TEXT(_xlpm.n,"0.00")),
    _xlpm.FMT(Tab_NewTRADER[[#This Row],[A]]) &amp; " -" &amp; _xlpm.FMT(Tab_NewTRADER[[#This Row],[M]]) &amp; " -" &amp; _xlpm.FMT(Tab_NewTRADER[[#This Row],[Y]])
)</f>
        <v xml:space="preserve"> 111.39 -  94.09 - 133.41</v>
      </c>
      <c r="CG34" s="1730" t="str" cm="1">
        <f t="array" aca="1" ref="CG34" ca="1">_xlfn.LET(
    _xlpm.W, 7,
    _xlpm.FMT, _xlfn.LAMBDA(_xlpm.n, REPT(" ", _xlpm.W - LEN(TEXT(_xlpm.n,"0.00"))) &amp; TEXT(_xlpm.n,"0.00")),
    _xlpm.FMT(Tab_NewTRADER[[#This Row],[A]]) &amp; " * " &amp; _xlpm.FMT(Tab_NewTRADER[[#This Row],[M]]) &amp; " * " &amp; _xlpm.FMT(Tab_NewTRADER[[#This Row],[Y]])
)</f>
        <v xml:space="preserve"> 111.39 *   94.09 *  133.41</v>
      </c>
      <c r="CH34" s="1842">
        <f>0</f>
        <v>0</v>
      </c>
      <c r="CI34" t="b">
        <f ca="1">IF(ABS(NewTrader!$Q34)&gt;=NewTrader!$Y34,"OK")</f>
        <v>0</v>
      </c>
    </row>
    <row r="35" spans="1:87" hidden="1">
      <c r="A35" s="1838">
        <f ca="1">IF(_xlfn.XLOOKUP(NewTrader!$V35,TabCalc[Ticker],TabCalc[Cur])="GBp",0.01,1)</f>
        <v>1</v>
      </c>
      <c r="B35" s="1620" t="str">
        <f ca="1">IFERROR(TRUNC(_xlfn.XLOOKUP(NewTrader!$V35,TabCalc[Ticker],ListLastBuyp),2)&amp;"x"&amp;_xlfn.XLOOKUP(NewTrader!$V35,TabCalc[Ticker],ListLastBuyn)&amp;"=    "&amp;IF(_xlfn.XLOOKUP(NewTrader!$V35,TabCalc[Ticker],ListReverseS)&gt;0,"+","")&amp;TEXT(_xlfn.XLOOKUP(NewTrader!$V35,TabCalc[Ticker],ListReverseS),"#,#0")&amp;" "&amp;#REF!,"")</f>
        <v/>
      </c>
      <c r="C35" s="1621" t="str">
        <f ca="1">_xlfn.XLOOKUP(NewTrader!$V35,TabCalc[Ticker],ListResale)&amp;" @ "&amp;TEXT((_xlfn.XLOOKUP(NewTrader!$V35,TabCalc[Ticker],TabCalc[L_Bp])+_xlfn.XLOOKUP(NewTrader!$V35,TabCalc[Ticker],TabCalc[M]))/_xlfn.XLOOKUP(NewTrader!$V35,TabCalc[Ticker],TabCalc[M]),"#0.0%")</f>
        <v>B_more @ -1.6%</v>
      </c>
      <c r="D35" s="1622"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718" t="str">
        <f ca="1">IF(      AND(NewTrader!$X35&lt;NewTrader!$Y35,    _xlfn.XLOOKUP(NewTrader!$V35,TabCalc[Ticker],TabCalc[L_Sp])&gt;NewTrader!$Y35),"BUY  "&amp;TEXT(DesiredBuyGain/NewTrader!$A35/(_xlfn.XLOOKUP(NewTrader!$V35,TabCalc[Ticker],TabCalc[L_Sp])-NewTrader!$Y35),"#,##0"),"")</f>
        <v/>
      </c>
      <c r="F35" s="1620" t="str">
        <f ca="1">TRUNC(TabCalc[[#This Row],[L_B1p]],2)&amp;"x"&amp;TabCalc[[#This Row],[L_B1n]]&amp;"=   "&amp;TEXT(TabCalc[[#This Row],[ReverseS1]],"#,#0")&amp;"$"</f>
        <v>-1.97x10000=   -1,200$</v>
      </c>
      <c r="G35" s="1624" t="str">
        <f ca="1">IFERROR(TRUNC(_xlfn.XLOOKUP(NewTrader!$V35,TabCalc[Ticker],ListLastSalep),2)&amp;"x"&amp;_xlfn.XLOOKUP(NewTrader!$V35,TabCalc[Ticker],ListLastSalen)&amp;"=   "&amp;TEXT(-_xlfn.XLOOKUP(NewTrader!$V35,TabCalc[Ticker],ListReverseB),"#,#0")&amp;"$","")</f>
        <v>0x0=   0$</v>
      </c>
      <c r="H35" s="1625"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620" t="str">
        <f ca="1">IFERROR(TRUNC(TabCalc[[#This Row],[L_S1p]],2)&amp;"x"&amp;TabCalc[[#This Row],[L_S1n]]&amp;"=   "&amp;TEXT(TabCalc[[#This Row],[ReverseB1]],"#,#0"),"")</f>
        <v>0x0=   0</v>
      </c>
      <c r="J35" s="1626">
        <f ca="1">_xlfn.XLOOKUP(NewTrader!$V35,TabCalc[Ticker],ListGravity)</f>
        <v>10.405697297297298</v>
      </c>
      <c r="K35" s="1627" cm="1">
        <f t="array" aca="1" ref="K35" ca="1">IF(_xlfn.XLOOKUP(NewTrader!$V35,NewTrader!$V$3:$V$96,ListExtra_n)&gt;0,_xlfn.XLOOKUP(NewTrader!$V35,NewTrader!$V$3:$V$96,ListExtra_n),"")</f>
        <v>20000</v>
      </c>
      <c r="L35" s="1628">
        <f ca="1">IF(_xlfn.XLOOKUP(NewTrader!$V35,TabCalc[Ticker],ListExtra_n)&gt;0,_xlfn.XLOOKUP(NewTrader!$V35,TabCalc[Ticker],ListExtra_n)*NewTrader!$Y35*_xlfn.XLOOKUP(NewTrader!$V35,TabCalc[Ticker],ListScale),"")</f>
        <v>37000</v>
      </c>
      <c r="M35" s="1629">
        <f ca="1">_xlfn.XLOOKUP(NewTrader!$V35,TabCalc[Ticker],TabCalc[Agiotage])</f>
        <v>0.63952972578909406</v>
      </c>
      <c r="N35" s="1630" cm="1">
        <f t="array" aca="1" ref="N35" ca="1">_xlfn.XLOOKUP(NewTrader!$V35,ListTickers,Tab2RSIConventional[RSIConv20])</f>
        <v>80</v>
      </c>
      <c r="O35" s="1631" t="str">
        <f ca="1">TEXT(_xlfn.XLOOKUP(NewTrader!$V35,TabCalc[Ticker],TabCalc[Nbegin]),"#,#0")&amp;": "&amp;_xlfn.XLOOKUP(NewTrader!$V35,TabCalc[Ticker],TabCalc[Pile?])</f>
        <v>30,000: Pile</v>
      </c>
      <c r="P35" s="1632">
        <f ca="1">_xlfn.XLOOKUP(NewTrader!$V35,TabCalc[Ticker],TabCalc[L_Bn])</f>
        <v>10000</v>
      </c>
      <c r="Q35" s="1633">
        <f ca="1">_xlfn.XLOOKUP(NewTrader!$V35,TabCalc[Ticker],TabCalc[L_Bp])</f>
        <v>-1.88</v>
      </c>
      <c r="R35" s="1634">
        <f ca="1">(NewTrader!$Y35+NewTrader!$Q35)/ABS(NewTrader!$Q35)</f>
        <v>-1.5957446808510536E-2</v>
      </c>
      <c r="S35" s="259">
        <f ca="1">INT(_xlfn.XLOOKUP(NewTrader!$V35,TabCalc[Ticker],TabCalc[Rev(MinStock)])*Comm_Net)</f>
        <v>-300</v>
      </c>
      <c r="T35" s="1635">
        <f ca="1">_xlfn.XLOOKUP(NewTrader!$V35,TabCalc[Ticker],TabCalc[Agiotage])</f>
        <v>0.63952972578909406</v>
      </c>
      <c r="U35" s="1719"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-500/-500=&gt;0.0% / 0.0%</v>
      </c>
      <c r="V35" s="1578" t="str">
        <f ca="1">SORTING!B35</f>
        <v>NOTE</v>
      </c>
      <c r="W35" s="1637">
        <f ca="1">_xlfn.XLOOKUP(NewTrader!$V35,TabCalc[Ticker],TabCalc[Y])</f>
        <v>19.250540000000001</v>
      </c>
      <c r="X35" s="1639">
        <f ca="1">-_xlfn.XLOOKUP(NewTrader!$V35&amp;2,Consolid!B$3:JZ$3,Consolid!B$4:JZ$4)</f>
        <v>6.0004318169951993</v>
      </c>
      <c r="Y35" s="1639">
        <f ca="1">_xlfn.XLOOKUP(NewTrader!$V35,TabCalc[Ticker],TabCalc[M])</f>
        <v>1.85</v>
      </c>
      <c r="Z35" s="1640">
        <f ca="1">_xlfn.XLOOKUP(NewTrader!$V35,[1]!RTData[Ticker_Symbol],[1]!RTData[YTChange])</f>
        <v>-0.97481416647041896</v>
      </c>
      <c r="AA35" s="1640" cm="1">
        <f t="array" aca="1" ref="AA35" ca="1">_xlfn.XLOOKUP(NewTrader!$V35,ListTickers,Tab1ChangePercent[Change%19])</f>
        <v>0</v>
      </c>
      <c r="AB35" s="1641">
        <f ca="1">_xlfn.XLOOKUP(NewTrader!$V35,TabCalc[Ticker],TabCalc[NAfter])</f>
        <v>50000</v>
      </c>
      <c r="AC35" s="1641">
        <f ca="1">_xlfn.XLOOKUP(NewTrader!$V35,TabCalc[Ticker],TabCalc[Nbegin])</f>
        <v>30000</v>
      </c>
      <c r="AD35" s="1642" t="str">
        <f ca="1">_xlfn.LET(_xlpm.PILE,_xlfn.XLOOKUP(NewTrader!$V35,TabCalc[Ticker],TabCalc[Pile?]),                    _xlpm.GL,_xlfn.XLOOKUP(NewTrader!$V35,TabCalc[Ticker],TabCalc[GL]),                        _xlpm.GLK,_xlfn.XLOOKUP(NewTrader!$V35,TabCalc[Ticker],TabCalc[GL])/1000,                             _xlpm.MVal,_xlfn.XLOOKUP(NewTrader!$V35,TabCalc[Ticker],TabCalc[M_V])/1000,                   _xlpm.PILE&amp;" "&amp;IF(_xlpm.GL&lt;0,TEXT(_xlpm.GLK,"#,#0")&amp;"K /"&amp;TEXT(_xlpm.MVal,"#,#0")&amp;" K$","^"&amp;TEXT(_xlpm.GLK,"#,#0")&amp;"K / "&amp;TEXT(_xlpm.MVal,"#,#0")&amp;" K$"))</f>
        <v>Pile -208K /92 K$</v>
      </c>
      <c r="AE35" s="1643" t="str">
        <f ca="1">_xlfn.XLOOKUP(NewTrader!$V35,[1]!RTData[Ticker_Symbol],[1]!RTData[Currency])</f>
        <v>USD</v>
      </c>
      <c r="AF35" s="1696"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50,000 x 6.0</v>
      </c>
      <c r="AH35" s="1698" t="str" cm="1">
        <f t="array" aca="1" ref="AH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6.00 -   1.85 -  19.25</v>
      </c>
      <c r="AI3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35" s="1651" t="str" cm="1">
        <f t="array" aca="1" ref="AJ35" ca="1">_xlfn.IFS(Tab_NewTRADER[[#This Row],[State]]="Sell More",TEXT(MIN(Tab_NewTRADER[[#This Row],[N]],Tab_NewTRADER[[#This Row],[L_Bn]])*(Tab_NewTRADER[[#This Row],[M]]-Tab_NewTRADER[[#This Row],[L_Sp]])*Tab_NewTRADER[[#This Row],[Scale]]*ComFactor,"#,#0"), TRUE,"M= "&amp;TEXT(Tab_NewTRADER[[#This Row],[M]],"#,#0.00"))</f>
        <v>M= 1.85</v>
      </c>
      <c r="AK35" s="1699" t="str" cm="1">
        <f t="array" aca="1" ref="AK35" ca="1">_xlfn.IFS(Tab_NewTRADER[[#This Row],[Y]]&gt;Tab_NewTRADER[[#This Row],[A]],                 TEXT(MIN(Tab_NewTRADER[[#This Row],[L_Bn]],Tab_NewTRADER[[#This Row],[N]])*(Tab_NewTRADER[[#This Row],[M]]-Tab_NewTRADER[[#This Row],[A]])*Tab_NewTRADER[[#This Row],[Scale]]*ComFactor,"#,#0"), TRUE,0)</f>
        <v>-41,396</v>
      </c>
      <c r="AL35" s="1700" cm="1">
        <f t="array" aca="1" ref="AL35" ca="1">_xlfn.IFS(Tab_NewTRADER[[#This Row],[M]]&gt;Tab_NewTRADER[[#This Row],[A]],                  Tab_NewTRADER[[#This Row],[N]]*(Tab_NewTRADER[[#This Row],[M]]-Tab_NewTRADER[[#This Row],[A]])*Tab_NewTRADER[[#This Row],[Scale]]*ComFactor, TRUE,0)</f>
        <v>0</v>
      </c>
      <c r="AM35" s="1592" t="str">
        <f ca="1">_xlfn.XLOOKUP(Tab_NewTRADER[[#This Row],[Show]],TabCalc[Ticker],TabCalc[Max_Bn])&amp;" x "&amp;TEXT(_xlfn.XLOOKUP(Tab_NewTRADER[[#This Row],[Show]],TabCalc[Ticker],TabCalc[Max_Bp]),"#,#0.00")</f>
        <v>26667 x 9.43</v>
      </c>
      <c r="AN35" s="1650" t="str">
        <f ca="1">NewTrader!$V35</f>
        <v>NOTE</v>
      </c>
      <c r="AO35" s="1651" t="str">
        <f ca="1">TEXT(_xlfn.XLOOKUP(Tab_NewTRADER[[#This Row],[ClickTick]],TabCalc[Ticker],TabCalc[NAfter]),"#,#0")&amp;"x"&amp;_xlfn.XLOOKUP(Tab_NewTRADER[[#This Row],[ClickTick]],TabCalc[Ticker],TabCalc[M])&amp;"           (A: "&amp;TEXT(-_xlfn.XLOOKUP(Tab_NewTRADER[[#This Row],[ClickTick]]&amp;2,Consolid!B$3:JZ$3,Consolid!B$4:JZ$4),"#,??0.00")&amp;")"</f>
        <v>50,000x1.85           (A:   6.00)</v>
      </c>
      <c r="AP35" s="1592" t="str">
        <f ca="1">_xlfn.XLOOKUP(Tab_NewTRADER[[#This Row],[Show]],TabCalc[Ticker],TabCalc[Min_Sn])&amp;" x "&amp;TEXT(_xlfn.XLOOKUP(Tab_NewTRADER[[#This Row],[Show]],TabCalc[Ticker],TabCalc[Min_Sp]),"#,#0.00")</f>
        <v>0 x 0.00</v>
      </c>
      <c r="AQ3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702" t="str" cm="1">
        <f t="array" aca="1" ref="AR35" ca="1">_xlfn.IFS(Tab_NewTRADER[[#This Row],[State]]="Reverse Buy",TEXT(-Tab_NewTRADER[[#This Row],[Buy_Back]],"#,#0")&amp;" / "&amp;TEXT(Tab_NewTRADER[[#This Row],[Rev_Buy]],"#,#0.0%"),TRUE,Tab_NewTRADER[[#This Row],[AMY]])</f>
        <v xml:space="preserve">   6.00 -   1.85 -  19.25</v>
      </c>
      <c r="AS35" s="1651"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1,496       / 01.6%</v>
      </c>
      <c r="AT35" s="1699"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-206,982   / -224.3%</v>
      </c>
      <c r="AU35" s="1699" t="str" cm="1">
        <f t="array" aca="1" ref="AU35" ca="1">_xlfn.IFS(Tab_NewTRADER[[#This Row],[M]]&lt;Tab_NewTRADER[[#This Row],[A]],TEXT(Tab_NewTRADER[[#This Row],[N]]*Tab_NewTRADER[[#This Row],[M]]*Tab_NewTRADER[[#This Row],[Scale]]*Comm_Net,"#,#0")&amp;" @ "&amp;TEXT(Tab_NewTRADER[[#This Row],[M]],"#,#0.#0"),TRUE,"M: "&amp; Tab_NewTRADER[[#This Row],[M]])</f>
        <v>92,250 @ 1.85</v>
      </c>
      <c r="AV35" s="1740" cm="1">
        <f t="array" aca="1" ref="AV35" ca="1">-_xlfn.XLOOKUP(
    Tab_NewTRADER[[#This Row],[Show]] &amp; 2,
    TabConsolid[#Headers],
    INDEX(TabConsolid[], 1, 0)
)</f>
        <v>6.0004318169951993</v>
      </c>
      <c r="AW35" s="1741">
        <f ca="1">Tab_NewTRADER[[#This Row],[M]]*Tab_NewTRADER[[#This Row],[N]]*(1-Commission)*Tab_NewTRADER[[#This Row],[Scale]]</f>
        <v>92259.5</v>
      </c>
      <c r="AX35" s="1705"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705"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706" t="str" cm="1">
        <f t="array" aca="1" ref="AZ35" ca="1">_xlfn.IFS(   Tab_NewTRADER[[#This Row],[State]]=SellMorePercentGain,                     MIN(Tab_NewTRADER[[#This Row],[L_Sn]],Tab_NewTRADER[[#This Row],[N]])*(Tab_NewTRADER[[#This Row],[M]]-Tab_NewTRADER[[#This Row],[L_Sp]])*(1-Commission)*Tab_NewTRADER[[#This Row],[Scale]],                    TRUE,"")</f>
        <v/>
      </c>
      <c r="BA35" s="1707">
        <f ca="1">_xlfn.XLOOKUP(NewTrader!$V35,TabCalc[Ticker],TabCalc[Ann%RevLB])</f>
        <v>-1.9148936170212645</v>
      </c>
      <c r="BB35" s="1708">
        <f ca="1">_xlfn.XLOOKUP(NewTrader!$V35,TabCalc[Ticker],TabCalc[Up20])</f>
        <v>0</v>
      </c>
      <c r="BC35" s="1725"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706" t="str" cm="1">
        <f t="array" aca="1" ref="BD35" ca="1">_xlfn.IFS(         NewTrader!$AF35=MDown,NewTrader!$P35*NewTrader!$Y35*(-(NewTrader!$Q35+NewTrader!$Y35)/NewTrader!$Y35)*(1-Commission)*NewTrader!$A35,                               TRUE,"")</f>
        <v/>
      </c>
      <c r="BE35" s="1705" t="str" cm="1">
        <f t="array" aca="1" ref="BE35" ca="1">_xlfn.IFS(   NewTrader!$AF35=MUp,NewTrader!$BP35-Commission,        NewTrader!$AF35=MDown,(NewTrader!$X35-NewTrader!$Y35)/NewTrader!$Y35-Commission,                              TRUE,"")</f>
        <v/>
      </c>
      <c r="BF35" s="1710"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710" t="str" cm="1">
        <f t="array" aca="1" ref="BG35" ca="1">_xlfn.LET(_xlpm.SumChTxt,TEXT(_xlfn.XLOOKUP(NewTrader!$V35,ListTickers,Tab2SumChangePercent[AVGChan20]),"#0.0%"),
      _xlfn.IFS(NewTrader!$AF35=NoStock,_xlpm.SumChTxt,
      TRUE, IF(NewTrader!$AF35=SellMorePercentGain,             "SumChange "&amp;_xlpm.SumChTxt,                         "&lt;"&amp;INT(_xlfn.XLOOKUP(NewTrader!$V35,ListTickers,Tab2ReverseGL[Rev_GL19]))&amp;    "&lt;"&amp;INT(_xlfn.XLOOKUP(NewTrader!$V35,ListTickers,Tab2ReverseGL[Rev_GL18]))&amp;":      "&amp;_xlpm.SumChTxt)))</f>
        <v>&lt;-1&lt;-1:      0.3%</v>
      </c>
      <c r="BH35" s="1711"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-0.02</v>
      </c>
      <c r="BI35" s="1712" cm="1">
        <f t="array" aca="1" ref="BI35" ca="1">_xlfn.IFS(NewTrader!$AF35=Sale_Back,"",         NewTrader!$AF35=MDown, (NewTrader!$Y35-NewTrader!$X35)/NewTrader!$X35*ComFactor,             TRUE, IFERROR((NewTrader!$Y35-NewTrader!$X35)/NewTrader!$X35*ComFactor,""))</f>
        <v>-0.68989046464059234</v>
      </c>
      <c r="BJ35" s="1664" cm="1">
        <f t="array" aca="1" ref="BJ35" ca="1">_xlfn.IFS(               NewTrader!$AF35=NoStock,(NewTrader!$BL35-NewTrader!$Y35)/NewTrader!$Y35-Commission,             NewTrader!$X35&lt;&gt;0,(NewTrader!$X35-NewTrader!$Y35)/NewTrader!$Y35-Commission)</f>
        <v>2.2408766578352428</v>
      </c>
      <c r="BK35" s="1726">
        <f ca="1">_xlfn.XLOOKUP(NewTrader!$V35,TabCalc[Ticker],TabCalc[L_Sn])</f>
        <v>0</v>
      </c>
      <c r="BL35" s="1727">
        <f ca="1">_xlfn.XLOOKUP(NewTrader!$V35,TabCalc[Ticker],TabCalc[L_Sp])</f>
        <v>0</v>
      </c>
      <c r="BM35" s="1634">
        <f ca="1">-IFERROR((Tab_NewTRADER[[#This Row],[M]]-Tab_NewTRADER[[#This Row],[L_Sp]])/Tab_NewTRADER[[#This Row],[L_Sp]],0)</f>
        <v>0</v>
      </c>
      <c r="BN35" s="1728">
        <f ca="1">MIN(Tab_NewTRADER[[#This Row],[L_Sn]],Tab_NewTRADER[[#This Row],[N]])*(Tab_NewTRADER[[#This Row],[M]]-Tab_NewTRADER[[#This Row],[L_Sp]])*Comm_Net*Tab_NewTRADER[[#This Row],[Scale]]</f>
        <v>0</v>
      </c>
      <c r="BO35" s="1715">
        <f ca="1">Tab_NewTRADER[[#This Row],[L_Sn]]*(Tab_NewTRADER[[#This Row],[Agiotage]]-Tab_NewTRADER[[#This Row],[M]])/(Tab_NewTRADER[[#This Row],[L_Bn]]*Tab_NewTRADER[[#This Row],[M]])</f>
        <v>0</v>
      </c>
      <c r="BP35" s="1670">
        <f ca="1">IFERROR((Tab_NewTRADER[[#This Row],[M]]-Tab_NewTRADER[[#This Row],[A]])/Tab_NewTRADER[[#This Row],[A]],0)</f>
        <v>-0.69168885566532223</v>
      </c>
      <c r="BQ35" s="1671" t="str">
        <f ca="1">TEXT(_xlfn.XLOOKUP(Tab_NewTRADER[[#This Row],[ClickTick]],TabCalc[Ticker],TabCalc[NAfter]),"#,#0")&amp;" : "&amp;TEXT(_xlfn.XLOOKUP(Tab_NewTRADER[[#This Row],[ClickTick]],TabCalc[Ticker],TabCalc[NAfter])*(Tab_NewTRADER[[#This Row],[M]]-Tab_NewTRADER[[#This Row],[A]])*(1-Commission)*Tab_NewTRADER[[#This Row],[Scale]],"#,#0$")</f>
        <v>50,000 : -206,982$</v>
      </c>
      <c r="BR35" s="259">
        <f ca="1">_xlfn.XLOOKUP(NewTrader!$V35,TabCalc[[#This Row],[Ticker]],TabCalc[[#This Row],[GL]])*(1-Commission)</f>
        <v>-207470.36240186062</v>
      </c>
      <c r="BS35" s="259"/>
      <c r="BT35" s="1672" t="str">
        <f ca="1">Tab_NewTRADER[[#This Row],[Show]]&amp;": "&amp;_xlfn.XLOOKUP(Tab_NewTRADER[[#This Row],[Show]],TabCalc[Ticker],TabCalc[Pile?])</f>
        <v>NOTE: Pile</v>
      </c>
      <c r="BU35" s="1717" t="s">
        <v>1988</v>
      </c>
      <c r="BV35" s="1674" t="str" cm="1">
        <f t="array" aca="1" ref="BV35" ca="1">_xlfn.TEXTJOIN("",,INDEX({"M","A","Y"}, _xlfn.SORTBY({1,2,3}, -CHOOSE({1,2,3}, Tab_NewTRADER[[#This Row],[M]], Tab_NewTRADER[[#This Row],[A]], Tab_NewTRADER[[#This Row],[Y]]))))</f>
        <v>YAM</v>
      </c>
      <c r="BW35" s="1675"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76" t="e">
        <f ca="1">Tab_NewTRADER[[#This Row],[L_Sn]]*Tab_NewTRADER[[#This Row],[L_Sp]]+Tab_NewTRADER[[#This Row],[SellMore]]*Tab_NewTRADER[[#This Row],[M]]</f>
        <v>#N/A</v>
      </c>
      <c r="BY35" s="1676" t="e">
        <f ca="1">INDEX(
  INDEX(TabConsolid[], , _xlfn.XMATCH(Tab_NewTRADER[[#This Row],[ClickTick]]&amp;1, TabConsolid[#Headers])),
  MATCH(
    -Tab_NewTRADER[[#This Row],[M]],
    INDEX(TabConsolid[], , _xlfn.XMATCH(Tab_NewTRADER[[#This Row],[ClickTick]]&amp;2, TabConsolid[#Headers])),
    -1
  )
)</f>
        <v>#N/A</v>
      </c>
      <c r="BZ35" s="1676"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10000</v>
      </c>
      <c r="CA35" s="1677" t="e">
        <f ca="1">Tab_NewTRADER[[#This Row],[ReBuy]]/(Tab_NewTRADER[[#This Row],[L_Sn]]+Tab_NewTRADER[[#This Row],[SellMore]])</f>
        <v>#N/A</v>
      </c>
      <c r="CB35" s="1678" t="e">
        <f ca="1">((_xlfn.XLOOKUP(Tab_NewTRADER[[#This Row],[Show]],TabCalc[Ticker],TabCalc[NAfter])+Tab_NewTRADER[[#This Row],[L_Sn]])*(Tab_NewTRADER[[#This Row],[Agiotage]]-Tab_NewTRADER[[#This Row],[M]]))/(Tab_NewTRADER[[#This Row],[L_Sn]]*_xlfn.XLOOKUP(Tab_NewTRADER[[#This Row],[Show]],TabCalc[Ticker],TabCalc[NAfter]))</f>
        <v>#DIV/0!</v>
      </c>
      <c r="CC35" s="1677">
        <f ca="1">INDEX(Tab1Price[Price19], MATCH(Tab_NewTRADER[[#This Row],[Show]], Tab_NewTRADER[Show], 0))</f>
        <v>1.85</v>
      </c>
      <c r="CD35" s="1679">
        <f ca="1">_xlfn.XMATCH(Tab_NewTRADER[[#This Row],[Show]]&amp;1, TabConsolid[#Headers])</f>
        <v>98</v>
      </c>
      <c r="CE35" s="1678"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729" t="str" cm="1">
        <f t="array" aca="1" ref="CF35" ca="1">_xlfn.LET(
    _xlpm.FMT, _xlfn.LAMBDA(_xlpm.n, REPT(" ", 7 - LEN(TEXT(_xlpm.n,"0.00"))) &amp; TEXT(_xlpm.n,"0.00")),
    _xlpm.FMT(Tab_NewTRADER[[#This Row],[A]]) &amp; " -" &amp; _xlpm.FMT(Tab_NewTRADER[[#This Row],[M]]) &amp; " -" &amp; _xlpm.FMT(Tab_NewTRADER[[#This Row],[Y]])
)</f>
        <v xml:space="preserve">   6.00 -   1.85 -  19.25</v>
      </c>
      <c r="CG35" s="1730" t="str" cm="1">
        <f t="array" aca="1" ref="CG35" ca="1">_xlfn.LET(
    _xlpm.W, 7,
    _xlpm.FMT, _xlfn.LAMBDA(_xlpm.n, REPT(" ", _xlpm.W - LEN(TEXT(_xlpm.n,"0.00"))) &amp; TEXT(_xlpm.n,"0.00")),
    _xlpm.FMT(Tab_NewTRADER[[#This Row],[A]]) &amp; " * " &amp; _xlpm.FMT(Tab_NewTRADER[[#This Row],[M]]) &amp; " * " &amp; _xlpm.FMT(Tab_NewTRADER[[#This Row],[Y]])
)</f>
        <v xml:space="preserve">   6.00 *    1.85 *   19.25</v>
      </c>
      <c r="CH35" s="1842">
        <f>0</f>
        <v>0</v>
      </c>
      <c r="CI35" t="str">
        <f ca="1">IF(ABS(NewTrader!$Q35)&gt;=NewTrader!$Y35,"OK")</f>
        <v>OK</v>
      </c>
    </row>
    <row r="36" spans="1:87" ht="23" thickBot="1">
      <c r="A36" s="1839">
        <f ca="1">IF(_xlfn.XLOOKUP(NewTrader!$V36,TabCalc[Ticker],TabCalc[Cur])="GBp",0.01,1)</f>
        <v>1</v>
      </c>
      <c r="B36" s="1681" t="str">
        <f ca="1">IFERROR(TRUNC(_xlfn.XLOOKUP(NewTrader!$V36,TabCalc[Ticker],ListLastBuyp),2)&amp;"x"&amp;_xlfn.XLOOKUP(NewTrader!$V36,TabCalc[Ticker],ListLastBuyn)&amp;"=    "&amp;IF(_xlfn.XLOOKUP(NewTrader!$V36,TabCalc[Ticker],ListReverseS)&gt;0,"+","")&amp;TEXT(_xlfn.XLOOKUP(NewTrader!$V36,TabCalc[Ticker],ListReverseS),"#,#0")&amp;" "&amp;#REF!,"")</f>
        <v/>
      </c>
      <c r="C36" s="1682" t="str">
        <f ca="1">_xlfn.XLOOKUP(NewTrader!$V36,TabCalc[Ticker],ListResale)&amp;" @ "&amp;TEXT((_xlfn.XLOOKUP(NewTrader!$V36,TabCalc[Ticker],TabCalc[L_Bp])+_xlfn.XLOOKUP(NewTrader!$V36,TabCalc[Ticker],TabCalc[M]))/_xlfn.XLOOKUP(NewTrader!$V36,TabCalc[Ticker],TabCalc[M]),"#0.0%")</f>
        <v>Resell @ 29.0%</v>
      </c>
      <c r="D36" s="1683"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342/1,000=17,216</v>
      </c>
      <c r="E36" s="1684" t="str">
        <f ca="1">IF(      AND(NewTrader!$X36&lt;NewTrader!$Y36,    _xlfn.XLOOKUP(NewTrader!$V36,TabCalc[Ticker],TabCalc[L_Sp])&gt;NewTrader!$Y36),"BUY  "&amp;TEXT(DesiredBuyGain/NewTrader!$A36/(_xlfn.XLOOKUP(NewTrader!$V36,TabCalc[Ticker],TabCalc[L_Sp])-NewTrader!$Y36),"#,##0"),"")</f>
        <v/>
      </c>
      <c r="F36" s="1681" t="str">
        <f ca="1">TRUNC(TabCalc[[#This Row],[L_B1p]],2)&amp;"x"&amp;TabCalc[[#This Row],[L_B1n]]&amp;"=   "&amp;TEXT(TabCalc[[#This Row],[ReverseS1]],"#,#0")&amp;"$"</f>
        <v>-27.53x1000=   22,810$</v>
      </c>
      <c r="G36" s="1685" t="str">
        <f ca="1">IFERROR(TRUNC(_xlfn.XLOOKUP(NewTrader!$V36,TabCalc[Ticker],ListLastSalep),2)&amp;"x"&amp;_xlfn.XLOOKUP(NewTrader!$V36,TabCalc[Ticker],ListLastSalen)&amp;"=   "&amp;TEXT(-_xlfn.XLOOKUP(NewTrader!$V36,TabCalc[Ticker],ListReverseB),"#,#0")&amp;"$","")</f>
        <v>45.45x1000=   4,890$</v>
      </c>
      <c r="H36" s="1686"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-9.7% = 0</v>
      </c>
      <c r="I36" s="1681" t="str">
        <f ca="1">IFERROR(TRUNC(TabCalc[[#This Row],[L_S1p]],2)&amp;"x"&amp;TabCalc[[#This Row],[L_S1n]]&amp;"=   "&amp;TEXT(TabCalc[[#This Row],[ReverseB1]],"#,#0"),"")</f>
        <v>38.85x2000=   -22,974</v>
      </c>
      <c r="J36" s="1687">
        <f ca="1">_xlfn.XLOOKUP(NewTrader!$V36,TabCalc[Ticker],ListGravity)</f>
        <v>0.94854986094557003</v>
      </c>
      <c r="K36" s="1688" t="str" cm="1">
        <f t="array" aca="1" ref="K36" ca="1">IF(_xlfn.XLOOKUP(NewTrader!$V36,NewTrader!$V$3:$V$96,ListExtra_n)&gt;0,_xlfn.XLOOKUP(NewTrader!$V36,NewTrader!$V$3:$V$96,ListExtra_n),"")</f>
        <v/>
      </c>
      <c r="L36" s="1689" t="str">
        <f ca="1">IF(_xlfn.XLOOKUP(NewTrader!$V36,TabCalc[Ticker],ListExtra_n)&gt;0,_xlfn.XLOOKUP(NewTrader!$V36,TabCalc[Ticker],ListExtra_n)*NewTrader!$Y36*_xlfn.XLOOKUP(NewTrader!$V36,TabCalc[Ticker],ListScale),"")</f>
        <v/>
      </c>
      <c r="M36" s="1690">
        <f ca="1">_xlfn.XLOOKUP(NewTrader!$V36,TabCalc[Ticker],TabCalc[Agiotage])</f>
        <v>1.2852166012257569</v>
      </c>
      <c r="N36" s="1691" cm="1">
        <f t="array" aca="1" ref="N36" ca="1">_xlfn.XLOOKUP(NewTrader!$V36,ListTickers,Tab2RSIConventional[RSIConv20])</f>
        <v>63</v>
      </c>
      <c r="O36" s="1631" t="str">
        <f ca="1">TEXT(_xlfn.XLOOKUP(NewTrader!$V36,TabCalc[Ticker],TabCalc[Nbegin]),"#,#0")&amp;": "&amp;_xlfn.XLOOKUP(NewTrader!$V36,TabCalc[Ticker],TabCalc[Pile?])</f>
        <v xml:space="preserve">3,000: </v>
      </c>
      <c r="P36" s="1692">
        <f ca="1">_xlfn.XLOOKUP(NewTrader!$V36,TabCalc[Ticker],TabCalc[L_Bn])</f>
        <v>1500</v>
      </c>
      <c r="Q36" s="1693">
        <f ca="1">_xlfn.XLOOKUP(NewTrader!$V36,TabCalc[Ticker],TabCalc[L_Bp])</f>
        <v>-35.72</v>
      </c>
      <c r="R36" s="1694">
        <f ca="1">(NewTrader!$Y36+NewTrader!$Q36)/ABS(NewTrader!$Q36)</f>
        <v>0.40929451287793966</v>
      </c>
      <c r="S36" s="262">
        <f ca="1">INT(_xlfn.XLOOKUP(NewTrader!$V36,TabCalc[Ticker],TabCalc[Rev(MinStock)])*Comm_Net)</f>
        <v>14540</v>
      </c>
      <c r="T36" s="1635">
        <f ca="1">_xlfn.XLOOKUP(NewTrader!$V36,TabCalc[Ticker],TabCalc[Agiotage])</f>
        <v>1.2852166012257569</v>
      </c>
      <c r="U36" s="1695"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960/960=&gt;3.5% / 3.5%</v>
      </c>
      <c r="V36" s="1578" t="str">
        <f ca="1">SORTING!B36</f>
        <v>PAAS</v>
      </c>
      <c r="W36" s="1637">
        <f ca="1">_xlfn.XLOOKUP(NewTrader!$V36,TabCalc[Ticker],TabCalc[Y])</f>
        <v>47.75</v>
      </c>
      <c r="X36" s="1639">
        <f ca="1">-_xlfn.XLOOKUP(NewTrader!$V36&amp;2,Consolid!B$3:JZ$3,Consolid!B$4:JZ$4)</f>
        <v>35.812871999999999</v>
      </c>
      <c r="Y36" s="1639">
        <f ca="1">_xlfn.XLOOKUP(NewTrader!$V36,TabCalc[Ticker],TabCalc[M])</f>
        <v>50.34</v>
      </c>
      <c r="Z36" s="1640">
        <f ca="1">_xlfn.XLOOKUP(NewTrader!$V36,[1]!RTData[Ticker_Symbol],[1]!RTData[YTChange])</f>
        <v>0.51587301587301593</v>
      </c>
      <c r="AA36" s="1640" cm="1">
        <f t="array" aca="1" ref="AA36" ca="1">_xlfn.XLOOKUP(NewTrader!$V36,ListTickers,Tab1ChangePercent[Change%19])</f>
        <v>3.4525E-2</v>
      </c>
      <c r="AB36" s="1641">
        <f ca="1">_xlfn.XLOOKUP(NewTrader!$V36,TabCalc[Ticker],TabCalc[NAfter])</f>
        <v>1000</v>
      </c>
      <c r="AC36" s="1641">
        <f ca="1">_xlfn.XLOOKUP(NewTrader!$V36,TabCalc[Ticker],TabCalc[Nbegin])</f>
        <v>3000</v>
      </c>
      <c r="AD36" s="1642" t="str">
        <f ca="1">_xlfn.LET(_xlpm.PILE,_xlfn.XLOOKUP(NewTrader!$V36,TabCalc[Ticker],TabCalc[Pile?]),                    _xlpm.GL,_xlfn.XLOOKUP(NewTrader!$V36,TabCalc[Ticker],TabCalc[GL]),                        _xlpm.GLK,_xlfn.XLOOKUP(NewTrader!$V36,TabCalc[Ticker],TabCalc[GL])/1000,                             _xlpm.MVal,_xlfn.XLOOKUP(NewTrader!$V36,TabCalc[Ticker],TabCalc[M_V])/1000,                   _xlpm.PILE&amp;" "&amp;IF(_xlpm.GL&lt;0,TEXT(_xlpm.GLK,"#,#0")&amp;"K /"&amp;TEXT(_xlpm.MVal,"#,#0")&amp;" K$","^"&amp;TEXT(_xlpm.GLK,"#,#0")&amp;"K / "&amp;TEXT(_xlpm.MVal,"#,#0")&amp;" K$"))</f>
        <v xml:space="preserve"> ^106K / 50 K$</v>
      </c>
      <c r="AE36" s="1643" t="str">
        <f ca="1">_xlfn.XLOOKUP(NewTrader!$V36,[1]!RTData[Ticker_Symbol],[1]!RTData[Currency])</f>
        <v>USD</v>
      </c>
      <c r="AF36" s="1721"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698" t="str" cm="1">
        <f t="array" aca="1" ref="AH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50.34 -  47.75</v>
      </c>
      <c r="AI3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v>
      </c>
      <c r="AJ36" s="1651" t="str" cm="1">
        <f t="array" aca="1" ref="AJ36" ca="1">_xlfn.IFS(Tab_NewTRADER[[#This Row],[State]]="Sell More",TEXT(MIN(Tab_NewTRADER[[#This Row],[N]],Tab_NewTRADER[[#This Row],[L_Bn]])*(Tab_NewTRADER[[#This Row],[M]]-Tab_NewTRADER[[#This Row],[L_Sp]])*Tab_NewTRADER[[#This Row],[Scale]]*ComFactor,"#,#0"), TRUE,"M= "&amp;TEXT(Tab_NewTRADER[[#This Row],[M]],"#,#0.00"))</f>
        <v>4,877</v>
      </c>
      <c r="AK36" s="1699" t="str" cm="1">
        <f t="array" aca="1" ref="AK36" ca="1">_xlfn.IFS(Tab_NewTRADER[[#This Row],[Y]]&gt;Tab_NewTRADER[[#This Row],[A]],                 TEXT(MIN(Tab_NewTRADER[[#This Row],[L_Bn]],Tab_NewTRADER[[#This Row],[N]])*(Tab_NewTRADER[[#This Row],[M]]-Tab_NewTRADER[[#This Row],[A]])*Tab_NewTRADER[[#This Row],[Scale]]*ComFactor,"#,#0"), TRUE,0)</f>
        <v>14,489</v>
      </c>
      <c r="AL36" s="1700" cm="1">
        <f t="array" aca="1" ref="AL36" ca="1">_xlfn.IFS(Tab_NewTRADER[[#This Row],[M]]&gt;Tab_NewTRADER[[#This Row],[A]],                  Tab_NewTRADER[[#This Row],[N]]*(Tab_NewTRADER[[#This Row],[M]]-Tab_NewTRADER[[#This Row],[A]])*Tab_NewTRADER[[#This Row],[Scale]]*ComFactor, TRUE,0)</f>
        <v>14489.357467200003</v>
      </c>
      <c r="AM36" s="1592" t="str">
        <f ca="1">_xlfn.XLOOKUP(Tab_NewTRADER[[#This Row],[Show]],TabCalc[Ticker],TabCalc[Max_Bn])&amp;" x "&amp;TEXT(_xlfn.XLOOKUP(Tab_NewTRADER[[#This Row],[Show]],TabCalc[Ticker],TabCalc[Max_Bp]),"#,#0.00")</f>
        <v>1000 x 35.81</v>
      </c>
      <c r="AN36" s="1650" t="str">
        <f ca="1">NewTrader!$V36</f>
        <v>PAAS</v>
      </c>
      <c r="AO36" s="1651" t="str">
        <f ca="1">TEXT(_xlfn.XLOOKUP(Tab_NewTRADER[[#This Row],[ClickTick]],TabCalc[Ticker],TabCalc[NAfter]),"#,#0")&amp;"x"&amp;_xlfn.XLOOKUP(Tab_NewTRADER[[#This Row],[ClickTick]],TabCalc[Ticker],TabCalc[M])&amp;"           (A: "&amp;TEXT(-_xlfn.XLOOKUP(Tab_NewTRADER[[#This Row],[ClickTick]]&amp;2,Consolid!B$3:JZ$3,Consolid!B$4:JZ$4),"#,??0.00")&amp;")"</f>
        <v>1,000x50.34           (A:  35.81)</v>
      </c>
      <c r="AP36" s="1592" t="str">
        <f ca="1">_xlfn.XLOOKUP(Tab_NewTRADER[[#This Row],[Show]],TabCalc[Ticker],TabCalc[Min_Sn])&amp;" x "&amp;TEXT(_xlfn.XLOOKUP(Tab_NewTRADER[[#This Row],[Show]],TabCalc[Ticker],TabCalc[Min_Sp]),"#,#0.00")</f>
        <v>500 x 24.12</v>
      </c>
      <c r="AQ3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702" t="str" cm="1">
        <f t="array" aca="1" ref="AR36" ca="1">_xlfn.IFS(Tab_NewTRADER[[#This Row],[State]]="Reverse Buy",TEXT(-Tab_NewTRADER[[#This Row],[Buy_Back]],"#,#0")&amp;" / "&amp;TEXT(Tab_NewTRADER[[#This Row],[Rev_Buy]],"#,#0.0%"),TRUE,Tab_NewTRADER[[#This Row],[AMY]])</f>
        <v xml:space="preserve">  35.81 -  50.34 -  47.75</v>
      </c>
      <c r="AS36" s="1651"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99"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99" t="str" cm="1">
        <f t="array" aca="1" ref="AU36" ca="1">_xlfn.IFS(Tab_NewTRADER[[#This Row],[M]]&lt;Tab_NewTRADER[[#This Row],[A]],TEXT(Tab_NewTRADER[[#This Row],[N]]*Tab_NewTRADER[[#This Row],[M]]*Tab_NewTRADER[[#This Row],[Scale]]*Comm_Net,"#,#0")&amp;" @ "&amp;TEXT(Tab_NewTRADER[[#This Row],[M]],"#,#0.#0"),TRUE,"M: "&amp; Tab_NewTRADER[[#This Row],[M]])</f>
        <v>M: 50.34</v>
      </c>
      <c r="AV36" s="1722" cm="1">
        <f t="array" aca="1" ref="AV36" ca="1">-_xlfn.XLOOKUP(
    Tab_NewTRADER[[#This Row],[Show]] &amp; 2,
    TabConsolid[#Headers],
    INDEX(TabConsolid[], 1, 0)
)</f>
        <v>35.812871999999999</v>
      </c>
      <c r="AW36" s="1710">
        <f ca="1">Tab_NewTRADER[[#This Row],[M]]*Tab_NewTRADER[[#This Row],[N]]*(1-Commission)*Tab_NewTRADER[[#This Row],[Scale]]</f>
        <v>50209.115999999995</v>
      </c>
      <c r="AX36" s="1705"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705"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706" t="str" cm="1">
        <f t="array" aca="1" ref="AZ36" ca="1">_xlfn.IFS(   Tab_NewTRADER[[#This Row],[State]]=SellMorePercentGain,                     MIN(Tab_NewTRADER[[#This Row],[L_Sn]],Tab_NewTRADER[[#This Row],[N]])*(Tab_NewTRADER[[#This Row],[M]]-Tab_NewTRADER[[#This Row],[L_Sp]])*(1-Commission)*Tab_NewTRADER[[#This Row],[Scale]],                    TRUE,"")</f>
        <v/>
      </c>
      <c r="BA36" s="1752">
        <f ca="1">_xlfn.XLOOKUP(NewTrader!$V36,TabCalc[Ticker],TabCalc[Ann%RevLB])</f>
        <v>2.889137737961927</v>
      </c>
      <c r="BB36" s="1708">
        <f ca="1">_xlfn.XLOOKUP(NewTrader!$V36,TabCalc[Ticker],TabCalc[Up20])</f>
        <v>0</v>
      </c>
      <c r="BC36" s="1709"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706" t="str" cm="1">
        <f t="array" aca="1" ref="BD36" ca="1">_xlfn.IFS(         NewTrader!$AF36=MDown,NewTrader!$P36*NewTrader!$Y36*(-(NewTrader!$Q36+NewTrader!$Y36)/NewTrader!$Y36)*(1-Commission)*NewTrader!$A36,                               TRUE,"")</f>
        <v/>
      </c>
      <c r="BE36" s="1705" t="str" cm="1">
        <f t="array" aca="1" ref="BE36" ca="1">_xlfn.IFS(   NewTrader!$AF36=MUp,NewTrader!$BP36-Commission,        NewTrader!$AF36=MDown,(NewTrader!$X36-NewTrader!$Y36)/NewTrader!$Y36-Commission,                              TRUE,"")</f>
        <v/>
      </c>
      <c r="BF36" s="1710"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710" t="str" cm="1">
        <f t="array" aca="1" ref="BG36" ca="1">_xlfn.LET(_xlpm.SumChTxt,TEXT(_xlfn.XLOOKUP(NewTrader!$V36,ListTickers,Tab2SumChangePercent[AVGChan20]),"#0.0%"),
      _xlfn.IFS(NewTrader!$AF36=NoStock,_xlpm.SumChTxt,
      TRUE, IF(NewTrader!$AF36=SellMorePercentGain,             "SumChange "&amp;_xlpm.SumChTxt,                         "&lt;"&amp;INT(_xlfn.XLOOKUP(NewTrader!$V36,ListTickers,Tab2ReverseGL[Rev_GL19]))&amp;    "&lt;"&amp;INT(_xlfn.XLOOKUP(NewTrader!$V36,ListTickers,Tab2ReverseGL[Rev_GL18]))&amp;":      "&amp;_xlpm.SumChTxt)))</f>
        <v>&lt;0&lt;0:      1.9%</v>
      </c>
      <c r="BH36" s="1711"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1,000x14.52</v>
      </c>
      <c r="BI36" s="1712" cm="1">
        <f t="array" aca="1" ref="BI36" ca="1">_xlfn.IFS(NewTrader!$AF36=Sale_Back,"",         NewTrader!$AF36=MDown, (NewTrader!$Y36-NewTrader!$X36)/NewTrader!$X36*ComFactor,             TRUE, IFERROR((NewTrader!$Y36-NewTrader!$X36)/NewTrader!$X36*ComFactor,""))</f>
        <v>0.40458518566173651</v>
      </c>
      <c r="BJ36" s="1664" cm="1">
        <f t="array" aca="1" ref="BJ36" ca="1">_xlfn.IFS(               NewTrader!$AF36=NoStock,(NewTrader!$BL36-NewTrader!$Y36)/NewTrader!$Y36-Commission,             NewTrader!$X36&lt;&gt;0,(NewTrader!$X36-NewTrader!$Y36)/NewTrader!$Y36-Commission)</f>
        <v>-0.29118021454112042</v>
      </c>
      <c r="BK36" s="1713">
        <f ca="1">_xlfn.XLOOKUP(NewTrader!$V36,TabCalc[Ticker],TabCalc[L_Sn])</f>
        <v>1000</v>
      </c>
      <c r="BL36" s="1693">
        <f ca="1">_xlfn.XLOOKUP(NewTrader!$V36,TabCalc[Ticker],TabCalc[L_Sp])</f>
        <v>45.45</v>
      </c>
      <c r="BM36" s="1694">
        <f ca="1">-IFERROR((Tab_NewTRADER[[#This Row],[M]]-Tab_NewTRADER[[#This Row],[L_Sp]])/Tab_NewTRADER[[#This Row],[L_Sp]],0)</f>
        <v>-0.10759075907590759</v>
      </c>
      <c r="BN36" s="1714">
        <f ca="1">MIN(Tab_NewTRADER[[#This Row],[L_Sn]],Tab_NewTRADER[[#This Row],[N]])*(Tab_NewTRADER[[#This Row],[M]]-Tab_NewTRADER[[#This Row],[L_Sp]])*Comm_Net*Tab_NewTRADER[[#This Row],[Scale]]</f>
        <v>4876.7970000000005</v>
      </c>
      <c r="BO36" s="1715">
        <f ca="1">Tab_NewTRADER[[#This Row],[L_Sn]]*(Tab_NewTRADER[[#This Row],[Agiotage]]-Tab_NewTRADER[[#This Row],[M]])/(Tab_NewTRADER[[#This Row],[L_Bn]]*Tab_NewTRADER[[#This Row],[M]])</f>
        <v>-0.64964618459507684</v>
      </c>
      <c r="BP36" s="1716">
        <f ca="1">IFERROR((Tab_NewTRADER[[#This Row],[M]]-Tab_NewTRADER[[#This Row],[A]])/Tab_NewTRADER[[#This Row],[A]],0)</f>
        <v>0.40563984926983809</v>
      </c>
      <c r="BQ36" s="1671" t="str">
        <f ca="1">TEXT(_xlfn.XLOOKUP(Tab_NewTRADER[[#This Row],[ClickTick]],TabCalc[Ticker],TabCalc[NAfter]),"#,#0")&amp;" : "&amp;TEXT(_xlfn.XLOOKUP(Tab_NewTRADER[[#This Row],[ClickTick]],TabCalc[Ticker],TabCalc[NAfter])*(Tab_NewTRADER[[#This Row],[M]]-Tab_NewTRADER[[#This Row],[A]])*(1-Commission)*Tab_NewTRADER[[#This Row],[Scale]],"#,#0$")</f>
        <v>1,000 : 14,489$</v>
      </c>
      <c r="BR36" s="262">
        <f ca="1">_xlfn.XLOOKUP(NewTrader!$V36,TabCalc[[#This Row],[Ticker]],TabCalc[[#This Row],[GL]])*(1-Commission)</f>
        <v>105856.53217759629</v>
      </c>
      <c r="BS36" s="262"/>
      <c r="BT36" s="1672" t="str">
        <f ca="1">Tab_NewTRADER[[#This Row],[Show]]&amp;": "&amp;_xlfn.XLOOKUP(Tab_NewTRADER[[#This Row],[Show]],TabCalc[Ticker],TabCalc[Pile?])</f>
        <v xml:space="preserve">PAAS: </v>
      </c>
      <c r="BU36" s="1717" t="s">
        <v>2056</v>
      </c>
      <c r="BV36" s="1674" t="str" cm="1">
        <f t="array" aca="1" ref="BV36" ca="1">_xlfn.TEXTJOIN("",,INDEX({"M","A","Y"}, _xlfn.SORTBY({1,2,3}, -CHOOSE({1,2,3}, Tab_NewTRADER[[#This Row],[M]], Tab_NewTRADER[[#This Row],[A]], Tab_NewTRADER[[#This Row],[Y]]))))</f>
        <v>MYA</v>
      </c>
      <c r="BW36" s="1675"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76">
        <f ca="1">Tab_NewTRADER[[#This Row],[L_Sn]]*Tab_NewTRADER[[#This Row],[L_Sp]]+Tab_NewTRADER[[#This Row],[SellMore]]*Tab_NewTRADER[[#This Row],[M]]</f>
        <v>95790</v>
      </c>
      <c r="BY36" s="1676">
        <f ca="1">INDEX(
  INDEX(TabConsolid[], , _xlfn.XMATCH(Tab_NewTRADER[[#This Row],[ClickTick]]&amp;1, TabConsolid[#Headers])),
  MATCH(
    -Tab_NewTRADER[[#This Row],[M]],
    INDEX(TabConsolid[], , _xlfn.XMATCH(Tab_NewTRADER[[#This Row],[ClickTick]]&amp;2, TabConsolid[#Headers])),
    -1
  )
)</f>
        <v>1000</v>
      </c>
      <c r="BZ36" s="1676"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77">
        <f ca="1">Tab_NewTRADER[[#This Row],[ReBuy]]/(Tab_NewTRADER[[#This Row],[L_Sn]]+Tab_NewTRADER[[#This Row],[SellMore]])</f>
        <v>47.895000000000003</v>
      </c>
      <c r="CB36" s="1678">
        <f ca="1">((_xlfn.XLOOKUP(Tab_NewTRADER[[#This Row],[Show]],TabCalc[Ticker],TabCalc[NAfter])+Tab_NewTRADER[[#This Row],[L_Sn]])*(Tab_NewTRADER[[#This Row],[Agiotage]]-Tab_NewTRADER[[#This Row],[M]]))/(Tab_NewTRADER[[#This Row],[L_Sn]]*_xlfn.XLOOKUP(Tab_NewTRADER[[#This Row],[Show]],TabCalc[Ticker],TabCalc[NAfter]))</f>
        <v>-9.8109566797548495E-2</v>
      </c>
      <c r="CC36" s="1677">
        <f ca="1">INDEX(Tab1Price[Price19], MATCH(Tab_NewTRADER[[#This Row],[Show]], Tab_NewTRADER[Show], 0))</f>
        <v>50.34</v>
      </c>
      <c r="CD36" s="1679">
        <f ca="1">_xlfn.XMATCH(Tab_NewTRADER[[#This Row],[Show]]&amp;1, TabConsolid[#Headers])</f>
        <v>101</v>
      </c>
      <c r="CE36" s="1678"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729" t="str" cm="1">
        <f t="array" aca="1" ref="CF36" ca="1">_xlfn.LET(
    _xlpm.FMT, _xlfn.LAMBDA(_xlpm.n, REPT(" ", 7 - LEN(TEXT(_xlpm.n,"0.00"))) &amp; TEXT(_xlpm.n,"0.00")),
    _xlpm.FMT(Tab_NewTRADER[[#This Row],[A]]) &amp; " -" &amp; _xlpm.FMT(Tab_NewTRADER[[#This Row],[M]]) &amp; " -" &amp; _xlpm.FMT(Tab_NewTRADER[[#This Row],[Y]])
)</f>
        <v xml:space="preserve">  35.81 -  50.34 -  47.75</v>
      </c>
      <c r="CG36" s="1730" t="str" cm="1">
        <f t="array" aca="1" ref="CG36" ca="1">_xlfn.LET(
    _xlpm.W, 7,
    _xlpm.FMT, _xlfn.LAMBDA(_xlpm.n, REPT(" ", _xlpm.W - LEN(TEXT(_xlpm.n,"0.00"))) &amp; TEXT(_xlpm.n,"0.00")),
    _xlpm.FMT(Tab_NewTRADER[[#This Row],[A]]) &amp; " * " &amp; _xlpm.FMT(Tab_NewTRADER[[#This Row],[M]]) &amp; " * " &amp; _xlpm.FMT(Tab_NewTRADER[[#This Row],[Y]])
)</f>
        <v xml:space="preserve">  35.81 *   50.34 *   47.75</v>
      </c>
      <c r="CH36" s="1842">
        <f>0</f>
        <v>0</v>
      </c>
      <c r="CI36" t="b">
        <f ca="1">IF(ABS(NewTrader!$Q36)&gt;=NewTrader!$Y36,"OK")</f>
        <v>0</v>
      </c>
    </row>
    <row r="37" spans="1:87">
      <c r="A37" s="1838">
        <f ca="1">IF(_xlfn.XLOOKUP(NewTrader!$V37,TabCalc[Ticker],TabCalc[Cur])="GBp",0.01,1)</f>
        <v>1</v>
      </c>
      <c r="B37" s="1620" t="str">
        <f ca="1">IFERROR(TRUNC(_xlfn.XLOOKUP(NewTrader!$V37,TabCalc[Ticker],ListLastBuyp),2)&amp;"x"&amp;_xlfn.XLOOKUP(NewTrader!$V37,TabCalc[Ticker],ListLastBuyn)&amp;"=    "&amp;IF(_xlfn.XLOOKUP(NewTrader!$V37,TabCalc[Ticker],ListReverseS)&gt;0,"+","")&amp;TEXT(_xlfn.XLOOKUP(NewTrader!$V37,TabCalc[Ticker],ListReverseS),"#,#0")&amp;" "&amp;#REF!,"")</f>
        <v/>
      </c>
      <c r="C37" s="1621" t="str">
        <f ca="1">_xlfn.XLOOKUP(NewTrader!$V37,TabCalc[Ticker],ListResale)&amp;" @ "&amp;TEXT((_xlfn.XLOOKUP(NewTrader!$V37,TabCalc[Ticker],TabCalc[L_Bp])+_xlfn.XLOOKUP(NewTrader!$V37,TabCalc[Ticker],TabCalc[M]))/_xlfn.XLOOKUP(NewTrader!$V37,TabCalc[Ticker],TabCalc[M]),"#0.0%")</f>
        <v>Resell @ 30.1%</v>
      </c>
      <c r="D37" s="1622"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2,232/4,000=16,585</v>
      </c>
      <c r="E37" s="1718" t="str">
        <f ca="1">IF(      AND(NewTrader!$X37&lt;NewTrader!$Y37,    _xlfn.XLOOKUP(NewTrader!$V37,TabCalc[Ticker],TabCalc[L_Sp])&gt;NewTrader!$Y37),"BUY  "&amp;TEXT(DesiredBuyGain/NewTrader!$A37/(_xlfn.XLOOKUP(NewTrader!$V37,TabCalc[Ticker],TabCalc[L_Sp])-NewTrader!$Y37),"#,##0"),"")</f>
        <v/>
      </c>
      <c r="F37" s="1620" t="str">
        <f ca="1">TRUNC(TabCalc[[#This Row],[L_B1p]],2)&amp;"x"&amp;TabCalc[[#This Row],[L_B1n]]&amp;"=   "&amp;TEXT(TabCalc[[#This Row],[ReverseS1]],"#,#0")&amp;"$"</f>
        <v>-6.22x2000=   2,410$</v>
      </c>
      <c r="G37" s="1624" t="str">
        <f ca="1">IFERROR(TRUNC(_xlfn.XLOOKUP(NewTrader!$V37,TabCalc[Ticker],ListLastSalep),2)&amp;"x"&amp;_xlfn.XLOOKUP(NewTrader!$V37,TabCalc[Ticker],ListLastSalen)&amp;"=   "&amp;TEXT(-_xlfn.XLOOKUP(NewTrader!$V37,TabCalc[Ticker],ListReverseB),"#,#0")&amp;"$","")</f>
        <v>5.61x2000=   3,640$</v>
      </c>
      <c r="H37" s="1625"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-24.5% = 0</v>
      </c>
      <c r="I37" s="1620" t="str">
        <f ca="1">IFERROR(TRUNC(TabCalc[[#This Row],[L_S1p]],2)&amp;"x"&amp;TabCalc[[#This Row],[L_S1n]]&amp;"=   "&amp;TEXT(TabCalc[[#This Row],[ReverseB1]],"#,#0"),"")</f>
        <v>6.93x2000=   -1,000</v>
      </c>
      <c r="J37" s="1626">
        <f ca="1">_xlfn.XLOOKUP(NewTrader!$V37,TabCalc[Ticker],ListGravity)</f>
        <v>1.6285329744279946</v>
      </c>
      <c r="K37" s="1627" t="str" cm="1">
        <f t="array" aca="1" ref="K37" ca="1">IF(_xlfn.XLOOKUP(NewTrader!$V37,NewTrader!$V$3:$V$96,ListExtra_n)&gt;0,_xlfn.XLOOKUP(NewTrader!$V37,NewTrader!$V$3:$V$96,ListExtra_n),"")</f>
        <v/>
      </c>
      <c r="L37" s="1628" t="str">
        <f ca="1">IF(_xlfn.XLOOKUP(NewTrader!$V37,TabCalc[Ticker],ListExtra_n)&gt;0,_xlfn.XLOOKUP(NewTrader!$V37,TabCalc[Ticker],ListExtra_n)*NewTrader!$Y37*_xlfn.XLOOKUP(NewTrader!$V37,TabCalc[Ticker],ListScale),"")</f>
        <v/>
      </c>
      <c r="M37" s="1629">
        <f ca="1">_xlfn.XLOOKUP(NewTrader!$V37,TabCalc[Ticker],TabCalc[Agiotage])</f>
        <v>0.70562494111242557</v>
      </c>
      <c r="N37" s="1630" cm="1">
        <f t="array" aca="1" ref="N37" ca="1">_xlfn.XLOOKUP(NewTrader!$V37,ListTickers,Tab2RSIConventional[RSIConv20])</f>
        <v>87</v>
      </c>
      <c r="O37" s="1631" t="str">
        <f ca="1">TEXT(_xlfn.XLOOKUP(NewTrader!$V37,TabCalc[Ticker],TabCalc[Nbegin]),"#,#0")&amp;": "&amp;_xlfn.XLOOKUP(NewTrader!$V37,TabCalc[Ticker],TabCalc[Pile?])</f>
        <v xml:space="preserve">6,000: </v>
      </c>
      <c r="P37" s="1630">
        <f ca="1">_xlfn.XLOOKUP(NewTrader!$V37,TabCalc[Ticker],TabCalc[L_Bn])</f>
        <v>4000</v>
      </c>
      <c r="Q37" s="1633">
        <f ca="1">_xlfn.XLOOKUP(NewTrader!$V37,TabCalc[Ticker],TabCalc[L_Bp])</f>
        <v>-5.19</v>
      </c>
      <c r="R37" s="1634">
        <f ca="1">(NewTrader!$Y37+NewTrader!$Q37)/ABS(NewTrader!$Q37)</f>
        <v>0.43159922928709038</v>
      </c>
      <c r="S37" s="259">
        <f ca="1">INT(_xlfn.XLOOKUP(NewTrader!$V37,TabCalc[Ticker],TabCalc[Rev(MinStock)])*Comm_Net)</f>
        <v>8910</v>
      </c>
      <c r="T37" s="1635">
        <f ca="1">_xlfn.XLOOKUP(NewTrader!$V37,TabCalc[Ticker],TabCalc[Agiotage])</f>
        <v>0.70562494111242557</v>
      </c>
      <c r="U37" s="1719"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600/600=&gt;2.6% / 2.6%</v>
      </c>
      <c r="V37" s="1578" t="str">
        <f ca="1">SORTING!B37</f>
        <v>PROF</v>
      </c>
      <c r="W37" s="1637">
        <f ca="1">_xlfn.XLOOKUP(NewTrader!$V37,TabCalc[Ticker],TabCalc[Y])</f>
        <v>12.1</v>
      </c>
      <c r="X37" s="1639">
        <f ca="1">-_xlfn.XLOOKUP(NewTrader!$V37&amp;2,Consolid!B$3:JZ$3,Consolid!B$4:JZ$4)</f>
        <v>5.2034940000000001</v>
      </c>
      <c r="Y37" s="1639">
        <f ca="1">_xlfn.XLOOKUP(NewTrader!$V37,TabCalc[Ticker],TabCalc[M])</f>
        <v>7.43</v>
      </c>
      <c r="Z37" s="1640">
        <f ca="1">_xlfn.XLOOKUP(NewTrader!$V37,[1]!RTData[Ticker_Symbol],[1]!RTData[YTChange])</f>
        <v>-0.66840230200054807</v>
      </c>
      <c r="AA37" s="1640" cm="1">
        <f t="array" aca="1" ref="AA37" ca="1">_xlfn.XLOOKUP(NewTrader!$V37,ListTickers,Tab1ChangePercent[Change%19])</f>
        <v>2.6242999999999999E-2</v>
      </c>
      <c r="AB37" s="1641">
        <f ca="1">_xlfn.XLOOKUP(NewTrader!$V37,TabCalc[Ticker],TabCalc[NAfter])</f>
        <v>4000</v>
      </c>
      <c r="AC37" s="1641">
        <f ca="1">_xlfn.XLOOKUP(NewTrader!$V37,TabCalc[Ticker],TabCalc[Nbegin])</f>
        <v>6000</v>
      </c>
      <c r="AD37" s="1642" t="str">
        <f ca="1">_xlfn.LET(_xlpm.PILE,_xlfn.XLOOKUP(NewTrader!$V37,TabCalc[Ticker],TabCalc[Pile?]),                    _xlpm.GL,_xlfn.XLOOKUP(NewTrader!$V37,TabCalc[Ticker],TabCalc[GL]),                        _xlpm.GLK,_xlfn.XLOOKUP(NewTrader!$V37,TabCalc[Ticker],TabCalc[GL])/1000,                             _xlpm.MVal,_xlfn.XLOOKUP(NewTrader!$V37,TabCalc[Ticker],TabCalc[M_V])/1000,                   _xlpm.PILE&amp;" "&amp;IF(_xlpm.GL&lt;0,TEXT(_xlpm.GLK,"#,#0")&amp;"K /"&amp;TEXT(_xlpm.MVal,"#,#0")&amp;" K$","^"&amp;TEXT(_xlpm.GLK,"#,#0")&amp;"K / "&amp;TEXT(_xlpm.MVal,"#,#0")&amp;" K$"))</f>
        <v xml:space="preserve"> ^10K / 30 K$</v>
      </c>
      <c r="AE37" s="1643" t="str">
        <f ca="1">_xlfn.XLOOKUP(NewTrader!$V37,[1]!RTData[Ticker_Symbol],[1]!RTData[Currency])</f>
        <v>USD</v>
      </c>
      <c r="AF37" s="1721"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646" t="str" cm="1">
        <f t="array" aca="1" ref="AH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7.43 -  12.10</v>
      </c>
      <c r="AI37"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37" s="1739" t="str" cm="1">
        <f t="array" aca="1" ref="AJ37" ca="1">_xlfn.IFS(Tab_NewTRADER[[#This Row],[State]]="Sell More",TEXT(MIN(Tab_NewTRADER[[#This Row],[N]],Tab_NewTRADER[[#This Row],[L_Bn]])*(Tab_NewTRADER[[#This Row],[M]]-Tab_NewTRADER[[#This Row],[L_Sp]])*Tab_NewTRADER[[#This Row],[Scale]]*ComFactor,"#,#0"), TRUE,"M= "&amp;TEXT(Tab_NewTRADER[[#This Row],[M]],"#,#0.00"))</f>
        <v>7,261</v>
      </c>
      <c r="AK37" s="1699" t="str" cm="1">
        <f t="array" aca="1" ref="AK37" ca="1">_xlfn.IFS(Tab_NewTRADER[[#This Row],[Y]]&gt;Tab_NewTRADER[[#This Row],[A]],                 TEXT(MIN(Tab_NewTRADER[[#This Row],[L_Bn]],Tab_NewTRADER[[#This Row],[N]])*(Tab_NewTRADER[[#This Row],[M]]-Tab_NewTRADER[[#This Row],[A]])*Tab_NewTRADER[[#This Row],[Scale]]*ComFactor,"#,#0"), TRUE,0)</f>
        <v>8,883</v>
      </c>
      <c r="AL37" s="1700" cm="1">
        <f t="array" aca="1" ref="AL37" ca="1">_xlfn.IFS(Tab_NewTRADER[[#This Row],[M]]&gt;Tab_NewTRADER[[#This Row],[A]],                  Tab_NewTRADER[[#This Row],[N]]*(Tab_NewTRADER[[#This Row],[M]]-Tab_NewTRADER[[#This Row],[A]])*Tab_NewTRADER[[#This Row],[Scale]]*ComFactor, TRUE,0)</f>
        <v>8882.868337599999</v>
      </c>
      <c r="AM37" s="1592" t="str">
        <f ca="1">_xlfn.XLOOKUP(Tab_NewTRADER[[#This Row],[Show]],TabCalc[Ticker],TabCalc[Max_Bn])&amp;" x "&amp;TEXT(_xlfn.XLOOKUP(Tab_NewTRADER[[#This Row],[Show]],TabCalc[Ticker],TabCalc[Max_Bp]),"#,#0.00")</f>
        <v>4000 x 5.20</v>
      </c>
      <c r="AN37" s="1650" t="str">
        <f ca="1">NewTrader!$V37</f>
        <v>PROF</v>
      </c>
      <c r="AO37" s="1651" t="str">
        <f ca="1">TEXT(_xlfn.XLOOKUP(Tab_NewTRADER[[#This Row],[ClickTick]],TabCalc[Ticker],TabCalc[NAfter]),"#,#0")&amp;"x"&amp;_xlfn.XLOOKUP(Tab_NewTRADER[[#This Row],[ClickTick]],TabCalc[Ticker],TabCalc[M])&amp;"           (A: "&amp;TEXT(-_xlfn.XLOOKUP(Tab_NewTRADER[[#This Row],[ClickTick]]&amp;2,Consolid!B$3:JZ$3,Consolid!B$4:JZ$4),"#,??0.00")&amp;")"</f>
        <v>4,000x7.43           (A:   5.20)</v>
      </c>
      <c r="AP37" s="1592" t="str">
        <f ca="1">_xlfn.XLOOKUP(Tab_NewTRADER[[#This Row],[Show]],TabCalc[Ticker],TabCalc[Min_Sn])&amp;" x "&amp;TEXT(_xlfn.XLOOKUP(Tab_NewTRADER[[#This Row],[Show]],TabCalc[Ticker],TabCalc[Min_Sp]),"#,#0.00")</f>
        <v>2000 x 5.61</v>
      </c>
      <c r="AQ3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702" t="str" cm="1">
        <f t="array" aca="1" ref="AR37" ca="1">_xlfn.IFS(Tab_NewTRADER[[#This Row],[State]]="Reverse Buy",TEXT(-Tab_NewTRADER[[#This Row],[Buy_Back]],"#,#0")&amp;" / "&amp;TEXT(Tab_NewTRADER[[#This Row],[Rev_Buy]],"#,#0.0%"),TRUE,Tab_NewTRADER[[#This Row],[AMY]])</f>
        <v xml:space="preserve">   5.20 -   7.43 -  12.10</v>
      </c>
      <c r="AS37" s="1651"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99"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99" t="str" cm="1">
        <f t="array" aca="1" ref="AU37" ca="1">_xlfn.IFS(Tab_NewTRADER[[#This Row],[M]]&lt;Tab_NewTRADER[[#This Row],[A]],TEXT(Tab_NewTRADER[[#This Row],[N]]*Tab_NewTRADER[[#This Row],[M]]*Tab_NewTRADER[[#This Row],[Scale]]*Comm_Net,"#,#0")&amp;" @ "&amp;TEXT(Tab_NewTRADER[[#This Row],[M]],"#,#0.#0"),TRUE,"M: "&amp; Tab_NewTRADER[[#This Row],[M]])</f>
        <v>M: 7.43</v>
      </c>
      <c r="AV37" s="1740" cm="1">
        <f t="array" aca="1" ref="AV37" ca="1">-_xlfn.XLOOKUP(
    Tab_NewTRADER[[#This Row],[Show]] &amp; 2,
    TabConsolid[#Headers],
    INDEX(TabConsolid[], 1, 0)
)</f>
        <v>5.2034940000000001</v>
      </c>
      <c r="AW37" s="1741">
        <f ca="1">Tab_NewTRADER[[#This Row],[M]]*Tab_NewTRADER[[#This Row],[N]]*(1-Commission)*Tab_NewTRADER[[#This Row],[Scale]]</f>
        <v>29642.727999999999</v>
      </c>
      <c r="AX37" s="1705"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705"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706" t="str" cm="1">
        <f t="array" aca="1" ref="AZ37" ca="1">_xlfn.IFS(   Tab_NewTRADER[[#This Row],[State]]=SellMorePercentGain,                     MIN(Tab_NewTRADER[[#This Row],[L_Sn]],Tab_NewTRADER[[#This Row],[N]])*(Tab_NewTRADER[[#This Row],[M]]-Tab_NewTRADER[[#This Row],[L_Sp]])*(1-Commission)*Tab_NewTRADER[[#This Row],[Scale]],                    TRUE,"")</f>
        <v/>
      </c>
      <c r="BA37" s="1707">
        <f ca="1">_xlfn.XLOOKUP(NewTrader!$V37,TabCalc[Ticker],TabCalc[Ann%RevLB])</f>
        <v>1.9919964428634942</v>
      </c>
      <c r="BB37" s="1708">
        <f ca="1">_xlfn.XLOOKUP(NewTrader!$V37,TabCalc[Ticker],TabCalc[Up20])</f>
        <v>0</v>
      </c>
      <c r="BC37" s="1742"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706" t="str" cm="1">
        <f t="array" aca="1" ref="BD37" ca="1">_xlfn.IFS(         NewTrader!$AF37=MDown,NewTrader!$P37*NewTrader!$Y37*(-(NewTrader!$Q37+NewTrader!$Y37)/NewTrader!$Y37)*(1-Commission)*NewTrader!$A37,                               TRUE,"")</f>
        <v/>
      </c>
      <c r="BE37" s="1705" t="str" cm="1">
        <f t="array" aca="1" ref="BE37" ca="1">_xlfn.IFS(   NewTrader!$AF37=MUp,NewTrader!$BP37-Commission,        NewTrader!$AF37=MDown,(NewTrader!$X37-NewTrader!$Y37)/NewTrader!$Y37-Commission,                              TRUE,"")</f>
        <v/>
      </c>
      <c r="BF37" s="1710"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710" t="str" cm="1">
        <f t="array" aca="1" ref="BG37" ca="1">_xlfn.LET(_xlpm.SumChTxt,TEXT(_xlfn.XLOOKUP(NewTrader!$V37,ListTickers,Tab2SumChangePercent[AVGChan20]),"#0.0%"),
      _xlfn.IFS(NewTrader!$AF37=NoStock,_xlpm.SumChTxt,
      TRUE, IF(NewTrader!$AF37=SellMorePercentGain,             "SumChange "&amp;_xlpm.SumChTxt,                         "&lt;"&amp;INT(_xlfn.XLOOKUP(NewTrader!$V37,ListTickers,Tab2ReverseGL[Rev_GL19]))&amp;    "&lt;"&amp;INT(_xlfn.XLOOKUP(NewTrader!$V37,ListTickers,Tab2ReverseGL[Rev_GL18]))&amp;":      "&amp;_xlpm.SumChTxt)))</f>
        <v>&lt;-1&lt;-1:      5.2%</v>
      </c>
      <c r="BH37" s="1711"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4,000x2.22</v>
      </c>
      <c r="BI37" s="1712" cm="1">
        <f t="array" aca="1" ref="BI37" ca="1">_xlfn.IFS(NewTrader!$AF37=Sale_Back,"",         NewTrader!$AF37=MDown, (NewTrader!$Y37-NewTrader!$X37)/NewTrader!$X37*ComFactor,             TRUE, IFERROR((NewTrader!$Y37-NewTrader!$X37)/NewTrader!$X37*ComFactor,""))</f>
        <v>0.42677421832330348</v>
      </c>
      <c r="BJ37" s="1664" cm="1">
        <f t="array" aca="1" ref="BJ37" ca="1">_xlfn.IFS(               NewTrader!$AF37=NoStock,(NewTrader!$BL37-NewTrader!$Y37)/NewTrader!$Y37-Commission,             NewTrader!$X37&lt;&gt;0,(NewTrader!$X37-NewTrader!$Y37)/NewTrader!$Y37-Commission)</f>
        <v>-0.30226433378196499</v>
      </c>
      <c r="BK37" s="1726">
        <f ca="1">_xlfn.XLOOKUP(NewTrader!$V37,TabCalc[Ticker],TabCalc[L_Sn])</f>
        <v>2000</v>
      </c>
      <c r="BL37" s="1727">
        <f ca="1">_xlfn.XLOOKUP(NewTrader!$V37,TabCalc[Ticker],TabCalc[L_Sp])</f>
        <v>5.61</v>
      </c>
      <c r="BM37" s="1634">
        <f ca="1">-IFERROR((Tab_NewTRADER[[#This Row],[M]]-Tab_NewTRADER[[#This Row],[L_Sp]])/Tab_NewTRADER[[#This Row],[L_Sp]],0)</f>
        <v>-0.3244206773618537</v>
      </c>
      <c r="BN37" s="1728">
        <f ca="1">MIN(Tab_NewTRADER[[#This Row],[L_Sn]],Tab_NewTRADER[[#This Row],[N]])*(Tab_NewTRADER[[#This Row],[M]]-Tab_NewTRADER[[#This Row],[L_Sp]])*Comm_Net*Tab_NewTRADER[[#This Row],[Scale]]</f>
        <v>3630.1719999999987</v>
      </c>
      <c r="BO37" s="1715">
        <f ca="1">Tab_NewTRADER[[#This Row],[L_Sn]]*(Tab_NewTRADER[[#This Row],[Agiotage]]-Tab_NewTRADER[[#This Row],[M]])/(Tab_NewTRADER[[#This Row],[L_Bn]]*Tab_NewTRADER[[#This Row],[M]])</f>
        <v>-0.45251514528180176</v>
      </c>
      <c r="BP37" s="1670">
        <f ca="1">IFERROR((Tab_NewTRADER[[#This Row],[M]]-Tab_NewTRADER[[#This Row],[A]])/Tab_NewTRADER[[#This Row],[A]],0)</f>
        <v>0.42788672380519699</v>
      </c>
      <c r="BQ37" s="1671" t="str">
        <f ca="1">TEXT(_xlfn.XLOOKUP(Tab_NewTRADER[[#This Row],[ClickTick]],TabCalc[Ticker],TabCalc[NAfter]),"#,#0")&amp;" : "&amp;TEXT(_xlfn.XLOOKUP(Tab_NewTRADER[[#This Row],[ClickTick]],TabCalc[Ticker],TabCalc[NAfter])*(Tab_NewTRADER[[#This Row],[M]]-Tab_NewTRADER[[#This Row],[A]])*(1-Commission)*Tab_NewTRADER[[#This Row],[Scale]],"#,#0$")</f>
        <v>4,000 : 8,883$</v>
      </c>
      <c r="BR37" s="259">
        <f ca="1">_xlfn.XLOOKUP(NewTrader!$V37,TabCalc[[#This Row],[Ticker]],TabCalc[[#This Row],[GL]])*(1-Commission)</f>
        <v>10013.341268461782</v>
      </c>
      <c r="BS37" s="259"/>
      <c r="BT37" s="1672" t="str">
        <f ca="1">Tab_NewTRADER[[#This Row],[Show]]&amp;": "&amp;_xlfn.XLOOKUP(Tab_NewTRADER[[#This Row],[Show]],TabCalc[Ticker],TabCalc[Pile?])</f>
        <v xml:space="preserve">PROF: </v>
      </c>
      <c r="BU37" s="1717" t="s">
        <v>1955</v>
      </c>
      <c r="BV37" s="1674" t="str" cm="1">
        <f t="array" aca="1" ref="BV37" ca="1">_xlfn.TEXTJOIN("",,INDEX({"M","A","Y"}, _xlfn.SORTBY({1,2,3}, -CHOOSE({1,2,3}, Tab_NewTRADER[[#This Row],[M]], Tab_NewTRADER[[#This Row],[A]], Tab_NewTRADER[[#This Row],[Y]]))))</f>
        <v>YMA</v>
      </c>
      <c r="BW37" s="1675"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76">
        <f ca="1">Tab_NewTRADER[[#This Row],[L_Sn]]*Tab_NewTRADER[[#This Row],[L_Sp]]+Tab_NewTRADER[[#This Row],[SellMore]]*Tab_NewTRADER[[#This Row],[M]]</f>
        <v>40940</v>
      </c>
      <c r="BY37" s="1676">
        <f ca="1">INDEX(
  INDEX(TabConsolid[], , _xlfn.XMATCH(Tab_NewTRADER[[#This Row],[ClickTick]]&amp;1, TabConsolid[#Headers])),
  MATCH(
    -Tab_NewTRADER[[#This Row],[M]],
    INDEX(TabConsolid[], , _xlfn.XMATCH(Tab_NewTRADER[[#This Row],[ClickTick]]&amp;2, TabConsolid[#Headers])),
    -1
  )
)</f>
        <v>4000</v>
      </c>
      <c r="BZ37" s="1676"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77">
        <f ca="1">Tab_NewTRADER[[#This Row],[ReBuy]]/(Tab_NewTRADER[[#This Row],[L_Sn]]+Tab_NewTRADER[[#This Row],[SellMore]])</f>
        <v>6.8233333333333333</v>
      </c>
      <c r="CB37" s="1678">
        <f ca="1">((_xlfn.XLOOKUP(Tab_NewTRADER[[#This Row],[Show]],TabCalc[Ticker],TabCalc[NAfter])+Tab_NewTRADER[[#This Row],[L_Sn]])*(Tab_NewTRADER[[#This Row],[Agiotage]]-Tab_NewTRADER[[#This Row],[M]]))/(Tab_NewTRADER[[#This Row],[L_Sn]]*_xlfn.XLOOKUP(Tab_NewTRADER[[#This Row],[Show]],TabCalc[Ticker],TabCalc[NAfter]))</f>
        <v>-5.0432812941656807E-3</v>
      </c>
      <c r="CC37" s="1677">
        <f ca="1">INDEX(Tab1Price[Price19], MATCH(Tab_NewTRADER[[#This Row],[Show]], Tab_NewTRADER[Show], 0))</f>
        <v>7.43</v>
      </c>
      <c r="CD37" s="1679">
        <f ca="1">_xlfn.XMATCH(Tab_NewTRADER[[#This Row],[Show]]&amp;1, TabConsolid[#Headers])</f>
        <v>104</v>
      </c>
      <c r="CE37" s="1678"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729" t="str" cm="1">
        <f t="array" aca="1" ref="CF37" ca="1">_xlfn.LET(
    _xlpm.FMT, _xlfn.LAMBDA(_xlpm.n, REPT(" ", 7 - LEN(TEXT(_xlpm.n,"0.00"))) &amp; TEXT(_xlpm.n,"0.00")),
    _xlpm.FMT(Tab_NewTRADER[[#This Row],[A]]) &amp; " -" &amp; _xlpm.FMT(Tab_NewTRADER[[#This Row],[M]]) &amp; " -" &amp; _xlpm.FMT(Tab_NewTRADER[[#This Row],[Y]])
)</f>
        <v xml:space="preserve">   5.20 -   7.43 -  12.10</v>
      </c>
      <c r="CG37" s="1730" t="str" cm="1">
        <f t="array" aca="1" ref="CG37" ca="1">_xlfn.LET(
    _xlpm.W, 7,
    _xlpm.FMT, _xlfn.LAMBDA(_xlpm.n, REPT(" ", _xlpm.W - LEN(TEXT(_xlpm.n,"0.00"))) &amp; TEXT(_xlpm.n,"0.00")),
    _xlpm.FMT(Tab_NewTRADER[[#This Row],[A]]) &amp; " * " &amp; _xlpm.FMT(Tab_NewTRADER[[#This Row],[M]]) &amp; " * " &amp; _xlpm.FMT(Tab_NewTRADER[[#This Row],[Y]])
)</f>
        <v xml:space="preserve">   5.20 *    7.43 *   12.10</v>
      </c>
      <c r="CH37" s="1842">
        <f>0</f>
        <v>0</v>
      </c>
      <c r="CI37" t="b">
        <f ca="1">IF(ABS(NewTrader!$Q37)&gt;=NewTrader!$Y37,"OK")</f>
        <v>0</v>
      </c>
    </row>
    <row r="38" spans="1:87" hidden="1">
      <c r="A38" s="1839">
        <f ca="1">IF(_xlfn.XLOOKUP(NewTrader!$V38,TabCalc[Ticker],TabCalc[Cur])="GBp",0.01,1)</f>
        <v>1</v>
      </c>
      <c r="B38" s="1681" t="str">
        <f ca="1">IFERROR(TRUNC(_xlfn.XLOOKUP(NewTrader!$V38,TabCalc[Ticker],ListLastBuyp),2)&amp;"x"&amp;_xlfn.XLOOKUP(NewTrader!$V38,TabCalc[Ticker],ListLastBuyn)&amp;"=    "&amp;IF(_xlfn.XLOOKUP(NewTrader!$V38,TabCalc[Ticker],ListReverseS)&gt;0,"+","")&amp;TEXT(_xlfn.XLOOKUP(NewTrader!$V38,TabCalc[Ticker],ListReverseS),"#,#0")&amp;" "&amp;#REF!,"")</f>
        <v/>
      </c>
      <c r="C38" s="1682" t="str">
        <f ca="1">_xlfn.XLOOKUP(NewTrader!$V38,TabCalc[Ticker],ListResale)&amp;" @ "&amp;TEXT((_xlfn.XLOOKUP(NewTrader!$V38,TabCalc[Ticker],TabCalc[L_Bp])+_xlfn.XLOOKUP(NewTrader!$V38,TabCalc[Ticker],TabCalc[M]))/_xlfn.XLOOKUP(NewTrader!$V38,TabCalc[Ticker],TabCalc[M]),"#0.0%")</f>
        <v>Resell @ 31.0%</v>
      </c>
      <c r="D38" s="1683"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2,231/47,500=16,108</v>
      </c>
      <c r="E38" s="1684" t="str">
        <f ca="1">IF(      AND(NewTrader!$X38&lt;NewTrader!$Y38,    _xlfn.XLOOKUP(NewTrader!$V38,TabCalc[Ticker],TabCalc[L_Sp])&gt;NewTrader!$Y38),"BUY  "&amp;TEXT(DesiredBuyGain/NewTrader!$A38/(_xlfn.XLOOKUP(NewTrader!$V38,TabCalc[Ticker],TabCalc[L_Sp])-NewTrader!$Y38),"#,##0"),"")</f>
        <v>BUY  2,703</v>
      </c>
      <c r="F38" s="1681" t="str">
        <f ca="1">TRUNC(TabCalc[[#This Row],[L_B1p]],2)&amp;"x"&amp;TabCalc[[#This Row],[L_B1n]]&amp;"=   "&amp;TEXT(TabCalc[[#This Row],[ReverseS1]],"#,#0")&amp;"$"</f>
        <v>-5.12x2500=   5,250$</v>
      </c>
      <c r="G38" s="1685" t="str">
        <f ca="1">IFERROR(TRUNC(_xlfn.XLOOKUP(NewTrader!$V38,TabCalc[Ticker],ListLastSalep),2)&amp;"x"&amp;_xlfn.XLOOKUP(NewTrader!$V38,TabCalc[Ticker],ListLastSalen)&amp;"=   "&amp;TEXT(-_xlfn.XLOOKUP(NewTrader!$V38,TabCalc[Ticker],ListReverseB),"#,#0")&amp;"$","")</f>
        <v>9.07x2500=   -4,625$</v>
      </c>
      <c r="H38" s="1686"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25.6% = 2,703</v>
      </c>
      <c r="I38" s="1681" t="str">
        <f ca="1">IFERROR(TRUNC(TabCalc[[#This Row],[L_S1p]],2)&amp;"x"&amp;TabCalc[[#This Row],[L_S1n]]&amp;"=   "&amp;TEXT(TabCalc[[#This Row],[ReverseB1]],"#,#0"),"")</f>
        <v>7.4x2500=   450</v>
      </c>
      <c r="J38" s="1687">
        <f ca="1">_xlfn.XLOOKUP(NewTrader!$V38,TabCalc[Ticker],ListGravity)</f>
        <v>0.96029501385041549</v>
      </c>
      <c r="K38" s="1688" cm="1">
        <f t="array" aca="1" ref="K38" ca="1">IF(_xlfn.XLOOKUP(NewTrader!$V38,NewTrader!$V$3:$V$96,ListExtra_n)&gt;0,_xlfn.XLOOKUP(NewTrader!$V38,NewTrader!$V$3:$V$96,ListExtra_n),"")</f>
        <v>2500</v>
      </c>
      <c r="L38" s="1689">
        <f ca="1">IF(_xlfn.XLOOKUP(NewTrader!$V38,TabCalc[Ticker],ListExtra_n)&gt;0,_xlfn.XLOOKUP(NewTrader!$V38,TabCalc[Ticker],ListExtra_n)*NewTrader!$Y38*_xlfn.XLOOKUP(NewTrader!$V38,TabCalc[Ticker],ListScale),"")</f>
        <v>18050</v>
      </c>
      <c r="M38" s="1690">
        <f ca="1">_xlfn.XLOOKUP(NewTrader!$V38,TabCalc[Ticker],TabCalc[Agiotage])</f>
        <v>0.99686525095229539</v>
      </c>
      <c r="N38" s="1691" cm="1">
        <f t="array" aca="1" ref="N38" ca="1">_xlfn.XLOOKUP(NewTrader!$V38,ListTickers,Tab2RSIConventional[RSIConv20])</f>
        <v>65</v>
      </c>
      <c r="O38" s="1631" t="str">
        <f ca="1">TEXT(_xlfn.XLOOKUP(NewTrader!$V38,TabCalc[Ticker],TabCalc[Nbegin]),"#,#0")&amp;": "&amp;_xlfn.XLOOKUP(NewTrader!$V38,TabCalc[Ticker],TabCalc[Pile?])</f>
        <v xml:space="preserve">45,000: </v>
      </c>
      <c r="P38" s="1692">
        <f ca="1">_xlfn.XLOOKUP(NewTrader!$V38,TabCalc[Ticker],TabCalc[L_Bn])</f>
        <v>2500</v>
      </c>
      <c r="Q38" s="1731">
        <f ca="1">_xlfn.XLOOKUP(NewTrader!$V38,TabCalc[Ticker],TabCalc[L_Bp])</f>
        <v>-4.9789000000000003</v>
      </c>
      <c r="R38" s="1694">
        <f ca="1">(NewTrader!$Y38+NewTrader!$Q38)/ABS(NewTrader!$Q38)</f>
        <v>0.45011950430818037</v>
      </c>
      <c r="S38" s="262">
        <f ca="1">INT(_xlfn.XLOOKUP(NewTrader!$V38,TabCalc[Ticker],TabCalc[Rev(MinStock)])*Comm_Net)</f>
        <v>5571</v>
      </c>
      <c r="T38" s="1635">
        <f ca="1">_xlfn.XLOOKUP(NewTrader!$V38,TabCalc[Ticker],TabCalc[Agiotage])</f>
        <v>0.99686525095229539</v>
      </c>
      <c r="U38" s="1695"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6,175/6,175=&gt;1.0% / 1.0%</v>
      </c>
      <c r="V38" s="1578" t="str">
        <f ca="1">SORTING!B38</f>
        <v>POET</v>
      </c>
      <c r="W38" s="1637">
        <f ca="1">_xlfn.XLOOKUP(NewTrader!$V38,TabCalc[Ticker],TabCalc[Y])</f>
        <v>6.9333299999999998</v>
      </c>
      <c r="X38" s="1639">
        <f ca="1">-_xlfn.XLOOKUP(NewTrader!$V38&amp;2,Consolid!B$3:JZ$3,Consolid!B$4:JZ$4)</f>
        <v>5.7007045880842098</v>
      </c>
      <c r="Y38" s="1639">
        <f ca="1">_xlfn.XLOOKUP(NewTrader!$V38,TabCalc[Ticker],TabCalc[M])</f>
        <v>7.22</v>
      </c>
      <c r="Z38" s="1640">
        <f ca="1">_xlfn.XLOOKUP(NewTrader!$V38,[1]!RTData[Ticker_Symbol],[1]!RTData[YTChange])</f>
        <v>-0.54295781147000666</v>
      </c>
      <c r="AA38" s="1640" cm="1">
        <f t="array" aca="1" ref="AA38" ca="1">_xlfn.XLOOKUP(NewTrader!$V38,ListTickers,Tab1ChangePercent[Change%19])</f>
        <v>9.7900000000000001E-3</v>
      </c>
      <c r="AB38" s="1641">
        <f ca="1">_xlfn.XLOOKUP(NewTrader!$V38,TabCalc[Ticker],TabCalc[NAfter])</f>
        <v>47500</v>
      </c>
      <c r="AC38" s="1641">
        <f ca="1">_xlfn.XLOOKUP(NewTrader!$V38,TabCalc[Ticker],TabCalc[Nbegin])</f>
        <v>45000</v>
      </c>
      <c r="AD38" s="1642" t="str">
        <f ca="1">_xlfn.LET(_xlpm.PILE,_xlfn.XLOOKUP(NewTrader!$V38,TabCalc[Ticker],TabCalc[Pile?]),                    _xlpm.GL,_xlfn.XLOOKUP(NewTrader!$V38,TabCalc[Ticker],TabCalc[GL]),                        _xlpm.GLK,_xlfn.XLOOKUP(NewTrader!$V38,TabCalc[Ticker],TabCalc[GL])/1000,                             _xlpm.MVal,_xlfn.XLOOKUP(NewTrader!$V38,TabCalc[Ticker],TabCalc[M_V])/1000,                   _xlpm.PILE&amp;" "&amp;IF(_xlpm.GL&lt;0,TEXT(_xlpm.GLK,"#,#0")&amp;"K /"&amp;TEXT(_xlpm.MVal,"#,#0")&amp;" K$","^"&amp;TEXT(_xlpm.GLK,"#,#0")&amp;"K / "&amp;TEXT(_xlpm.MVal,"#,#0")&amp;" K$"))</f>
        <v xml:space="preserve"> ^73K / 342 K$</v>
      </c>
      <c r="AE38" s="1643" t="str">
        <f ca="1">_xlfn.XLOOKUP(NewTrader!$V38,[1]!RTData[Ticker_Symbol],[1]!RTData[Currency])</f>
        <v>USD</v>
      </c>
      <c r="AF38" s="1721"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AG3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646" t="str" cm="1">
        <f t="array" aca="1" ref="AH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5,572 @ 7.22 : (31.0%, 558.8%)</v>
      </c>
      <c r="AI3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8" s="1651" t="str" cm="1">
        <f t="array" aca="1" ref="AJ38" ca="1">_xlfn.IFS(Tab_NewTRADER[[#This Row],[State]]="Sell More",TEXT(MIN(Tab_NewTRADER[[#This Row],[N]],Tab_NewTRADER[[#This Row],[L_Bn]])*(Tab_NewTRADER[[#This Row],[M]]-Tab_NewTRADER[[#This Row],[L_Sp]])*Tab_NewTRADER[[#This Row],[Scale]]*ComFactor,"#,#0"), TRUE,"M= "&amp;TEXT(Tab_NewTRADER[[#This Row],[M]],"#,#0.00"))</f>
        <v>M= 7.22</v>
      </c>
      <c r="AK38" s="1699" t="str" cm="1">
        <f t="array" aca="1" ref="AK38" ca="1">_xlfn.IFS(Tab_NewTRADER[[#This Row],[Y]]&gt;Tab_NewTRADER[[#This Row],[A]],                 TEXT(MIN(Tab_NewTRADER[[#This Row],[L_Bn]],Tab_NewTRADER[[#This Row],[N]])*(Tab_NewTRADER[[#This Row],[M]]-Tab_NewTRADER[[#This Row],[A]])*Tab_NewTRADER[[#This Row],[Scale]]*ComFactor,"#,#0"), TRUE,0)</f>
        <v>3,788</v>
      </c>
      <c r="AL38" s="1700" cm="1">
        <f t="array" aca="1" ref="AL38" ca="1">_xlfn.IFS(Tab_NewTRADER[[#This Row],[M]]&gt;Tab_NewTRADER[[#This Row],[A]],                  Tab_NewTRADER[[#This Row],[N]]*(Tab_NewTRADER[[#This Row],[M]]-Tab_NewTRADER[[#This Row],[A]])*Tab_NewTRADER[[#This Row],[Scale]]*ComFactor, TRUE,0)</f>
        <v>71978.899082628428</v>
      </c>
      <c r="AM38" s="1592" t="str">
        <f ca="1">_xlfn.XLOOKUP(Tab_NewTRADER[[#This Row],[Show]],TabCalc[Ticker],TabCalc[Max_Bn])&amp;" x "&amp;TEXT(_xlfn.XLOOKUP(Tab_NewTRADER[[#This Row],[Show]],TabCalc[Ticker],TabCalc[Max_Bp]),"#,#0.00")</f>
        <v>500 x 7.09</v>
      </c>
      <c r="AN38" s="1650" t="str">
        <f ca="1">NewTrader!$V38</f>
        <v>POET</v>
      </c>
      <c r="AO38" s="1651" t="str">
        <f ca="1">TEXT(_xlfn.XLOOKUP(Tab_NewTRADER[[#This Row],[ClickTick]],TabCalc[Ticker],TabCalc[NAfter]),"#,#0")&amp;"x"&amp;_xlfn.XLOOKUP(Tab_NewTRADER[[#This Row],[ClickTick]],TabCalc[Ticker],TabCalc[M])&amp;"           (A: "&amp;TEXT(-_xlfn.XLOOKUP(Tab_NewTRADER[[#This Row],[ClickTick]]&amp;2,Consolid!B$3:JZ$3,Consolid!B$4:JZ$4),"#,??0.00")&amp;")"</f>
        <v>47,500x7.22           (A:   5.70)</v>
      </c>
      <c r="AP38" s="1592" t="str">
        <f ca="1">_xlfn.XLOOKUP(Tab_NewTRADER[[#This Row],[Show]],TabCalc[Ticker],TabCalc[Min_Sn])&amp;" x "&amp;TEXT(_xlfn.XLOOKUP(Tab_NewTRADER[[#This Row],[Show]],TabCalc[Ticker],TabCalc[Min_Sp]),"#,#0.00")</f>
        <v>2500 x 4.17</v>
      </c>
      <c r="AQ3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702" t="str" cm="1">
        <f t="array" aca="1" ref="AR38" ca="1">_xlfn.IFS(Tab_NewTRADER[[#This Row],[State]]="Reverse Buy",TEXT(-Tab_NewTRADER[[#This Row],[Buy_Back]],"#,#0")&amp;" / "&amp;TEXT(Tab_NewTRADER[[#This Row],[Rev_Buy]],"#,#0.0%"),TRUE,Tab_NewTRADER[[#This Row],[AMY]])</f>
        <v xml:space="preserve">   5.70 -   7.22 -   6.93</v>
      </c>
      <c r="AS38" s="1651"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99"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99" t="str" cm="1">
        <f t="array" aca="1" ref="AU38" ca="1">_xlfn.IFS(Tab_NewTRADER[[#This Row],[M]]&lt;Tab_NewTRADER[[#This Row],[A]],TEXT(Tab_NewTRADER[[#This Row],[N]]*Tab_NewTRADER[[#This Row],[M]]*Tab_NewTRADER[[#This Row],[Scale]]*Comm_Net,"#,#0")&amp;" @ "&amp;TEXT(Tab_NewTRADER[[#This Row],[M]],"#,#0.#0"),TRUE,"M: "&amp; Tab_NewTRADER[[#This Row],[M]])</f>
        <v>M: 7.22</v>
      </c>
      <c r="AV38" s="1703" cm="1">
        <f t="array" aca="1" ref="AV38" ca="1">-_xlfn.XLOOKUP(
    Tab_NewTRADER[[#This Row],[Show]] &amp; 2,
    TabConsolid[#Headers],
    INDEX(TabConsolid[], 1, 0)
)</f>
        <v>5.7007045880842098</v>
      </c>
      <c r="AW38" s="1704">
        <f ca="1">Tab_NewTRADER[[#This Row],[M]]*Tab_NewTRADER[[#This Row],[N]]*(1-Commission)*Tab_NewTRADER[[#This Row],[Scale]]</f>
        <v>342058.32999999996</v>
      </c>
      <c r="AX38" s="1705"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705"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8" s="1706" t="str" cm="1">
        <f t="array" aca="1" ref="AZ38" ca="1">_xlfn.IFS(   Tab_NewTRADER[[#This Row],[State]]=SellMorePercentGain,                     MIN(Tab_NewTRADER[[#This Row],[L_Sn]],Tab_NewTRADER[[#This Row],[N]])*(Tab_NewTRADER[[#This Row],[M]]-Tab_NewTRADER[[#This Row],[L_Sp]])*(1-Commission)*Tab_NewTRADER[[#This Row],[Scale]],                    TRUE,"")</f>
        <v/>
      </c>
      <c r="BA38" s="1707">
        <f ca="1">_xlfn.XLOOKUP(NewTrader!$V38,TabCalc[Ticker],TabCalc[Ann%RevLB])</f>
        <v>5.587690398308446</v>
      </c>
      <c r="BB38" s="1708" t="str">
        <f ca="1">_xlfn.XLOOKUP(NewTrader!$V38,TabCalc[Ticker],TabCalc[Up20])</f>
        <v>/67/%</v>
      </c>
      <c r="BC38" s="1709"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M Lower: M&gt;Y</v>
      </c>
      <c r="BD38" s="1706" t="str" cm="1">
        <f t="array" aca="1" ref="BD38" ca="1">_xlfn.IFS(         NewTrader!$AF38=MDown,NewTrader!$P38*NewTrader!$Y38*(-(NewTrader!$Q38+NewTrader!$Y38)/NewTrader!$Y38)*(1-Commission)*NewTrader!$A38,                               TRUE,"")</f>
        <v/>
      </c>
      <c r="BE38" s="1705" t="str" cm="1">
        <f t="array" aca="1" ref="BE38" ca="1">_xlfn.IFS(   NewTrader!$AF38=MUp,NewTrader!$BP38-Commission,        NewTrader!$AF38=MDown,(NewTrader!$X38-NewTrader!$Y38)/NewTrader!$Y38-Commission,                              TRUE,"")</f>
        <v/>
      </c>
      <c r="BF38" s="1706"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710" t="e" cm="1">
        <f t="array" aca="1" ref="BG38" ca="1">_xlfn.LET(_xlpm.SumChTxt,TEXT(_xlfn.XLOOKUP(NewTrader!$V38,ListTickers,Tab2SumChangePercent[AVGChan20]),"#0.0%"),
      _xlfn.IFS(NewTrader!$AF38=NoStock,_xlpm.SumChTxt,
      TRUE, IF(NewTrader!$AF38=SellMorePercentGain,             "SumChange "&amp;_xlpm.SumChTxt,                         "&lt;"&amp;INT(_xlfn.XLOOKUP(NewTrader!$V38,ListTickers,Tab2ReverseGL[Rev_GL19]))&amp;    "&lt;"&amp;INT(_xlfn.XLOOKUP(NewTrader!$V38,ListTickers,Tab2ReverseGL[Rev_GL18]))&amp;":      "&amp;_xlpm.SumChTxt)))</f>
        <v>#VALUE!</v>
      </c>
      <c r="BH38" s="1711"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M&gt;L_Bp</v>
      </c>
      <c r="BI38" s="1712" cm="1">
        <f t="array" aca="1" ref="BI38" ca="1">_xlfn.IFS(NewTrader!$AF38=Sale_Back,"",         NewTrader!$AF38=MDown, (NewTrader!$Y38-NewTrader!$X38)/NewTrader!$X38*ComFactor,             TRUE, IFERROR((NewTrader!$Y38-NewTrader!$X38)/NewTrader!$X38*ComFactor,""))</f>
        <v>0.26581718460069492</v>
      </c>
      <c r="BJ38" s="1664" cm="1">
        <f t="array" aca="1" ref="BJ38" ca="1">_xlfn.IFS(               NewTrader!$AF38=NoStock,(NewTrader!$BL38-NewTrader!$Y38)/NewTrader!$Y38-Commission,             NewTrader!$X38&lt;&gt;0,(NewTrader!$X38-NewTrader!$Y38)/NewTrader!$Y38-Commission)</f>
        <v>-0.21302872741215928</v>
      </c>
      <c r="BK38" s="1713">
        <f ca="1">_xlfn.XLOOKUP(NewTrader!$V38,TabCalc[Ticker],TabCalc[L_Sn])</f>
        <v>2500</v>
      </c>
      <c r="BL38" s="1693">
        <f ca="1">_xlfn.XLOOKUP(NewTrader!$V38,TabCalc[Ticker],TabCalc[L_Sp])</f>
        <v>9.07</v>
      </c>
      <c r="BM38" s="1694">
        <f ca="1">-IFERROR((Tab_NewTRADER[[#This Row],[M]]-Tab_NewTRADER[[#This Row],[L_Sp]])/Tab_NewTRADER[[#This Row],[L_Sp]],0)</f>
        <v>0.20396912899669245</v>
      </c>
      <c r="BN38" s="1714">
        <f ca="1">MIN(Tab_NewTRADER[[#This Row],[L_Sn]],Tab_NewTRADER[[#This Row],[N]])*(Tab_NewTRADER[[#This Row],[M]]-Tab_NewTRADER[[#This Row],[L_Sp]])*Comm_Net*Tab_NewTRADER[[#This Row],[Scale]]</f>
        <v>-4612.5125000000007</v>
      </c>
      <c r="BO38" s="1715">
        <f ca="1">Tab_NewTRADER[[#This Row],[L_Sn]]*(Tab_NewTRADER[[#This Row],[Agiotage]]-Tab_NewTRADER[[#This Row],[M]])/(Tab_NewTRADER[[#This Row],[L_Bn]]*Tab_NewTRADER[[#This Row],[M]])</f>
        <v>-0.86193002064372648</v>
      </c>
      <c r="BP38" s="1716">
        <f ca="1">IFERROR((Tab_NewTRADER[[#This Row],[M]]-Tab_NewTRADER[[#This Row],[A]])/Tab_NewTRADER[[#This Row],[A]],0)</f>
        <v>0.26651011088900634</v>
      </c>
      <c r="BQ38" s="1671" t="str">
        <f ca="1">TEXT(_xlfn.XLOOKUP(Tab_NewTRADER[[#This Row],[ClickTick]],TabCalc[Ticker],TabCalc[NAfter]),"#,#0")&amp;" : "&amp;TEXT(_xlfn.XLOOKUP(Tab_NewTRADER[[#This Row],[ClickTick]],TabCalc[Ticker],TabCalc[NAfter])*(Tab_NewTRADER[[#This Row],[M]]-Tab_NewTRADER[[#This Row],[A]])*(1-Commission)*Tab_NewTRADER[[#This Row],[Scale]],"#,#0$")</f>
        <v>47,500 : 71,979$</v>
      </c>
      <c r="BR38" s="262">
        <f ca="1">_xlfn.XLOOKUP(NewTrader!$V38,TabCalc[[#This Row],[Ticker]],TabCalc[[#This Row],[GL]])*(1-Commission)</f>
        <v>72519.871953654205</v>
      </c>
      <c r="BS38" s="262"/>
      <c r="BT38" s="1672" t="str">
        <f ca="1">Tab_NewTRADER[[#This Row],[Show]]&amp;": "&amp;_xlfn.XLOOKUP(Tab_NewTRADER[[#This Row],[Show]],TabCalc[Ticker],TabCalc[Pile?])</f>
        <v xml:space="preserve">POET: </v>
      </c>
      <c r="BU38" s="1717" t="s">
        <v>1962</v>
      </c>
      <c r="BV38" s="1674" t="str" cm="1">
        <f t="array" aca="1" ref="BV38" ca="1">_xlfn.TEXTJOIN("",,INDEX({"M","A","Y"}, _xlfn.SORTBY({1,2,3}, -CHOOSE({1,2,3}, Tab_NewTRADER[[#This Row],[M]], Tab_NewTRADER[[#This Row],[A]], Tab_NewTRADER[[#This Row],[Y]]))))</f>
        <v>MYA</v>
      </c>
      <c r="BW38" s="1675"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Buy:@M&gt;@Y?</v>
      </c>
      <c r="BX38" s="1676">
        <f ca="1">Tab_NewTRADER[[#This Row],[L_Sn]]*Tab_NewTRADER[[#This Row],[L_Sp]]+Tab_NewTRADER[[#This Row],[SellMore]]*Tab_NewTRADER[[#This Row],[M]]</f>
        <v>26285</v>
      </c>
      <c r="BY38" s="1676">
        <f ca="1">INDEX(
  INDEX(TabConsolid[], , _xlfn.XMATCH(Tab_NewTRADER[[#This Row],[ClickTick]]&amp;1, TabConsolid[#Headers])),
  MATCH(
    -Tab_NewTRADER[[#This Row],[M]],
    INDEX(TabConsolid[], , _xlfn.XMATCH(Tab_NewTRADER[[#This Row],[ClickTick]]&amp;2, TabConsolid[#Headers])),
    -1
  )
)</f>
        <v>500</v>
      </c>
      <c r="BZ38" s="1676"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500</v>
      </c>
      <c r="CA38" s="1677">
        <f ca="1">Tab_NewTRADER[[#This Row],[ReBuy]]/(Tab_NewTRADER[[#This Row],[L_Sn]]+Tab_NewTRADER[[#This Row],[SellMore]])</f>
        <v>8.7616666666666667</v>
      </c>
      <c r="CB38" s="1678">
        <f ca="1">((_xlfn.XLOOKUP(Tab_NewTRADER[[#This Row],[Show]],TabCalc[Ticker],TabCalc[NAfter])+Tab_NewTRADER[[#This Row],[L_Sn]])*(Tab_NewTRADER[[#This Row],[Agiotage]]-Tab_NewTRADER[[#This Row],[M]]))/(Tab_NewTRADER[[#This Row],[L_Sn]]*_xlfn.XLOOKUP(Tab_NewTRADER[[#This Row],[Show]],TabCalc[Ticker],TabCalc[NAfter]))</f>
        <v>-2.6202672627569285E-3</v>
      </c>
      <c r="CC38" s="1677">
        <f ca="1">INDEX(Tab1Price[Price19], MATCH(Tab_NewTRADER[[#This Row],[Show]], Tab_NewTRADER[Show], 0))</f>
        <v>7.22</v>
      </c>
      <c r="CD38" s="1679">
        <f ca="1">_xlfn.XMATCH(Tab_NewTRADER[[#This Row],[Show]]&amp;1, TabConsolid[#Headers])</f>
        <v>107</v>
      </c>
      <c r="CE38" s="1678"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729" t="str" cm="1">
        <f t="array" aca="1" ref="CF38" ca="1">_xlfn.LET(
    _xlpm.FMT, _xlfn.LAMBDA(_xlpm.n, REPT(" ", 7 - LEN(TEXT(_xlpm.n,"0.00"))) &amp; TEXT(_xlpm.n,"0.00")),
    _xlpm.FMT(Tab_NewTRADER[[#This Row],[A]]) &amp; " -" &amp; _xlpm.FMT(Tab_NewTRADER[[#This Row],[M]]) &amp; " -" &amp; _xlpm.FMT(Tab_NewTRADER[[#This Row],[Y]])
)</f>
        <v xml:space="preserve">   5.70 -   7.22 -   6.93</v>
      </c>
      <c r="CG38" s="1730" t="str" cm="1">
        <f t="array" aca="1" ref="CG38" ca="1">_xlfn.LET(
    _xlpm.W, 7,
    _xlpm.FMT, _xlfn.LAMBDA(_xlpm.n, REPT(" ", _xlpm.W - LEN(TEXT(_xlpm.n,"0.00"))) &amp; TEXT(_xlpm.n,"0.00")),
    _xlpm.FMT(Tab_NewTRADER[[#This Row],[A]]) &amp; " * " &amp; _xlpm.FMT(Tab_NewTRADER[[#This Row],[M]]) &amp; " * " &amp; _xlpm.FMT(Tab_NewTRADER[[#This Row],[Y]])
)</f>
        <v xml:space="preserve">   5.70 *    7.22 *    6.93</v>
      </c>
      <c r="CH38" s="1842">
        <f>0</f>
        <v>0</v>
      </c>
      <c r="CI38" t="b">
        <f ca="1">IF(ABS(NewTrader!$Q38)&gt;=NewTrader!$Y38,"OK")</f>
        <v>0</v>
      </c>
    </row>
    <row r="39" spans="1:87" hidden="1">
      <c r="A39" s="1838">
        <f ca="1">IF(_xlfn.XLOOKUP(NewTrader!$V39,TabCalc[Ticker],TabCalc[Cur])="GBp",0.01,1)</f>
        <v>1</v>
      </c>
      <c r="B39" s="1620" t="str">
        <f ca="1">IFERROR(TRUNC(_xlfn.XLOOKUP(NewTrader!$V39,TabCalc[Ticker],ListLastBuyp),2)&amp;"x"&amp;_xlfn.XLOOKUP(NewTrader!$V39,TabCalc[Ticker],ListLastBuyn)&amp;"=    "&amp;IF(_xlfn.XLOOKUP(NewTrader!$V39,TabCalc[Ticker],ListReverseS)&gt;0,"+","")&amp;TEXT(_xlfn.XLOOKUP(NewTrader!$V39,TabCalc[Ticker],ListReverseS),"#,#0")&amp;" "&amp;#REF!,"")</f>
        <v/>
      </c>
      <c r="C39" s="1621" t="str">
        <f ca="1">_xlfn.XLOOKUP(NewTrader!$V39,TabCalc[Ticker],ListResale)&amp;" @ "&amp;TEXT((_xlfn.XLOOKUP(NewTrader!$V39,TabCalc[Ticker],TabCalc[L_Bp])+_xlfn.XLOOKUP(NewTrader!$V39,TabCalc[Ticker],TabCalc[M]))/_xlfn.XLOOKUP(NewTrader!$V39,TabCalc[Ticker],TabCalc[M]),"#0.0%")</f>
        <v>Sell @ -21.5%</v>
      </c>
      <c r="D39" s="1622"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718" t="str">
        <f ca="1">IF(      AND(NewTrader!$X39&lt;NewTrader!$Y39,    _xlfn.XLOOKUP(NewTrader!$V39,TabCalc[Ticker],TabCalc[L_Sp])&gt;NewTrader!$Y39),"BUY  "&amp;TEXT(DesiredBuyGain/NewTrader!$A39/(_xlfn.XLOOKUP(NewTrader!$V39,TabCalc[Ticker],TabCalc[L_Sp])-NewTrader!$Y39),"#,##0"),"")</f>
        <v/>
      </c>
      <c r="F39" s="1620" t="str">
        <f ca="1">TRUNC(TabCalc[[#This Row],[L_B1p]],2)&amp;"x"&amp;TabCalc[[#This Row],[L_B1n]]&amp;"=   "&amp;TEXT(TabCalc[[#This Row],[ReverseS1]],"#,#0")&amp;"$"</f>
        <v>-0.85x3006=   402$</v>
      </c>
      <c r="G39" s="1624" t="str">
        <f ca="1">IFERROR(TRUNC(_xlfn.XLOOKUP(NewTrader!$V39,TabCalc[Ticker],ListLastSalep),2)&amp;"x"&amp;_xlfn.XLOOKUP(NewTrader!$V39,TabCalc[Ticker],ListLastSalen)&amp;"=   "&amp;TEXT(-_xlfn.XLOOKUP(NewTrader!$V39,TabCalc[Ticker],ListReverseB),"#,#0")&amp;"$","")</f>
        <v>1.54x3006=   -1,673$</v>
      </c>
      <c r="H39" s="1625"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56.6% = 8,986</v>
      </c>
      <c r="I39" s="1620" t="str">
        <f ca="1">IFERROR(TRUNC(TabCalc[[#This Row],[L_S1p]],2)&amp;"x"&amp;TabCalc[[#This Row],[L_S1n]]&amp;"=   "&amp;TEXT(TabCalc[[#This Row],[ReverseB1]],"#,#0"),"")</f>
        <v>1.39x3006=   1,222</v>
      </c>
      <c r="J39" s="1626">
        <f ca="1">_xlfn.XLOOKUP(NewTrader!$V39,TabCalc[Ticker],ListGravity)</f>
        <v>0</v>
      </c>
      <c r="K39" s="1627" cm="1">
        <f t="array" aca="1" ref="K39" ca="1">IF(_xlfn.XLOOKUP(NewTrader!$V39,NewTrader!$V$3:$V$96,ListExtra_n)&gt;0,_xlfn.XLOOKUP(NewTrader!$V39,NewTrader!$V$3:$V$96,ListExtra_n),"")</f>
        <v>7000</v>
      </c>
      <c r="L39" s="1628">
        <f ca="1">IF(_xlfn.XLOOKUP(NewTrader!$V39,TabCalc[Ticker],ListExtra_n)&gt;0,_xlfn.XLOOKUP(NewTrader!$V39,TabCalc[Ticker],ListExtra_n)*NewTrader!$Y39*_xlfn.XLOOKUP(NewTrader!$V39,TabCalc[Ticker],ListScale),"")</f>
        <v>6885.2</v>
      </c>
      <c r="M39" s="1629">
        <f ca="1">_xlfn.XLOOKUP(NewTrader!$V39,TabCalc[Ticker],TabCalc[Agiotage])</f>
        <v>3.28658017905301E-2</v>
      </c>
      <c r="N39" s="1630" cm="1">
        <f t="array" aca="1" ref="N39" ca="1">_xlfn.XLOOKUP(NewTrader!$V39,ListTickers,Tab2RSIConventional[RSIConv20])</f>
        <v>67</v>
      </c>
      <c r="O39" s="1631" t="str">
        <f ca="1">TEXT(_xlfn.XLOOKUP(NewTrader!$V39,TabCalc[Ticker],TabCalc[Nbegin]),"#,#0")&amp;": "&amp;_xlfn.XLOOKUP(NewTrader!$V39,TabCalc[Ticker],TabCalc[Pile?])</f>
        <v xml:space="preserve">3,000: </v>
      </c>
      <c r="P39" s="1632">
        <f ca="1">_xlfn.XLOOKUP(NewTrader!$V39,TabCalc[Ticker],TabCalc[L_Bn])</f>
        <v>6006</v>
      </c>
      <c r="Q39" s="1633">
        <f ca="1">_xlfn.XLOOKUP(NewTrader!$V39,TabCalc[Ticker],TabCalc[L_Bp])</f>
        <v>-1.1955</v>
      </c>
      <c r="R39" s="1634">
        <f ca="1">(NewTrader!$Y39+NewTrader!$Q39)/ABS(NewTrader!$Q39)</f>
        <v>-0.17724801338352153</v>
      </c>
      <c r="S39" s="259">
        <f ca="1">INT(_xlfn.XLOOKUP(NewTrader!$V39,TabCalc[Ticker],TabCalc[Rev(MinStock)])*Comm_Net)</f>
        <v>-1267</v>
      </c>
      <c r="T39" s="1635">
        <f ca="1">_xlfn.XLOOKUP(NewTrader!$V39,TabCalc[Ticker],TabCalc[Agiotage])</f>
        <v>3.28658017905301E-2</v>
      </c>
      <c r="U39" s="1719"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58/58=&gt;-3.6% / -3.6%</v>
      </c>
      <c r="V39" s="1578" t="str">
        <f ca="1">SORTING!B39</f>
        <v>PW</v>
      </c>
      <c r="W39" s="1637">
        <f ca="1">_xlfn.XLOOKUP(NewTrader!$V39,TabCalc[Ticker],TabCalc[Y])</f>
        <v>0</v>
      </c>
      <c r="X39" s="1639">
        <f ca="1">-_xlfn.XLOOKUP(NewTrader!$V39&amp;2,Consolid!B$3:JZ$3,Consolid!B$4:JZ$4)</f>
        <v>1.069112504052</v>
      </c>
      <c r="Y39" s="1639">
        <f ca="1">_xlfn.XLOOKUP(NewTrader!$V39,TabCalc[Ticker],TabCalc[M])</f>
        <v>0.98360000000000003</v>
      </c>
      <c r="Z39" s="1640">
        <f ca="1">_xlfn.XLOOKUP(NewTrader!$V39,[1]!RTData[Ticker_Symbol],[1]!RTData[YTChange])</f>
        <v>0</v>
      </c>
      <c r="AA39" s="1640" cm="1">
        <f t="array" aca="1" ref="AA39" ca="1">_xlfn.XLOOKUP(NewTrader!$V39,ListTickers,Tab1ChangePercent[Change%19])</f>
        <v>-3.5686000000000002E-2</v>
      </c>
      <c r="AB39" s="1641">
        <f ca="1">_xlfn.XLOOKUP(NewTrader!$V39,TabCalc[Ticker],TabCalc[NAfter])</f>
        <v>10000</v>
      </c>
      <c r="AC39" s="1641">
        <f ca="1">_xlfn.XLOOKUP(NewTrader!$V39,TabCalc[Ticker],TabCalc[Nbegin])</f>
        <v>3000</v>
      </c>
      <c r="AD39" s="1642" t="str">
        <f ca="1">_xlfn.LET(_xlpm.PILE,_xlfn.XLOOKUP(NewTrader!$V39,TabCalc[Ticker],TabCalc[Pile?]),                    _xlpm.GL,_xlfn.XLOOKUP(NewTrader!$V39,TabCalc[Ticker],TabCalc[GL]),                        _xlpm.GLK,_xlfn.XLOOKUP(NewTrader!$V39,TabCalc[Ticker],TabCalc[GL])/1000,                             _xlpm.MVal,_xlfn.XLOOKUP(NewTrader!$V39,TabCalc[Ticker],TabCalc[M_V])/1000,                   _xlpm.PILE&amp;" "&amp;IF(_xlpm.GL&lt;0,TEXT(_xlpm.GLK,"#,#0")&amp;"K /"&amp;TEXT(_xlpm.MVal,"#,#0")&amp;" K$","^"&amp;TEXT(_xlpm.GLK,"#,#0")&amp;"K / "&amp;TEXT(_xlpm.MVal,"#,#0")&amp;" K$"))</f>
        <v xml:space="preserve"> -5K /10 K$</v>
      </c>
      <c r="AE39" s="1643" t="str">
        <f ca="1">_xlfn.XLOOKUP(NewTrader!$V39,[1]!RTData[Ticker_Symbol],[1]!RTData[Currency])</f>
        <v>USD</v>
      </c>
      <c r="AF39" s="1721"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698" t="str" cm="1">
        <f t="array" aca="1" ref="AH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0.98 -   0.00</v>
      </c>
      <c r="AI3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39" s="1651" t="str" cm="1">
        <f t="array" aca="1" ref="AJ39" ca="1">_xlfn.IFS(Tab_NewTRADER[[#This Row],[State]]="Sell More",TEXT(MIN(Tab_NewTRADER[[#This Row],[N]],Tab_NewTRADER[[#This Row],[L_Bn]])*(Tab_NewTRADER[[#This Row],[M]]-Tab_NewTRADER[[#This Row],[L_Sp]])*Tab_NewTRADER[[#This Row],[Scale]]*ComFactor,"#,#0"), TRUE,"M= "&amp;TEXT(Tab_NewTRADER[[#This Row],[M]],"#,#0.00"))</f>
        <v>M= 0.98</v>
      </c>
      <c r="AK39" s="1699" cm="1">
        <f t="array" aca="1" ref="AK39" ca="1">_xlfn.IFS(Tab_NewTRADER[[#This Row],[Y]]&gt;Tab_NewTRADER[[#This Row],[A]],                 TEXT(MIN(Tab_NewTRADER[[#This Row],[L_Bn]],Tab_NewTRADER[[#This Row],[N]])*(Tab_NewTRADER[[#This Row],[M]]-Tab_NewTRADER[[#This Row],[A]])*Tab_NewTRADER[[#This Row],[Scale]]*ComFactor,"#,#0"), TRUE,0)</f>
        <v>0</v>
      </c>
      <c r="AL39" s="1700" cm="1">
        <f t="array" aca="1" ref="AL39" ca="1">_xlfn.IFS(Tab_NewTRADER[[#This Row],[M]]&gt;Tab_NewTRADER[[#This Row],[A]],                  Tab_NewTRADER[[#This Row],[N]]*(Tab_NewTRADER[[#This Row],[M]]-Tab_NewTRADER[[#This Row],[A]])*Tab_NewTRADER[[#This Row],[Scale]]*ComFactor, TRUE,0)</f>
        <v>0</v>
      </c>
      <c r="AM39" s="1592" t="str">
        <f ca="1">_xlfn.XLOOKUP(Tab_NewTRADER[[#This Row],[Show]],TabCalc[Ticker],TabCalc[Max_Bn])&amp;" x "&amp;TEXT(_xlfn.XLOOKUP(Tab_NewTRADER[[#This Row],[Show]],TabCalc[Ticker],TabCalc[Max_Bp]),"#,#0.00")</f>
        <v>6006 x 1.20</v>
      </c>
      <c r="AN39" s="1650" t="str">
        <f ca="1">NewTrader!$V39</f>
        <v>PW</v>
      </c>
      <c r="AO39" s="1651" t="str">
        <f ca="1">TEXT(_xlfn.XLOOKUP(Tab_NewTRADER[[#This Row],[ClickTick]],TabCalc[Ticker],TabCalc[NAfter]),"#,#0")&amp;"x"&amp;_xlfn.XLOOKUP(Tab_NewTRADER[[#This Row],[ClickTick]],TabCalc[Ticker],TabCalc[M])&amp;"           (A: "&amp;TEXT(-_xlfn.XLOOKUP(Tab_NewTRADER[[#This Row],[ClickTick]]&amp;2,Consolid!B$3:JZ$3,Consolid!B$4:JZ$4),"#,??0.00")&amp;")"</f>
        <v>10,000x0.9836           (A:   1.07)</v>
      </c>
      <c r="AP39" s="1592" t="str">
        <f ca="1">_xlfn.XLOOKUP(Tab_NewTRADER[[#This Row],[Show]],TabCalc[Ticker],TabCalc[Min_Sn])&amp;" x "&amp;TEXT(_xlfn.XLOOKUP(Tab_NewTRADER[[#This Row],[Show]],TabCalc[Ticker],TabCalc[Min_Sp]),"#,#0.00")</f>
        <v>3000 x 0.54</v>
      </c>
      <c r="AQ3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702" t="str" cm="1">
        <f t="array" aca="1" ref="AR39" ca="1">_xlfn.IFS(Tab_NewTRADER[[#This Row],[State]]="Reverse Buy",TEXT(-Tab_NewTRADER[[#This Row],[Buy_Back]],"#,#0")&amp;" / "&amp;TEXT(Tab_NewTRADER[[#This Row],[Rev_Buy]],"#,#0.0%"),TRUE,Tab_NewTRADER[[#This Row],[AMY]])</f>
        <v xml:space="preserve">   1.07 -   0.98 -   0.00</v>
      </c>
      <c r="AS39" s="1651"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2,113       / 21.5%</v>
      </c>
      <c r="AT39" s="1699"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-853   / -8.7%</v>
      </c>
      <c r="AU39" s="1699" t="str" cm="1">
        <f t="array" aca="1" ref="AU39" ca="1">_xlfn.IFS(Tab_NewTRADER[[#This Row],[M]]&lt;Tab_NewTRADER[[#This Row],[A]],TEXT(Tab_NewTRADER[[#This Row],[N]]*Tab_NewTRADER[[#This Row],[M]]*Tab_NewTRADER[[#This Row],[Scale]]*Comm_Net,"#,#0")&amp;" @ "&amp;TEXT(Tab_NewTRADER[[#This Row],[M]],"#,#0.#0"),TRUE,"M: "&amp; Tab_NewTRADER[[#This Row],[M]])</f>
        <v>9,809 @ 0.98</v>
      </c>
      <c r="AV39" s="1740" cm="1">
        <f t="array" aca="1" ref="AV39" ca="1">-_xlfn.XLOOKUP(
    Tab_NewTRADER[[#This Row],[Show]] &amp; 2,
    TabConsolid[#Headers],
    INDEX(TabConsolid[], 1, 0)
)</f>
        <v>1.069112504052</v>
      </c>
      <c r="AW39" s="1741">
        <f ca="1">Tab_NewTRADER[[#This Row],[M]]*Tab_NewTRADER[[#This Row],[N]]*(1-Commission)*Tab_NewTRADER[[#This Row],[Scale]]</f>
        <v>9810.4264000000003</v>
      </c>
      <c r="AX39" s="1705"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705"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706" t="str" cm="1">
        <f t="array" aca="1" ref="AZ39" ca="1">_xlfn.IFS(   Tab_NewTRADER[[#This Row],[State]]=SellMorePercentGain,                     MIN(Tab_NewTRADER[[#This Row],[L_Sn]],Tab_NewTRADER[[#This Row],[N]])*(Tab_NewTRADER[[#This Row],[M]]-Tab_NewTRADER[[#This Row],[L_Sp]])*(1-Commission)*Tab_NewTRADER[[#This Row],[Scale]],                    TRUE,"")</f>
        <v/>
      </c>
      <c r="BA39" s="1707">
        <f ca="1">_xlfn.XLOOKUP(NewTrader!$V39,TabCalc[Ticker],TabCalc[Ann%RevLB])</f>
        <v>-0.19755196538101472</v>
      </c>
      <c r="BB39" s="1708">
        <f ca="1">_xlfn.XLOOKUP(NewTrader!$V39,TabCalc[Ticker],TabCalc[Up20])</f>
        <v>0</v>
      </c>
      <c r="BC39" s="1725"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706" t="str" cm="1">
        <f t="array" aca="1" ref="BD39" ca="1">_xlfn.IFS(         NewTrader!$AF39=MDown,NewTrader!$P39*NewTrader!$Y39*(-(NewTrader!$Q39+NewTrader!$Y39)/NewTrader!$Y39)*(1-Commission)*NewTrader!$A39,                               TRUE,"")</f>
        <v/>
      </c>
      <c r="BE39" s="1705" t="str" cm="1">
        <f t="array" aca="1" ref="BE39" ca="1">_xlfn.IFS(   NewTrader!$AF39=MUp,NewTrader!$BP39-Commission,        NewTrader!$AF39=MDown,(NewTrader!$X39-NewTrader!$Y39)/NewTrader!$Y39-Commission,                              TRUE,"")</f>
        <v/>
      </c>
      <c r="BF39" s="1710"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710" t="str" cm="1">
        <f t="array" aca="1" ref="BG39" ca="1">_xlfn.LET(_xlpm.SumChTxt,TEXT(_xlfn.XLOOKUP(NewTrader!$V39,ListTickers,Tab2SumChangePercent[AVGChan20]),"#0.0%"),
      _xlfn.IFS(NewTrader!$AF39=NoStock,_xlpm.SumChTxt,
      TRUE, IF(NewTrader!$AF39=SellMorePercentGain,             "SumChange "&amp;_xlpm.SumChTxt,                         "&lt;"&amp;INT(_xlfn.XLOOKUP(NewTrader!$V39,ListTickers,Tab2ReverseGL[Rev_GL19]))&amp;    "&lt;"&amp;INT(_xlfn.XLOOKUP(NewTrader!$V39,ListTickers,Tab2ReverseGL[Rev_GL18]))&amp;":      "&amp;_xlpm.SumChTxt)))</f>
        <v>&lt;-1&lt;-1:      -0.9%</v>
      </c>
      <c r="BH39" s="1711"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-0.21</v>
      </c>
      <c r="BI39" s="1712" cm="1">
        <f t="array" aca="1" ref="BI39" ca="1">_xlfn.IFS(NewTrader!$AF39=Sale_Back,"",         NewTrader!$AF39=MDown, (NewTrader!$Y39-NewTrader!$X39)/NewTrader!$X39*ComFactor,             TRUE, IFERROR((NewTrader!$Y39-NewTrader!$X39)/NewTrader!$X39*ComFactor,""))</f>
        <v>-7.9776610242804122E-2</v>
      </c>
      <c r="BJ39" s="1664" cm="1">
        <f t="array" aca="1" ref="BJ39" ca="1">_xlfn.IFS(               NewTrader!$AF39=NoStock,(NewTrader!$BL39-NewTrader!$Y39)/NewTrader!$Y39-Commission,             NewTrader!$X39&lt;&gt;0,(NewTrader!$X39-NewTrader!$Y39)/NewTrader!$Y39-Commission)</f>
        <v>8.4338292041480217E-2</v>
      </c>
      <c r="BK39" s="1726">
        <f ca="1">_xlfn.XLOOKUP(NewTrader!$V39,TabCalc[Ticker],TabCalc[L_Sn])</f>
        <v>3006</v>
      </c>
      <c r="BL39" s="1727">
        <f ca="1">_xlfn.XLOOKUP(NewTrader!$V39,TabCalc[Ticker],TabCalc[L_Sp])</f>
        <v>1.54</v>
      </c>
      <c r="BM39" s="1634">
        <f ca="1">-IFERROR((Tab_NewTRADER[[#This Row],[M]]-Tab_NewTRADER[[#This Row],[L_Sp]])/Tab_NewTRADER[[#This Row],[L_Sp]],0)</f>
        <v>0.36129870129870129</v>
      </c>
      <c r="BN39" s="1728">
        <f ca="1">MIN(Tab_NewTRADER[[#This Row],[L_Sn]],Tab_NewTRADER[[#This Row],[N]])*(Tab_NewTRADER[[#This Row],[M]]-Tab_NewTRADER[[#This Row],[L_Sp]])*Comm_Net*Tab_NewTRADER[[#This Row],[Scale]]</f>
        <v>-1668.0225463199999</v>
      </c>
      <c r="BO39" s="1715">
        <f ca="1">Tab_NewTRADER[[#This Row],[L_Sn]]*(Tab_NewTRADER[[#This Row],[Agiotage]]-Tab_NewTRADER[[#This Row],[M]])/(Tab_NewTRADER[[#This Row],[L_Bn]]*Tab_NewTRADER[[#This Row],[M]])</f>
        <v>-0.48377591633960221</v>
      </c>
      <c r="BP39" s="1670">
        <f ca="1">IFERROR((Tab_NewTRADER[[#This Row],[M]]-Tab_NewTRADER[[#This Row],[A]])/Tab_NewTRADER[[#This Row],[A]],0)</f>
        <v>-7.9984570125129467E-2</v>
      </c>
      <c r="BQ39" s="1671" t="str">
        <f ca="1">TEXT(_xlfn.XLOOKUP(Tab_NewTRADER[[#This Row],[ClickTick]],TabCalc[Ticker],TabCalc[NAfter]),"#,#0")&amp;" : "&amp;TEXT(_xlfn.XLOOKUP(Tab_NewTRADER[[#This Row],[ClickTick]],TabCalc[Ticker],TabCalc[NAfter])*(Tab_NewTRADER[[#This Row],[M]]-Tab_NewTRADER[[#This Row],[A]])*(1-Commission)*Tab_NewTRADER[[#This Row],[Scale]],"#,#0$")</f>
        <v>10,000 : -853$</v>
      </c>
      <c r="BR39" s="259">
        <f ca="1">_xlfn.XLOOKUP(NewTrader!$V39,TabCalc[[#This Row],[Ticker]],TabCalc[[#This Row],[GL]])*(1-Commission)</f>
        <v>-4751.5449021599898</v>
      </c>
      <c r="BS39" s="259"/>
      <c r="BT39" s="1672" t="str">
        <f ca="1">Tab_NewTRADER[[#This Row],[Show]]&amp;": "&amp;_xlfn.XLOOKUP(Tab_NewTRADER[[#This Row],[Show]],TabCalc[Ticker],TabCalc[Pile?])</f>
        <v xml:space="preserve">PW: </v>
      </c>
      <c r="BU39" s="1717" t="s">
        <v>1972</v>
      </c>
      <c r="BV39" s="1674" t="str" cm="1">
        <f t="array" aca="1" ref="BV39" ca="1">_xlfn.TEXTJOIN("",,INDEX({"M","A","Y"}, _xlfn.SORTBY({1,2,3}, -CHOOSE({1,2,3}, Tab_NewTRADER[[#This Row],[M]], Tab_NewTRADER[[#This Row],[A]], Tab_NewTRADER[[#This Row],[Y]]))))</f>
        <v>AMY</v>
      </c>
      <c r="BW39" s="1675"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76" t="e">
        <f ca="1">Tab_NewTRADER[[#This Row],[L_Sn]]*Tab_NewTRADER[[#This Row],[L_Sp]]+Tab_NewTRADER[[#This Row],[SellMore]]*Tab_NewTRADER[[#This Row],[M]]</f>
        <v>#N/A</v>
      </c>
      <c r="BY39" s="1676" t="e">
        <f ca="1">INDEX(
  INDEX(TabConsolid[], , _xlfn.XMATCH(Tab_NewTRADER[[#This Row],[ClickTick]]&amp;1, TabConsolid[#Headers])),
  MATCH(
    -Tab_NewTRADER[[#This Row],[M]],
    INDEX(TabConsolid[], , _xlfn.XMATCH(Tab_NewTRADER[[#This Row],[ClickTick]]&amp;2, TabConsolid[#Headers])),
    -1
  )
)</f>
        <v>#N/A</v>
      </c>
      <c r="BZ39" s="1676"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988</v>
      </c>
      <c r="CA39" s="1677" t="e">
        <f ca="1">Tab_NewTRADER[[#This Row],[ReBuy]]/(Tab_NewTRADER[[#This Row],[L_Sn]]+Tab_NewTRADER[[#This Row],[SellMore]])</f>
        <v>#N/A</v>
      </c>
      <c r="CB39" s="1678">
        <f ca="1">((_xlfn.XLOOKUP(Tab_NewTRADER[[#This Row],[Show]],TabCalc[Ticker],TabCalc[NAfter])+Tab_NewTRADER[[#This Row],[L_Sn]])*(Tab_NewTRADER[[#This Row],[Agiotage]]-Tab_NewTRADER[[#This Row],[M]]))/(Tab_NewTRADER[[#This Row],[L_Sn]]*_xlfn.XLOOKUP(Tab_NewTRADER[[#This Row],[Show]],TabCalc[Ticker],TabCalc[NAfter]))</f>
        <v>-4.1135226154066421E-4</v>
      </c>
      <c r="CC39" s="1677">
        <f ca="1">INDEX(Tab1Price[Price19], MATCH(Tab_NewTRADER[[#This Row],[Show]], Tab_NewTRADER[Show], 0))</f>
        <v>0.98360000000000003</v>
      </c>
      <c r="CD39" s="1679">
        <f ca="1">_xlfn.XMATCH(Tab_NewTRADER[[#This Row],[Show]]&amp;1, TabConsolid[#Headers])</f>
        <v>110</v>
      </c>
      <c r="CE39" s="1678"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729" t="str" cm="1">
        <f t="array" aca="1" ref="CF39" ca="1">_xlfn.LET(
    _xlpm.FMT, _xlfn.LAMBDA(_xlpm.n, REPT(" ", 7 - LEN(TEXT(_xlpm.n,"0.00"))) &amp; TEXT(_xlpm.n,"0.00")),
    _xlpm.FMT(Tab_NewTRADER[[#This Row],[A]]) &amp; " -" &amp; _xlpm.FMT(Tab_NewTRADER[[#This Row],[M]]) &amp; " -" &amp; _xlpm.FMT(Tab_NewTRADER[[#This Row],[Y]])
)</f>
        <v xml:space="preserve">   1.07 -   0.98 -   0.00</v>
      </c>
      <c r="CG39" s="1730" t="str" cm="1">
        <f t="array" aca="1" ref="CG39" ca="1">_xlfn.LET(
    _xlpm.W, 7,
    _xlpm.FMT, _xlfn.LAMBDA(_xlpm.n, REPT(" ", _xlpm.W - LEN(TEXT(_xlpm.n,"0.00"))) &amp; TEXT(_xlpm.n,"0.00")),
    _xlpm.FMT(Tab_NewTRADER[[#This Row],[A]]) &amp; " * " &amp; _xlpm.FMT(Tab_NewTRADER[[#This Row],[M]]) &amp; " * " &amp; _xlpm.FMT(Tab_NewTRADER[[#This Row],[Y]])
)</f>
        <v xml:space="preserve">   1.07 *    0.98 *    0.00</v>
      </c>
      <c r="CH39" s="1842">
        <f>0</f>
        <v>0</v>
      </c>
      <c r="CI39" t="str">
        <f ca="1">IF(ABS(NewTrader!$Q39)&gt;=NewTrader!$Y39,"OK")</f>
        <v>OK</v>
      </c>
    </row>
    <row r="40" spans="1:87" hidden="1">
      <c r="A40" s="1839">
        <f ca="1">IF(_xlfn.XLOOKUP(NewTrader!$V40,TabCalc[Ticker],TabCalc[Cur])="GBp",0.01,1)</f>
        <v>1</v>
      </c>
      <c r="B40" s="1681" t="str">
        <f ca="1">IFERROR(TRUNC(_xlfn.XLOOKUP(NewTrader!$V40,TabCalc[Ticker],ListLastBuyp),2)&amp;"x"&amp;_xlfn.XLOOKUP(NewTrader!$V40,TabCalc[Ticker],ListLastBuyn)&amp;"=    "&amp;IF(_xlfn.XLOOKUP(NewTrader!$V40,TabCalc[Ticker],ListReverseS)&gt;0,"+","")&amp;TEXT(_xlfn.XLOOKUP(NewTrader!$V40,TabCalc[Ticker],ListReverseS),"#,#0")&amp;" "&amp;#REF!,"")</f>
        <v/>
      </c>
      <c r="C40" s="1682" t="str">
        <f ca="1">_xlfn.XLOOKUP(NewTrader!$V40,TabCalc[Ticker],ListResale)&amp;" @ "&amp;TEXT((_xlfn.XLOOKUP(NewTrader!$V40,TabCalc[Ticker],TabCalc[L_Bp])+_xlfn.XLOOKUP(NewTrader!$V40,TabCalc[Ticker],TabCalc[M]))/_xlfn.XLOOKUP(NewTrader!$V40,TabCalc[Ticker],TabCalc[M]),"#0.0%")</f>
        <v>Resell @ 32.6%</v>
      </c>
      <c r="D40" s="1683"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84" t="str">
        <f ca="1">IF(      AND(NewTrader!$X40&lt;NewTrader!$Y40,    _xlfn.XLOOKUP(NewTrader!$V40,TabCalc[Ticker],TabCalc[L_Sp])&gt;NewTrader!$Y40),"BUY  "&amp;TEXT(DesiredBuyGain/NewTrader!$A40/(_xlfn.XLOOKUP(NewTrader!$V40,TabCalc[Ticker],TabCalc[L_Sp])-NewTrader!$Y40),"#,##0"),"")</f>
        <v>BUY  803</v>
      </c>
      <c r="F40" s="1681" t="str">
        <f ca="1">TRUNC(TabCalc[[#This Row],[L_B1p]],2)&amp;"x"&amp;TabCalc[[#This Row],[L_B1n]]&amp;"=   "&amp;TEXT(TabCalc[[#This Row],[ReverseS1]],"#,#0")&amp;"$"</f>
        <v>-28.54x2000=   14$</v>
      </c>
      <c r="G40" s="1685" t="str">
        <f ca="1">IFERROR(TRUNC(_xlfn.XLOOKUP(NewTrader!$V40,TabCalc[Ticker],ListLastSalep),2)&amp;"x"&amp;_xlfn.XLOOKUP(NewTrader!$V40,TabCalc[Ticker],ListLastSalen)&amp;"=   "&amp;TEXT(-_xlfn.XLOOKUP(NewTrader!$V40,TabCalc[Ticker],ListReverseB),"#,#0")&amp;"$","")</f>
        <v>48.28x500=   -3,115$</v>
      </c>
      <c r="H40" s="1686"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14.8% = 803</v>
      </c>
      <c r="I40" s="1681" t="str">
        <f ca="1">IFERROR(TRUNC(TabCalc[[#This Row],[L_S1p]],2)&amp;"x"&amp;TabCalc[[#This Row],[L_S1n]]&amp;"=   "&amp;TEXT(TabCalc[[#This Row],[ReverseB1]],"#,#0"),"")</f>
        <v>46.8x499=   2,370</v>
      </c>
      <c r="J40" s="1687">
        <f ca="1">_xlfn.XLOOKUP(NewTrader!$V40,TabCalc[Ticker],ListGravity)</f>
        <v>1.1795481569560049</v>
      </c>
      <c r="K40" s="1688" t="str" cm="1">
        <f t="array" aca="1" ref="K40" ca="1">IF(_xlfn.XLOOKUP(NewTrader!$V40,NewTrader!$V$3:$V$96,ListExtra_n)&gt;0,_xlfn.XLOOKUP(NewTrader!$V40,NewTrader!$V$3:$V$96,ListExtra_n),"")</f>
        <v/>
      </c>
      <c r="L40" s="1689" t="str">
        <f ca="1">IF(_xlfn.XLOOKUP(NewTrader!$V40,TabCalc[Ticker],ListExtra_n)&gt;0,_xlfn.XLOOKUP(NewTrader!$V40,TabCalc[Ticker],ListExtra_n)*NewTrader!$Y40*_xlfn.XLOOKUP(NewTrader!$V40,TabCalc[Ticker],ListScale),"")</f>
        <v/>
      </c>
      <c r="M40" s="1690">
        <f ca="1">_xlfn.XLOOKUP(NewTrader!$V40,TabCalc[Ticker],TabCalc[Agiotage])</f>
        <v>0.55221265657287533</v>
      </c>
      <c r="N40" s="1691" cm="1">
        <f t="array" aca="1" ref="N40" ca="1">_xlfn.XLOOKUP(NewTrader!$V40,ListTickers,Tab2RSIConventional[RSIConv20])</f>
        <v>59</v>
      </c>
      <c r="O40" s="1631" t="str">
        <f ca="1">TEXT(_xlfn.XLOOKUP(NewTrader!$V40,TabCalc[Ticker],TabCalc[Nbegin]),"#,#0")&amp;": "&amp;_xlfn.XLOOKUP(NewTrader!$V40,TabCalc[Ticker],TabCalc[Pile?])</f>
        <v xml:space="preserve">2,700: </v>
      </c>
      <c r="P40" s="1691">
        <f ca="1">_xlfn.XLOOKUP(NewTrader!$V40,TabCalc[Ticker],TabCalc[L_Bn])</f>
        <v>1000</v>
      </c>
      <c r="Q40" s="1731">
        <f ca="1">_xlfn.XLOOKUP(NewTrader!$V40,TabCalc[Ticker],TabCalc[L_Bp])</f>
        <v>-28.33</v>
      </c>
      <c r="R40" s="1694">
        <f ca="1">(NewTrader!$Y40+NewTrader!$Q40)/ABS(NewTrader!$Q40)</f>
        <v>0.48429226967878575</v>
      </c>
      <c r="S40" s="262">
        <f ca="1">INT(_xlfn.XLOOKUP(NewTrader!$V40,TabCalc[Ticker],TabCalc[Rev(MinStock)])*Comm_Net)</f>
        <v>12</v>
      </c>
      <c r="T40" s="1635">
        <f ca="1">_xlfn.XLOOKUP(NewTrader!$V40,TabCalc[Ticker],TabCalc[Agiotage])</f>
        <v>0.55221265657287533</v>
      </c>
      <c r="U40" s="1695"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1/1=&gt;2.0% / 2.0%</v>
      </c>
      <c r="V40" s="1578" t="str">
        <f ca="1">SORTING!B40</f>
        <v>RIGL</v>
      </c>
      <c r="W40" s="1637">
        <f ca="1">_xlfn.XLOOKUP(NewTrader!$V40,TabCalc[Ticker],TabCalc[Y])</f>
        <v>49.6</v>
      </c>
      <c r="X40" s="1639">
        <f ca="1">-_xlfn.XLOOKUP(NewTrader!$V40&amp;2,Consolid!B$3:JZ$3,Consolid!B$4:JZ$4)</f>
        <v>28.403657999999997</v>
      </c>
      <c r="Y40" s="1639">
        <f ca="1">_xlfn.XLOOKUP(NewTrader!$V40,TabCalc[Ticker],TabCalc[M])</f>
        <v>42.05</v>
      </c>
      <c r="Z40" s="1640">
        <f ca="1">_xlfn.XLOOKUP(NewTrader!$V40,[1]!RTData[Ticker_Symbol],[1]!RTData[YTChange])</f>
        <v>87.571428571428555</v>
      </c>
      <c r="AA40" s="1640" cm="1">
        <f t="array" aca="1" ref="AA40" ca="1">_xlfn.XLOOKUP(NewTrader!$V40,ListTickers,Tab1ChangePercent[Change%19])</f>
        <v>2.0135999999999998E-2</v>
      </c>
      <c r="AB40" s="1641">
        <f ca="1">_xlfn.XLOOKUP(NewTrader!$V40,TabCalc[Ticker],TabCalc[NAfter])</f>
        <v>1</v>
      </c>
      <c r="AC40" s="1641">
        <f ca="1">_xlfn.XLOOKUP(NewTrader!$V40,TabCalc[Ticker],TabCalc[Nbegin])</f>
        <v>2700</v>
      </c>
      <c r="AD40" s="1642" t="str">
        <f ca="1">_xlfn.LET(_xlpm.PILE,_xlfn.XLOOKUP(NewTrader!$V40,TabCalc[Ticker],TabCalc[Pile?]),                    _xlpm.GL,_xlfn.XLOOKUP(NewTrader!$V40,TabCalc[Ticker],TabCalc[GL]),                        _xlpm.GLK,_xlfn.XLOOKUP(NewTrader!$V40,TabCalc[Ticker],TabCalc[GL])/1000,                             _xlpm.MVal,_xlfn.XLOOKUP(NewTrader!$V40,TabCalc[Ticker],TabCalc[M_V])/1000,                   _xlpm.PILE&amp;" "&amp;IF(_xlpm.GL&lt;0,TEXT(_xlpm.GLK,"#,#0")&amp;"K /"&amp;TEXT(_xlpm.MVal,"#,#0")&amp;" K$","^"&amp;TEXT(_xlpm.GLK,"#,#0")&amp;"K / "&amp;TEXT(_xlpm.MVal,"#,#0")&amp;" K$"))</f>
        <v xml:space="preserve"> ^158K / 0 K$</v>
      </c>
      <c r="AE40" s="1643" t="str">
        <f ca="1">_xlfn.XLOOKUP(NewTrader!$V40,[1]!RTData[Ticker_Symbol],[1]!RTData[Currency])</f>
        <v>USD</v>
      </c>
      <c r="AF40" s="1696"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646" t="str" cm="1">
        <f t="array" aca="1" ref="AH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42.05 -  49.60</v>
      </c>
      <c r="AI40"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40" s="1739" t="str" cm="1">
        <f t="array" aca="1" ref="AJ40" ca="1">_xlfn.IFS(Tab_NewTRADER[[#This Row],[State]]="Sell More",TEXT(MIN(Tab_NewTRADER[[#This Row],[N]],Tab_NewTRADER[[#This Row],[L_Bn]])*(Tab_NewTRADER[[#This Row],[M]]-Tab_NewTRADER[[#This Row],[L_Sp]])*Tab_NewTRADER[[#This Row],[Scale]]*ComFactor,"#,#0"), TRUE,"M= "&amp;TEXT(Tab_NewTRADER[[#This Row],[M]],"#,#0.00"))</f>
        <v>M= 42.05</v>
      </c>
      <c r="AK40" s="1699" t="str" cm="1">
        <f t="array" aca="1" ref="AK40" ca="1">_xlfn.IFS(Tab_NewTRADER[[#This Row],[Y]]&gt;Tab_NewTRADER[[#This Row],[A]],                 TEXT(MIN(Tab_NewTRADER[[#This Row],[L_Bn]],Tab_NewTRADER[[#This Row],[N]])*(Tab_NewTRADER[[#This Row],[M]]-Tab_NewTRADER[[#This Row],[A]])*Tab_NewTRADER[[#This Row],[Scale]]*ComFactor,"#,#0"), TRUE,0)</f>
        <v>14</v>
      </c>
      <c r="AL40" s="1700" cm="1">
        <f t="array" aca="1" ref="AL40" ca="1">_xlfn.IFS(Tab_NewTRADER[[#This Row],[M]]&gt;Tab_NewTRADER[[#This Row],[A]],                  Tab_NewTRADER[[#This Row],[N]]*(Tab_NewTRADER[[#This Row],[M]]-Tab_NewTRADER[[#This Row],[A]])*Tab_NewTRADER[[#This Row],[Scale]]*ComFactor, TRUE,0)</f>
        <v>13.6108615108</v>
      </c>
      <c r="AM40" s="1592" t="str">
        <f ca="1">_xlfn.XLOOKUP(Tab_NewTRADER[[#This Row],[Show]],TabCalc[Ticker],TabCalc[Max_Bn])&amp;" x "&amp;TEXT(_xlfn.XLOOKUP(Tab_NewTRADER[[#This Row],[Show]],TabCalc[Ticker],TabCalc[Max_Bp]),"#,#0.00")</f>
        <v>1 x 28.40</v>
      </c>
      <c r="AN40" s="1650" t="str">
        <f ca="1">NewTrader!$V40</f>
        <v>RIGL</v>
      </c>
      <c r="AO40" s="1651" t="str">
        <f ca="1">TEXT(_xlfn.XLOOKUP(Tab_NewTRADER[[#This Row],[ClickTick]],TabCalc[Ticker],TabCalc[NAfter]),"#,#0")&amp;"x"&amp;_xlfn.XLOOKUP(Tab_NewTRADER[[#This Row],[ClickTick]],TabCalc[Ticker],TabCalc[M])&amp;"           (A: "&amp;TEXT(-_xlfn.XLOOKUP(Tab_NewTRADER[[#This Row],[ClickTick]]&amp;2,Consolid!B$3:JZ$3,Consolid!B$4:JZ$4),"#,??0.00")&amp;")"</f>
        <v>1x42.05           (A:  28.40)</v>
      </c>
      <c r="AP40" s="1592" t="str">
        <f ca="1">_xlfn.XLOOKUP(Tab_NewTRADER[[#This Row],[Show]],TabCalc[Ticker],TabCalc[Min_Sn])&amp;" x "&amp;TEXT(_xlfn.XLOOKUP(Tab_NewTRADER[[#This Row],[Show]],TabCalc[Ticker],TabCalc[Min_Sp]),"#,#0.00")</f>
        <v>499 x 9.78</v>
      </c>
      <c r="AQ4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702" t="str" cm="1">
        <f t="array" aca="1" ref="AR40" ca="1">_xlfn.IFS(Tab_NewTRADER[[#This Row],[State]]="Reverse Buy",TEXT(-Tab_NewTRADER[[#This Row],[Buy_Back]],"#,#0")&amp;" / "&amp;TEXT(Tab_NewTRADER[[#This Row],[Rev_Buy]],"#,#0.0%"),TRUE,Tab_NewTRADER[[#This Row],[AMY]])</f>
        <v>6 / 12.9%</v>
      </c>
      <c r="AS40" s="1651"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99"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99" t="str" cm="1">
        <f t="array" aca="1" ref="AU40" ca="1">_xlfn.IFS(Tab_NewTRADER[[#This Row],[M]]&lt;Tab_NewTRADER[[#This Row],[A]],TEXT(Tab_NewTRADER[[#This Row],[N]]*Tab_NewTRADER[[#This Row],[M]]*Tab_NewTRADER[[#This Row],[Scale]]*Comm_Net,"#,#0")&amp;" @ "&amp;TEXT(Tab_NewTRADER[[#This Row],[M]],"#,#0.#0"),TRUE,"M: "&amp; Tab_NewTRADER[[#This Row],[M]])</f>
        <v>M: 42.05</v>
      </c>
      <c r="AV40" s="1703" cm="1">
        <f t="array" aca="1" ref="AV40" ca="1">-_xlfn.XLOOKUP(
    Tab_NewTRADER[[#This Row],[Show]] &amp; 2,
    TabConsolid[#Headers],
    INDEX(TabConsolid[], 1, 0)
)</f>
        <v>28.403657999999997</v>
      </c>
      <c r="AW40" s="1704">
        <f ca="1">Tab_NewTRADER[[#This Row],[M]]*Tab_NewTRADER[[#This Row],[N]]*(1-Commission)*Tab_NewTRADER[[#This Row],[Scale]]</f>
        <v>41.940669999999997</v>
      </c>
      <c r="AX40" s="1705"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705"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706" t="str" cm="1">
        <f t="array" aca="1" ref="AZ40" ca="1">_xlfn.IFS(   Tab_NewTRADER[[#This Row],[State]]=SellMorePercentGain,                     MIN(Tab_NewTRADER[[#This Row],[L_Sn]],Tab_NewTRADER[[#This Row],[N]])*(Tab_NewTRADER[[#This Row],[M]]-Tab_NewTRADER[[#This Row],[L_Sp]])*(1-Commission)*Tab_NewTRADER[[#This Row],[Scale]],                    TRUE,"")</f>
        <v/>
      </c>
      <c r="BA40" s="1707">
        <f ca="1">_xlfn.XLOOKUP(NewTrader!$V40,TabCalc[Ticker],TabCalc[Ann%RevLB])</f>
        <v>4.71203289417197</v>
      </c>
      <c r="BB40" s="1708">
        <f ca="1">_xlfn.XLOOKUP(NewTrader!$V40,TabCalc[Ticker],TabCalc[Up20])</f>
        <v>0</v>
      </c>
      <c r="BC40" s="1709"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706" t="str" cm="1">
        <f t="array" aca="1" ref="BD40" ca="1">_xlfn.IFS(         NewTrader!$AF40=MDown,NewTrader!$P40*NewTrader!$Y40*(-(NewTrader!$Q40+NewTrader!$Y40)/NewTrader!$Y40)*(1-Commission)*NewTrader!$A40,                               TRUE,"")</f>
        <v/>
      </c>
      <c r="BE40" s="1705" t="str" cm="1">
        <f t="array" aca="1" ref="BE40" ca="1">_xlfn.IFS(   NewTrader!$AF40=MUp,NewTrader!$BP40-Commission,        NewTrader!$AF40=MDown,(NewTrader!$X40-NewTrader!$Y40)/NewTrader!$Y40-Commission,                              TRUE,"")</f>
        <v/>
      </c>
      <c r="BF40" s="1710"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710" t="str" cm="1">
        <f t="array" aca="1" ref="BG40" ca="1">_xlfn.LET(_xlpm.SumChTxt,TEXT(_xlfn.XLOOKUP(NewTrader!$V40,ListTickers,Tab2SumChangePercent[AVGChan20]),"#0.0%"),
      _xlfn.IFS(NewTrader!$AF40=NoStock,_xlpm.SumChTxt,
      TRUE, IF(NewTrader!$AF40=SellMorePercentGain,             "SumChange "&amp;_xlpm.SumChTxt,                         "&lt;"&amp;INT(_xlfn.XLOOKUP(NewTrader!$V40,ListTickers,Tab2ReverseGL[Rev_GL19]))&amp;    "&lt;"&amp;INT(_xlfn.XLOOKUP(NewTrader!$V40,ListTickers,Tab2ReverseGL[Rev_GL18]))&amp;":      "&amp;_xlpm.SumChTxt)))</f>
        <v>&lt;-1&lt;-1:      0.1%</v>
      </c>
      <c r="BH40" s="1711"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712" cm="1">
        <f t="array" aca="1" ref="BI40" ca="1">_xlfn.IFS(NewTrader!$AF40=Sale_Back,"",         NewTrader!$AF40=MDown, (NewTrader!$Y40-NewTrader!$X40)/NewTrader!$X40*ComFactor,             TRUE, IFERROR((NewTrader!$Y40-NewTrader!$X40)/NewTrader!$X40*ComFactor,""))</f>
        <v>0.47919396546740567</v>
      </c>
      <c r="BJ40" s="1664" cm="1">
        <f t="array" aca="1" ref="BJ40" ca="1">_xlfn.IFS(               NewTrader!$AF40=NoStock,(NewTrader!$BL40-NewTrader!$Y40)/NewTrader!$Y40-Commission,             NewTrader!$X40&lt;&gt;0,(NewTrader!$X40-NewTrader!$Y40)/NewTrader!$Y40-Commission)</f>
        <v>-0.3271265636147444</v>
      </c>
      <c r="BK40" s="1713">
        <f ca="1">_xlfn.XLOOKUP(NewTrader!$V40,TabCalc[Ticker],TabCalc[L_Sn])</f>
        <v>500</v>
      </c>
      <c r="BL40" s="1693">
        <f ca="1">_xlfn.XLOOKUP(NewTrader!$V40,TabCalc[Ticker],TabCalc[L_Sp])</f>
        <v>48.28</v>
      </c>
      <c r="BM40" s="1694">
        <f ca="1">-IFERROR((Tab_NewTRADER[[#This Row],[M]]-Tab_NewTRADER[[#This Row],[L_Sp]])/Tab_NewTRADER[[#This Row],[L_Sp]],0)</f>
        <v>0.12903893951946985</v>
      </c>
      <c r="BN40" s="1714">
        <f ca="1">MIN(Tab_NewTRADER[[#This Row],[L_Sn]],Tab_NewTRADER[[#This Row],[N]])*(Tab_NewTRADER[[#This Row],[M]]-Tab_NewTRADER[[#This Row],[L_Sp]])*Comm_Net*Tab_NewTRADER[[#This Row],[Scale]]</f>
        <v>-6.2131790000000038</v>
      </c>
      <c r="BO40" s="1715">
        <f ca="1">Tab_NewTRADER[[#This Row],[L_Sn]]*(Tab_NewTRADER[[#This Row],[Agiotage]]-Tab_NewTRADER[[#This Row],[M]])/(Tab_NewTRADER[[#This Row],[L_Bn]]*Tab_NewTRADER[[#This Row],[M]])</f>
        <v>-0.49343385664003708</v>
      </c>
      <c r="BP40" s="1716">
        <f ca="1">IFERROR((Tab_NewTRADER[[#This Row],[M]]-Tab_NewTRADER[[#This Row],[A]])/Tab_NewTRADER[[#This Row],[A]],0)</f>
        <v>0.48044311757309577</v>
      </c>
      <c r="BQ40" s="1671" t="str">
        <f ca="1">TEXT(_xlfn.XLOOKUP(Tab_NewTRADER[[#This Row],[ClickTick]],TabCalc[Ticker],TabCalc[NAfter]),"#,#0")&amp;" : "&amp;TEXT(_xlfn.XLOOKUP(Tab_NewTRADER[[#This Row],[ClickTick]],TabCalc[Ticker],TabCalc[NAfter])*(Tab_NewTRADER[[#This Row],[M]]-Tab_NewTRADER[[#This Row],[A]])*(1-Commission)*Tab_NewTRADER[[#This Row],[Scale]],"#,#0$")</f>
        <v>1 : 14$</v>
      </c>
      <c r="BR40" s="262">
        <f ca="1">_xlfn.XLOOKUP(NewTrader!$V40,TabCalc[[#This Row],[Ticker]],TabCalc[[#This Row],[GL]])*(1-Commission)</f>
        <v>157610.07350959344</v>
      </c>
      <c r="BS40" s="262"/>
      <c r="BT40" s="1672" t="str">
        <f ca="1">Tab_NewTRADER[[#This Row],[Show]]&amp;": "&amp;_xlfn.XLOOKUP(Tab_NewTRADER[[#This Row],[Show]],TabCalc[Ticker],TabCalc[Pile?])</f>
        <v xml:space="preserve">RIGL: </v>
      </c>
      <c r="BU40" s="1717" t="s">
        <v>2031</v>
      </c>
      <c r="BV40" s="1674" t="str" cm="1">
        <f t="array" aca="1" ref="BV40" ca="1">_xlfn.TEXTJOIN("",,INDEX({"M","A","Y"}, _xlfn.SORTBY({1,2,3}, -CHOOSE({1,2,3}, Tab_NewTRADER[[#This Row],[M]], Tab_NewTRADER[[#This Row],[A]], Tab_NewTRADER[[#This Row],[Y]]))))</f>
        <v>YMA</v>
      </c>
      <c r="BW40" s="1675"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76">
        <f ca="1">Tab_NewTRADER[[#This Row],[L_Sn]]*Tab_NewTRADER[[#This Row],[L_Sp]]+Tab_NewTRADER[[#This Row],[SellMore]]*Tab_NewTRADER[[#This Row],[M]]</f>
        <v>24182.05</v>
      </c>
      <c r="BY40" s="1676">
        <f ca="1">INDEX(
  INDEX(TabConsolid[], , _xlfn.XMATCH(Tab_NewTRADER[[#This Row],[ClickTick]]&amp;1, TabConsolid[#Headers])),
  MATCH(
    -Tab_NewTRADER[[#This Row],[M]],
    INDEX(TabConsolid[], , _xlfn.XMATCH(Tab_NewTRADER[[#This Row],[ClickTick]]&amp;2, TabConsolid[#Headers])),
    -1
  )
)</f>
        <v>1</v>
      </c>
      <c r="BZ40" s="1676"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77">
        <f ca="1">Tab_NewTRADER[[#This Row],[ReBuy]]/(Tab_NewTRADER[[#This Row],[L_Sn]]+Tab_NewTRADER[[#This Row],[SellMore]])</f>
        <v>48.267564870259477</v>
      </c>
      <c r="CB40" s="1678">
        <f ca="1">((_xlfn.XLOOKUP(Tab_NewTRADER[[#This Row],[Show]],TabCalc[Ticker],TabCalc[NAfter])+Tab_NewTRADER[[#This Row],[L_Sn]])*(Tab_NewTRADER[[#This Row],[Agiotage]]-Tab_NewTRADER[[#This Row],[M]]))/(Tab_NewTRADER[[#This Row],[L_Sn]]*_xlfn.XLOOKUP(Tab_NewTRADER[[#This Row],[Show]],TabCalc[Ticker],TabCalc[NAfter]))</f>
        <v>-41.580782918113975</v>
      </c>
      <c r="CC40" s="1677">
        <f ca="1">INDEX(Tab1Price[Price19], MATCH(Tab_NewTRADER[[#This Row],[Show]], Tab_NewTRADER[Show], 0))</f>
        <v>42.05</v>
      </c>
      <c r="CD40" s="1679">
        <f ca="1">_xlfn.XMATCH(Tab_NewTRADER[[#This Row],[Show]]&amp;1, TabConsolid[#Headers])</f>
        <v>113</v>
      </c>
      <c r="CE40" s="1678"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729" t="str" cm="1">
        <f t="array" aca="1" ref="CF40" ca="1">_xlfn.LET(
    _xlpm.FMT, _xlfn.LAMBDA(_xlpm.n, REPT(" ", 7 - LEN(TEXT(_xlpm.n,"0.00"))) &amp; TEXT(_xlpm.n,"0.00")),
    _xlpm.FMT(Tab_NewTRADER[[#This Row],[A]]) &amp; " -" &amp; _xlpm.FMT(Tab_NewTRADER[[#This Row],[M]]) &amp; " -" &amp; _xlpm.FMT(Tab_NewTRADER[[#This Row],[Y]])
)</f>
        <v xml:space="preserve">  28.40 -  42.05 -  49.60</v>
      </c>
      <c r="CG40" s="1730" t="str" cm="1">
        <f t="array" aca="1" ref="CG40" ca="1">_xlfn.LET(
    _xlpm.W, 7,
    _xlpm.FMT, _xlfn.LAMBDA(_xlpm.n, REPT(" ", _xlpm.W - LEN(TEXT(_xlpm.n,"0.00"))) &amp; TEXT(_xlpm.n,"0.00")),
    _xlpm.FMT(Tab_NewTRADER[[#This Row],[A]]) &amp; " * " &amp; _xlpm.FMT(Tab_NewTRADER[[#This Row],[M]]) &amp; " * " &amp; _xlpm.FMT(Tab_NewTRADER[[#This Row],[Y]])
)</f>
        <v xml:space="preserve">  28.40 *   42.05 *   49.60</v>
      </c>
      <c r="CH40" s="1842">
        <f>0</f>
        <v>0</v>
      </c>
      <c r="CI40" t="b">
        <f ca="1">IF(ABS(NewTrader!$Q40)&gt;=NewTrader!$Y40,"OK")</f>
        <v>0</v>
      </c>
    </row>
    <row r="41" spans="1:87" hidden="1">
      <c r="A41" s="1838">
        <f ca="1">IF(_xlfn.XLOOKUP(NewTrader!$V41,TabCalc[Ticker],TabCalc[Cur])="GBp",0.01,1)</f>
        <v>1</v>
      </c>
      <c r="B41" s="1620" t="str">
        <f ca="1">IFERROR(TRUNC(_xlfn.XLOOKUP(NewTrader!$V41,TabCalc[Ticker],ListLastBuyp),2)&amp;"x"&amp;_xlfn.XLOOKUP(NewTrader!$V41,TabCalc[Ticker],ListLastBuyn)&amp;"=    "&amp;IF(_xlfn.XLOOKUP(NewTrader!$V41,TabCalc[Ticker],ListReverseS)&gt;0,"+","")&amp;TEXT(_xlfn.XLOOKUP(NewTrader!$V41,TabCalc[Ticker],ListReverseS),"#,#0")&amp;" "&amp;#REF!,"")</f>
        <v/>
      </c>
      <c r="C41" s="1621" t="str">
        <f ca="1">_xlfn.XLOOKUP(NewTrader!$V41,TabCalc[Ticker],ListResale)&amp;" @ "&amp;TEXT((_xlfn.XLOOKUP(NewTrader!$V41,TabCalc[Ticker],TabCalc[L_Bp])+_xlfn.XLOOKUP(NewTrader!$V41,TabCalc[Ticker],TabCalc[M]))/_xlfn.XLOOKUP(NewTrader!$V41,TabCalc[Ticker],TabCalc[M]),"#0.0%")</f>
        <v>Resell @ 34.5%</v>
      </c>
      <c r="D41" s="1622"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718" t="str">
        <f ca="1">IF(      AND(NewTrader!$X41&lt;NewTrader!$Y41,    _xlfn.XLOOKUP(NewTrader!$V41,TabCalc[Ticker],TabCalc[L_Sp])&gt;NewTrader!$Y41),"BUY  "&amp;TEXT(DesiredBuyGain/NewTrader!$A41/(_xlfn.XLOOKUP(NewTrader!$V41,TabCalc[Ticker],TabCalc[L_Sp])-NewTrader!$Y41),"#,##0"),"")</f>
        <v/>
      </c>
      <c r="F41" s="1620" t="str">
        <f ca="1">TRUNC(TabCalc[[#This Row],[L_B1p]],2)&amp;"x"&amp;TabCalc[[#This Row],[L_B1n]]&amp;"=   "&amp;TEXT(TabCalc[[#This Row],[ReverseS1]],"#,#0")&amp;"$"</f>
        <v>-29.23x4000=   703$</v>
      </c>
      <c r="G41" s="1624" t="str">
        <f ca="1">IFERROR(TRUNC(_xlfn.XLOOKUP(NewTrader!$V41,TabCalc[Ticker],ListLastSalep),2)&amp;"x"&amp;_xlfn.XLOOKUP(NewTrader!$V41,TabCalc[Ticker],ListLastSalen)&amp;"=   "&amp;TEXT(-_xlfn.XLOOKUP(NewTrader!$V41,TabCalc[Ticker],ListReverseB),"#,#0")&amp;"$","")</f>
        <v>33.36x3200=   31,776$</v>
      </c>
      <c r="H41" s="1625"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-22.9% = 0</v>
      </c>
      <c r="I41" s="1620" t="str">
        <f ca="1">IFERROR(TRUNC(TabCalc[[#This Row],[L_S1p]],2)&amp;"x"&amp;TabCalc[[#This Row],[L_S1n]]&amp;"=   "&amp;TEXT(TabCalc[[#This Row],[ReverseB1]],"#,#0"),"")</f>
        <v>32.24x1500=   -16,575</v>
      </c>
      <c r="J41" s="1626">
        <f ca="1">_xlfn.XLOOKUP(NewTrader!$V41,TabCalc[Ticker],ListGravity)</f>
        <v>1.1128775698775699</v>
      </c>
      <c r="K41" s="1627" t="str" cm="1">
        <f t="array" aca="1" ref="K41" ca="1">IF(_xlfn.XLOOKUP(NewTrader!$V41,NewTrader!$V$3:$V$96,ListExtra_n)&gt;0,_xlfn.XLOOKUP(NewTrader!$V41,NewTrader!$V$3:$V$96,ListExtra_n),"")</f>
        <v/>
      </c>
      <c r="L41" s="1628" t="str">
        <f ca="1">IF(_xlfn.XLOOKUP(NewTrader!$V41,TabCalc[Ticker],ListExtra_n)&gt;0,_xlfn.XLOOKUP(NewTrader!$V41,TabCalc[Ticker],ListExtra_n)*NewTrader!$Y41*_xlfn.XLOOKUP(NewTrader!$V41,TabCalc[Ticker],ListScale),"")</f>
        <v/>
      </c>
      <c r="M41" s="1629">
        <f ca="1">_xlfn.XLOOKUP(NewTrader!$V41,TabCalc[Ticker],TabCalc[Agiotage])</f>
        <v>3.1362675405888028E-3</v>
      </c>
      <c r="N41" s="1630" cm="1">
        <f t="array" aca="1" ref="N41" ca="1">_xlfn.XLOOKUP(NewTrader!$V41,ListTickers,Tab2RSIConventional[RSIConv20])</f>
        <v>66</v>
      </c>
      <c r="O41" s="1631" t="str">
        <f ca="1">TEXT(_xlfn.XLOOKUP(NewTrader!$V41,TabCalc[Ticker],TabCalc[Nbegin]),"#,#0")&amp;": "&amp;_xlfn.XLOOKUP(NewTrader!$V41,TabCalc[Ticker],TabCalc[Pile?])</f>
        <v>30,000: Pile</v>
      </c>
      <c r="P41" s="1632">
        <f ca="1">_xlfn.XLOOKUP(NewTrader!$V41,TabCalc[Ticker],TabCalc[L_Bn])</f>
        <v>4000</v>
      </c>
      <c r="Q41" s="1633">
        <f ca="1">_xlfn.XLOOKUP(NewTrader!$V41,TabCalc[Ticker],TabCalc[L_Bp])</f>
        <v>-28.37</v>
      </c>
      <c r="R41" s="1634">
        <f ca="1">(NewTrader!$Y41+NewTrader!$Q41)/ABS(NewTrader!$Q41)</f>
        <v>0.52590764892492059</v>
      </c>
      <c r="S41" s="259">
        <f ca="1">INT(_xlfn.XLOOKUP(NewTrader!$V41,TabCalc[Ticker],TabCalc[Rev(MinStock)])*Comm_Net)</f>
        <v>740</v>
      </c>
      <c r="T41" s="1635">
        <f ca="1">_xlfn.XLOOKUP(NewTrader!$V41,TabCalc[Ticker],TabCalc[Agiotage])</f>
        <v>3.1362675405888028E-3</v>
      </c>
      <c r="U41" s="1719"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-5/-5=&gt;-0.5% / -0.5%</v>
      </c>
      <c r="V41" s="1578" t="str">
        <f ca="1">SORTING!B41</f>
        <v>RWE</v>
      </c>
      <c r="W41" s="1637">
        <f ca="1">_xlfn.XLOOKUP(NewTrader!$V41,TabCalc[Ticker],TabCalc[Y])</f>
        <v>48.176470000000002</v>
      </c>
      <c r="X41" s="1639">
        <f ca="1">-_xlfn.XLOOKUP(NewTrader!$V41&amp;2,Consolid!B$3:JZ$3,Consolid!B$4:JZ$4)</f>
        <v>28.443761999999996</v>
      </c>
      <c r="Y41" s="1639">
        <f ca="1">_xlfn.XLOOKUP(NewTrader!$V41,TabCalc[Ticker],TabCalc[M])</f>
        <v>43.29</v>
      </c>
      <c r="Z41" s="1640">
        <f ca="1">_xlfn.XLOOKUP(NewTrader!$V41,[1]!RTData[Ticker_Symbol],[1]!RTData[YTChange])</f>
        <v>0.4278740367516301</v>
      </c>
      <c r="AA41" s="1640" cm="1">
        <f t="array" aca="1" ref="AA41" ca="1">_xlfn.XLOOKUP(NewTrader!$V41,ListTickers,Tab1ChangePercent[Change%19])</f>
        <v>-4.5989999999999998E-3</v>
      </c>
      <c r="AB41" s="1641">
        <f ca="1">_xlfn.XLOOKUP(NewTrader!$V41,TabCalc[Ticker],TabCalc[NAfter])</f>
        <v>50</v>
      </c>
      <c r="AC41" s="1641">
        <f ca="1">_xlfn.XLOOKUP(NewTrader!$V41,TabCalc[Ticker],TabCalc[Nbegin])</f>
        <v>30000</v>
      </c>
      <c r="AD41" s="1642" t="str">
        <f ca="1">_xlfn.LET(_xlpm.PILE,_xlfn.XLOOKUP(NewTrader!$V41,TabCalc[Ticker],TabCalc[Pile?]),                    _xlpm.GL,_xlfn.XLOOKUP(NewTrader!$V41,TabCalc[Ticker],TabCalc[GL]),                        _xlpm.GLK,_xlfn.XLOOKUP(NewTrader!$V41,TabCalc[Ticker],TabCalc[GL])/1000,                             _xlpm.MVal,_xlfn.XLOOKUP(NewTrader!$V41,TabCalc[Ticker],TabCalc[M_V])/1000,                   _xlpm.PILE&amp;" "&amp;IF(_xlpm.GL&lt;0,TEXT(_xlpm.GLK,"#,#0")&amp;"K /"&amp;TEXT(_xlpm.MVal,"#,#0")&amp;" K$","^"&amp;TEXT(_xlpm.GLK,"#,#0")&amp;"K / "&amp;TEXT(_xlpm.MVal,"#,#0")&amp;" K$"))</f>
        <v>Pile ^36K / 2 K$</v>
      </c>
      <c r="AE41" s="1720" t="str">
        <f ca="1">_xlfn.XLOOKUP(NewTrader!$V41,[1]!RTData[Ticker_Symbol],[1]!RTData[Currency])</f>
        <v>EUR</v>
      </c>
      <c r="AF41" s="1721"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646" t="str" cm="1">
        <f t="array" aca="1" ref="AH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43.29 -  48.18</v>
      </c>
      <c r="AI4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1" s="1651" t="str" cm="1">
        <f t="array" aca="1" ref="AJ41" ca="1">_xlfn.IFS(Tab_NewTRADER[[#This Row],[State]]="Sell More",TEXT(MIN(Tab_NewTRADER[[#This Row],[N]],Tab_NewTRADER[[#This Row],[L_Bn]])*(Tab_NewTRADER[[#This Row],[M]]-Tab_NewTRADER[[#This Row],[L_Sp]])*Tab_NewTRADER[[#This Row],[Scale]]*ComFactor,"#,#0"), TRUE,"M= "&amp;TEXT(Tab_NewTRADER[[#This Row],[M]],"#,#0.00"))</f>
        <v>495</v>
      </c>
      <c r="AK41" s="1699" t="str" cm="1">
        <f t="array" aca="1" ref="AK41" ca="1">_xlfn.IFS(Tab_NewTRADER[[#This Row],[Y]]&gt;Tab_NewTRADER[[#This Row],[A]],                 TEXT(MIN(Tab_NewTRADER[[#This Row],[L_Bn]],Tab_NewTRADER[[#This Row],[N]])*(Tab_NewTRADER[[#This Row],[M]]-Tab_NewTRADER[[#This Row],[A]])*Tab_NewTRADER[[#This Row],[Scale]]*ComFactor,"#,#0"), TRUE,0)</f>
        <v>740</v>
      </c>
      <c r="AL41" s="1700" cm="1">
        <f t="array" aca="1" ref="AL41" ca="1">_xlfn.IFS(Tab_NewTRADER[[#This Row],[M]]&gt;Tab_NewTRADER[[#This Row],[A]],                  Tab_NewTRADER[[#This Row],[N]]*(Tab_NewTRADER[[#This Row],[M]]-Tab_NewTRADER[[#This Row],[A]])*Tab_NewTRADER[[#This Row],[Scale]]*ComFactor, TRUE,0)</f>
        <v>740.38188906000016</v>
      </c>
      <c r="AM41" s="1592" t="str">
        <f ca="1">_xlfn.XLOOKUP(Tab_NewTRADER[[#This Row],[Show]],TabCalc[Ticker],TabCalc[Max_Bn])&amp;" x "&amp;TEXT(_xlfn.XLOOKUP(Tab_NewTRADER[[#This Row],[Show]],TabCalc[Ticker],TabCalc[Max_Bp]),"#,#0.00")</f>
        <v>50 x 28.44</v>
      </c>
      <c r="AN41" s="1650" t="str">
        <f ca="1">NewTrader!$V41</f>
        <v>RWE</v>
      </c>
      <c r="AO41" s="1651" t="str">
        <f ca="1">TEXT(_xlfn.XLOOKUP(Tab_NewTRADER[[#This Row],[ClickTick]],TabCalc[Ticker],TabCalc[NAfter]),"#,#0")&amp;"x"&amp;_xlfn.XLOOKUP(Tab_NewTRADER[[#This Row],[ClickTick]],TabCalc[Ticker],TabCalc[M])&amp;"           (A: "&amp;TEXT(-_xlfn.XLOOKUP(Tab_NewTRADER[[#This Row],[ClickTick]]&amp;2,Consolid!B$3:JZ$3,Consolid!B$4:JZ$4),"#,??0.00")&amp;")"</f>
        <v>50x43.29           (A:  28.44)</v>
      </c>
      <c r="AP41" s="1592" t="str">
        <f ca="1">_xlfn.XLOOKUP(Tab_NewTRADER[[#This Row],[Show]],TabCalc[Ticker],TabCalc[Min_Sn])&amp;" x "&amp;TEXT(_xlfn.XLOOKUP(Tab_NewTRADER[[#This Row],[Show]],TabCalc[Ticker],TabCalc[Min_Sp]),"#,#0.00")</f>
        <v>1000 x 29.33</v>
      </c>
      <c r="AQ4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702" t="str" cm="1">
        <f t="array" aca="1" ref="AR41" ca="1">_xlfn.IFS(Tab_NewTRADER[[#This Row],[State]]="Reverse Buy",TEXT(-Tab_NewTRADER[[#This Row],[Buy_Back]],"#,#0")&amp;" / "&amp;TEXT(Tab_NewTRADER[[#This Row],[Rev_Buy]],"#,#0.0%"),TRUE,Tab_NewTRADER[[#This Row],[AMY]])</f>
        <v xml:space="preserve">  28.44 -  43.29 -  48.18</v>
      </c>
      <c r="AS41" s="1651"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99"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99" t="str" cm="1">
        <f t="array" aca="1" ref="AU41" ca="1">_xlfn.IFS(Tab_NewTRADER[[#This Row],[M]]&lt;Tab_NewTRADER[[#This Row],[A]],TEXT(Tab_NewTRADER[[#This Row],[N]]*Tab_NewTRADER[[#This Row],[M]]*Tab_NewTRADER[[#This Row],[Scale]]*Comm_Net,"#,#0")&amp;" @ "&amp;TEXT(Tab_NewTRADER[[#This Row],[M]],"#,#0.#0"),TRUE,"M: "&amp; Tab_NewTRADER[[#This Row],[M]])</f>
        <v>M: 43.29</v>
      </c>
      <c r="AV41" s="1740" cm="1">
        <f t="array" aca="1" ref="AV41" ca="1">-_xlfn.XLOOKUP(
    Tab_NewTRADER[[#This Row],[Show]] &amp; 2,
    TabConsolid[#Headers],
    INDEX(TabConsolid[], 1, 0)
)</f>
        <v>28.443761999999996</v>
      </c>
      <c r="AW41" s="1741">
        <f ca="1">Tab_NewTRADER[[#This Row],[M]]*Tab_NewTRADER[[#This Row],[N]]*(1-Commission)*Tab_NewTRADER[[#This Row],[Scale]]</f>
        <v>2158.8723</v>
      </c>
      <c r="AX41" s="1705"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705"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706" t="str" cm="1">
        <f t="array" aca="1" ref="AZ41" ca="1">_xlfn.IFS(   Tab_NewTRADER[[#This Row],[State]]=SellMorePercentGain,                     MIN(Tab_NewTRADER[[#This Row],[L_Sn]],Tab_NewTRADER[[#This Row],[N]])*(Tab_NewTRADER[[#This Row],[M]]-Tab_NewTRADER[[#This Row],[L_Sp]])*(1-Commission)*Tab_NewTRADER[[#This Row],[Scale]],                    TRUE,"")</f>
        <v/>
      </c>
      <c r="BA41" s="1707">
        <f ca="1">_xlfn.XLOOKUP(NewTrader!$V41,TabCalc[Ticker],TabCalc[Ann%RevLB])</f>
        <v>0.63746381687869158</v>
      </c>
      <c r="BB41" s="1708">
        <f ca="1">_xlfn.XLOOKUP(NewTrader!$V41,TabCalc[Ticker],TabCalc[Up20])</f>
        <v>0</v>
      </c>
      <c r="BC41" s="1725"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706" t="str" cm="1">
        <f t="array" aca="1" ref="BD41" ca="1">_xlfn.IFS(         NewTrader!$AF41=MDown,NewTrader!$P41*NewTrader!$Y41*(-(NewTrader!$Q41+NewTrader!$Y41)/NewTrader!$Y41)*(1-Commission)*NewTrader!$A41,                               TRUE,"")</f>
        <v/>
      </c>
      <c r="BE41" s="1705" t="str" cm="1">
        <f t="array" aca="1" ref="BE41" ca="1">_xlfn.IFS(   NewTrader!$AF41=MUp,NewTrader!$BP41-Commission,        NewTrader!$AF41=MDown,(NewTrader!$X41-NewTrader!$Y41)/NewTrader!$Y41-Commission,                              TRUE,"")</f>
        <v/>
      </c>
      <c r="BF41" s="1706"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710" t="str" cm="1">
        <f t="array" aca="1" ref="BG41" ca="1">_xlfn.LET(_xlpm.SumChTxt,TEXT(_xlfn.XLOOKUP(NewTrader!$V41,ListTickers,Tab2SumChangePercent[AVGChan20]),"#0.0%"),
      _xlfn.IFS(NewTrader!$AF41=NoStock,_xlpm.SumChTxt,
      TRUE, IF(NewTrader!$AF41=SellMorePercentGain,             "SumChange "&amp;_xlpm.SumChTxt,                         "&lt;"&amp;INT(_xlfn.XLOOKUP(NewTrader!$V41,ListTickers,Tab2ReverseGL[Rev_GL19]))&amp;    "&lt;"&amp;INT(_xlfn.XLOOKUP(NewTrader!$V41,ListTickers,Tab2ReverseGL[Rev_GL18]))&amp;":      "&amp;_xlpm.SumChTxt)))</f>
        <v>&lt;0&lt;0:      0.4%</v>
      </c>
      <c r="BH41" s="1711"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50x14.84</v>
      </c>
      <c r="BI41" s="1712" cm="1">
        <f t="array" aca="1" ref="BI41" ca="1">_xlfn.IFS(NewTrader!$AF41=Sale_Back,"",         NewTrader!$AF41=MDown, (NewTrader!$Y41-NewTrader!$X41)/NewTrader!$X41*ComFactor,             TRUE, IFERROR((NewTrader!$Y41-NewTrader!$X41)/NewTrader!$X41*ComFactor,""))</f>
        <v>0.52059350592231801</v>
      </c>
      <c r="BJ41" s="1664" cm="1">
        <f t="array" aca="1" ref="BJ41" ca="1">_xlfn.IFS(               NewTrader!$AF41=NoStock,(NewTrader!$BL41-NewTrader!$Y41)/NewTrader!$Y41-Commission,             NewTrader!$X41&lt;&gt;0,(NewTrader!$X41-NewTrader!$Y41)/NewTrader!$Y41-Commission)</f>
        <v>-0.34554844074844082</v>
      </c>
      <c r="BK41" s="1726">
        <f ca="1">_xlfn.XLOOKUP(NewTrader!$V41,TabCalc[Ticker],TabCalc[L_Sn])</f>
        <v>3200</v>
      </c>
      <c r="BL41" s="1727">
        <f ca="1">_xlfn.XLOOKUP(NewTrader!$V41,TabCalc[Ticker],TabCalc[L_Sp])</f>
        <v>33.36</v>
      </c>
      <c r="BM41" s="1634">
        <f ca="1">-IFERROR((Tab_NewTRADER[[#This Row],[M]]-Tab_NewTRADER[[#This Row],[L_Sp]])/Tab_NewTRADER[[#This Row],[L_Sp]],0)</f>
        <v>-0.2976618705035971</v>
      </c>
      <c r="BN41" s="1728">
        <f ca="1">MIN(Tab_NewTRADER[[#This Row],[L_Sn]],Tab_NewTRADER[[#This Row],[N]])*(Tab_NewTRADER[[#This Row],[M]]-Tab_NewTRADER[[#This Row],[L_Sp]])*Comm_Net*Tab_NewTRADER[[#This Row],[Scale]]</f>
        <v>495.15944999999999</v>
      </c>
      <c r="BO41" s="1715">
        <f ca="1">Tab_NewTRADER[[#This Row],[L_Sn]]*(Tab_NewTRADER[[#This Row],[Agiotage]]-Tab_NewTRADER[[#This Row],[M]])/(Tab_NewTRADER[[#This Row],[L_Bn]]*Tab_NewTRADER[[#This Row],[M]])</f>
        <v>-0.79994204171789152</v>
      </c>
      <c r="BP41" s="1670">
        <f ca="1">IFERROR((Tab_NewTRADER[[#This Row],[M]]-Tab_NewTRADER[[#This Row],[A]])/Tab_NewTRADER[[#This Row],[A]],0)</f>
        <v>0.5219505774236195</v>
      </c>
      <c r="BQ41" s="1671" t="str">
        <f ca="1">TEXT(_xlfn.XLOOKUP(Tab_NewTRADER[[#This Row],[ClickTick]],TabCalc[Ticker],TabCalc[NAfter]),"#,#0")&amp;" : "&amp;TEXT(_xlfn.XLOOKUP(Tab_NewTRADER[[#This Row],[ClickTick]],TabCalc[Ticker],TabCalc[NAfter])*(Tab_NewTRADER[[#This Row],[M]]-Tab_NewTRADER[[#This Row],[A]])*(1-Commission)*Tab_NewTRADER[[#This Row],[Scale]],"#,#0$")</f>
        <v>50 : 740$</v>
      </c>
      <c r="BR41" s="259">
        <f ca="1">_xlfn.XLOOKUP(NewTrader!$V41,TabCalc[[#This Row],[Ticker]],TabCalc[[#This Row],[GL]])*(1-Commission)</f>
        <v>36280.567190630565</v>
      </c>
      <c r="BS41" s="259"/>
      <c r="BT41" s="1672" t="str">
        <f ca="1">Tab_NewTRADER[[#This Row],[Show]]&amp;": "&amp;_xlfn.XLOOKUP(Tab_NewTRADER[[#This Row],[Show]],TabCalc[Ticker],TabCalc[Pile?])</f>
        <v>RWE: Pile</v>
      </c>
      <c r="BU41" s="1717" t="s">
        <v>2041</v>
      </c>
      <c r="BV41" s="1674" t="str" cm="1">
        <f t="array" aca="1" ref="BV41" ca="1">_xlfn.TEXTJOIN("",,INDEX({"M","A","Y"}, _xlfn.SORTBY({1,2,3}, -CHOOSE({1,2,3}, Tab_NewTRADER[[#This Row],[M]], Tab_NewTRADER[[#This Row],[A]], Tab_NewTRADER[[#This Row],[Y]]))))</f>
        <v>YMA</v>
      </c>
      <c r="BW41" s="1675"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76">
        <f ca="1">Tab_NewTRADER[[#This Row],[L_Sn]]*Tab_NewTRADER[[#This Row],[L_Sp]]+Tab_NewTRADER[[#This Row],[SellMore]]*Tab_NewTRADER[[#This Row],[M]]</f>
        <v>108916.5</v>
      </c>
      <c r="BY41" s="1676">
        <f ca="1">INDEX(
  INDEX(TabConsolid[], , _xlfn.XMATCH(Tab_NewTRADER[[#This Row],[ClickTick]]&amp;1, TabConsolid[#Headers])),
  MATCH(
    -Tab_NewTRADER[[#This Row],[M]],
    INDEX(TabConsolid[], , _xlfn.XMATCH(Tab_NewTRADER[[#This Row],[ClickTick]]&amp;2, TabConsolid[#Headers])),
    -1
  )
)</f>
        <v>50</v>
      </c>
      <c r="BZ41" s="1676"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77">
        <f ca="1">Tab_NewTRADER[[#This Row],[ReBuy]]/(Tab_NewTRADER[[#This Row],[L_Sn]]+Tab_NewTRADER[[#This Row],[SellMore]])</f>
        <v>33.51276923076923</v>
      </c>
      <c r="CB41" s="1678">
        <f ca="1">((_xlfn.XLOOKUP(Tab_NewTRADER[[#This Row],[Show]],TabCalc[Ticker],TabCalc[NAfter])+Tab_NewTRADER[[#This Row],[L_Sn]])*(Tab_NewTRADER[[#This Row],[Agiotage]]-Tab_NewTRADER[[#This Row],[M]]))/(Tab_NewTRADER[[#This Row],[L_Sn]]*_xlfn.XLOOKUP(Tab_NewTRADER[[#This Row],[Show]],TabCalc[Ticker],TabCalc[NAfter]))</f>
        <v>-0.87926441956558177</v>
      </c>
      <c r="CC41" s="1677">
        <f ca="1">INDEX(Tab1Price[Price19], MATCH(Tab_NewTRADER[[#This Row],[Show]], Tab_NewTRADER[Show], 0))</f>
        <v>43.29</v>
      </c>
      <c r="CD41" s="1679">
        <f ca="1">_xlfn.XMATCH(Tab_NewTRADER[[#This Row],[Show]]&amp;1, TabConsolid[#Headers])</f>
        <v>116</v>
      </c>
      <c r="CE41" s="1678"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729" t="str" cm="1">
        <f t="array" aca="1" ref="CF41" ca="1">_xlfn.LET(
    _xlpm.FMT, _xlfn.LAMBDA(_xlpm.n, REPT(" ", 7 - LEN(TEXT(_xlpm.n,"0.00"))) &amp; TEXT(_xlpm.n,"0.00")),
    _xlpm.FMT(Tab_NewTRADER[[#This Row],[A]]) &amp; " -" &amp; _xlpm.FMT(Tab_NewTRADER[[#This Row],[M]]) &amp; " -" &amp; _xlpm.FMT(Tab_NewTRADER[[#This Row],[Y]])
)</f>
        <v xml:space="preserve">  28.44 -  43.29 -  48.18</v>
      </c>
      <c r="CG41" s="1730" t="str" cm="1">
        <f t="array" aca="1" ref="CG41" ca="1">_xlfn.LET(
    _xlpm.W, 7,
    _xlpm.FMT, _xlfn.LAMBDA(_xlpm.n, REPT(" ", _xlpm.W - LEN(TEXT(_xlpm.n,"0.00"))) &amp; TEXT(_xlpm.n,"0.00")),
    _xlpm.FMT(Tab_NewTRADER[[#This Row],[A]]) &amp; " * " &amp; _xlpm.FMT(Tab_NewTRADER[[#This Row],[M]]) &amp; " * " &amp; _xlpm.FMT(Tab_NewTRADER[[#This Row],[Y]])
)</f>
        <v xml:space="preserve">  28.44 *   43.29 *   48.18</v>
      </c>
      <c r="CH41" s="1843">
        <f>0</f>
        <v>0</v>
      </c>
      <c r="CI41" t="b">
        <f ca="1">IF(ABS(NewTrader!$Q41)&gt;=NewTrader!$Y41,"OK")</f>
        <v>0</v>
      </c>
    </row>
    <row r="42" spans="1:87" hidden="1">
      <c r="A42" s="1839">
        <f ca="1">IF(_xlfn.XLOOKUP(NewTrader!$V42,TabCalc[Ticker],TabCalc[Cur])="GBp",0.01,1)</f>
        <v>1</v>
      </c>
      <c r="B42" s="1681" t="str">
        <f ca="1">IFERROR(TRUNC(_xlfn.XLOOKUP(NewTrader!$V42,TabCalc[Ticker],ListLastBuyp),2)&amp;"x"&amp;_xlfn.XLOOKUP(NewTrader!$V42,TabCalc[Ticker],ListLastBuyn)&amp;"=    "&amp;IF(_xlfn.XLOOKUP(NewTrader!$V42,TabCalc[Ticker],ListReverseS)&gt;0,"+","")&amp;TEXT(_xlfn.XLOOKUP(NewTrader!$V42,TabCalc[Ticker],ListReverseS),"#,#0")&amp;" "&amp;#REF!,"")</f>
        <v/>
      </c>
      <c r="C42" s="1682" t="str">
        <f ca="1">_xlfn.XLOOKUP(NewTrader!$V42,TabCalc[Ticker],ListResale)&amp;" @ "&amp;TEXT((_xlfn.XLOOKUP(NewTrader!$V42,TabCalc[Ticker],TabCalc[L_Bp])+_xlfn.XLOOKUP(NewTrader!$V42,TabCalc[Ticker],TabCalc[M]))/_xlfn.XLOOKUP(NewTrader!$V42,TabCalc[Ticker],TabCalc[M]),"#0.0%")</f>
        <v>B_more @ -11.0%</v>
      </c>
      <c r="D42" s="1683"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84" t="str">
        <f ca="1">IF(      AND(NewTrader!$X42&lt;NewTrader!$Y42,    _xlfn.XLOOKUP(NewTrader!$V42,TabCalc[Ticker],TabCalc[L_Sp])&gt;NewTrader!$Y42),"BUY  "&amp;TEXT(DesiredBuyGain/NewTrader!$A42/(_xlfn.XLOOKUP(NewTrader!$V42,TabCalc[Ticker],TabCalc[L_Sp])-NewTrader!$Y42),"#,##0"),"")</f>
        <v/>
      </c>
      <c r="F42" s="1681" t="str">
        <f ca="1">TRUNC(TabCalc[[#This Row],[L_B1p]],2)&amp;"x"&amp;TabCalc[[#This Row],[L_B1n]]&amp;"=   "&amp;TEXT(TabCalc[[#This Row],[ReverseS1]],"#,#0")&amp;"$"</f>
        <v>-227.55x1000=   -18,250$</v>
      </c>
      <c r="G42" s="1685" t="str">
        <f ca="1">IFERROR(TRUNC(_xlfn.XLOOKUP(NewTrader!$V42,TabCalc[Ticker],ListLastSalep),2)&amp;"x"&amp;_xlfn.XLOOKUP(NewTrader!$V42,TabCalc[Ticker],ListLastSalen)&amp;"=   "&amp;TEXT(-_xlfn.XLOOKUP(NewTrader!$V42,TabCalc[Ticker],ListReverseB),"#,#0")&amp;"$","")</f>
        <v>237.8x200=   -5,700$</v>
      </c>
      <c r="H42" s="1686"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13.6% = 175</v>
      </c>
      <c r="I42" s="1681" t="str">
        <f ca="1">IFERROR(TRUNC(TabCalc[[#This Row],[L_S1p]],2)&amp;"x"&amp;TabCalc[[#This Row],[L_S1n]]&amp;"=   "&amp;TEXT(TabCalc[[#This Row],[ReverseB1]],"#,#0"),"")</f>
        <v>265.05x500=   27,875</v>
      </c>
      <c r="J42" s="1687">
        <f ca="1">_xlfn.XLOOKUP(NewTrader!$V42,TabCalc[Ticker],ListGravity)</f>
        <v>1.370043000477783</v>
      </c>
      <c r="K42" s="1688" cm="1">
        <f t="array" aca="1" ref="K42" ca="1">IF(_xlfn.XLOOKUP(NewTrader!$V42,NewTrader!$V$3:$V$96,ListExtra_n)&gt;0,_xlfn.XLOOKUP(NewTrader!$V42,NewTrader!$V$3:$V$96,ListExtra_n),"")</f>
        <v>2300</v>
      </c>
      <c r="L42" s="1689">
        <f ca="1">IF(_xlfn.XLOOKUP(NewTrader!$V42,TabCalc[Ticker],ListExtra_n)&gt;0,_xlfn.XLOOKUP(NewTrader!$V42,TabCalc[Ticker],ListExtra_n)*NewTrader!$Y42*_xlfn.XLOOKUP(NewTrader!$V42,TabCalc[Ticker],ListScale),"")</f>
        <v>481390</v>
      </c>
      <c r="M42" s="1690">
        <f ca="1">_xlfn.XLOOKUP(NewTrader!$V42,TabCalc[Ticker],TabCalc[Agiotage])</f>
        <v>1.6723113482056255</v>
      </c>
      <c r="N42" s="1691" cm="1">
        <f t="array" aca="1" ref="N42" ca="1">_xlfn.XLOOKUP(NewTrader!$V42,ListTickers,Tab2RSIConventional[RSIConv20])</f>
        <v>63</v>
      </c>
      <c r="O42" s="1631" t="str">
        <f ca="1">TEXT(_xlfn.XLOOKUP(NewTrader!$V42,TabCalc[Ticker],TabCalc[Nbegin]),"#,#0")&amp;": "&amp;_xlfn.XLOOKUP(NewTrader!$V42,TabCalc[Ticker],TabCalc[Pile?])</f>
        <v>1,500: Pile</v>
      </c>
      <c r="P42" s="1691">
        <f ca="1">_xlfn.XLOOKUP(NewTrader!$V42,TabCalc[Ticker],TabCalc[L_Bn])</f>
        <v>500</v>
      </c>
      <c r="Q42" s="1731">
        <f ca="1">_xlfn.XLOOKUP(NewTrader!$V42,TabCalc[Ticker],TabCalc[L_Bp])</f>
        <v>-232.35</v>
      </c>
      <c r="R42" s="1694">
        <f ca="1">(NewTrader!$Y42+NewTrader!$Q42)/ABS(NewTrader!$Q42)</f>
        <v>-9.9203787389713721E-2</v>
      </c>
      <c r="S42" s="262">
        <f ca="1">INT(_xlfn.XLOOKUP(NewTrader!$V42,TabCalc[Ticker],TabCalc[Rev(MinStock)])*Comm_Net)</f>
        <v>-11463</v>
      </c>
      <c r="T42" s="1635">
        <f ca="1">_xlfn.XLOOKUP(NewTrader!$V42,TabCalc[Ticker],TabCalc[Agiotage])</f>
        <v>1.6723113482056255</v>
      </c>
      <c r="U42" s="1695"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20,140/20,140=&gt;-0.8% / -0.8%</v>
      </c>
      <c r="V42" s="1578" t="str">
        <f ca="1">SORTING!B42</f>
        <v>SAP</v>
      </c>
      <c r="W42" s="1637">
        <f ca="1">_xlfn.XLOOKUP(NewTrader!$V42,TabCalc[Ticker],TabCalc[Y])</f>
        <v>286.75</v>
      </c>
      <c r="X42" s="1639">
        <f ca="1">-_xlfn.XLOOKUP(NewTrader!$V42&amp;2,Consolid!B$3:JZ$3,Consolid!B$4:JZ$4)</f>
        <v>241.15839899210522</v>
      </c>
      <c r="Y42" s="1639">
        <f ca="1">_xlfn.XLOOKUP(NewTrader!$V42,TabCalc[Ticker],TabCalc[M])</f>
        <v>209.3</v>
      </c>
      <c r="Z42" s="1640">
        <f ca="1">_xlfn.XLOOKUP(NewTrader!$V42,[1]!RTData[Ticker_Symbol],[1]!RTData[YTChange])</f>
        <v>-1.1206896551724138E-2</v>
      </c>
      <c r="AA42" s="1640" cm="1">
        <f t="array" aca="1" ref="AA42" ca="1">_xlfn.XLOOKUP(NewTrader!$V42,ListTickers,Tab1ChangePercent[Change%19])</f>
        <v>-7.8220000000000008E-3</v>
      </c>
      <c r="AB42" s="1641">
        <f ca="1">_xlfn.XLOOKUP(NewTrader!$V42,TabCalc[Ticker],TabCalc[NAfter])</f>
        <v>3800</v>
      </c>
      <c r="AC42" s="1641">
        <f ca="1">_xlfn.XLOOKUP(NewTrader!$V42,TabCalc[Ticker],TabCalc[Nbegin])</f>
        <v>1500</v>
      </c>
      <c r="AD42" s="1642" t="str">
        <f ca="1">_xlfn.LET(_xlpm.PILE,_xlfn.XLOOKUP(NewTrader!$V42,TabCalc[Ticker],TabCalc[Pile?]),                    _xlpm.GL,_xlfn.XLOOKUP(NewTrader!$V42,TabCalc[Ticker],TabCalc[GL]),                        _xlpm.GLK,_xlfn.XLOOKUP(NewTrader!$V42,TabCalc[Ticker],TabCalc[GL])/1000,                             _xlpm.MVal,_xlfn.XLOOKUP(NewTrader!$V42,TabCalc[Ticker],TabCalc[M_V])/1000,                   _xlpm.PILE&amp;" "&amp;IF(_xlpm.GL&lt;0,TEXT(_xlpm.GLK,"#,#0")&amp;"K /"&amp;TEXT(_xlpm.MVal,"#,#0")&amp;" K$","^"&amp;TEXT(_xlpm.GLK,"#,#0")&amp;"K / "&amp;TEXT(_xlpm.MVal,"#,#0")&amp;" K$"))</f>
        <v>Pile -39K /793 K$</v>
      </c>
      <c r="AE42" s="1643" t="str">
        <f ca="1">_xlfn.XLOOKUP(NewTrader!$V42,[1]!RTData[Ticker_Symbol],[1]!RTData[Currency])</f>
        <v>EUR</v>
      </c>
      <c r="AF42" s="1721"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748" t="str" cm="1">
        <f t="array" aca="1" ref="AH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241.16 - 209.30 - 286.75</v>
      </c>
      <c r="AI42"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42" s="1749" t="str" cm="1">
        <f t="array" aca="1" ref="AJ42" ca="1">_xlfn.IFS(Tab_NewTRADER[[#This Row],[State]]="Sell More",TEXT(MIN(Tab_NewTRADER[[#This Row],[N]],Tab_NewTRADER[[#This Row],[L_Bn]])*(Tab_NewTRADER[[#This Row],[M]]-Tab_NewTRADER[[#This Row],[L_Sp]])*Tab_NewTRADER[[#This Row],[Scale]]*ComFactor,"#,#0"), TRUE,"M= "&amp;TEXT(Tab_NewTRADER[[#This Row],[M]],"#,#0.00"))</f>
        <v>M= 209.30</v>
      </c>
      <c r="AK42" s="1699" t="str" cm="1">
        <f t="array" aca="1" ref="AK42" ca="1">_xlfn.IFS(Tab_NewTRADER[[#This Row],[Y]]&gt;Tab_NewTRADER[[#This Row],[A]],                 TEXT(MIN(Tab_NewTRADER[[#This Row],[L_Bn]],Tab_NewTRADER[[#This Row],[N]])*(Tab_NewTRADER[[#This Row],[M]]-Tab_NewTRADER[[#This Row],[A]])*Tab_NewTRADER[[#This Row],[Scale]]*ComFactor,"#,#0"), TRUE,0)</f>
        <v>-15,888</v>
      </c>
      <c r="AL42" s="1700" cm="1">
        <f t="array" aca="1" ref="AL42" ca="1">_xlfn.IFS(Tab_NewTRADER[[#This Row],[M]]&gt;Tab_NewTRADER[[#This Row],[A]],                  Tab_NewTRADER[[#This Row],[N]]*(Tab_NewTRADER[[#This Row],[M]]-Tab_NewTRADER[[#This Row],[A]])*Tab_NewTRADER[[#This Row],[Scale]]*ComFactor, TRUE,0)</f>
        <v>0</v>
      </c>
      <c r="AM42" s="1592" t="str">
        <f ca="1">_xlfn.XLOOKUP(Tab_NewTRADER[[#This Row],[Show]],TabCalc[Ticker],TabCalc[Max_Bn])&amp;" x "&amp;TEXT(_xlfn.XLOOKUP(Tab_NewTRADER[[#This Row],[Show]],TabCalc[Ticker],TabCalc[Max_Bp]),"#,#0.00")</f>
        <v>301 x 262.90</v>
      </c>
      <c r="AN42" s="1650" t="str">
        <f ca="1">NewTrader!$V42</f>
        <v>SAP</v>
      </c>
      <c r="AO42" s="1651" t="str">
        <f ca="1">TEXT(_xlfn.XLOOKUP(Tab_NewTRADER[[#This Row],[ClickTick]],TabCalc[Ticker],TabCalc[NAfter]),"#,#0")&amp;"x"&amp;_xlfn.XLOOKUP(Tab_NewTRADER[[#This Row],[ClickTick]],TabCalc[Ticker],TabCalc[M])&amp;"           (A: "&amp;TEXT(-_xlfn.XLOOKUP(Tab_NewTRADER[[#This Row],[ClickTick]]&amp;2,Consolid!B$3:JZ$3,Consolid!B$4:JZ$4),"#,??0.00")&amp;")"</f>
        <v>3,800x209.3           (A: 241.16)</v>
      </c>
      <c r="AP42" s="1592" t="str">
        <f ca="1">_xlfn.XLOOKUP(Tab_NewTRADER[[#This Row],[Show]],TabCalc[Ticker],TabCalc[Min_Sn])&amp;" x "&amp;TEXT(_xlfn.XLOOKUP(Tab_NewTRADER[[#This Row],[Show]],TabCalc[Ticker],TabCalc[Min_Sp]),"#,#0.00")</f>
        <v>200 x 107.80</v>
      </c>
      <c r="AQ4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702" t="str" cm="1">
        <f t="array" aca="1" ref="AR42" ca="1">_xlfn.IFS(Tab_NewTRADER[[#This Row],[State]]="Reverse Buy",TEXT(-Tab_NewTRADER[[#This Row],[Buy_Back]],"#,#0")&amp;" / "&amp;TEXT(Tab_NewTRADER[[#This Row],[Rev_Buy]],"#,#0.0%"),TRUE,Tab_NewTRADER[[#This Row],[AMY]])</f>
        <v>5,685 / 12.0%</v>
      </c>
      <c r="AS42" s="1651"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87,362       / 11.0%</v>
      </c>
      <c r="AT42" s="1699"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-120,747   / -15.2%</v>
      </c>
      <c r="AU42" s="1699" t="str" cm="1">
        <f t="array" aca="1" ref="AU42" ca="1">_xlfn.IFS(Tab_NewTRADER[[#This Row],[M]]&lt;Tab_NewTRADER[[#This Row],[A]],TEXT(Tab_NewTRADER[[#This Row],[N]]*Tab_NewTRADER[[#This Row],[M]]*Tab_NewTRADER[[#This Row],[Scale]]*Comm_Net,"#,#0")&amp;" @ "&amp;TEXT(Tab_NewTRADER[[#This Row],[M]],"#,#0.#0"),TRUE,"M: "&amp; Tab_NewTRADER[[#This Row],[M]])</f>
        <v>793,193 @ 209.30</v>
      </c>
      <c r="AV42" s="1722" cm="1">
        <f t="array" aca="1" ref="AV42" ca="1">-_xlfn.XLOOKUP(
    Tab_NewTRADER[[#This Row],[Show]] &amp; 2,
    TabConsolid[#Headers],
    INDEX(TabConsolid[], 1, 0)
)</f>
        <v>241.15839899210522</v>
      </c>
      <c r="AW42" s="1710">
        <f ca="1">Tab_NewTRADER[[#This Row],[M]]*Tab_NewTRADER[[#This Row],[N]]*(1-Commission)*Tab_NewTRADER[[#This Row],[Scale]]</f>
        <v>793272.11599999992</v>
      </c>
      <c r="AX42" s="1705"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705"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706" t="str" cm="1">
        <f t="array" aca="1" ref="AZ42" ca="1">_xlfn.IFS(   Tab_NewTRADER[[#This Row],[State]]=SellMorePercentGain,                     MIN(Tab_NewTRADER[[#This Row],[L_Sn]],Tab_NewTRADER[[#This Row],[N]])*(Tab_NewTRADER[[#This Row],[M]]-Tab_NewTRADER[[#This Row],[L_Sp]])*(1-Commission)*Tab_NewTRADER[[#This Row],[Scale]],                    TRUE,"")</f>
        <v/>
      </c>
      <c r="BA42" s="1723">
        <f ca="1">_xlfn.XLOOKUP(NewTrader!$V42,TabCalc[Ticker],TabCalc[Ann%RevLB])</f>
        <v>-0.51019090657567057</v>
      </c>
      <c r="BB42" s="1724">
        <f ca="1">_xlfn.XLOOKUP(NewTrader!$V42,TabCalc[Ticker],TabCalc[Up20])</f>
        <v>0</v>
      </c>
      <c r="BC42" s="1709"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706" t="str" cm="1">
        <f t="array" aca="1" ref="BD42" ca="1">_xlfn.IFS(         NewTrader!$AF42=MDown,NewTrader!$P42*NewTrader!$Y42*(-(NewTrader!$Q42+NewTrader!$Y42)/NewTrader!$Y42)*(1-Commission)*NewTrader!$A42,                               TRUE,"")</f>
        <v/>
      </c>
      <c r="BE42" s="1705" t="str" cm="1">
        <f t="array" aca="1" ref="BE42" ca="1">_xlfn.IFS(   NewTrader!$AF42=MUp,NewTrader!$BP42-Commission,        NewTrader!$AF42=MDown,(NewTrader!$X42-NewTrader!$Y42)/NewTrader!$Y42-Commission,                              TRUE,"")</f>
        <v/>
      </c>
      <c r="BF42" s="1710"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710" t="str" cm="1">
        <f t="array" aca="1" ref="BG42" ca="1">_xlfn.LET(_xlpm.SumChTxt,TEXT(_xlfn.XLOOKUP(NewTrader!$V42,ListTickers,Tab2SumChangePercent[AVGChan20]),"#0.0%"),
      _xlfn.IFS(NewTrader!$AF42=NoStock,_xlpm.SumChTxt,
      TRUE, IF(NewTrader!$AF42=SellMorePercentGain,             "SumChange "&amp;_xlpm.SumChTxt,                         "&lt;"&amp;INT(_xlfn.XLOOKUP(NewTrader!$V42,ListTickers,Tab2ReverseGL[Rev_GL19]))&amp;    "&lt;"&amp;INT(_xlfn.XLOOKUP(NewTrader!$V42,ListTickers,Tab2ReverseGL[Rev_GL18]))&amp;":      "&amp;_xlpm.SumChTxt)))</f>
        <v>&lt;-1&lt;-1:      -0.7%</v>
      </c>
      <c r="BH42" s="1711"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712" cm="1">
        <f t="array" aca="1" ref="BI42" ca="1">_xlfn.IFS(NewTrader!$AF42=Sale_Back,"",         NewTrader!$AF42=MDown, (NewTrader!$Y42-NewTrader!$X42)/NewTrader!$X42*ComFactor,             TRUE, IFERROR((NewTrader!$Y42-NewTrader!$X42)/NewTrader!$X42*ComFactor,""))</f>
        <v>-0.13176222469351345</v>
      </c>
      <c r="BJ42" s="1664" cm="1">
        <f t="array" aca="1" ref="BJ42" ca="1">_xlfn.IFS(               NewTrader!$AF42=NoStock,(NewTrader!$BL42-NewTrader!$Y42)/NewTrader!$Y42-Commission,             NewTrader!$X42&lt;&gt;0,(NewTrader!$X42-NewTrader!$Y42)/NewTrader!$Y42-Commission)</f>
        <v>0.14961404200719164</v>
      </c>
      <c r="BK42" s="1713">
        <f ca="1">_xlfn.XLOOKUP(NewTrader!$V42,TabCalc[Ticker],TabCalc[L_Sn])</f>
        <v>200</v>
      </c>
      <c r="BL42" s="1693">
        <f ca="1">_xlfn.XLOOKUP(NewTrader!$V42,TabCalc[Ticker],TabCalc[L_Sp])</f>
        <v>237.8</v>
      </c>
      <c r="BM42" s="1694">
        <f ca="1">-IFERROR((Tab_NewTRADER[[#This Row],[M]]-Tab_NewTRADER[[#This Row],[L_Sp]])/Tab_NewTRADER[[#This Row],[L_Sp]],0)</f>
        <v>0.11984861227922623</v>
      </c>
      <c r="BN42" s="1714">
        <f ca="1">MIN(Tab_NewTRADER[[#This Row],[L_Sn]],Tab_NewTRADER[[#This Row],[N]])*(Tab_NewTRADER[[#This Row],[M]]-Tab_NewTRADER[[#This Row],[L_Sp]])*Comm_Net*Tab_NewTRADER[[#This Row],[Scale]]</f>
        <v>-5684.61</v>
      </c>
      <c r="BO42" s="1715">
        <f ca="1">Tab_NewTRADER[[#This Row],[L_Sn]]*(Tab_NewTRADER[[#This Row],[Agiotage]]-Tab_NewTRADER[[#This Row],[M]])/(Tab_NewTRADER[[#This Row],[L_Bn]]*Tab_NewTRADER[[#This Row],[M]])</f>
        <v>-0.39680399169000358</v>
      </c>
      <c r="BP42" s="1716">
        <f ca="1">IFERROR((Tab_NewTRADER[[#This Row],[M]]-Tab_NewTRADER[[#This Row],[A]])/Tab_NewTRADER[[#This Row],[A]],0)</f>
        <v>-0.13210569951224529</v>
      </c>
      <c r="BQ42" s="1671" t="str">
        <f ca="1">TEXT(_xlfn.XLOOKUP(Tab_NewTRADER[[#This Row],[ClickTick]],TabCalc[Ticker],TabCalc[NAfter]),"#,#0")&amp;" : "&amp;TEXT(_xlfn.XLOOKUP(Tab_NewTRADER[[#This Row],[ClickTick]],TabCalc[Ticker],TabCalc[NAfter])*(Tab_NewTRADER[[#This Row],[M]]-Tab_NewTRADER[[#This Row],[A]])*(1-Commission)*Tab_NewTRADER[[#This Row],[Scale]],"#,#0$")</f>
        <v>3,800 : -120,747$</v>
      </c>
      <c r="BR42" s="262">
        <f ca="1">_xlfn.XLOOKUP(NewTrader!$V42,TabCalc[[#This Row],[Ticker]],TabCalc[[#This Row],[GL]])*(1-Commission)</f>
        <v>-39287.082690216877</v>
      </c>
      <c r="BS42" s="262"/>
      <c r="BT42" s="1672" t="str">
        <f ca="1">Tab_NewTRADER[[#This Row],[Show]]&amp;": "&amp;_xlfn.XLOOKUP(Tab_NewTRADER[[#This Row],[Show]],TabCalc[Ticker],TabCalc[Pile?])</f>
        <v>SAP: Pile</v>
      </c>
      <c r="BU42" s="1717" t="s">
        <v>2049</v>
      </c>
      <c r="BV42" s="1674" t="str" cm="1">
        <f t="array" aca="1" ref="BV42" ca="1">_xlfn.TEXTJOIN("",,INDEX({"M","A","Y"}, _xlfn.SORTBY({1,2,3}, -CHOOSE({1,2,3}, Tab_NewTRADER[[#This Row],[M]], Tab_NewTRADER[[#This Row],[A]], Tab_NewTRADER[[#This Row],[Y]]))))</f>
        <v>YAM</v>
      </c>
      <c r="BW42" s="1675"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76" t="e">
        <f ca="1">Tab_NewTRADER[[#This Row],[L_Sn]]*Tab_NewTRADER[[#This Row],[L_Sp]]+Tab_NewTRADER[[#This Row],[SellMore]]*Tab_NewTRADER[[#This Row],[M]]</f>
        <v>#N/A</v>
      </c>
      <c r="BY42" s="1676" t="e">
        <f ca="1">INDEX(
  INDEX(TabConsolid[], , _xlfn.XMATCH(Tab_NewTRADER[[#This Row],[ClickTick]]&amp;1, TabConsolid[#Headers])),
  MATCH(
    -Tab_NewTRADER[[#This Row],[M]],
    INDEX(TabConsolid[], , _xlfn.XMATCH(Tab_NewTRADER[[#This Row],[ClickTick]]&amp;2, TabConsolid[#Headers])),
    -1
  )
)</f>
        <v>#N/A</v>
      </c>
      <c r="BZ42" s="1676"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77" t="e">
        <f ca="1">Tab_NewTRADER[[#This Row],[ReBuy]]/(Tab_NewTRADER[[#This Row],[L_Sn]]+Tab_NewTRADER[[#This Row],[SellMore]])</f>
        <v>#N/A</v>
      </c>
      <c r="CB42" s="1678">
        <f ca="1">((_xlfn.XLOOKUP(Tab_NewTRADER[[#This Row],[Show]],TabCalc[Ticker],TabCalc[NAfter])+Tab_NewTRADER[[#This Row],[L_Sn]])*(Tab_NewTRADER[[#This Row],[Agiotage]]-Tab_NewTRADER[[#This Row],[M]]))/(Tab_NewTRADER[[#This Row],[L_Sn]]*_xlfn.XLOOKUP(Tab_NewTRADER[[#This Row],[Show]],TabCalc[Ticker],TabCalc[NAfter]))</f>
        <v>-1.0927773086936547</v>
      </c>
      <c r="CC42" s="1677">
        <f ca="1">INDEX(Tab1Price[Price19], MATCH(Tab_NewTRADER[[#This Row],[Show]], Tab_NewTRADER[Show], 0))</f>
        <v>209.3</v>
      </c>
      <c r="CD42" s="1679">
        <f ca="1">_xlfn.XMATCH(Tab_NewTRADER[[#This Row],[Show]]&amp;1, TabConsolid[#Headers])</f>
        <v>119</v>
      </c>
      <c r="CE42" s="1678"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729" t="str" cm="1">
        <f t="array" aca="1" ref="CF42" ca="1">_xlfn.LET(
    _xlpm.FMT, _xlfn.LAMBDA(_xlpm.n, REPT(" ", 7 - LEN(TEXT(_xlpm.n,"0.00"))) &amp; TEXT(_xlpm.n,"0.00")),
    _xlpm.FMT(Tab_NewTRADER[[#This Row],[A]]) &amp; " -" &amp; _xlpm.FMT(Tab_NewTRADER[[#This Row],[M]]) &amp; " -" &amp; _xlpm.FMT(Tab_NewTRADER[[#This Row],[Y]])
)</f>
        <v xml:space="preserve"> 241.16 - 209.30 - 286.75</v>
      </c>
      <c r="CG42" s="1730" t="str" cm="1">
        <f t="array" aca="1" ref="CG42" ca="1">_xlfn.LET(
    _xlpm.W, 7,
    _xlpm.FMT, _xlfn.LAMBDA(_xlpm.n, REPT(" ", _xlpm.W - LEN(TEXT(_xlpm.n,"0.00"))) &amp; TEXT(_xlpm.n,"0.00")),
    _xlpm.FMT(Tab_NewTRADER[[#This Row],[A]]) &amp; " * " &amp; _xlpm.FMT(Tab_NewTRADER[[#This Row],[M]]) &amp; " * " &amp; _xlpm.FMT(Tab_NewTRADER[[#This Row],[Y]])
)</f>
        <v xml:space="preserve"> 241.16 *  209.30 *  286.75</v>
      </c>
      <c r="CH42" s="1843">
        <f>0</f>
        <v>0</v>
      </c>
      <c r="CI42" t="str">
        <f ca="1">IF(ABS(NewTrader!$Q42)&gt;=NewTrader!$Y42,"OK")</f>
        <v>OK</v>
      </c>
    </row>
    <row r="43" spans="1:87" hidden="1">
      <c r="A43" s="1838">
        <f ca="1">IF(_xlfn.XLOOKUP(NewTrader!$V43,TabCalc[Ticker],TabCalc[Cur])="GBp",0.01,1)</f>
        <v>1</v>
      </c>
      <c r="B43" s="1620" t="str">
        <f ca="1">IFERROR(TRUNC(_xlfn.XLOOKUP(NewTrader!$V43,TabCalc[Ticker],ListLastBuyp),2)&amp;"x"&amp;_xlfn.XLOOKUP(NewTrader!$V43,TabCalc[Ticker],ListLastBuyn)&amp;"=    "&amp;IF(_xlfn.XLOOKUP(NewTrader!$V43,TabCalc[Ticker],ListReverseS)&gt;0,"+","")&amp;TEXT(_xlfn.XLOOKUP(NewTrader!$V43,TabCalc[Ticker],ListReverseS),"#,#0")&amp;" "&amp;#REF!,"")</f>
        <v/>
      </c>
      <c r="C43" s="1621" t="str">
        <f ca="1">_xlfn.XLOOKUP(NewTrader!$V43,TabCalc[Ticker],ListResale)&amp;" @ "&amp;TEXT((_xlfn.XLOOKUP(NewTrader!$V43,TabCalc[Ticker],TabCalc[L_Bp])+_xlfn.XLOOKUP(NewTrader!$V43,TabCalc[Ticker],TabCalc[M]))/_xlfn.XLOOKUP(NewTrader!$V43,TabCalc[Ticker],TabCalc[M]),"#0.0%")</f>
        <v>B_more @ -1.9%</v>
      </c>
      <c r="D43" s="1622"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718" t="str">
        <f ca="1">IF(      AND(NewTrader!$X43&lt;NewTrader!$Y43,    _xlfn.XLOOKUP(NewTrader!$V43,TabCalc[Ticker],TabCalc[L_Sp])&gt;NewTrader!$Y43),"BUY  "&amp;TEXT(DesiredBuyGain/NewTrader!$A43/(_xlfn.XLOOKUP(NewTrader!$V43,TabCalc[Ticker],TabCalc[L_Sp])-NewTrader!$Y43),"#,##0"),"")</f>
        <v/>
      </c>
      <c r="F43" s="1620" t="str">
        <f ca="1">TRUNC(TabCalc[[#This Row],[L_B1p]],2)&amp;"x"&amp;TabCalc[[#This Row],[L_B1n]]&amp;"=   "&amp;TEXT(TabCalc[[#This Row],[ReverseS1]],"#,#0")&amp;"$"</f>
        <v>-15.45x3000=   -1,620$</v>
      </c>
      <c r="G43" s="1624" t="str">
        <f ca="1">IFERROR(TRUNC(_xlfn.XLOOKUP(NewTrader!$V43,TabCalc[Ticker],ListLastSalep),2)&amp;"x"&amp;_xlfn.XLOOKUP(NewTrader!$V43,TabCalc[Ticker],ListLastSalen)&amp;"=   "&amp;TEXT(-_xlfn.XLOOKUP(NewTrader!$V43,TabCalc[Ticker],ListReverseB),"#,#0")&amp;"$","")</f>
        <v>16.54x632=   -1,030$</v>
      </c>
      <c r="H43" s="1625"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10.9% = 3,067</v>
      </c>
      <c r="I43" s="1620" t="str">
        <f ca="1">IFERROR(TRUNC(TabCalc[[#This Row],[L_S1p]],2)&amp;"x"&amp;TabCalc[[#This Row],[L_S1n]]&amp;"=   "&amp;TEXT(TabCalc[[#This Row],[ReverseB1]],"#,#0"),"")</f>
        <v>21.02x1000=   6,111</v>
      </c>
      <c r="J43" s="1626">
        <f ca="1">_xlfn.XLOOKUP(NewTrader!$V43,TabCalc[Ticker],ListGravity)</f>
        <v>0</v>
      </c>
      <c r="K43" s="1627" cm="1">
        <f t="array" aca="1" ref="K43" ca="1">IF(_xlfn.XLOOKUP(NewTrader!$V43,NewTrader!$V$3:$V$96,ListExtra_n)&gt;0,_xlfn.XLOOKUP(NewTrader!$V43,NewTrader!$V$3:$V$96,ListExtra_n),"")</f>
        <v>12500</v>
      </c>
      <c r="L43" s="1628">
        <f ca="1">IF(_xlfn.XLOOKUP(NewTrader!$V43,TabCalc[Ticker],ListExtra_n)&gt;0,_xlfn.XLOOKUP(NewTrader!$V43,TabCalc[Ticker],ListExtra_n)*NewTrader!$Y43*_xlfn.XLOOKUP(NewTrader!$V43,TabCalc[Ticker],ListScale),"")</f>
        <v>186375</v>
      </c>
      <c r="M43" s="1629">
        <f ca="1">_xlfn.XLOOKUP(NewTrader!$V43,TabCalc[Ticker],TabCalc[Agiotage])</f>
        <v>0.10011308046387697</v>
      </c>
      <c r="N43" s="1630" cm="1">
        <f t="array" aca="1" ref="N43" ca="1">_xlfn.XLOOKUP(NewTrader!$V43,ListTickers,Tab2RSIConventional[RSIConv20])</f>
        <v>80</v>
      </c>
      <c r="O43" s="1631" t="str">
        <f ca="1">TEXT(_xlfn.XLOOKUP(NewTrader!$V43,TabCalc[Ticker],TabCalc[Nbegin]),"#,#0")&amp;": "&amp;_xlfn.XLOOKUP(NewTrader!$V43,TabCalc[Ticker],TabCalc[Pile?])</f>
        <v xml:space="preserve">12,500: </v>
      </c>
      <c r="P43" s="1632">
        <f ca="1">_xlfn.XLOOKUP(NewTrader!$V43,TabCalc[Ticker],TabCalc[L_Bn])</f>
        <v>2632</v>
      </c>
      <c r="Q43" s="1633">
        <f ca="1">_xlfn.XLOOKUP(NewTrader!$V43,TabCalc[Ticker],TabCalc[L_Bp])</f>
        <v>-15.2</v>
      </c>
      <c r="R43" s="1634">
        <f ca="1">(NewTrader!$Y43+NewTrader!$Q43)/ABS(NewTrader!$Q43)</f>
        <v>-1.9078947368420997E-2</v>
      </c>
      <c r="S43" s="259">
        <f ca="1">INT(_xlfn.XLOOKUP(NewTrader!$V43,TabCalc[Ticker],TabCalc[Rev(MinStock)])*Comm_Net)</f>
        <v>-760</v>
      </c>
      <c r="T43" s="1635">
        <f ca="1">_xlfn.XLOOKUP(NewTrader!$V43,TabCalc[Ticker],TabCalc[Agiotage])</f>
        <v>0.10011308046387697</v>
      </c>
      <c r="U43" s="1719"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12,750/12,750=&gt;-3.6% / -3.6%</v>
      </c>
      <c r="V43" s="1578" t="str">
        <f ca="1">SORTING!B43</f>
        <v>SHECY</v>
      </c>
      <c r="W43" s="1637">
        <f ca="1">_xlfn.XLOOKUP(NewTrader!$V43,TabCalc[Ticker],TabCalc[Y])</f>
        <v>0</v>
      </c>
      <c r="X43" s="1639">
        <f ca="1">-_xlfn.XLOOKUP(NewTrader!$V43&amp;2,Consolid!B$3:JZ$3,Consolid!B$4:JZ$4)</f>
        <v>16.858653229440002</v>
      </c>
      <c r="Y43" s="1639">
        <f ca="1">_xlfn.XLOOKUP(NewTrader!$V43,TabCalc[Ticker],TabCalc[M])</f>
        <v>14.91</v>
      </c>
      <c r="Z43" s="1640">
        <f ca="1">_xlfn.XLOOKUP(NewTrader!$V43,[1]!RTData[Ticker_Symbol],[1]!RTData[YTChange])</f>
        <v>0</v>
      </c>
      <c r="AA43" s="1640" cm="1">
        <f t="array" aca="1" ref="AA43" ca="1">_xlfn.XLOOKUP(NewTrader!$V43,ListTickers,Tab1ChangePercent[Change%19])</f>
        <v>-3.5575999999999997E-2</v>
      </c>
      <c r="AB43" s="1641">
        <f ca="1">_xlfn.XLOOKUP(NewTrader!$V43,TabCalc[Ticker],TabCalc[NAfter])</f>
        <v>25000</v>
      </c>
      <c r="AC43" s="1641">
        <f ca="1">_xlfn.XLOOKUP(NewTrader!$V43,TabCalc[Ticker],TabCalc[Nbegin])</f>
        <v>12500</v>
      </c>
      <c r="AD43" s="1642" t="str">
        <f ca="1">_xlfn.LET(_xlpm.PILE,_xlfn.XLOOKUP(NewTrader!$V43,TabCalc[Ticker],TabCalc[Pile?]),                    _xlpm.GL,_xlfn.XLOOKUP(NewTrader!$V43,TabCalc[Ticker],TabCalc[GL]),                        _xlpm.GLK,_xlfn.XLOOKUP(NewTrader!$V43,TabCalc[Ticker],TabCalc[GL])/1000,                             _xlpm.MVal,_xlfn.XLOOKUP(NewTrader!$V43,TabCalc[Ticker],TabCalc[M_V])/1000,                   _xlpm.PILE&amp;" "&amp;IF(_xlpm.GL&lt;0,TEXT(_xlpm.GLK,"#,#0")&amp;"K /"&amp;TEXT(_xlpm.MVal,"#,#0")&amp;" K$","^"&amp;TEXT(_xlpm.GLK,"#,#0")&amp;"K / "&amp;TEXT(_xlpm.MVal,"#,#0")&amp;" K$"))</f>
        <v xml:space="preserve"> ^64K / 372 K$</v>
      </c>
      <c r="AE43" s="1720" t="str">
        <f ca="1">_xlfn.XLOOKUP(NewTrader!$V43,[1]!RTData[Ticker_Symbol],[1]!RTData[Currency])</f>
        <v>USD</v>
      </c>
      <c r="AF43" s="1721"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Buy More</v>
      </c>
      <c r="AG4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750" t="str" cm="1">
        <f t="array" aca="1" ref="AH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16.86 -  14.91 -   0.00</v>
      </c>
      <c r="AI43"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43" s="1651" t="str" cm="1">
        <f t="array" aca="1" ref="AJ43" ca="1">_xlfn.IFS(Tab_NewTRADER[[#This Row],[State]]="Sell More",TEXT(MIN(Tab_NewTRADER[[#This Row],[N]],Tab_NewTRADER[[#This Row],[L_Bn]])*(Tab_NewTRADER[[#This Row],[M]]-Tab_NewTRADER[[#This Row],[L_Sp]])*Tab_NewTRADER[[#This Row],[Scale]]*ComFactor,"#,#0"), TRUE,"M= "&amp;TEXT(Tab_NewTRADER[[#This Row],[M]],"#,#0.00"))</f>
        <v>M= 14.91</v>
      </c>
      <c r="AK43" s="1699" cm="1">
        <f t="array" aca="1" ref="AK43" ca="1">_xlfn.IFS(Tab_NewTRADER[[#This Row],[Y]]&gt;Tab_NewTRADER[[#This Row],[A]],                 TEXT(MIN(Tab_NewTRADER[[#This Row],[L_Bn]],Tab_NewTRADER[[#This Row],[N]])*(Tab_NewTRADER[[#This Row],[M]]-Tab_NewTRADER[[#This Row],[A]])*Tab_NewTRADER[[#This Row],[Scale]]*ComFactor,"#,#0"), TRUE,0)</f>
        <v>0</v>
      </c>
      <c r="AL43" s="1700" cm="1">
        <f t="array" aca="1" ref="AL43" ca="1">_xlfn.IFS(Tab_NewTRADER[[#This Row],[M]]&gt;Tab_NewTRADER[[#This Row],[A]],                  Tab_NewTRADER[[#This Row],[N]]*(Tab_NewTRADER[[#This Row],[M]]-Tab_NewTRADER[[#This Row],[A]])*Tab_NewTRADER[[#This Row],[Scale]]*ComFactor, TRUE,0)</f>
        <v>0</v>
      </c>
      <c r="AM43" s="1592" t="str">
        <f ca="1">_xlfn.XLOOKUP(Tab_NewTRADER[[#This Row],[Show]],TabCalc[Ticker],TabCalc[Max_Bn])&amp;" x "&amp;TEXT(_xlfn.XLOOKUP(Tab_NewTRADER[[#This Row],[Show]],TabCalc[Ticker],TabCalc[Max_Bp]),"#,#0.00")</f>
        <v>6000 x 20.27</v>
      </c>
      <c r="AN43" s="1650" t="str">
        <f ca="1">NewTrader!$V43</f>
        <v>SHECY</v>
      </c>
      <c r="AO43" s="1651" t="str">
        <f ca="1">TEXT(_xlfn.XLOOKUP(Tab_NewTRADER[[#This Row],[ClickTick]],TabCalc[Ticker],TabCalc[NAfter]),"#,#0")&amp;"x"&amp;_xlfn.XLOOKUP(Tab_NewTRADER[[#This Row],[ClickTick]],TabCalc[Ticker],TabCalc[M])&amp;"           (A: "&amp;TEXT(-_xlfn.XLOOKUP(Tab_NewTRADER[[#This Row],[ClickTick]]&amp;2,Consolid!B$3:JZ$3,Consolid!B$4:JZ$4),"#,??0.00")&amp;")"</f>
        <v>25,000x14.91           (A:  16.86)</v>
      </c>
      <c r="AP43" s="1592" t="str">
        <f ca="1">_xlfn.XLOOKUP(Tab_NewTRADER[[#This Row],[Show]],TabCalc[Ticker],TabCalc[Min_Sn])&amp;" x "&amp;TEXT(_xlfn.XLOOKUP(Tab_NewTRADER[[#This Row],[Show]],TabCalc[Ticker],TabCalc[Min_Sp]),"#,#0.00")</f>
        <v>632 x 15.30</v>
      </c>
      <c r="AQ4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702" t="str" cm="1">
        <f t="array" aca="1" ref="AR43" ca="1">_xlfn.IFS(Tab_NewTRADER[[#This Row],[State]]="Reverse Buy",TEXT(-Tab_NewTRADER[[#This Row],[Buy_Back]],"#,#0")&amp;" / "&amp;TEXT(Tab_NewTRADER[[#This Row],[Rev_Buy]],"#,#0.0%"),TRUE,Tab_NewTRADER[[#This Row],[AMY]])</f>
        <v xml:space="preserve">  16.86 -  14.91 -   0.00</v>
      </c>
      <c r="AS43" s="1651"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7,231       / 01.9%</v>
      </c>
      <c r="AT43" s="1699"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-48,590   / -13.1%</v>
      </c>
      <c r="AU43" s="1699" t="str" cm="1">
        <f t="array" aca="1" ref="AU43" ca="1">_xlfn.IFS(Tab_NewTRADER[[#This Row],[M]]&lt;Tab_NewTRADER[[#This Row],[A]],TEXT(Tab_NewTRADER[[#This Row],[N]]*Tab_NewTRADER[[#This Row],[M]]*Tab_NewTRADER[[#This Row],[Scale]]*Comm_Net,"#,#0")&amp;" @ "&amp;TEXT(Tab_NewTRADER[[#This Row],[M]],"#,#0.#0"),TRUE,"M: "&amp; Tab_NewTRADER[[#This Row],[M]])</f>
        <v>371,744 @ 14.91</v>
      </c>
      <c r="AV43" s="1722" cm="1">
        <f t="array" aca="1" ref="AV43" ca="1">-_xlfn.XLOOKUP(
    Tab_NewTRADER[[#This Row],[Show]] &amp; 2,
    TabConsolid[#Headers],
    INDEX(TabConsolid[], 1, 0)
)</f>
        <v>16.858653229440002</v>
      </c>
      <c r="AW43" s="1710">
        <f ca="1">Tab_NewTRADER[[#This Row],[M]]*Tab_NewTRADER[[#This Row],[N]]*(1-Commission)*Tab_NewTRADER[[#This Row],[Scale]]</f>
        <v>371780.85</v>
      </c>
      <c r="AX43" s="1705"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705"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706" t="str" cm="1">
        <f t="array" aca="1" ref="AZ43" ca="1">_xlfn.IFS(   Tab_NewTRADER[[#This Row],[State]]=SellMorePercentGain,                     MIN(Tab_NewTRADER[[#This Row],[L_Sn]],Tab_NewTRADER[[#This Row],[N]])*(Tab_NewTRADER[[#This Row],[M]]-Tab_NewTRADER[[#This Row],[L_Sp]])*(1-Commission)*Tab_NewTRADER[[#This Row],[Scale]],                    TRUE,"")</f>
        <v/>
      </c>
      <c r="BA43" s="1707">
        <f ca="1">_xlfn.XLOOKUP(NewTrader!$V43,TabCalc[Ticker],TabCalc[Ann%RevLB])</f>
        <v>-0.15973072215422232</v>
      </c>
      <c r="BB43" s="1708">
        <f ca="1">_xlfn.XLOOKUP(NewTrader!$V43,TabCalc[Ticker],TabCalc[Up20])</f>
        <v>0</v>
      </c>
      <c r="BC43" s="1725"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706" t="str" cm="1">
        <f t="array" aca="1" ref="BD43" ca="1">_xlfn.IFS(         NewTrader!$AF43=MDown,NewTrader!$P43*NewTrader!$Y43*(-(NewTrader!$Q43+NewTrader!$Y43)/NewTrader!$Y43)*(1-Commission)*NewTrader!$A43,                               TRUE,"")</f>
        <v/>
      </c>
      <c r="BE43" s="1705" t="str" cm="1">
        <f t="array" aca="1" ref="BE43" ca="1">_xlfn.IFS(   NewTrader!$AF43=MUp,NewTrader!$BP43-Commission,        NewTrader!$AF43=MDown,(NewTrader!$X43-NewTrader!$Y43)/NewTrader!$Y43-Commission,                              TRUE,"")</f>
        <v/>
      </c>
      <c r="BF43" s="1706"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710" t="str" cm="1">
        <f t="array" aca="1" ref="BG43" ca="1">_xlfn.LET(_xlpm.SumChTxt,TEXT(_xlfn.XLOOKUP(NewTrader!$V43,ListTickers,Tab2SumChangePercent[AVGChan20]),"#0.0%"),
      _xlfn.IFS(NewTrader!$AF43=NoStock,_xlpm.SumChTxt,
      TRUE, IF(NewTrader!$AF43=SellMorePercentGain,             "SumChange "&amp;_xlpm.SumChTxt,                         "&lt;"&amp;INT(_xlfn.XLOOKUP(NewTrader!$V43,ListTickers,Tab2ReverseGL[Rev_GL19]))&amp;    "&lt;"&amp;INT(_xlfn.XLOOKUP(NewTrader!$V43,ListTickers,Tab2ReverseGL[Rev_GL18]))&amp;":      "&amp;_xlpm.SumChTxt)))</f>
        <v>&lt;-1&lt;-1:      0.8%</v>
      </c>
      <c r="BH43" s="1711"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-0.28000000000000003</v>
      </c>
      <c r="BI43" s="1712" cm="1">
        <f t="array" aca="1" ref="BI43" ca="1">_xlfn.IFS(NewTrader!$AF43=Sale_Back,"",         NewTrader!$AF43=MDown, (NewTrader!$Y43-NewTrader!$X43)/NewTrader!$X43*ComFactor,             TRUE, IFERROR((NewTrader!$Y43-NewTrader!$X43)/NewTrader!$X43*ComFactor,""))</f>
        <v>-0.11528718840063704</v>
      </c>
      <c r="BJ43" s="1664" cm="1">
        <f t="array" aca="1" ref="BJ43" ca="1">_xlfn.IFS(               NewTrader!$AF43=NoStock,(NewTrader!$BL43-NewTrader!$Y43)/NewTrader!$Y43-Commission,             NewTrader!$X43&lt;&gt;0,(NewTrader!$X43-NewTrader!$Y43)/NewTrader!$Y43-Commission)</f>
        <v>0.12809438158551317</v>
      </c>
      <c r="BK43" s="1726">
        <f ca="1">_xlfn.XLOOKUP(NewTrader!$V43,TabCalc[Ticker],TabCalc[L_Sn])</f>
        <v>632</v>
      </c>
      <c r="BL43" s="1727">
        <f ca="1">_xlfn.XLOOKUP(NewTrader!$V43,TabCalc[Ticker],TabCalc[L_Sp])</f>
        <v>16.54</v>
      </c>
      <c r="BM43" s="1634">
        <f ca="1">-IFERROR((Tab_NewTRADER[[#This Row],[M]]-Tab_NewTRADER[[#This Row],[L_Sp]])/Tab_NewTRADER[[#This Row],[L_Sp]],0)</f>
        <v>9.8548972188633566E-2</v>
      </c>
      <c r="BN43" s="1728">
        <f ca="1">MIN(Tab_NewTRADER[[#This Row],[L_Sn]],Tab_NewTRADER[[#This Row],[N]])*(Tab_NewTRADER[[#This Row],[M]]-Tab_NewTRADER[[#This Row],[L_Sp]])*Comm_Net*Tab_NewTRADER[[#This Row],[Scale]]</f>
        <v>-1027.3785679999994</v>
      </c>
      <c r="BO43" s="1715">
        <f ca="1">Tab_NewTRADER[[#This Row],[L_Sn]]*(Tab_NewTRADER[[#This Row],[Agiotage]]-Tab_NewTRADER[[#This Row],[M]])/(Tab_NewTRADER[[#This Row],[L_Bn]]*Tab_NewTRADER[[#This Row],[M]])</f>
        <v>-0.23850928603910262</v>
      </c>
      <c r="BP43" s="1670">
        <f ca="1">IFERROR((Tab_NewTRADER[[#This Row],[M]]-Tab_NewTRADER[[#This Row],[A]])/Tab_NewTRADER[[#This Row],[A]],0)</f>
        <v>-0.11558771646344199</v>
      </c>
      <c r="BQ43" s="1671" t="str">
        <f ca="1">TEXT(_xlfn.XLOOKUP(Tab_NewTRADER[[#This Row],[ClickTick]],TabCalc[Ticker],TabCalc[NAfter]),"#,#0")&amp;" : "&amp;TEXT(_xlfn.XLOOKUP(Tab_NewTRADER[[#This Row],[ClickTick]],TabCalc[Ticker],TabCalc[NAfter])*(Tab_NewTRADER[[#This Row],[M]]-Tab_NewTRADER[[#This Row],[A]])*(1-Commission)*Tab_NewTRADER[[#This Row],[Scale]],"#,#0$")</f>
        <v>25,000 : -48,590$</v>
      </c>
      <c r="BR43" s="259">
        <f ca="1">_xlfn.XLOOKUP(NewTrader!$V43,TabCalc[[#This Row],[Ticker]],TabCalc[[#This Row],[GL]])*(1-Commission)</f>
        <v>63459.31236163975</v>
      </c>
      <c r="BS43" s="259"/>
      <c r="BT43" s="1672" t="str">
        <f ca="1">Tab_NewTRADER[[#This Row],[Show]]&amp;": "&amp;_xlfn.XLOOKUP(Tab_NewTRADER[[#This Row],[Show]],TabCalc[Ticker],TabCalc[Pile?])</f>
        <v xml:space="preserve">SHECY: </v>
      </c>
      <c r="BU43" s="1717" t="s">
        <v>2052</v>
      </c>
      <c r="BV43" s="1674" t="str" cm="1">
        <f t="array" aca="1" ref="BV43" ca="1">_xlfn.TEXTJOIN("",,INDEX({"M","A","Y"}, _xlfn.SORTBY({1,2,3}, -CHOOSE({1,2,3}, Tab_NewTRADER[[#This Row],[M]], Tab_NewTRADER[[#This Row],[A]], Tab_NewTRADER[[#This Row],[Y]]))))</f>
        <v>AMY</v>
      </c>
      <c r="BW43" s="1675"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76" t="e">
        <f ca="1">Tab_NewTRADER[[#This Row],[L_Sn]]*Tab_NewTRADER[[#This Row],[L_Sp]]+Tab_NewTRADER[[#This Row],[SellMore]]*Tab_NewTRADER[[#This Row],[M]]</f>
        <v>#N/A</v>
      </c>
      <c r="BY43" s="1676" t="e">
        <f ca="1">INDEX(
  INDEX(TabConsolid[], , _xlfn.XMATCH(Tab_NewTRADER[[#This Row],[ClickTick]]&amp;1, TabConsolid[#Headers])),
  MATCH(
    -Tab_NewTRADER[[#This Row],[M]],
    INDEX(TabConsolid[], , _xlfn.XMATCH(Tab_NewTRADER[[#This Row],[ClickTick]]&amp;2, TabConsolid[#Headers])),
    -1
  )
)</f>
        <v>#N/A</v>
      </c>
      <c r="BZ43" s="1676"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4000</v>
      </c>
      <c r="CA43" s="1677" t="e">
        <f ca="1">Tab_NewTRADER[[#This Row],[ReBuy]]/(Tab_NewTRADER[[#This Row],[L_Sn]]+Tab_NewTRADER[[#This Row],[SellMore]])</f>
        <v>#N/A</v>
      </c>
      <c r="CB43" s="1678">
        <f ca="1">((_xlfn.XLOOKUP(Tab_NewTRADER[[#This Row],[Show]],TabCalc[Ticker],TabCalc[NAfter])+Tab_NewTRADER[[#This Row],[L_Sn]])*(Tab_NewTRADER[[#This Row],[Agiotage]]-Tab_NewTRADER[[#This Row],[M]]))/(Tab_NewTRADER[[#This Row],[L_Sn]]*_xlfn.XLOOKUP(Tab_NewTRADER[[#This Row],[Show]],TabCalc[Ticker],TabCalc[NAfter]))</f>
        <v>-2.4025760855794297E-2</v>
      </c>
      <c r="CC43" s="1677">
        <f ca="1">INDEX(Tab1Price[Price19], MATCH(Tab_NewTRADER[[#This Row],[Show]], Tab_NewTRADER[Show], 0))</f>
        <v>14.91</v>
      </c>
      <c r="CD43" s="1679">
        <f ca="1">_xlfn.XMATCH(Tab_NewTRADER[[#This Row],[Show]]&amp;1, TabConsolid[#Headers])</f>
        <v>122</v>
      </c>
      <c r="CE43" s="1678"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3" s="1729" t="str" cm="1">
        <f t="array" aca="1" ref="CF43" ca="1">_xlfn.LET(
    _xlpm.FMT, _xlfn.LAMBDA(_xlpm.n, REPT(" ", 7 - LEN(TEXT(_xlpm.n,"0.00"))) &amp; TEXT(_xlpm.n,"0.00")),
    _xlpm.FMT(Tab_NewTRADER[[#This Row],[A]]) &amp; " -" &amp; _xlpm.FMT(Tab_NewTRADER[[#This Row],[M]]) &amp; " -" &amp; _xlpm.FMT(Tab_NewTRADER[[#This Row],[Y]])
)</f>
        <v xml:space="preserve">  16.86 -  14.91 -   0.00</v>
      </c>
      <c r="CG43" s="1730" t="str" cm="1">
        <f t="array" aca="1" ref="CG43" ca="1">_xlfn.LET(
    _xlpm.W, 7,
    _xlpm.FMT, _xlfn.LAMBDA(_xlpm.n, REPT(" ", _xlpm.W - LEN(TEXT(_xlpm.n,"0.00"))) &amp; TEXT(_xlpm.n,"0.00")),
    _xlpm.FMT(Tab_NewTRADER[[#This Row],[A]]) &amp; " * " &amp; _xlpm.FMT(Tab_NewTRADER[[#This Row],[M]]) &amp; " * " &amp; _xlpm.FMT(Tab_NewTRADER[[#This Row],[Y]])
)</f>
        <v xml:space="preserve">  16.86 *   14.91 *    0.00</v>
      </c>
      <c r="CH43" s="1843">
        <f>0</f>
        <v>0</v>
      </c>
      <c r="CI43" t="str">
        <f ca="1">IF(ABS(NewTrader!$Q43)&gt;=NewTrader!$Y43,"OK")</f>
        <v>OK</v>
      </c>
    </row>
    <row r="44" spans="1:87" hidden="1">
      <c r="A44" s="1839">
        <f ca="1">IF(_xlfn.XLOOKUP(NewTrader!$V44,TabCalc[Ticker],TabCalc[Cur])="GBp",0.01,1)</f>
        <v>1</v>
      </c>
      <c r="B44" s="1681" t="str">
        <f ca="1">IFERROR(TRUNC(_xlfn.XLOOKUP(NewTrader!$V44,TabCalc[Ticker],ListLastBuyp),2)&amp;"x"&amp;_xlfn.XLOOKUP(NewTrader!$V44,TabCalc[Ticker],ListLastBuyn)&amp;"=    "&amp;IF(_xlfn.XLOOKUP(NewTrader!$V44,TabCalc[Ticker],ListReverseS)&gt;0,"+","")&amp;TEXT(_xlfn.XLOOKUP(NewTrader!$V44,TabCalc[Ticker],ListReverseS),"#,#0")&amp;" "&amp;#REF!,"")</f>
        <v/>
      </c>
      <c r="C44" s="1682" t="str">
        <f ca="1">_xlfn.XLOOKUP(NewTrader!$V44,TabCalc[Ticker],ListResale)&amp;" @ "&amp;TEXT((_xlfn.XLOOKUP(NewTrader!$V44,TabCalc[Ticker],TabCalc[L_Bp])+_xlfn.XLOOKUP(NewTrader!$V44,TabCalc[Ticker],TabCalc[M]))/_xlfn.XLOOKUP(NewTrader!$V44,TabCalc[Ticker],TabCalc[M]),"#0.0%")</f>
        <v>Resell @ 2.0%</v>
      </c>
      <c r="D44" s="1683"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84" t="str">
        <f ca="1">IF(      AND(NewTrader!$X44&lt;NewTrader!$Y44,    _xlfn.XLOOKUP(NewTrader!$V44,TabCalc[Ticker],TabCalc[L_Sp])&gt;NewTrader!$Y44),"BUY  "&amp;TEXT(DesiredBuyGain/NewTrader!$A44/(_xlfn.XLOOKUP(NewTrader!$V44,TabCalc[Ticker],TabCalc[L_Sp])-NewTrader!$Y44),"#,##0"),"")</f>
        <v/>
      </c>
      <c r="F44" s="1681" t="str">
        <f ca="1">TRUNC(TabCalc[[#This Row],[L_B1p]],2)&amp;"x"&amp;TabCalc[[#This Row],[L_B1n]]&amp;"=   "&amp;TEXT(TabCalc[[#This Row],[ReverseS1]],"#,#0")&amp;"$"</f>
        <v>-9.11x4000=   1,294$</v>
      </c>
      <c r="G44" s="1685" t="str">
        <f ca="1">IFERROR(TRUNC(_xlfn.XLOOKUP(NewTrader!$V44,TabCalc[Ticker],ListLastSalep),2)&amp;"x"&amp;_xlfn.XLOOKUP(NewTrader!$V44,TabCalc[Ticker],ListLastSalen)&amp;"=   "&amp;TEXT(-_xlfn.XLOOKUP(NewTrader!$V44,TabCalc[Ticker],ListReverseB),"#,#0")&amp;"$","")</f>
        <v>12.76x3000=   -9,983$</v>
      </c>
      <c r="H44" s="1686"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35.2% = 1,503</v>
      </c>
      <c r="I44" s="1681" t="str">
        <f ca="1">IFERROR(TRUNC(TabCalc[[#This Row],[L_S1p]],2)&amp;"x"&amp;TabCalc[[#This Row],[L_S1n]]&amp;"=   "&amp;TEXT(TabCalc[[#This Row],[ReverseB1]],"#,#0"),"")</f>
        <v>10.36x4000=   3,680</v>
      </c>
      <c r="J44" s="1687">
        <f ca="1">_xlfn.XLOOKUP(NewTrader!$V44,TabCalc[Ticker],ListGravity)</f>
        <v>1.3947743644067798</v>
      </c>
      <c r="K44" s="1688" t="str" cm="1">
        <f t="array" aca="1" ref="K44" ca="1">IF(_xlfn.XLOOKUP(NewTrader!$V44,NewTrader!$V$3:$V$96,ListExtra_n)&gt;0,_xlfn.XLOOKUP(NewTrader!$V44,NewTrader!$V$3:$V$96,ListExtra_n),"")</f>
        <v/>
      </c>
      <c r="L44" s="1689" t="str">
        <f ca="1">IF(_xlfn.XLOOKUP(NewTrader!$V44,TabCalc[Ticker],ListExtra_n)&gt;0,_xlfn.XLOOKUP(NewTrader!$V44,TabCalc[Ticker],ListExtra_n)*NewTrader!$Y44*_xlfn.XLOOKUP(NewTrader!$V44,TabCalc[Ticker],ListScale),"")</f>
        <v/>
      </c>
      <c r="M44" s="1690">
        <f ca="1">_xlfn.XLOOKUP(NewTrader!$V44,TabCalc[Ticker],TabCalc[Agiotage])</f>
        <v>1.5368385815758943</v>
      </c>
      <c r="N44" s="1691" cm="1">
        <f t="array" aca="1" ref="N44" ca="1">_xlfn.XLOOKUP(NewTrader!$V44,ListTickers,Tab2RSIConventional[RSIConv20])</f>
        <v>84</v>
      </c>
      <c r="O44" s="1631" t="str">
        <f ca="1">TEXT(_xlfn.XLOOKUP(NewTrader!$V44,TabCalc[Ticker],TabCalc[Nbegin]),"#,#0")&amp;": "&amp;_xlfn.XLOOKUP(NewTrader!$V44,TabCalc[Ticker],TabCalc[Pile?])</f>
        <v xml:space="preserve">16,000: </v>
      </c>
      <c r="P44" s="1691">
        <f ca="1">_xlfn.XLOOKUP(NewTrader!$V44,TabCalc[Ticker],TabCalc[L_Bn])</f>
        <v>3000</v>
      </c>
      <c r="Q44" s="1731">
        <f ca="1">_xlfn.XLOOKUP(NewTrader!$V44,TabCalc[Ticker],TabCalc[L_Bp])</f>
        <v>-9.25</v>
      </c>
      <c r="R44" s="1694">
        <f ca="1">(NewTrader!$Y44+NewTrader!$Q44)/ABS(NewTrader!$Q44)</f>
        <v>2.0540540540540487E-2</v>
      </c>
      <c r="S44" s="262">
        <f ca="1">INT(_xlfn.XLOOKUP(NewTrader!$V44,TabCalc[Ticker],TabCalc[Rev(MinStock)])*Comm_Net)</f>
        <v>566</v>
      </c>
      <c r="T44" s="1635">
        <f ca="1">_xlfn.XLOOKUP(NewTrader!$V44,TabCalc[Ticker],TabCalc[Agiotage])</f>
        <v>1.5368385815758943</v>
      </c>
      <c r="U44" s="1695"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2,400/2,400=&gt;1.6% / 1.6%</v>
      </c>
      <c r="V44" s="1578" t="str">
        <f ca="1">SORTING!B44</f>
        <v>SSYS</v>
      </c>
      <c r="W44" s="1637">
        <f ca="1">_xlfn.XLOOKUP(NewTrader!$V44,TabCalc[Ticker],TabCalc[Y])</f>
        <v>13.16667</v>
      </c>
      <c r="X44" s="1639">
        <f ca="1">-_xlfn.XLOOKUP(NewTrader!$V44&amp;2,Consolid!B$3:JZ$3,Consolid!B$4:JZ$4)</f>
        <v>29.272529332125</v>
      </c>
      <c r="Y44" s="1639">
        <f ca="1">_xlfn.XLOOKUP(NewTrader!$V44,TabCalc[Ticker],TabCalc[M])</f>
        <v>9.44</v>
      </c>
      <c r="Z44" s="1640">
        <f ca="1">_xlfn.XLOOKUP(NewTrader!$V44,[1]!RTData[Ticker_Symbol],[1]!RTData[YTChange])</f>
        <v>-0.69092323943661971</v>
      </c>
      <c r="AA44" s="1640" cm="1">
        <f t="array" aca="1" ref="AA44" ca="1">_xlfn.XLOOKUP(NewTrader!$V44,ListTickers,Tab1ChangePercent[Change%19])</f>
        <v>1.6146000000000001E-2</v>
      </c>
      <c r="AB44" s="1641">
        <f ca="1">_xlfn.XLOOKUP(NewTrader!$V44,TabCalc[Ticker],TabCalc[NAfter])</f>
        <v>16000</v>
      </c>
      <c r="AC44" s="1641">
        <f ca="1">_xlfn.XLOOKUP(NewTrader!$V44,TabCalc[Ticker],TabCalc[Nbegin])</f>
        <v>16000</v>
      </c>
      <c r="AD44" s="1642" t="str">
        <f ca="1">_xlfn.LET(_xlpm.PILE,_xlfn.XLOOKUP(NewTrader!$V44,TabCalc[Ticker],TabCalc[Pile?]),                    _xlpm.GL,_xlfn.XLOOKUP(NewTrader!$V44,TabCalc[Ticker],TabCalc[GL]),                        _xlpm.GLK,_xlfn.XLOOKUP(NewTrader!$V44,TabCalc[Ticker],TabCalc[GL])/1000,                             _xlpm.MVal,_xlfn.XLOOKUP(NewTrader!$V44,TabCalc[Ticker],TabCalc[M_V])/1000,                   _xlpm.PILE&amp;" "&amp;IF(_xlpm.GL&lt;0,TEXT(_xlpm.GLK,"#,#0")&amp;"K /"&amp;TEXT(_xlpm.MVal,"#,#0")&amp;" K$","^"&amp;TEXT(_xlpm.GLK,"#,#0")&amp;"K / "&amp;TEXT(_xlpm.MVal,"#,#0")&amp;" K$"))</f>
        <v xml:space="preserve"> -709K /151 K$</v>
      </c>
      <c r="AE44" s="1643" t="str">
        <f ca="1">_xlfn.XLOOKUP(NewTrader!$V44,[1]!RTData[Ticker_Symbol],[1]!RTData[Currency])</f>
        <v>USD</v>
      </c>
      <c r="AF44" s="1721"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698" t="str" cm="1">
        <f t="array" aca="1" ref="AH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9.44 -  13.17</v>
      </c>
      <c r="AI4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44" s="1651" t="str" cm="1">
        <f t="array" aca="1" ref="AJ44" ca="1">_xlfn.IFS(Tab_NewTRADER[[#This Row],[State]]="Sell More",TEXT(MIN(Tab_NewTRADER[[#This Row],[N]],Tab_NewTRADER[[#This Row],[L_Bn]])*(Tab_NewTRADER[[#This Row],[M]]-Tab_NewTRADER[[#This Row],[L_Sp]])*Tab_NewTRADER[[#This Row],[Scale]]*ComFactor,"#,#0"), TRUE,"M= "&amp;TEXT(Tab_NewTRADER[[#This Row],[M]],"#,#0.00"))</f>
        <v>M= 9.44</v>
      </c>
      <c r="AK44" s="1699" cm="1">
        <f t="array" aca="1" ref="AK44" ca="1">_xlfn.IFS(Tab_NewTRADER[[#This Row],[Y]]&gt;Tab_NewTRADER[[#This Row],[A]],                 TEXT(MIN(Tab_NewTRADER[[#This Row],[L_Bn]],Tab_NewTRADER[[#This Row],[N]])*(Tab_NewTRADER[[#This Row],[M]]-Tab_NewTRADER[[#This Row],[A]])*Tab_NewTRADER[[#This Row],[Scale]]*ComFactor,"#,#0"), TRUE,0)</f>
        <v>0</v>
      </c>
      <c r="AL44" s="1700" cm="1">
        <f t="array" aca="1" ref="AL44" ca="1">_xlfn.IFS(Tab_NewTRADER[[#This Row],[M]]&gt;Tab_NewTRADER[[#This Row],[A]],                  Tab_NewTRADER[[#This Row],[N]]*(Tab_NewTRADER[[#This Row],[M]]-Tab_NewTRADER[[#This Row],[A]])*Tab_NewTRADER[[#This Row],[Scale]]*ComFactor, TRUE,0)</f>
        <v>0</v>
      </c>
      <c r="AM44" s="1592" t="str">
        <f ca="1">_xlfn.XLOOKUP(Tab_NewTRADER[[#This Row],[Show]],TabCalc[Ticker],TabCalc[Max_Bn])&amp;" x "&amp;TEXT(_xlfn.XLOOKUP(Tab_NewTRADER[[#This Row],[Show]],TabCalc[Ticker],TabCalc[Max_Bp]),"#,#0.00")</f>
        <v>7000 x 54.70</v>
      </c>
      <c r="AN44" s="1650" t="str">
        <f ca="1">NewTrader!$V44</f>
        <v>SSYS</v>
      </c>
      <c r="AO44" s="1651" t="str">
        <f ca="1">TEXT(_xlfn.XLOOKUP(Tab_NewTRADER[[#This Row],[ClickTick]],TabCalc[Ticker],TabCalc[NAfter]),"#,#0")&amp;"x"&amp;_xlfn.XLOOKUP(Tab_NewTRADER[[#This Row],[ClickTick]],TabCalc[Ticker],TabCalc[M])&amp;"           (A: "&amp;TEXT(-_xlfn.XLOOKUP(Tab_NewTRADER[[#This Row],[ClickTick]]&amp;2,Consolid!B$3:JZ$3,Consolid!B$4:JZ$4),"#,??0.00")&amp;")"</f>
        <v>16,000x9.44           (A:  29.27)</v>
      </c>
      <c r="AP44" s="1592" t="str">
        <f ca="1">_xlfn.XLOOKUP(Tab_NewTRADER[[#This Row],[Show]],TabCalc[Ticker],TabCalc[Min_Sn])&amp;" x "&amp;TEXT(_xlfn.XLOOKUP(Tab_NewTRADER[[#This Row],[Show]],TabCalc[Ticker],TabCalc[Min_Sp]),"#,#0.00")</f>
        <v>2000 x 10.36</v>
      </c>
      <c r="AQ4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702" t="str" cm="1">
        <f t="array" aca="1" ref="AR44" ca="1">_xlfn.IFS(Tab_NewTRADER[[#This Row],[State]]="Reverse Buy",TEXT(-Tab_NewTRADER[[#This Row],[Buy_Back]],"#,#0")&amp;" / "&amp;TEXT(Tab_NewTRADER[[#This Row],[Rev_Buy]],"#,#0.0%"),TRUE,Tab_NewTRADER[[#This Row],[AMY]])</f>
        <v>9,956 / 26.1%</v>
      </c>
      <c r="AS44" s="1651"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-3,032       / -02.0%</v>
      </c>
      <c r="AT44" s="1699"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-316,495   / -210.1%</v>
      </c>
      <c r="AU44" s="1699" t="str" cm="1">
        <f t="array" aca="1" ref="AU44" ca="1">_xlfn.IFS(Tab_NewTRADER[[#This Row],[M]]&lt;Tab_NewTRADER[[#This Row],[A]],TEXT(Tab_NewTRADER[[#This Row],[N]]*Tab_NewTRADER[[#This Row],[M]]*Tab_NewTRADER[[#This Row],[Scale]]*Comm_Net,"#,#0")&amp;" @ "&amp;TEXT(Tab_NewTRADER[[#This Row],[M]],"#,#0.#0"),TRUE,"M: "&amp; Tab_NewTRADER[[#This Row],[M]])</f>
        <v>150,632 @ 9.44</v>
      </c>
      <c r="AV44" s="1722" cm="1">
        <f t="array" aca="1" ref="AV44" ca="1">-_xlfn.XLOOKUP(
    Tab_NewTRADER[[#This Row],[Show]] &amp; 2,
    TabConsolid[#Headers],
    INDEX(TabConsolid[], 1, 0)
)</f>
        <v>29.272529332125</v>
      </c>
      <c r="AW44" s="1710">
        <f ca="1">Tab_NewTRADER[[#This Row],[M]]*Tab_NewTRADER[[#This Row],[N]]*(1-Commission)*Tab_NewTRADER[[#This Row],[Scale]]</f>
        <v>150647.296</v>
      </c>
      <c r="AX44" s="1705"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705"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706" t="str" cm="1">
        <f t="array" aca="1" ref="AZ44" ca="1">_xlfn.IFS(   Tab_NewTRADER[[#This Row],[State]]=SellMorePercentGain,                     MIN(Tab_NewTRADER[[#This Row],[L_Sn]],Tab_NewTRADER[[#This Row],[N]])*(Tab_NewTRADER[[#This Row],[M]]-Tab_NewTRADER[[#This Row],[L_Sp]])*(1-Commission)*Tab_NewTRADER[[#This Row],[Scale]],                    TRUE,"")</f>
        <v/>
      </c>
      <c r="BA44" s="1707">
        <f ca="1">_xlfn.XLOOKUP(NewTrader!$V44,TabCalc[Ticker],TabCalc[Ann%RevLB])</f>
        <v>2.1877498800575667E-2</v>
      </c>
      <c r="BB44" s="1708">
        <f ca="1">_xlfn.XLOOKUP(NewTrader!$V44,TabCalc[Ticker],TabCalc[Up20])</f>
        <v>0</v>
      </c>
      <c r="BC44" s="1709"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706" t="str" cm="1">
        <f t="array" aca="1" ref="BD44" ca="1">_xlfn.IFS(         NewTrader!$AF44=MDown,NewTrader!$P44*NewTrader!$Y44*(-(NewTrader!$Q44+NewTrader!$Y44)/NewTrader!$Y44)*(1-Commission)*NewTrader!$A44,                               TRUE,"")</f>
        <v/>
      </c>
      <c r="BE44" s="1705" t="str" cm="1">
        <f t="array" aca="1" ref="BE44" ca="1">_xlfn.IFS(   NewTrader!$AF44=MUp,NewTrader!$BP44-Commission,        NewTrader!$AF44=MDown,(NewTrader!$X44-NewTrader!$Y44)/NewTrader!$Y44-Commission,                              TRUE,"")</f>
        <v/>
      </c>
      <c r="BF44" s="1706"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710" t="str" cm="1">
        <f t="array" aca="1" ref="BG44" ca="1">_xlfn.LET(_xlpm.SumChTxt,TEXT(_xlfn.XLOOKUP(NewTrader!$V44,ListTickers,Tab2SumChangePercent[AVGChan20]),"#0.0%"),
      _xlfn.IFS(NewTrader!$AF44=NoStock,_xlpm.SumChTxt,
      TRUE, IF(NewTrader!$AF44=SellMorePercentGain,             "SumChange "&amp;_xlpm.SumChTxt,                         "&lt;"&amp;INT(_xlfn.XLOOKUP(NewTrader!$V44,ListTickers,Tab2ReverseGL[Rev_GL19]))&amp;    "&lt;"&amp;INT(_xlfn.XLOOKUP(NewTrader!$V44,ListTickers,Tab2ReverseGL[Rev_GL18]))&amp;":      "&amp;_xlpm.SumChTxt)))</f>
        <v>&lt;-1&lt;-1:      0.8%</v>
      </c>
      <c r="BH44" s="1711"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712" cm="1">
        <f t="array" aca="1" ref="BI44" ca="1">_xlfn.IFS(NewTrader!$AF44=Sale_Back,"",         NewTrader!$AF44=MDown, (NewTrader!$Y44-NewTrader!$X44)/NewTrader!$X44*ComFactor,             TRUE, IFERROR((NewTrader!$Y44-NewTrader!$X44)/NewTrader!$X44*ComFactor,""))</f>
        <v>-0.67575181260995254</v>
      </c>
      <c r="BJ44" s="1664" cm="1">
        <f t="array" aca="1" ref="BJ44" ca="1">_xlfn.IFS(               NewTrader!$AF44=NoStock,(NewTrader!$BL44-NewTrader!$Y44)/NewTrader!$Y44-Commission,             NewTrader!$X44&lt;&gt;0,(NewTrader!$X44-NewTrader!$Y44)/NewTrader!$Y44-Commission)</f>
        <v>2.0983035309454445</v>
      </c>
      <c r="BK44" s="1713">
        <f ca="1">_xlfn.XLOOKUP(NewTrader!$V44,TabCalc[Ticker],TabCalc[L_Sn])</f>
        <v>3000</v>
      </c>
      <c r="BL44" s="1693">
        <f ca="1">_xlfn.XLOOKUP(NewTrader!$V44,TabCalc[Ticker],TabCalc[L_Sp])</f>
        <v>12.7675333</v>
      </c>
      <c r="BM44" s="1694">
        <f ca="1">-IFERROR((Tab_NewTRADER[[#This Row],[M]]-Tab_NewTRADER[[#This Row],[L_Sp]])/Tab_NewTRADER[[#This Row],[L_Sp]],0)</f>
        <v>0.26062460318783742</v>
      </c>
      <c r="BN44" s="1714">
        <f ca="1">MIN(Tab_NewTRADER[[#This Row],[L_Sn]],Tab_NewTRADER[[#This Row],[N]])*(Tab_NewTRADER[[#This Row],[M]]-Tab_NewTRADER[[#This Row],[L_Sp]])*Comm_Net*Tab_NewTRADER[[#This Row],[Scale]]</f>
        <v>-9955.6468802700019</v>
      </c>
      <c r="BO44" s="1715">
        <f ca="1">Tab_NewTRADER[[#This Row],[L_Sn]]*(Tab_NewTRADER[[#This Row],[Agiotage]]-Tab_NewTRADER[[#This Row],[M]])/(Tab_NewTRADER[[#This Row],[L_Bn]]*Tab_NewTRADER[[#This Row],[M]])</f>
        <v>-0.83719930279916377</v>
      </c>
      <c r="BP44" s="1716">
        <f ca="1">IFERROR((Tab_NewTRADER[[#This Row],[M]]-Tab_NewTRADER[[#This Row],[A]])/Tab_NewTRADER[[#This Row],[A]],0)</f>
        <v>-0.67751334731296631</v>
      </c>
      <c r="BQ44" s="1671" t="str">
        <f ca="1">TEXT(_xlfn.XLOOKUP(Tab_NewTRADER[[#This Row],[ClickTick]],TabCalc[Ticker],TabCalc[NAfter]),"#,#0")&amp;" : "&amp;TEXT(_xlfn.XLOOKUP(Tab_NewTRADER[[#This Row],[ClickTick]],TabCalc[Ticker],TabCalc[NAfter])*(Tab_NewTRADER[[#This Row],[M]]-Tab_NewTRADER[[#This Row],[A]])*(1-Commission)*Tab_NewTRADER[[#This Row],[Scale]],"#,#0$")</f>
        <v>16,000 : -316,495$</v>
      </c>
      <c r="BR44" s="262">
        <f ca="1">_xlfn.XLOOKUP(NewTrader!$V44,TabCalc[[#This Row],[Ticker]],TabCalc[[#This Row],[GL]])*(1-Commission)</f>
        <v>-706668.60712037806</v>
      </c>
      <c r="BS44" s="262"/>
      <c r="BT44" s="1672" t="str">
        <f ca="1">Tab_NewTRADER[[#This Row],[Show]]&amp;": "&amp;_xlfn.XLOOKUP(Tab_NewTRADER[[#This Row],[Show]],TabCalc[Ticker],TabCalc[Pile?])</f>
        <v xml:space="preserve">SSYS: </v>
      </c>
      <c r="BU44" s="1717" t="s">
        <v>2055</v>
      </c>
      <c r="BV44" s="1674" t="str" cm="1">
        <f t="array" aca="1" ref="BV44" ca="1">_xlfn.TEXTJOIN("",,INDEX({"M","A","Y"}, _xlfn.SORTBY({1,2,3}, -CHOOSE({1,2,3}, Tab_NewTRADER[[#This Row],[M]], Tab_NewTRADER[[#This Row],[A]], Tab_NewTRADER[[#This Row],[Y]]))))</f>
        <v>AYM</v>
      </c>
      <c r="BW44" s="1675"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76" t="e">
        <f ca="1">Tab_NewTRADER[[#This Row],[L_Sn]]*Tab_NewTRADER[[#This Row],[L_Sp]]+Tab_NewTRADER[[#This Row],[SellMore]]*Tab_NewTRADER[[#This Row],[M]]</f>
        <v>#N/A</v>
      </c>
      <c r="BY44" s="1676" t="e">
        <f ca="1">INDEX(
  INDEX(TabConsolid[], , _xlfn.XMATCH(Tab_NewTRADER[[#This Row],[ClickTick]]&amp;1, TabConsolid[#Headers])),
  MATCH(
    -Tab_NewTRADER[[#This Row],[M]],
    INDEX(TabConsolid[], , _xlfn.XMATCH(Tab_NewTRADER[[#This Row],[ClickTick]]&amp;2, TabConsolid[#Headers])),
    -1
  )
)</f>
        <v>#N/A</v>
      </c>
      <c r="BZ44" s="1676"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3000</v>
      </c>
      <c r="CA44" s="1677" t="e">
        <f ca="1">Tab_NewTRADER[[#This Row],[ReBuy]]/(Tab_NewTRADER[[#This Row],[L_Sn]]+Tab_NewTRADER[[#This Row],[SellMore]])</f>
        <v>#N/A</v>
      </c>
      <c r="CB44" s="1678">
        <f ca="1">((_xlfn.XLOOKUP(Tab_NewTRADER[[#This Row],[Show]],TabCalc[Ticker],TabCalc[NAfter])+Tab_NewTRADER[[#This Row],[L_Sn]])*(Tab_NewTRADER[[#This Row],[Agiotage]]-Tab_NewTRADER[[#This Row],[M]]))/(Tab_NewTRADER[[#This Row],[L_Sn]]*_xlfn.XLOOKUP(Tab_NewTRADER[[#This Row],[Show]],TabCalc[Ticker],TabCalc[NAfter]))</f>
        <v>-3.1283347281262082E-3</v>
      </c>
      <c r="CC44" s="1677">
        <f ca="1">INDEX(Tab1Price[Price19], MATCH(Tab_NewTRADER[[#This Row],[Show]], Tab_NewTRADER[Show], 0))</f>
        <v>9.44</v>
      </c>
      <c r="CD44" s="1679">
        <f ca="1">_xlfn.XMATCH(Tab_NewTRADER[[#This Row],[Show]]&amp;1, TabConsolid[#Headers])</f>
        <v>125</v>
      </c>
      <c r="CE44" s="1678"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729" t="str" cm="1">
        <f t="array" aca="1" ref="CF44" ca="1">_xlfn.LET(
    _xlpm.FMT, _xlfn.LAMBDA(_xlpm.n, REPT(" ", 7 - LEN(TEXT(_xlpm.n,"0.00"))) &amp; TEXT(_xlpm.n,"0.00")),
    _xlpm.FMT(Tab_NewTRADER[[#This Row],[A]]) &amp; " -" &amp; _xlpm.FMT(Tab_NewTRADER[[#This Row],[M]]) &amp; " -" &amp; _xlpm.FMT(Tab_NewTRADER[[#This Row],[Y]])
)</f>
        <v xml:space="preserve">  29.27 -   9.44 -  13.17</v>
      </c>
      <c r="CG44" s="1730" t="str" cm="1">
        <f t="array" aca="1" ref="CG44" ca="1">_xlfn.LET(
    _xlpm.W, 7,
    _xlpm.FMT, _xlfn.LAMBDA(_xlpm.n, REPT(" ", _xlpm.W - LEN(TEXT(_xlpm.n,"0.00"))) &amp; TEXT(_xlpm.n,"0.00")),
    _xlpm.FMT(Tab_NewTRADER[[#This Row],[A]]) &amp; " * " &amp; _xlpm.FMT(Tab_NewTRADER[[#This Row],[M]]) &amp; " * " &amp; _xlpm.FMT(Tab_NewTRADER[[#This Row],[Y]])
)</f>
        <v xml:space="preserve">  29.27 *    9.44 *   13.17</v>
      </c>
      <c r="CH44" s="1843">
        <f>0</f>
        <v>0</v>
      </c>
      <c r="CI44" t="b">
        <f ca="1">IF(ABS(NewTrader!$Q44)&gt;=NewTrader!$Y44,"OK")</f>
        <v>0</v>
      </c>
    </row>
    <row r="45" spans="1:87">
      <c r="A45" s="1838">
        <f ca="1">IF(_xlfn.XLOOKUP(NewTrader!$V45,TabCalc[Ticker],TabCalc[Cur])="GBp",0.01,1)</f>
        <v>1</v>
      </c>
      <c r="B45" s="1620" t="str">
        <f ca="1">IFERROR(TRUNC(_xlfn.XLOOKUP(NewTrader!$V45,TabCalc[Ticker],ListLastBuyp),2)&amp;"x"&amp;_xlfn.XLOOKUP(NewTrader!$V45,TabCalc[Ticker],ListLastBuyn)&amp;"=    "&amp;IF(_xlfn.XLOOKUP(NewTrader!$V45,TabCalc[Ticker],ListReverseS)&gt;0,"+","")&amp;TEXT(_xlfn.XLOOKUP(NewTrader!$V45,TabCalc[Ticker],ListReverseS),"#,#0")&amp;" "&amp;#REF!,"")</f>
        <v/>
      </c>
      <c r="C45" s="1621" t="str">
        <f ca="1">_xlfn.XLOOKUP(NewTrader!$V45,TabCalc[Ticker],ListResale)&amp;" @ "&amp;TEXT((_xlfn.XLOOKUP(NewTrader!$V45,TabCalc[Ticker],TabCalc[L_Bp])+_xlfn.XLOOKUP(NewTrader!$V45,TabCalc[Ticker],TabCalc[M]))/_xlfn.XLOOKUP(NewTrader!$V45,TabCalc[Ticker],TabCalc[M]),"#0.0%")</f>
        <v>Resell @ 24.7%</v>
      </c>
      <c r="D45" s="1622"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718" t="str">
        <f ca="1">IF(      AND(NewTrader!$X45&lt;NewTrader!$Y45,    _xlfn.XLOOKUP(NewTrader!$V45,TabCalc[Ticker],TabCalc[L_Sp])&gt;NewTrader!$Y45),"BUY  "&amp;TEXT(DesiredBuyGain/NewTrader!$A45/(_xlfn.XLOOKUP(NewTrader!$V45,TabCalc[Ticker],TabCalc[L_Sp])-NewTrader!$Y45),"#,##0"),"")</f>
        <v/>
      </c>
      <c r="F45" s="1620" t="str">
        <f ca="1">TRUNC(TabCalc[[#This Row],[L_B1p]],2)&amp;"x"&amp;TabCalc[[#This Row],[L_B1n]]&amp;"=   "&amp;TEXT(TabCalc[[#This Row],[ReverseS1]],"#,#0")&amp;"$"</f>
        <v>-382.16x100=   65$</v>
      </c>
      <c r="G45" s="1624" t="str">
        <f ca="1">IFERROR(TRUNC(_xlfn.XLOOKUP(NewTrader!$V45,TabCalc[Ticker],ListLastSalep),2)&amp;"x"&amp;_xlfn.XLOOKUP(NewTrader!$V45,TabCalc[Ticker],ListLastSalen)&amp;"=   "&amp;TEXT(-_xlfn.XLOOKUP(NewTrader!$V45,TabCalc[Ticker],ListReverseB),"#,#0")&amp;"$","")</f>
        <v>427.54x9=   174$</v>
      </c>
      <c r="H45" s="1625"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-4.3% = 0</v>
      </c>
      <c r="I45" s="1620" t="str">
        <f ca="1">IFERROR(TRUNC(TabCalc[[#This Row],[L_S1p]],2)&amp;"x"&amp;TabCalc[[#This Row],[L_S1n]]&amp;"=   "&amp;TEXT(TabCalc[[#This Row],[ReverseB1]],"#,#0"),"")</f>
        <v>333.93x390=   -44,045</v>
      </c>
      <c r="J45" s="1626">
        <f ca="1">_xlfn.XLOOKUP(NewTrader!$V45,TabCalc[Ticker],ListGravity)</f>
        <v>0.8792968986892935</v>
      </c>
      <c r="K45" s="1627" t="str" cm="1">
        <f t="array" aca="1" ref="K45" ca="1">IF(_xlfn.XLOOKUP(NewTrader!$V45,NewTrader!$V$3:$V$96,ListExtra_n)&gt;0,_xlfn.XLOOKUP(NewTrader!$V45,NewTrader!$V$3:$V$96,ListExtra_n),"")</f>
        <v/>
      </c>
      <c r="L45" s="1628" t="str">
        <f ca="1">IF(_xlfn.XLOOKUP(NewTrader!$V45,TabCalc[Ticker],ListExtra_n)&gt;0,_xlfn.XLOOKUP(NewTrader!$V45,TabCalc[Ticker],ListExtra_n)*NewTrader!$Y45*_xlfn.XLOOKUP(NewTrader!$V45,TabCalc[Ticker],ListScale),"")</f>
        <v/>
      </c>
      <c r="M45" s="1629">
        <f ca="1">_xlfn.XLOOKUP(NewTrader!$V45,TabCalc[Ticker],TabCalc[Agiotage])</f>
        <v>0.68520716946974203</v>
      </c>
      <c r="N45" s="1630" cm="1">
        <f t="array" aca="1" ref="N45" ca="1">_xlfn.XLOOKUP(NewTrader!$V45,ListTickers,Tab2RSIConventional[RSIConv20])</f>
        <v>73</v>
      </c>
      <c r="O45" s="1631" t="str">
        <f ca="1">TEXT(_xlfn.XLOOKUP(NewTrader!$V45,TabCalc[Ticker],TabCalc[Nbegin]),"#,#0")&amp;": "&amp;_xlfn.XLOOKUP(NewTrader!$V45,TabCalc[Ticker],TabCalc[Pile?])</f>
        <v>500: Pile</v>
      </c>
      <c r="P45" s="1630">
        <f ca="1">_xlfn.XLOOKUP(NewTrader!$V45,TabCalc[Ticker],TabCalc[L_Bn])</f>
        <v>400</v>
      </c>
      <c r="Q45" s="1633">
        <f ca="1">_xlfn.XLOOKUP(NewTrader!$V45,TabCalc[Ticker],TabCalc[L_Bp])</f>
        <v>-336.51</v>
      </c>
      <c r="R45" s="1634">
        <f ca="1">(NewTrader!$Y45+NewTrader!$Q45)/ABS(NewTrader!$Q45)</f>
        <v>0.32794240884371945</v>
      </c>
      <c r="S45" s="259">
        <f ca="1">INT(_xlfn.XLOOKUP(NewTrader!$V45,TabCalc[Ticker],TabCalc[Rev(MinStock)])*Comm_Net)</f>
        <v>109</v>
      </c>
      <c r="T45" s="1635">
        <f ca="1">_xlfn.XLOOKUP(NewTrader!$V45,TabCalc[Ticker],TabCalc[Agiotage])</f>
        <v>0.68520716946974203</v>
      </c>
      <c r="U45" s="1719"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-2/-2=&gt;-1.0% / -1.0%</v>
      </c>
      <c r="V45" s="1578" t="str">
        <f ca="1">SORTING!B45</f>
        <v>TSLA</v>
      </c>
      <c r="W45" s="1637">
        <f ca="1">_xlfn.XLOOKUP(NewTrader!$V45,TabCalc[Ticker],TabCalc[Y])</f>
        <v>392.92779999999999</v>
      </c>
      <c r="X45" s="1639">
        <f ca="1">-_xlfn.XLOOKUP(NewTrader!$V45&amp;2,Consolid!B$3:JZ$3,Consolid!B$4:JZ$4)</f>
        <v>337.38492599999995</v>
      </c>
      <c r="Y45" s="1639">
        <f ca="1">_xlfn.XLOOKUP(NewTrader!$V45,TabCalc[Ticker],TabCalc[M])</f>
        <v>446.86590000000001</v>
      </c>
      <c r="Z45" s="1640">
        <f ca="1">_xlfn.XLOOKUP(NewTrader!$V45,[1]!RTData[Ticker_Symbol],[1]!RTData[YTChange])</f>
        <v>32.298966101694909</v>
      </c>
      <c r="AA45" s="1640" cm="1">
        <f t="array" aca="1" ref="AA45" ca="1">_xlfn.XLOOKUP(NewTrader!$V45,ListTickers,Tab1ChangePercent[Change%19])</f>
        <v>-1.0154000000000002E-2</v>
      </c>
      <c r="AB45" s="1641">
        <f ca="1">_xlfn.XLOOKUP(NewTrader!$V45,TabCalc[Ticker],TabCalc[NAfter])</f>
        <v>1</v>
      </c>
      <c r="AC45" s="1641">
        <f ca="1">_xlfn.XLOOKUP(NewTrader!$V45,TabCalc[Ticker],TabCalc[Nbegin])</f>
        <v>500</v>
      </c>
      <c r="AD45" s="1642" t="str">
        <f ca="1">_xlfn.LET(_xlpm.PILE,_xlfn.XLOOKUP(NewTrader!$V45,TabCalc[Ticker],TabCalc[Pile?]),                    _xlpm.GL,_xlfn.XLOOKUP(NewTrader!$V45,TabCalc[Ticker],TabCalc[GL]),                        _xlpm.GLK,_xlfn.XLOOKUP(NewTrader!$V45,TabCalc[Ticker],TabCalc[GL])/1000,                             _xlpm.MVal,_xlfn.XLOOKUP(NewTrader!$V45,TabCalc[Ticker],TabCalc[M_V])/1000,                   _xlpm.PILE&amp;" "&amp;IF(_xlpm.GL&lt;0,TEXT(_xlpm.GLK,"#,#0")&amp;"K /"&amp;TEXT(_xlpm.MVal,"#,#0")&amp;" K$","^"&amp;TEXT(_xlpm.GLK,"#,#0")&amp;"K / "&amp;TEXT(_xlpm.MVal,"#,#0")&amp;" K$"))</f>
        <v>Pile ^88K / 0 K$</v>
      </c>
      <c r="AE45" s="1643" t="str">
        <f ca="1">_xlfn.XLOOKUP(NewTrader!$V45,[1]!RTData[Ticker_Symbol],[1]!RTData[Currency])</f>
        <v>USD</v>
      </c>
      <c r="AF45" s="1721"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698" t="str" cm="1">
        <f t="array" aca="1" ref="AH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337.38 - 446.87 - 392.93</v>
      </c>
      <c r="AI4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45" s="1651" t="str" cm="1">
        <f t="array" aca="1" ref="AJ45" ca="1">_xlfn.IFS(Tab_NewTRADER[[#This Row],[State]]="Sell More",TEXT(MIN(Tab_NewTRADER[[#This Row],[N]],Tab_NewTRADER[[#This Row],[L_Bn]])*(Tab_NewTRADER[[#This Row],[M]]-Tab_NewTRADER[[#This Row],[L_Sp]])*Tab_NewTRADER[[#This Row],[Scale]]*ComFactor,"#,#0"), TRUE,"M= "&amp;TEXT(Tab_NewTRADER[[#This Row],[M]],"#,#0.00"))</f>
        <v>19</v>
      </c>
      <c r="AK45" s="1699" t="str" cm="1">
        <f t="array" aca="1" ref="AK45" ca="1">_xlfn.IFS(Tab_NewTRADER[[#This Row],[Y]]&gt;Tab_NewTRADER[[#This Row],[A]],                 TEXT(MIN(Tab_NewTRADER[[#This Row],[L_Bn]],Tab_NewTRADER[[#This Row],[N]])*(Tab_NewTRADER[[#This Row],[M]]-Tab_NewTRADER[[#This Row],[A]])*Tab_NewTRADER[[#This Row],[Scale]]*ComFactor,"#,#0"), TRUE,0)</f>
        <v>109</v>
      </c>
      <c r="AL45" s="1700" cm="1">
        <f t="array" aca="1" ref="AL45" ca="1">_xlfn.IFS(Tab_NewTRADER[[#This Row],[M]]&gt;Tab_NewTRADER[[#This Row],[A]],                  Tab_NewTRADER[[#This Row],[N]]*(Tab_NewTRADER[[#This Row],[M]]-Tab_NewTRADER[[#This Row],[A]])*Tab_NewTRADER[[#This Row],[Scale]]*ComFactor, TRUE,0)</f>
        <v>109.19632346760005</v>
      </c>
      <c r="AM45" s="1592" t="str">
        <f ca="1">_xlfn.XLOOKUP(Tab_NewTRADER[[#This Row],[Show]],TabCalc[Ticker],TabCalc[Max_Bn])&amp;" x "&amp;TEXT(_xlfn.XLOOKUP(Tab_NewTRADER[[#This Row],[Show]],TabCalc[Ticker],TabCalc[Max_Bp]),"#,#0.00")</f>
        <v>1 x 337.38</v>
      </c>
      <c r="AN45" s="1650" t="str">
        <f ca="1">NewTrader!$V45</f>
        <v>TSLA</v>
      </c>
      <c r="AO45" s="1651" t="str">
        <f ca="1">TEXT(_xlfn.XLOOKUP(Tab_NewTRADER[[#This Row],[ClickTick]],TabCalc[Ticker],TabCalc[NAfter]),"#,#0")&amp;"x"&amp;_xlfn.XLOOKUP(Tab_NewTRADER[[#This Row],[ClickTick]],TabCalc[Ticker],TabCalc[M])&amp;"           (A: "&amp;TEXT(-_xlfn.XLOOKUP(Tab_NewTRADER[[#This Row],[ClickTick]]&amp;2,Consolid!B$3:JZ$3,Consolid!B$4:JZ$4),"#,??0.00")&amp;")"</f>
        <v>1x446.8659           (A: 337.38)</v>
      </c>
      <c r="AP45" s="1592" t="str">
        <f ca="1">_xlfn.XLOOKUP(Tab_NewTRADER[[#This Row],[Show]],TabCalc[Ticker],TabCalc[Min_Sn])&amp;" x "&amp;TEXT(_xlfn.XLOOKUP(Tab_NewTRADER[[#This Row],[Show]],TabCalc[Ticker],TabCalc[Min_Sp]),"#,#0.00")</f>
        <v>9 x 176.54</v>
      </c>
      <c r="AQ4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702" t="str" cm="1">
        <f t="array" aca="1" ref="AR45" ca="1">_xlfn.IFS(Tab_NewTRADER[[#This Row],[State]]="Reverse Buy",TEXT(-Tab_NewTRADER[[#This Row],[Buy_Back]],"#,#0")&amp;" / "&amp;TEXT(Tab_NewTRADER[[#This Row],[Rev_Buy]],"#,#0.0%"),TRUE,Tab_NewTRADER[[#This Row],[AMY]])</f>
        <v xml:space="preserve"> 337.38 - 446.87 - 392.93</v>
      </c>
      <c r="AS45" s="1651"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99"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99" t="str" cm="1">
        <f t="array" aca="1" ref="AU45" ca="1">_xlfn.IFS(Tab_NewTRADER[[#This Row],[M]]&lt;Tab_NewTRADER[[#This Row],[A]],TEXT(Tab_NewTRADER[[#This Row],[N]]*Tab_NewTRADER[[#This Row],[M]]*Tab_NewTRADER[[#This Row],[Scale]]*Comm_Net,"#,#0")&amp;" @ "&amp;TEXT(Tab_NewTRADER[[#This Row],[M]],"#,#0.#0"),TRUE,"M: "&amp; Tab_NewTRADER[[#This Row],[M]])</f>
        <v>M: 446.8659</v>
      </c>
      <c r="AV45" s="1722" cm="1">
        <f t="array" aca="1" ref="AV45" ca="1">-_xlfn.XLOOKUP(
    Tab_NewTRADER[[#This Row],[Show]] &amp; 2,
    TabConsolid[#Headers],
    INDEX(TabConsolid[], 1, 0)
)</f>
        <v>337.38492599999995</v>
      </c>
      <c r="AW45" s="1710">
        <f ca="1">Tab_NewTRADER[[#This Row],[M]]*Tab_NewTRADER[[#This Row],[N]]*(1-Commission)*Tab_NewTRADER[[#This Row],[Scale]]</f>
        <v>445.70404866000001</v>
      </c>
      <c r="AX45" s="1705"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705"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706" t="str" cm="1">
        <f t="array" aca="1" ref="AZ45" ca="1">_xlfn.IFS(   Tab_NewTRADER[[#This Row],[State]]=SellMorePercentGain,                     MIN(Tab_NewTRADER[[#This Row],[L_Sn]],Tab_NewTRADER[[#This Row],[N]])*(Tab_NewTRADER[[#This Row],[M]]-Tab_NewTRADER[[#This Row],[L_Sp]])*(1-Commission)*Tab_NewTRADER[[#This Row],[Scale]],                    TRUE,"")</f>
        <v/>
      </c>
      <c r="BA45" s="1707">
        <f ca="1">_xlfn.XLOOKUP(NewTrader!$V45,TabCalc[Ticker],TabCalc[Ann%RevLB])</f>
        <v>0.39092472577397019</v>
      </c>
      <c r="BB45" s="1708">
        <f ca="1">_xlfn.XLOOKUP(NewTrader!$V45,TabCalc[Ticker],TabCalc[Up20])</f>
        <v>0</v>
      </c>
      <c r="BC45" s="1725"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706" t="str" cm="1">
        <f t="array" aca="1" ref="BD45" ca="1">_xlfn.IFS(         NewTrader!$AF45=MDown,NewTrader!$P45*NewTrader!$Y45*(-(NewTrader!$Q45+NewTrader!$Y45)/NewTrader!$Y45)*(1-Commission)*NewTrader!$A45,                               TRUE,"")</f>
        <v/>
      </c>
      <c r="BE45" s="1705" t="str" cm="1">
        <f t="array" aca="1" ref="BE45" ca="1">_xlfn.IFS(   NewTrader!$AF45=MUp,NewTrader!$BP45-Commission,        NewTrader!$AF45=MDown,(NewTrader!$X45-NewTrader!$Y45)/NewTrader!$Y45-Commission,                              TRUE,"")</f>
        <v/>
      </c>
      <c r="BF45" s="1710"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710" t="str" cm="1">
        <f t="array" aca="1" ref="BG45" ca="1">_xlfn.LET(_xlpm.SumChTxt,TEXT(_xlfn.XLOOKUP(NewTrader!$V45,ListTickers,Tab2SumChangePercent[AVGChan20]),"#0.0%"),
      _xlfn.IFS(NewTrader!$AF45=NoStock,_xlpm.SumChTxt,
      TRUE, IF(NewTrader!$AF45=SellMorePercentGain,             "SumChange "&amp;_xlpm.SumChTxt,                         "&lt;"&amp;INT(_xlfn.XLOOKUP(NewTrader!$V45,ListTickers,Tab2ReverseGL[Rev_GL19]))&amp;    "&lt;"&amp;INT(_xlfn.XLOOKUP(NewTrader!$V45,ListTickers,Tab2ReverseGL[Rev_GL18]))&amp;":      "&amp;_xlpm.SumChTxt)))</f>
        <v>&lt;0&lt;0:      0.0%</v>
      </c>
      <c r="BH45" s="1711"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1x109.48</v>
      </c>
      <c r="BI45" s="1712" cm="1">
        <f t="array" aca="1" ref="BI45" ca="1">_xlfn.IFS(NewTrader!$AF45=Sale_Back,"",         NewTrader!$AF45=MDown, (NewTrader!$Y45-NewTrader!$X45)/NewTrader!$X45*ComFactor,             TRUE, IFERROR((NewTrader!$Y45-NewTrader!$X45)/NewTrader!$X45*ComFactor,""))</f>
        <v>0.32365501554032106</v>
      </c>
      <c r="BJ45" s="1664" cm="1">
        <f t="array" aca="1" ref="BJ45" ca="1">_xlfn.IFS(               NewTrader!$AF45=NoStock,(NewTrader!$BL45-NewTrader!$Y45)/NewTrader!$Y45-Commission,             NewTrader!$X45&lt;&gt;0,(NewTrader!$X45-NewTrader!$Y45)/NewTrader!$Y45-Commission)</f>
        <v>-0.24759737840815343</v>
      </c>
      <c r="BK45" s="1726">
        <f ca="1">_xlfn.XLOOKUP(NewTrader!$V45,TabCalc[Ticker],TabCalc[L_Sn])</f>
        <v>9</v>
      </c>
      <c r="BL45" s="1727">
        <f ca="1">_xlfn.XLOOKUP(NewTrader!$V45,TabCalc[Ticker],TabCalc[L_Sp])</f>
        <v>427.54</v>
      </c>
      <c r="BM45" s="1634">
        <f ca="1">-IFERROR((Tab_NewTRADER[[#This Row],[M]]-Tab_NewTRADER[[#This Row],[L_Sp]])/Tab_NewTRADER[[#This Row],[L_Sp]],0)</f>
        <v>-4.5202554146980371E-2</v>
      </c>
      <c r="BN45" s="1728">
        <f ca="1">MIN(Tab_NewTRADER[[#This Row],[L_Sn]],Tab_NewTRADER[[#This Row],[N]])*(Tab_NewTRADER[[#This Row],[M]]-Tab_NewTRADER[[#This Row],[L_Sp]])*Comm_Net*Tab_NewTRADER[[#This Row],[Scale]]</f>
        <v>19.273720069999989</v>
      </c>
      <c r="BO45" s="1715">
        <f ca="1">Tab_NewTRADER[[#This Row],[L_Sn]]*(Tab_NewTRADER[[#This Row],[Agiotage]]-Tab_NewTRADER[[#This Row],[M]])/(Tab_NewTRADER[[#This Row],[L_Bn]]*Tab_NewTRADER[[#This Row],[M]])</f>
        <v>-2.2465499356041557E-2</v>
      </c>
      <c r="BP45" s="1670">
        <f ca="1">IFERROR((Tab_NewTRADER[[#This Row],[M]]-Tab_NewTRADER[[#This Row],[A]])/Tab_NewTRADER[[#This Row],[A]],0)</f>
        <v>0.32449871219202031</v>
      </c>
      <c r="BQ45" s="1671" t="str">
        <f ca="1">TEXT(_xlfn.XLOOKUP(Tab_NewTRADER[[#This Row],[ClickTick]],TabCalc[Ticker],TabCalc[NAfter]),"#,#0")&amp;" : "&amp;TEXT(_xlfn.XLOOKUP(Tab_NewTRADER[[#This Row],[ClickTick]],TabCalc[Ticker],TabCalc[NAfter])*(Tab_NewTRADER[[#This Row],[M]]-Tab_NewTRADER[[#This Row],[A]])*(1-Commission)*Tab_NewTRADER[[#This Row],[Scale]],"#,#0$")</f>
        <v>1 : 109$</v>
      </c>
      <c r="BR45" s="259">
        <f ca="1">_xlfn.XLOOKUP(NewTrader!$V45,TabCalc[[#This Row],[Ticker]],TabCalc[[#This Row],[GL]])*(1-Commission)</f>
        <v>87668.515299906911</v>
      </c>
      <c r="BS45" s="259"/>
      <c r="BT45" s="1672" t="str">
        <f ca="1">Tab_NewTRADER[[#This Row],[Show]]&amp;": "&amp;_xlfn.XLOOKUP(Tab_NewTRADER[[#This Row],[Show]],TabCalc[Ticker],TabCalc[Pile?])</f>
        <v>TSLA: Pile</v>
      </c>
      <c r="BU45" s="1717" t="s">
        <v>2057</v>
      </c>
      <c r="BV45" s="1674" t="str" cm="1">
        <f t="array" aca="1" ref="BV45" ca="1">_xlfn.TEXTJOIN("",,INDEX({"M","A","Y"}, _xlfn.SORTBY({1,2,3}, -CHOOSE({1,2,3}, Tab_NewTRADER[[#This Row],[M]], Tab_NewTRADER[[#This Row],[A]], Tab_NewTRADER[[#This Row],[Y]]))))</f>
        <v>MYA</v>
      </c>
      <c r="BW45" s="1675"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76">
        <f ca="1">Tab_NewTRADER[[#This Row],[L_Sn]]*Tab_NewTRADER[[#This Row],[L_Sp]]+Tab_NewTRADER[[#This Row],[SellMore]]*Tab_NewTRADER[[#This Row],[M]]</f>
        <v>4294.7259000000004</v>
      </c>
      <c r="BY45" s="1676">
        <f ca="1">INDEX(
  INDEX(TabConsolid[], , _xlfn.XMATCH(Tab_NewTRADER[[#This Row],[ClickTick]]&amp;1, TabConsolid[#Headers])),
  MATCH(
    -Tab_NewTRADER[[#This Row],[M]],
    INDEX(TabConsolid[], , _xlfn.XMATCH(Tab_NewTRADER[[#This Row],[ClickTick]]&amp;2, TabConsolid[#Headers])),
    -1
  )
)</f>
        <v>1</v>
      </c>
      <c r="BZ45" s="1676"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77">
        <f ca="1">Tab_NewTRADER[[#This Row],[ReBuy]]/(Tab_NewTRADER[[#This Row],[L_Sn]]+Tab_NewTRADER[[#This Row],[SellMore]])</f>
        <v>429.47259000000003</v>
      </c>
      <c r="CB45" s="1678">
        <f ca="1">((_xlfn.XLOOKUP(Tab_NewTRADER[[#This Row],[Show]],TabCalc[Ticker],TabCalc[NAfter])+Tab_NewTRADER[[#This Row],[L_Sn]])*(Tab_NewTRADER[[#This Row],[Agiotage]]-Tab_NewTRADER[[#This Row],[M]]))/(Tab_NewTRADER[[#This Row],[L_Sn]]*_xlfn.XLOOKUP(Tab_NewTRADER[[#This Row],[Show]],TabCalc[Ticker],TabCalc[NAfter]))</f>
        <v>-495.75632536725584</v>
      </c>
      <c r="CC45" s="1677">
        <f ca="1">INDEX(Tab1Price[Price19], MATCH(Tab_NewTRADER[[#This Row],[Show]], Tab_NewTRADER[Show], 0))</f>
        <v>446.86590000000001</v>
      </c>
      <c r="CD45" s="1679">
        <f ca="1">_xlfn.XMATCH(Tab_NewTRADER[[#This Row],[Show]]&amp;1, TabConsolid[#Headers])</f>
        <v>128</v>
      </c>
      <c r="CE45" s="1678"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729" t="str" cm="1">
        <f t="array" aca="1" ref="CF45" ca="1">_xlfn.LET(
    _xlpm.FMT, _xlfn.LAMBDA(_xlpm.n, REPT(" ", 7 - LEN(TEXT(_xlpm.n,"0.00"))) &amp; TEXT(_xlpm.n,"0.00")),
    _xlpm.FMT(Tab_NewTRADER[[#This Row],[A]]) &amp; " -" &amp; _xlpm.FMT(Tab_NewTRADER[[#This Row],[M]]) &amp; " -" &amp; _xlpm.FMT(Tab_NewTRADER[[#This Row],[Y]])
)</f>
        <v xml:space="preserve"> 337.38 - 446.87 - 392.93</v>
      </c>
      <c r="CG45" s="1730" t="str" cm="1">
        <f t="array" aca="1" ref="CG45" ca="1">_xlfn.LET(
    _xlpm.W, 7,
    _xlpm.FMT, _xlfn.LAMBDA(_xlpm.n, REPT(" ", _xlpm.W - LEN(TEXT(_xlpm.n,"0.00"))) &amp; TEXT(_xlpm.n,"0.00")),
    _xlpm.FMT(Tab_NewTRADER[[#This Row],[A]]) &amp; " * " &amp; _xlpm.FMT(Tab_NewTRADER[[#This Row],[M]]) &amp; " * " &amp; _xlpm.FMT(Tab_NewTRADER[[#This Row],[Y]])
)</f>
        <v xml:space="preserve"> 337.38 *  446.87 *  392.93</v>
      </c>
      <c r="CH45" s="1843">
        <f>0</f>
        <v>0</v>
      </c>
      <c r="CI45" t="b">
        <f ca="1">IF(ABS(NewTrader!$Q45)&gt;=NewTrader!$Y45,"OK")</f>
        <v>0</v>
      </c>
    </row>
    <row r="46" spans="1:87">
      <c r="A46" s="1839">
        <f ca="1">IF(_xlfn.XLOOKUP(NewTrader!$V46,TabCalc[Ticker],TabCalc[Cur])="GBp",0.01,1)</f>
        <v>1</v>
      </c>
      <c r="B46" s="1681" t="str">
        <f ca="1">IFERROR(TRUNC(_xlfn.XLOOKUP(NewTrader!$V46,TabCalc[Ticker],ListLastBuyp),2)&amp;"x"&amp;_xlfn.XLOOKUP(NewTrader!$V46,TabCalc[Ticker],ListLastBuyn)&amp;"=    "&amp;IF(_xlfn.XLOOKUP(NewTrader!$V46,TabCalc[Ticker],ListReverseS)&gt;0,"+","")&amp;TEXT(_xlfn.XLOOKUP(NewTrader!$V46,TabCalc[Ticker],ListReverseS),"#,#0")&amp;" "&amp;#REF!,"")</f>
        <v/>
      </c>
      <c r="C46" s="1682" t="str">
        <f ca="1">_xlfn.XLOOKUP(NewTrader!$V46,TabCalc[Ticker],ListResale)&amp;" @ "&amp;TEXT((_xlfn.XLOOKUP(NewTrader!$V46,TabCalc[Ticker],TabCalc[L_Bp])+_xlfn.XLOOKUP(NewTrader!$V46,TabCalc[Ticker],TabCalc[M]))/_xlfn.XLOOKUP(NewTrader!$V46,TabCalc[Ticker],TabCalc[M]),"#0.0%")</f>
        <v>Sell @ 6.1%</v>
      </c>
      <c r="D46" s="1683"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270/4,500=82,333</v>
      </c>
      <c r="E46" s="1754" t="str">
        <f ca="1">IF(      AND(NewTrader!$X46&lt;NewTrader!$Y46,    _xlfn.XLOOKUP(NewTrader!$V46,TabCalc[Ticker],TabCalc[L_Sp])&gt;NewTrader!$Y46),"BUY  "&amp;TEXT(DesiredBuyGain/NewTrader!$A46/(_xlfn.XLOOKUP(NewTrader!$V46,TabCalc[Ticker],TabCalc[L_Sp])-NewTrader!$Y46),"#,##0"),"")</f>
        <v/>
      </c>
      <c r="F46" s="1681"/>
      <c r="G46" s="1685"/>
      <c r="H46" s="1686"/>
      <c r="I46" s="1686"/>
      <c r="J46" s="1687">
        <f ca="1">_xlfn.XLOOKUP(NewTrader!$V46,TabCalc[Ticker],ListGravity)</f>
        <v>1.1212996195723468</v>
      </c>
      <c r="K46" s="1688" cm="1">
        <f t="array" aca="1" ref="K46" ca="1">IF(_xlfn.XLOOKUP(NewTrader!$V46,NewTrader!$V$3:$V$96,ListExtra_n)&gt;0,_xlfn.XLOOKUP(NewTrader!$V46,NewTrader!$V$3:$V$96,ListExtra_n),"")</f>
        <v>2500</v>
      </c>
      <c r="L46" s="1689">
        <f ca="1">IF(_xlfn.XLOOKUP(NewTrader!$V46,TabCalc[Ticker],ListExtra_n)&gt;0,_xlfn.XLOOKUP(NewTrader!$V46,TabCalc[Ticker],ListExtra_n)*NewTrader!$Y46*_xlfn.XLOOKUP(NewTrader!$V46,TabCalc[Ticker],ListScale),"")</f>
        <v>762300</v>
      </c>
      <c r="M46" s="1690">
        <f ca="1">_xlfn.XLOOKUP(NewTrader!$V46,TabCalc[Ticker],TabCalc[Agiotage])</f>
        <v>1.2628860762769001</v>
      </c>
      <c r="N46" s="1691" cm="1">
        <f t="array" aca="1" ref="N46" ca="1">_xlfn.XLOOKUP(NewTrader!$V46,ListTickers,Tab2RSIConventional[RSIConv20])</f>
        <v>81</v>
      </c>
      <c r="O46" s="1755" t="str">
        <f ca="1">TEXT(_xlfn.XLOOKUP(NewTrader!$V46,TabCalc[Ticker],TabCalc[Nbegin]),"#,#0")&amp;": "&amp;_xlfn.XLOOKUP(NewTrader!$V46,TabCalc[Ticker],TabCalc[Pile?])</f>
        <v xml:space="preserve">2,000: </v>
      </c>
      <c r="P46" s="1691">
        <f ca="1">_xlfn.XLOOKUP(NewTrader!$V46,TabCalc[Ticker],TabCalc[L_Bn])</f>
        <v>800</v>
      </c>
      <c r="Q46" s="1731">
        <f ca="1">_xlfn.XLOOKUP(NewTrader!$V46,TabCalc[Ticker],TabCalc[L_Bp])</f>
        <v>-286.40249999999997</v>
      </c>
      <c r="R46" s="1756">
        <f ca="1">(NewTrader!$Y46+NewTrader!$Q46)/ABS(NewTrader!$Q46)</f>
        <v>6.4655511037787883E-2</v>
      </c>
      <c r="S46" s="262">
        <f ca="1">INT(_xlfn.XLOOKUP(NewTrader!$V46,TabCalc[Ticker],TabCalc[Rev(MinStock)])*Comm_Net)</f>
        <v>14734</v>
      </c>
      <c r="T46" s="1757">
        <f ca="1">_xlfn.XLOOKUP(NewTrader!$V46,TabCalc[Ticker],TabCalc[Agiotage])</f>
        <v>1.2628860762769001</v>
      </c>
      <c r="U46" s="1695"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-1,800/-1,800=&gt;-1.4% / -1.4%</v>
      </c>
      <c r="V46" s="1578" t="str">
        <f ca="1">SORTING!B46</f>
        <v>TSM</v>
      </c>
      <c r="W46" s="1637">
        <f ca="1">_xlfn.XLOOKUP(NewTrader!$V46,TabCalc[Ticker],TabCalc[Y])</f>
        <v>341.90667999999999</v>
      </c>
      <c r="X46" s="1639">
        <f ca="1">-_xlfn.XLOOKUP(NewTrader!$V46&amp;2,Consolid!B$3:JZ$3,Consolid!B$4:JZ$4)</f>
        <v>206.38565559999998</v>
      </c>
      <c r="Y46" s="1639">
        <f ca="1">_xlfn.XLOOKUP(NewTrader!$V46,TabCalc[Ticker],TabCalc[M])</f>
        <v>304.92</v>
      </c>
      <c r="Z46" s="1758">
        <f ca="1">_xlfn.XLOOKUP(NewTrader!$V46,[1]!RTData[Ticker_Symbol],[1]!RTData[YTChange])</f>
        <v>0.63482203308788376</v>
      </c>
      <c r="AA46" s="1640" cm="1">
        <f t="array" aca="1" ref="AA46" ca="1">_xlfn.XLOOKUP(NewTrader!$V46,ListTickers,Tab1ChangePercent[Change%19])</f>
        <v>-1.4296999999999999E-2</v>
      </c>
      <c r="AB46" s="1641">
        <f ca="1">_xlfn.XLOOKUP(NewTrader!$V46,TabCalc[Ticker],TabCalc[NAfter])</f>
        <v>4500</v>
      </c>
      <c r="AC46" s="1641">
        <f ca="1">_xlfn.XLOOKUP(NewTrader!$V46,TabCalc[Ticker],TabCalc[Nbegin])</f>
        <v>2000</v>
      </c>
      <c r="AD46" s="1642" t="str">
        <f ca="1">_xlfn.LET(_xlpm.PILE,_xlfn.XLOOKUP(NewTrader!$V46,TabCalc[Ticker],TabCalc[Pile?]),                    _xlpm.GL,_xlfn.XLOOKUP(NewTrader!$V46,TabCalc[Ticker],TabCalc[GL]),                        _xlpm.GLK,_xlfn.XLOOKUP(NewTrader!$V46,TabCalc[Ticker],TabCalc[GL])/1000,                             _xlpm.MVal,_xlfn.XLOOKUP(NewTrader!$V46,TabCalc[Ticker],TabCalc[M_V])/1000,                   _xlpm.PILE&amp;" "&amp;IF(_xlpm.GL&lt;0,TEXT(_xlpm.GLK,"#,#0")&amp;"K /"&amp;TEXT(_xlpm.MVal,"#,#0")&amp;" K$","^"&amp;TEXT(_xlpm.GLK,"#,#0")&amp;"K / "&amp;TEXT(_xlpm.MVal,"#,#0")&amp;" K$"))</f>
        <v xml:space="preserve"> ^981K / 1,368 K$</v>
      </c>
      <c r="AE46" s="1759" t="str">
        <f ca="1">_xlfn.XLOOKUP(NewTrader!$V46,[1]!RTData[Ticker_Symbol],[1]!RTData[Currency])</f>
        <v>USD</v>
      </c>
      <c r="AF46" s="1696"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G4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698" t="str" cm="1">
        <f t="array" aca="1" ref="AH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206.39 - 304.92 - 341.91</v>
      </c>
      <c r="AI4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46" s="1651" t="str" cm="1">
        <f t="array" aca="1" ref="AJ46" ca="1">_xlfn.IFS(Tab_NewTRADER[[#This Row],[State]]="Sell More",TEXT(MIN(Tab_NewTRADER[[#This Row],[N]],Tab_NewTRADER[[#This Row],[L_Bn]])*(Tab_NewTRADER[[#This Row],[M]]-Tab_NewTRADER[[#This Row],[L_Sp]])*Tab_NewTRADER[[#This Row],[Scale]]*ComFactor,"#,#0"), TRUE,"M= "&amp;TEXT(Tab_NewTRADER[[#This Row],[M]],"#,#0.00"))</f>
        <v>12,823</v>
      </c>
      <c r="AK46" s="1699" t="str" cm="1">
        <f t="array" aca="1" ref="AK46" ca="1">_xlfn.IFS(Tab_NewTRADER[[#This Row],[Y]]&gt;Tab_NewTRADER[[#This Row],[A]],                 TEXT(MIN(Tab_NewTRADER[[#This Row],[L_Bn]],Tab_NewTRADER[[#This Row],[N]])*(Tab_NewTRADER[[#This Row],[M]]-Tab_NewTRADER[[#This Row],[A]])*Tab_NewTRADER[[#This Row],[Scale]]*ComFactor,"#,#0"), TRUE,0)</f>
        <v>78,623</v>
      </c>
      <c r="AL46" s="1700" cm="1">
        <f t="array" aca="1" ref="AL46" ca="1">_xlfn.IFS(Tab_NewTRADER[[#This Row],[M]]&gt;Tab_NewTRADER[[#This Row],[A]],                  Tab_NewTRADER[[#This Row],[N]]*(Tab_NewTRADER[[#This Row],[M]]-Tab_NewTRADER[[#This Row],[A]])*Tab_NewTRADER[[#This Row],[Scale]]*ComFactor, TRUE,0)</f>
        <v>442251.69797052012</v>
      </c>
      <c r="AM46" s="1592" t="str">
        <f ca="1">_xlfn.XLOOKUP(Tab_NewTRADER[[#This Row],[Show]],TabCalc[Ticker],TabCalc[Max_Bn])&amp;" x "&amp;TEXT(_xlfn.XLOOKUP(Tab_NewTRADER[[#This Row],[Show]],TabCalc[Ticker],TabCalc[Max_Bp]),"#,#0.00")</f>
        <v>800 x 286.40</v>
      </c>
      <c r="AN46" s="1650" t="str">
        <f ca="1">NewTrader!$V46</f>
        <v>TSM</v>
      </c>
      <c r="AO46" s="1651" t="str">
        <f ca="1">TEXT(_xlfn.XLOOKUP(Tab_NewTRADER[[#This Row],[ClickTick]],TabCalc[Ticker],TabCalc[NAfter]),"#,#0")&amp;"x"&amp;_xlfn.XLOOKUP(Tab_NewTRADER[[#This Row],[ClickTick]],TabCalc[Ticker],TabCalc[M])&amp;"           (A: "&amp;TEXT(-_xlfn.XLOOKUP(Tab_NewTRADER[[#This Row],[ClickTick]]&amp;2,Consolid!B$3:JZ$3,Consolid!B$4:JZ$4),"#,??0.00")&amp;")"</f>
        <v>4,500x304.92           (A: 206.39)</v>
      </c>
      <c r="AP46" s="1592" t="str">
        <f ca="1">_xlfn.XLOOKUP(Tab_NewTRADER[[#This Row],[Show]],TabCalc[Ticker],TabCalc[Min_Sn])&amp;" x "&amp;TEXT(_xlfn.XLOOKUP(Tab_NewTRADER[[#This Row],[Show]],TabCalc[Ticker],TabCalc[Min_Sp]),"#,#0.00")</f>
        <v>300 x 134.16</v>
      </c>
      <c r="AQ4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702" t="str" cm="1">
        <f t="array" aca="1" ref="AR46" ca="1">_xlfn.IFS(Tab_NewTRADER[[#This Row],[State]]="Reverse Buy",TEXT(-Tab_NewTRADER[[#This Row],[Buy_Back]],"#,#0")&amp;" / "&amp;TEXT(Tab_NewTRADER[[#This Row],[Rev_Buy]],"#,#0.0%"),TRUE,Tab_NewTRADER[[#This Row],[AMY]])</f>
        <v xml:space="preserve"> 206.39 - 304.92 - 341.91</v>
      </c>
      <c r="AS46" s="1651"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99"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99" t="str" cm="1">
        <f t="array" aca="1" ref="AU46" ca="1">_xlfn.IFS(Tab_NewTRADER[[#This Row],[M]]&lt;Tab_NewTRADER[[#This Row],[A]],TEXT(Tab_NewTRADER[[#This Row],[N]]*Tab_NewTRADER[[#This Row],[M]]*Tab_NewTRADER[[#This Row],[Scale]]*Comm_Net,"#,#0")&amp;" @ "&amp;TEXT(Tab_NewTRADER[[#This Row],[M]],"#,#0.#0"),TRUE,"M: "&amp; Tab_NewTRADER[[#This Row],[M]])</f>
        <v>M: 304.92</v>
      </c>
      <c r="AV46" s="1722" cm="1">
        <f t="array" aca="1" ref="AV46" ca="1">-_xlfn.XLOOKUP(
    Tab_NewTRADER[[#This Row],[Show]] &amp; 2,
    TabConsolid[#Headers],
    INDEX(TabConsolid[], 1, 0)
)</f>
        <v>206.38565559999998</v>
      </c>
      <c r="AW46" s="1710">
        <f ca="1">Tab_NewTRADER[[#This Row],[M]]*Tab_NewTRADER[[#This Row],[N]]*(1-Commission)*Tab_NewTRADER[[#This Row],[Scale]]</f>
        <v>1368572.436</v>
      </c>
      <c r="AX46" s="1705"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705"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710" t="str" cm="1">
        <f t="array" aca="1" ref="AZ46" ca="1">_xlfn.IFS(   Tab_NewTRADER[[#This Row],[State]]=SellMorePercentGain,                     MIN(Tab_NewTRADER[[#This Row],[L_Sn]],Tab_NewTRADER[[#This Row],[N]])*(Tab_NewTRADER[[#This Row],[M]]-Tab_NewTRADER[[#This Row],[L_Sp]])*(1-Commission)*Tab_NewTRADER[[#This Row],[Scale]],                    TRUE,"")</f>
        <v/>
      </c>
      <c r="BA46" s="1707">
        <f ca="1">_xlfn.XLOOKUP(NewTrader!$V46,TabCalc[Ticker],TabCalc[Ann%RevLB])</f>
        <v>0.46551967947207279</v>
      </c>
      <c r="BB46" s="1708" t="str">
        <f ca="1">_xlfn.XLOOKUP(NewTrader!$V46,TabCalc[Ticker],TabCalc[Up20])</f>
        <v>/33/%</v>
      </c>
      <c r="BC46" s="1760"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710" t="str" cm="1">
        <f t="array" aca="1" ref="BD46" ca="1">_xlfn.IFS(         NewTrader!$AF46=MDown,NewTrader!$P46*NewTrader!$Y46*(-(NewTrader!$Q46+NewTrader!$Y46)/NewTrader!$Y46)*(1-Commission)*NewTrader!$A46,                               TRUE,"")</f>
        <v/>
      </c>
      <c r="BE46" s="1705" t="str" cm="1">
        <f t="array" aca="1" ref="BE46" ca="1">_xlfn.IFS(   NewTrader!$AF46=MUp,NewTrader!$BP46-Commission,        NewTrader!$AF46=MDown,(NewTrader!$X46-NewTrader!$Y46)/NewTrader!$Y46-Commission,                              TRUE,"")</f>
        <v/>
      </c>
      <c r="BF46" s="1706"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710" t="e" cm="1">
        <f t="array" aca="1" ref="BG46" ca="1">_xlfn.LET(_xlpm.SumChTxt,TEXT(_xlfn.XLOOKUP(NewTrader!$V46,ListTickers,Tab2SumChangePercent[AVGChan20]),"#0.0%"),
      _xlfn.IFS(NewTrader!$AF46=NoStock,_xlpm.SumChTxt,
      TRUE, IF(NewTrader!$AF46=SellMorePercentGain,             "SumChange "&amp;_xlpm.SumChTxt,                         "&lt;"&amp;INT(_xlfn.XLOOKUP(NewTrader!$V46,ListTickers,Tab2ReverseGL[Rev_GL19]))&amp;    "&lt;"&amp;INT(_xlfn.XLOOKUP(NewTrader!$V46,ListTickers,Tab2ReverseGL[Rev_GL18]))&amp;":      "&amp;_xlpm.SumChTxt)))</f>
        <v>#VALUE!</v>
      </c>
      <c r="BH46" s="1761"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800x98.53</v>
      </c>
      <c r="BI46" s="1712" cm="1">
        <f t="array" aca="1" ref="BI46" ca="1">_xlfn.IFS(NewTrader!$AF46=Sale_Back,"",         NewTrader!$AF46=MDown, (NewTrader!$Y46-NewTrader!$X46)/NewTrader!$X46*ComFactor,             TRUE, IFERROR((NewTrader!$Y46-NewTrader!$X46)/NewTrader!$X46*ComFactor,""))</f>
        <v>0.47618694632070174</v>
      </c>
      <c r="BJ46" s="1664" cm="1">
        <f t="array" aca="1" ref="BJ46" ca="1">_xlfn.IFS(               NewTrader!$AF46=NoStock,(NewTrader!$BL46-NewTrader!$Y46)/NewTrader!$Y46-Commission,             NewTrader!$X46&lt;&gt;0,(NewTrader!$X46-NewTrader!$Y46)/NewTrader!$Y46-Commission)</f>
        <v>-0.32574818444182091</v>
      </c>
      <c r="BK46" s="1713">
        <f ca="1">_xlfn.XLOOKUP(NewTrader!$V46,TabCalc[Ticker],TabCalc[L_Sn])</f>
        <v>300</v>
      </c>
      <c r="BL46" s="1693">
        <f ca="1">_xlfn.XLOOKUP(NewTrader!$V46,TabCalc[Ticker],TabCalc[L_Sp])</f>
        <v>288.85000000000002</v>
      </c>
      <c r="BM46" s="1756">
        <f ca="1">-IFERROR((Tab_NewTRADER[[#This Row],[M]]-Tab_NewTRADER[[#This Row],[L_Sp]])/Tab_NewTRADER[[#This Row],[L_Sp]],0)</f>
        <v>-5.5634412324735996E-2</v>
      </c>
      <c r="BN46" s="1714">
        <f ca="1">MIN(Tab_NewTRADER[[#This Row],[L_Sn]],Tab_NewTRADER[[#This Row],[N]])*(Tab_NewTRADER[[#This Row],[M]]-Tab_NewTRADER[[#This Row],[L_Sp]])*Comm_Net*Tab_NewTRADER[[#This Row],[Scale]]</f>
        <v>4807.9832999999981</v>
      </c>
      <c r="BO46" s="1715">
        <f ca="1">Tab_NewTRADER[[#This Row],[L_Sn]]*(Tab_NewTRADER[[#This Row],[Agiotage]]-Tab_NewTRADER[[#This Row],[M]])/(Tab_NewTRADER[[#This Row],[L_Bn]]*Tab_NewTRADER[[#This Row],[M]])</f>
        <v>-0.3734468638377153</v>
      </c>
      <c r="BP46" s="1762">
        <f ca="1">IFERROR((Tab_NewTRADER[[#This Row],[M]]-Tab_NewTRADER[[#This Row],[A]])/Tab_NewTRADER[[#This Row],[A]],0)</f>
        <v>0.47742825979617182</v>
      </c>
      <c r="BQ46" s="1671" t="str">
        <f ca="1">TEXT(_xlfn.XLOOKUP(Tab_NewTRADER[[#This Row],[ClickTick]],TabCalc[Ticker],TabCalc[NAfter]),"#,#0")&amp;" : "&amp;TEXT(_xlfn.XLOOKUP(Tab_NewTRADER[[#This Row],[ClickTick]],TabCalc[Ticker],TabCalc[NAfter])*(Tab_NewTRADER[[#This Row],[M]]-Tab_NewTRADER[[#This Row],[A]])*(1-Commission)*Tab_NewTRADER[[#This Row],[Scale]],"#,#0$")</f>
        <v>4,500 : 442,252$</v>
      </c>
      <c r="BR46" s="262"/>
      <c r="BS46" s="262"/>
      <c r="BT46" s="1672" t="str">
        <f ca="1">Tab_NewTRADER[[#This Row],[Show]]&amp;": "&amp;_xlfn.XLOOKUP(Tab_NewTRADER[[#This Row],[Show]],TabCalc[Ticker],TabCalc[Pile?])</f>
        <v xml:space="preserve">TSM: </v>
      </c>
      <c r="BU46" s="1717"/>
      <c r="BV46" s="1763" t="str" cm="1">
        <f t="array" aca="1" ref="BV46" ca="1">_xlfn.TEXTJOIN("",,INDEX({"M","A","Y"}, _xlfn.SORTBY({1,2,3}, -CHOOSE({1,2,3}, Tab_NewTRADER[[#This Row],[M]], Tab_NewTRADER[[#This Row],[A]], Tab_NewTRADER[[#This Row],[Y]]))))</f>
        <v>YMA</v>
      </c>
      <c r="BW46" s="1675"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76">
        <f ca="1">Tab_NewTRADER[[#This Row],[L_Sn]]*Tab_NewTRADER[[#This Row],[L_Sp]]+Tab_NewTRADER[[#This Row],[SellMore]]*Tab_NewTRADER[[#This Row],[M]]</f>
        <v>330591</v>
      </c>
      <c r="BY46" s="1676">
        <f ca="1">INDEX(
  INDEX(TabConsolid[], , _xlfn.XMATCH(Tab_NewTRADER[[#This Row],[ClickTick]]&amp;1, TabConsolid[#Headers])),
  MATCH(
    -Tab_NewTRADER[[#This Row],[M]],
    INDEX(TabConsolid[], , _xlfn.XMATCH(Tab_NewTRADER[[#This Row],[ClickTick]]&amp;2, TabConsolid[#Headers])),
    -1
  )
)</f>
        <v>800</v>
      </c>
      <c r="BZ46" s="1676"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77">
        <f ca="1">Tab_NewTRADER[[#This Row],[ReBuy]]/(Tab_NewTRADER[[#This Row],[L_Sn]]+Tab_NewTRADER[[#This Row],[SellMore]])</f>
        <v>300.53727272727275</v>
      </c>
      <c r="CB46" s="1678">
        <f ca="1">((_xlfn.XLOOKUP(Tab_NewTRADER[[#This Row],[Show]],TabCalc[Ticker],TabCalc[NAfter])+Tab_NewTRADER[[#This Row],[L_Sn]])*(Tab_NewTRADER[[#This Row],[Agiotage]]-Tab_NewTRADER[[#This Row],[M]]))/(Tab_NewTRADER[[#This Row],[L_Sn]]*_xlfn.XLOOKUP(Tab_NewTRADER[[#This Row],[Show]],TabCalc[Ticker],TabCalc[NAfter]))</f>
        <v>-1.0796697383954599</v>
      </c>
      <c r="CC46" s="1677">
        <f ca="1">INDEX(Tab1Price[Price19], MATCH(Tab_NewTRADER[[#This Row],[Show]], Tab_NewTRADER[Show], 0))</f>
        <v>304.92</v>
      </c>
      <c r="CD46" s="1679">
        <f ca="1">_xlfn.XMATCH(Tab_NewTRADER[[#This Row],[Show]]&amp;1, TabConsolid[#Headers])</f>
        <v>131</v>
      </c>
      <c r="CE46" s="1678"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729" t="str" cm="1">
        <f t="array" aca="1" ref="CF46" ca="1">_xlfn.LET(
    _xlpm.FMT, _xlfn.LAMBDA(_xlpm.n, REPT(" ", 7 - LEN(TEXT(_xlpm.n,"0.00"))) &amp; TEXT(_xlpm.n,"0.00")),
    _xlpm.FMT(Tab_NewTRADER[[#This Row],[A]]) &amp; " -" &amp; _xlpm.FMT(Tab_NewTRADER[[#This Row],[M]]) &amp; " -" &amp; _xlpm.FMT(Tab_NewTRADER[[#This Row],[Y]])
)</f>
        <v xml:space="preserve"> 206.39 - 304.92 - 341.91</v>
      </c>
      <c r="CG46" s="1730" t="str" cm="1">
        <f t="array" aca="1" ref="CG46" ca="1">_xlfn.LET(
    _xlpm.W, 7,
    _xlpm.FMT, _xlfn.LAMBDA(_xlpm.n, REPT(" ", _xlpm.W - LEN(TEXT(_xlpm.n,"0.00"))) &amp; TEXT(_xlpm.n,"0.00")),
    _xlpm.FMT(Tab_NewTRADER[[#This Row],[A]]) &amp; " * " &amp; _xlpm.FMT(Tab_NewTRADER[[#This Row],[M]]) &amp; " * " &amp; _xlpm.FMT(Tab_NewTRADER[[#This Row],[Y]])
)</f>
        <v xml:space="preserve"> 206.39 *  304.92 *  341.91</v>
      </c>
      <c r="CH46" s="1843">
        <f>0</f>
        <v>0</v>
      </c>
      <c r="CI46" t="b">
        <f ca="1">IF(ABS(NewTrader!$Q46)&gt;=NewTrader!$Y46,"OK")</f>
        <v>0</v>
      </c>
    </row>
    <row r="47" spans="1:87" hidden="1">
      <c r="A47" s="1838">
        <f ca="1">IF(_xlfn.XLOOKUP(NewTrader!$V47,TabCalc[Ticker],TabCalc[Cur])="GBp",0.01,1)</f>
        <v>1</v>
      </c>
      <c r="B47" s="1620" t="str">
        <f ca="1">IFERROR(TRUNC(_xlfn.XLOOKUP(NewTrader!$V47,TabCalc[Ticker],ListLastBuyp),2)&amp;"x"&amp;_xlfn.XLOOKUP(NewTrader!$V47,TabCalc[Ticker],ListLastBuyn)&amp;"=    "&amp;IF(_xlfn.XLOOKUP(NewTrader!$V47,TabCalc[Ticker],ListReverseS)&gt;0,"+","")&amp;TEXT(_xlfn.XLOOKUP(NewTrader!$V47,TabCalc[Ticker],ListReverseS),"#,#0")&amp;" "&amp;#REF!,"")</f>
        <v/>
      </c>
      <c r="C47" s="1621" t="str">
        <f ca="1">_xlfn.XLOOKUP(NewTrader!$V47,TabCalc[Ticker],ListResale)&amp;" @ "&amp;TEXT((_xlfn.XLOOKUP(NewTrader!$V47,TabCalc[Ticker],TabCalc[L_Bp])+_xlfn.XLOOKUP(NewTrader!$V47,TabCalc[Ticker],TabCalc[M]))/_xlfn.XLOOKUP(NewTrader!$V47,TabCalc[Ticker],TabCalc[M]),"#0.0%")</f>
        <v>Resell @ 1.3%</v>
      </c>
      <c r="D47" s="1622"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718" t="str">
        <f ca="1">IF(      AND(NewTrader!$X47&lt;NewTrader!$Y47,    _xlfn.XLOOKUP(NewTrader!$V47,TabCalc[Ticker],TabCalc[L_Sp])&gt;NewTrader!$Y47),"BUY  "&amp;TEXT(DesiredBuyGain/NewTrader!$A47/(_xlfn.XLOOKUP(NewTrader!$V47,TabCalc[Ticker],TabCalc[L_Sp])-NewTrader!$Y47),"#,##0"),"")</f>
        <v/>
      </c>
      <c r="F47" s="1620" t="str">
        <f ca="1">TRUNC(TabCalc[[#This Row],[L_B1p]],2)&amp;"x"&amp;TabCalc[[#This Row],[L_B1n]]&amp;"=   "&amp;TEXT(TabCalc[[#This Row],[ReverseS1]],"#,#0")&amp;"$"</f>
        <v>-42.2x363=   -1,615$</v>
      </c>
      <c r="G47" s="1624" t="str">
        <f ca="1">IFERROR(TRUNC(_xlfn.XLOOKUP(NewTrader!$V47,TabCalc[Ticker],ListLastSalep),2)&amp;"x"&amp;_xlfn.XLOOKUP(NewTrader!$V47,TabCalc[Ticker],ListLastSalen)&amp;"=   "&amp;TEXT(-_xlfn.XLOOKUP(NewTrader!$V47,TabCalc[Ticker],ListReverseB),"#,#0")&amp;"$","")</f>
        <v>44.29x350=   -2,292$</v>
      </c>
      <c r="H47" s="1625"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17.3% = 764</v>
      </c>
      <c r="I47" s="1620" t="str">
        <f ca="1">IFERROR(TRUNC(TabCalc[[#This Row],[L_S1p]],2)&amp;"x"&amp;TabCalc[[#This Row],[L_S1n]]&amp;"=   "&amp;TEXT(TabCalc[[#This Row],[ReverseB1]],"#,#0"),"")</f>
        <v>43.37x2500=   14,050</v>
      </c>
      <c r="J47" s="1626">
        <f ca="1">_xlfn.XLOOKUP(NewTrader!$V47,TabCalc[Ticker],ListGravity)</f>
        <v>0</v>
      </c>
      <c r="K47" s="1627" cm="1">
        <f t="array" aca="1" ref="K47" ca="1">IF(_xlfn.XLOOKUP(NewTrader!$V47,NewTrader!$V$3:$V$96,ListExtra_n)&gt;0,_xlfn.XLOOKUP(NewTrader!$V47,NewTrader!$V$3:$V$96,ListExtra_n),"")</f>
        <v>2300</v>
      </c>
      <c r="L47" s="1628">
        <f ca="1">IF(_xlfn.XLOOKUP(NewTrader!$V47,TabCalc[Ticker],ListExtra_n)&gt;0,_xlfn.XLOOKUP(NewTrader!$V47,TabCalc[Ticker],ListExtra_n)*NewTrader!$Y47*_xlfn.XLOOKUP(NewTrader!$V47,TabCalc[Ticker],ListScale),"")</f>
        <v>86825</v>
      </c>
      <c r="M47" s="1629">
        <f ca="1">_xlfn.XLOOKUP(NewTrader!$V47,TabCalc[Ticker],TabCalc[Agiotage])</f>
        <v>9.2452830188679246E-3</v>
      </c>
      <c r="N47" s="1630" cm="1">
        <f t="array" aca="1" ref="N47" ca="1">_xlfn.XLOOKUP(NewTrader!$V47,ListTickers,Tab2RSIConventional[RSIConv20])</f>
        <v>87</v>
      </c>
      <c r="O47" s="1631" t="str">
        <f ca="1">TEXT(_xlfn.XLOOKUP(NewTrader!$V47,TabCalc[Ticker],TabCalc[Nbegin]),"#,#0")&amp;": "&amp;_xlfn.XLOOKUP(NewTrader!$V47,TabCalc[Ticker],TabCalc[Pile?])</f>
        <v>700: Pile</v>
      </c>
      <c r="P47" s="1632">
        <f ca="1">_xlfn.XLOOKUP(NewTrader!$V47,TabCalc[Ticker],TabCalc[L_Bn])</f>
        <v>350</v>
      </c>
      <c r="Q47" s="1727">
        <f ca="1">_xlfn.XLOOKUP(NewTrader!$V47,TabCalc[Ticker],TabCalc[L_Bp])</f>
        <v>-37.240699999999997</v>
      </c>
      <c r="R47" s="1634">
        <f ca="1">(NewTrader!$Y47+NewTrader!$Q47)/ABS(NewTrader!$Q47)</f>
        <v>1.3675897606650875E-2</v>
      </c>
      <c r="S47" s="259">
        <f ca="1">INT(_xlfn.XLOOKUP(NewTrader!$V47,TabCalc[Ticker],TabCalc[Rev(MinStock)])*Comm_Net)</f>
        <v>176</v>
      </c>
      <c r="T47" s="1635">
        <f ca="1">_xlfn.XLOOKUP(NewTrader!$V47,TabCalc[Ticker],TabCalc[Agiotage])</f>
        <v>9.2452830188679246E-3</v>
      </c>
      <c r="U47" s="1719"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-3,000/-3,000=&gt;-0.8% / -0.8%</v>
      </c>
      <c r="V47" s="1578" t="str">
        <f ca="1">SORTING!B47</f>
        <v>UN0</v>
      </c>
      <c r="W47" s="1764">
        <f ca="1">_xlfn.XLOOKUP(NewTrader!$V47,TabCalc[Ticker],TabCalc[Y])</f>
        <v>0</v>
      </c>
      <c r="X47" s="1639">
        <f ca="1">-_xlfn.XLOOKUP(NewTrader!$V47&amp;2,Consolid!B$3:JZ$3,Consolid!B$4:JZ$4)</f>
        <v>41.707508310000001</v>
      </c>
      <c r="Y47" s="1639">
        <f ca="1">_xlfn.XLOOKUP(NewTrader!$V47,TabCalc[Ticker],TabCalc[M])</f>
        <v>37.75</v>
      </c>
      <c r="Z47" s="1640">
        <f ca="1">_xlfn.XLOOKUP(NewTrader!$V47,[1]!RTData[Ticker_Symbol],[1]!RTData[YTChange])</f>
        <v>0</v>
      </c>
      <c r="AA47" s="1640" cm="1">
        <f t="array" aca="1" ref="AA47" ca="1">_xlfn.XLOOKUP(NewTrader!$V47,ListTickers,Tab1ChangePercent[Change%19])</f>
        <v>-7.8840000000000004E-3</v>
      </c>
      <c r="AB47" s="1641">
        <f ca="1">_xlfn.XLOOKUP(NewTrader!$V47,TabCalc[Ticker],TabCalc[NAfter])</f>
        <v>3000</v>
      </c>
      <c r="AC47" s="1641">
        <f ca="1">_xlfn.XLOOKUP(NewTrader!$V47,TabCalc[Ticker],TabCalc[Nbegin])</f>
        <v>700</v>
      </c>
      <c r="AD47" s="1642" t="str">
        <f ca="1">_xlfn.LET(_xlpm.PILE,_xlfn.XLOOKUP(NewTrader!$V47,TabCalc[Ticker],TabCalc[Pile?]),                    _xlpm.GL,_xlfn.XLOOKUP(NewTrader!$V47,TabCalc[Ticker],TabCalc[GL]),                        _xlpm.GLK,_xlfn.XLOOKUP(NewTrader!$V47,TabCalc[Ticker],TabCalc[GL])/1000,                             _xlpm.MVal,_xlfn.XLOOKUP(NewTrader!$V47,TabCalc[Ticker],TabCalc[M_V])/1000,                   _xlpm.PILE&amp;" "&amp;IF(_xlpm.GL&lt;0,TEXT(_xlpm.GLK,"#,#0")&amp;"K /"&amp;TEXT(_xlpm.MVal,"#,#0")&amp;" K$","^"&amp;TEXT(_xlpm.GLK,"#,#0")&amp;"K / "&amp;TEXT(_xlpm.MVal,"#,#0")&amp;" K$"))</f>
        <v>Pile -177K /113 K$</v>
      </c>
      <c r="AE47" s="1720" t="str">
        <f ca="1">_xlfn.XLOOKUP(NewTrader!$V47,[1]!RTData[Ticker_Symbol],[1]!RTData[Currency])</f>
        <v>EUR</v>
      </c>
      <c r="AF47" s="1721"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Reverse Sale</v>
      </c>
      <c r="AG4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698" t="str" cm="1">
        <f t="array" aca="1" ref="AH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177 @ 37.75 : (1.3%, 3.4%)</v>
      </c>
      <c r="AI4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47" s="1651" t="str" cm="1">
        <f t="array" aca="1" ref="AJ47" ca="1">_xlfn.IFS(Tab_NewTRADER[[#This Row],[State]]="Sell More",TEXT(MIN(Tab_NewTRADER[[#This Row],[N]],Tab_NewTRADER[[#This Row],[L_Bn]])*(Tab_NewTRADER[[#This Row],[M]]-Tab_NewTRADER[[#This Row],[L_Sp]])*Tab_NewTRADER[[#This Row],[Scale]]*ComFactor,"#,#0"), TRUE,"M= "&amp;TEXT(Tab_NewTRADER[[#This Row],[M]],"#,#0.00"))</f>
        <v>M= 37.75</v>
      </c>
      <c r="AK47" s="1699" cm="1">
        <f t="array" aca="1" ref="AK47" ca="1">_xlfn.IFS(Tab_NewTRADER[[#This Row],[Y]]&gt;Tab_NewTRADER[[#This Row],[A]],                 TEXT(MIN(Tab_NewTRADER[[#This Row],[L_Bn]],Tab_NewTRADER[[#This Row],[N]])*(Tab_NewTRADER[[#This Row],[M]]-Tab_NewTRADER[[#This Row],[A]])*Tab_NewTRADER[[#This Row],[Scale]]*ComFactor,"#,#0"), TRUE,0)</f>
        <v>0</v>
      </c>
      <c r="AL47" s="1700" cm="1">
        <f t="array" aca="1" ref="AL47" ca="1">_xlfn.IFS(Tab_NewTRADER[[#This Row],[M]]&gt;Tab_NewTRADER[[#This Row],[A]],                  Tab_NewTRADER[[#This Row],[N]]*(Tab_NewTRADER[[#This Row],[M]]-Tab_NewTRADER[[#This Row],[A]])*Tab_NewTRADER[[#This Row],[Scale]]*ComFactor, TRUE,0)</f>
        <v>0</v>
      </c>
      <c r="AM47" s="1592" t="str">
        <f ca="1">_xlfn.XLOOKUP(Tab_NewTRADER[[#This Row],[Show]],TabCalc[Ticker],TabCalc[Max_Bn])&amp;" x "&amp;TEXT(_xlfn.XLOOKUP(Tab_NewTRADER[[#This Row],[Show]],TabCalc[Ticker],TabCalc[Max_Bp]),"#,#0.00")</f>
        <v>2150 x 42.22</v>
      </c>
      <c r="AN47" s="1650" t="str">
        <f ca="1">NewTrader!$V47</f>
        <v>UN0</v>
      </c>
      <c r="AO47" s="1651" t="str">
        <f ca="1">TEXT(_xlfn.XLOOKUP(Tab_NewTRADER[[#This Row],[ClickTick]],TabCalc[Ticker],TabCalc[NAfter]),"#,#0")&amp;"x"&amp;_xlfn.XLOOKUP(Tab_NewTRADER[[#This Row],[ClickTick]],TabCalc[Ticker],TabCalc[M])&amp;"           (A: "&amp;TEXT(-_xlfn.XLOOKUP(Tab_NewTRADER[[#This Row],[ClickTick]]&amp;2,Consolid!B$3:JZ$3,Consolid!B$4:JZ$4),"#,??0.00")&amp;")"</f>
        <v>3,000x37.75           (A:  41.71)</v>
      </c>
      <c r="AP47" s="1592" t="str">
        <f ca="1">_xlfn.XLOOKUP(Tab_NewTRADER[[#This Row],[Show]],TabCalc[Ticker],TabCalc[Min_Sn])&amp;" x "&amp;TEXT(_xlfn.XLOOKUP(Tab_NewTRADER[[#This Row],[Show]],TabCalc[Ticker],TabCalc[Min_Sp]),"#,#0.00")</f>
        <v>100 x 43.37</v>
      </c>
      <c r="AQ4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702" t="str" cm="1">
        <f t="array" aca="1" ref="AR47" ca="1">_xlfn.IFS(Tab_NewTRADER[[#This Row],[State]]="Reverse Buy",TEXT(-Tab_NewTRADER[[#This Row],[Buy_Back]],"#,#0")&amp;" / "&amp;TEXT(Tab_NewTRADER[[#This Row],[Rev_Buy]],"#,#0.0%"),TRUE,Tab_NewTRADER[[#This Row],[AMY]])</f>
        <v xml:space="preserve">  41.71 -  37.75 -   0.00</v>
      </c>
      <c r="AS47" s="1651"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-1,524       / -01.3%</v>
      </c>
      <c r="AT47" s="1699"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-11,842   / -10.5%</v>
      </c>
      <c r="AU47" s="1699" t="str" cm="1">
        <f t="array" aca="1" ref="AU47" ca="1">_xlfn.IFS(Tab_NewTRADER[[#This Row],[M]]&lt;Tab_NewTRADER[[#This Row],[A]],TEXT(Tab_NewTRADER[[#This Row],[N]]*Tab_NewTRADER[[#This Row],[M]]*Tab_NewTRADER[[#This Row],[Scale]]*Comm_Net,"#,#0")&amp;" @ "&amp;TEXT(Tab_NewTRADER[[#This Row],[M]],"#,#0.#0"),TRUE,"M: "&amp; Tab_NewTRADER[[#This Row],[M]])</f>
        <v>112,944 @ 37.75</v>
      </c>
      <c r="AV47" s="1740" cm="1">
        <f t="array" aca="1" ref="AV47" ca="1">-_xlfn.XLOOKUP(
    Tab_NewTRADER[[#This Row],[Show]] &amp; 2,
    TabConsolid[#Headers],
    INDEX(TabConsolid[], 1, 0)
)</f>
        <v>41.707508310000001</v>
      </c>
      <c r="AW47" s="1741">
        <f ca="1">Tab_NewTRADER[[#This Row],[M]]*Tab_NewTRADER[[#This Row],[N]]*(1-Commission)*Tab_NewTRADER[[#This Row],[Scale]]</f>
        <v>112955.54999999999</v>
      </c>
      <c r="AX47" s="1705"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705"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706" t="str" cm="1">
        <f t="array" aca="1" ref="AZ47" ca="1">_xlfn.IFS(   Tab_NewTRADER[[#This Row],[State]]=SellMorePercentGain,                     MIN(Tab_NewTRADER[[#This Row],[L_Sn]],Tab_NewTRADER[[#This Row],[N]])*(Tab_NewTRADER[[#This Row],[M]]-Tab_NewTRADER[[#This Row],[L_Sp]])*(1-Commission)*Tab_NewTRADER[[#This Row],[Scale]],                    TRUE,"")</f>
        <v/>
      </c>
      <c r="BA47" s="1707">
        <f ca="1">_xlfn.XLOOKUP(NewTrader!$V47,TabCalc[Ticker],TabCalc[Ann%RevLB])</f>
        <v>3.372139135886517E-2</v>
      </c>
      <c r="BB47" s="1708" t="str">
        <f ca="1">_xlfn.XLOOKUP(NewTrader!$V47,TabCalc[Ticker],TabCalc[Up20])</f>
        <v>//56%</v>
      </c>
      <c r="BC47" s="1742"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706" t="str" cm="1">
        <f t="array" aca="1" ref="BD47" ca="1">_xlfn.IFS(         NewTrader!$AF47=MDown,NewTrader!$P47*NewTrader!$Y47*(-(NewTrader!$Q47+NewTrader!$Y47)/NewTrader!$Y47)*(1-Commission)*NewTrader!$A47,                               TRUE,"")</f>
        <v/>
      </c>
      <c r="BE47" s="1705" t="str" cm="1">
        <f t="array" aca="1" ref="BE47" ca="1">_xlfn.IFS(   NewTrader!$AF47=MUp,NewTrader!$BP47-Commission,        NewTrader!$AF47=MDown,(NewTrader!$X47-NewTrader!$Y47)/NewTrader!$Y47-Commission,                              TRUE,"")</f>
        <v/>
      </c>
      <c r="BF47" s="1706"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710" t="e" cm="1">
        <f t="array" aca="1" ref="BG47" ca="1">_xlfn.LET(_xlpm.SumChTxt,TEXT(_xlfn.XLOOKUP(NewTrader!$V47,ListTickers,Tab2SumChangePercent[AVGChan20]),"#0.0%"),
      _xlfn.IFS(NewTrader!$AF47=NoStock,_xlpm.SumChTxt,
      TRUE, IF(NewTrader!$AF47=SellMorePercentGain,             "SumChange "&amp;_xlpm.SumChTxt,                         "&lt;"&amp;INT(_xlfn.XLOOKUP(NewTrader!$V47,ListTickers,Tab2ReverseGL[Rev_GL19]))&amp;    "&lt;"&amp;INT(_xlfn.XLOOKUP(NewTrader!$V47,ListTickers,Tab2ReverseGL[Rev_GL18]))&amp;":      "&amp;_xlpm.SumChTxt)))</f>
        <v>#VALUE!</v>
      </c>
      <c r="BH47" s="1711" t="str"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M&gt;L_Bp</v>
      </c>
      <c r="BI47" s="1712" cm="1">
        <f t="array" aca="1" ref="BI47" ca="1">_xlfn.IFS(NewTrader!$AF47=Sale_Back,"",         NewTrader!$AF47=MDown, (NewTrader!$Y47-NewTrader!$X47)/NewTrader!$X47*ComFactor,             TRUE, IFERROR((NewTrader!$Y47-NewTrader!$X47)/NewTrader!$X47*ComFactor,""))</f>
        <v>-9.4640484371673578E-2</v>
      </c>
      <c r="BJ47" s="1664" cm="1">
        <f t="array" aca="1" ref="BJ47" ca="1">_xlfn.IFS(               NewTrader!$AF47=NoStock,(NewTrader!$BL47-NewTrader!$Y47)/NewTrader!$Y47-Commission,             NewTrader!$X47&lt;&gt;0,(NewTrader!$X47-NewTrader!$Y47)/NewTrader!$Y47-Commission)</f>
        <v>0.10223465721854308</v>
      </c>
      <c r="BK47" s="1726">
        <f ca="1">_xlfn.XLOOKUP(NewTrader!$V47,TabCalc[Ticker],TabCalc[L_Sn])</f>
        <v>350</v>
      </c>
      <c r="BL47" s="1727">
        <f ca="1">_xlfn.XLOOKUP(NewTrader!$V47,TabCalc[Ticker],TabCalc[L_Sp])</f>
        <v>44.298769999999998</v>
      </c>
      <c r="BM47" s="1634">
        <f ca="1">-IFERROR((Tab_NewTRADER[[#This Row],[M]]-Tab_NewTRADER[[#This Row],[L_Sp]])/Tab_NewTRADER[[#This Row],[L_Sp]],0)</f>
        <v>0.1478318698239251</v>
      </c>
      <c r="BN47" s="1728">
        <f ca="1">MIN(Tab_NewTRADER[[#This Row],[L_Sn]],Tab_NewTRADER[[#This Row],[N]])*(Tab_NewTRADER[[#This Row],[M]]-Tab_NewTRADER[[#This Row],[L_Sp]])*Comm_Net*Tab_NewTRADER[[#This Row],[Scale]]</f>
        <v>-2285.8809123499991</v>
      </c>
      <c r="BO47" s="1715">
        <f ca="1">Tab_NewTRADER[[#This Row],[L_Sn]]*(Tab_NewTRADER[[#This Row],[Agiotage]]-Tab_NewTRADER[[#This Row],[M]])/(Tab_NewTRADER[[#This Row],[L_Bn]]*Tab_NewTRADER[[#This Row],[M]])</f>
        <v>-0.99975509184055977</v>
      </c>
      <c r="BP47" s="1670">
        <f ca="1">IFERROR((Tab_NewTRADER[[#This Row],[M]]-Tab_NewTRADER[[#This Row],[A]])/Tab_NewTRADER[[#This Row],[A]],0)</f>
        <v>-9.488719106845156E-2</v>
      </c>
      <c r="BQ47" s="1671" t="str">
        <f ca="1">TEXT(_xlfn.XLOOKUP(Tab_NewTRADER[[#This Row],[ClickTick]],TabCalc[Ticker],TabCalc[NAfter]),"#,#0")&amp;" : "&amp;TEXT(_xlfn.XLOOKUP(Tab_NewTRADER[[#This Row],[ClickTick]],TabCalc[Ticker],TabCalc[NAfter])*(Tab_NewTRADER[[#This Row],[M]]-Tab_NewTRADER[[#This Row],[A]])*(1-Commission)*Tab_NewTRADER[[#This Row],[Scale]],"#,#0$")</f>
        <v>3,000 : -11,842$</v>
      </c>
      <c r="BR47" s="259">
        <f ca="1">_xlfn.XLOOKUP(NewTrader!$V47,TabCalc[[#This Row],[Ticker]],TabCalc[[#This Row],[GL]])*(1-Commission)</f>
        <v>-176822.5615954008</v>
      </c>
      <c r="BS47" s="259"/>
      <c r="BT47" s="1672" t="str">
        <f ca="1">Tab_NewTRADER[[#This Row],[Show]]&amp;": "&amp;_xlfn.XLOOKUP(Tab_NewTRADER[[#This Row],[Show]],TabCalc[Ticker],TabCalc[Pile?])</f>
        <v>UN0: Pile</v>
      </c>
      <c r="BU47" s="1717" t="s">
        <v>1906</v>
      </c>
      <c r="BV47" s="1765" t="str" cm="1">
        <f t="array" aca="1" ref="BV47" ca="1">_xlfn.TEXTJOIN("",,INDEX({"M","A","Y"}, _xlfn.SORTBY({1,2,3}, -CHOOSE({1,2,3}, Tab_NewTRADER[[#This Row],[M]], Tab_NewTRADER[[#This Row],[A]], Tab_NewTRADER[[#This Row],[Y]]))))</f>
        <v>AMY</v>
      </c>
      <c r="BW47" s="1675"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76" t="e">
        <f ca="1">Tab_NewTRADER[[#This Row],[L_Sn]]*Tab_NewTRADER[[#This Row],[L_Sp]]+Tab_NewTRADER[[#This Row],[SellMore]]*Tab_NewTRADER[[#This Row],[M]]</f>
        <v>#N/A</v>
      </c>
      <c r="BY47" s="1676" t="e">
        <f ca="1">INDEX(
  INDEX(TabConsolid[], , _xlfn.XMATCH(Tab_NewTRADER[[#This Row],[ClickTick]]&amp;1, TabConsolid[#Headers])),
  MATCH(
    -Tab_NewTRADER[[#This Row],[M]],
    INDEX(TabConsolid[], , _xlfn.XMATCH(Tab_NewTRADER[[#This Row],[ClickTick]]&amp;2, TabConsolid[#Headers])),
    -1
  )
)</f>
        <v>#N/A</v>
      </c>
      <c r="BZ47" s="1676"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77" t="e">
        <f ca="1">Tab_NewTRADER[[#This Row],[ReBuy]]/(Tab_NewTRADER[[#This Row],[L_Sn]]+Tab_NewTRADER[[#This Row],[SellMore]])</f>
        <v>#N/A</v>
      </c>
      <c r="CB47" s="1678">
        <f ca="1">((_xlfn.XLOOKUP(Tab_NewTRADER[[#This Row],[Show]],TabCalc[Ticker],TabCalc[NAfter])+Tab_NewTRADER[[#This Row],[L_Sn]])*(Tab_NewTRADER[[#This Row],[Agiotage]]-Tab_NewTRADER[[#This Row],[M]]))/(Tab_NewTRADER[[#This Row],[L_Sn]]*_xlfn.XLOOKUP(Tab_NewTRADER[[#This Row],[Show]],TabCalc[Ticker],TabCalc[NAfter]))</f>
        <v>-0.12041097933513026</v>
      </c>
      <c r="CC47" s="1677">
        <f ca="1">INDEX(Tab1Price[Price19], MATCH(Tab_NewTRADER[[#This Row],[Show]], Tab_NewTRADER[Show], 0))</f>
        <v>37.75</v>
      </c>
      <c r="CD47" s="1679">
        <f ca="1">_xlfn.XMATCH(Tab_NewTRADER[[#This Row],[Show]]&amp;1, TabConsolid[#Headers])</f>
        <v>134</v>
      </c>
      <c r="CE47" s="1678"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7" s="1729" t="str" cm="1">
        <f t="array" aca="1" ref="CF47" ca="1">_xlfn.LET(
    _xlpm.FMT, _xlfn.LAMBDA(_xlpm.n, REPT(" ", 7 - LEN(TEXT(_xlpm.n,"0.00"))) &amp; TEXT(_xlpm.n,"0.00")),
    _xlpm.FMT(Tab_NewTRADER[[#This Row],[A]]) &amp; " -" &amp; _xlpm.FMT(Tab_NewTRADER[[#This Row],[M]]) &amp; " -" &amp; _xlpm.FMT(Tab_NewTRADER[[#This Row],[Y]])
)</f>
        <v xml:space="preserve">  41.71 -  37.75 -   0.00</v>
      </c>
      <c r="CG47" s="1730" t="str" cm="1">
        <f t="array" aca="1" ref="CG47" ca="1">_xlfn.LET(
    _xlpm.W, 7,
    _xlpm.FMT, _xlfn.LAMBDA(_xlpm.n, REPT(" ", _xlpm.W - LEN(TEXT(_xlpm.n,"0.00"))) &amp; TEXT(_xlpm.n,"0.00")),
    _xlpm.FMT(Tab_NewTRADER[[#This Row],[A]]) &amp; " * " &amp; _xlpm.FMT(Tab_NewTRADER[[#This Row],[M]]) &amp; " * " &amp; _xlpm.FMT(Tab_NewTRADER[[#This Row],[Y]])
)</f>
        <v xml:space="preserve">  41.71 *   37.75 *    0.00</v>
      </c>
      <c r="CH47" s="1843">
        <f>0</f>
        <v>0</v>
      </c>
      <c r="CI47" t="b">
        <f ca="1">IF(ABS(NewTrader!$Q47)&gt;=NewTrader!$Y47,"OK")</f>
        <v>0</v>
      </c>
    </row>
    <row r="48" spans="1:87" hidden="1">
      <c r="A48" s="1839">
        <f ca="1">IF(_xlfn.XLOOKUP(NewTrader!$V48,TabCalc[Ticker],TabCalc[Cur])="GBp",0.01,1)</f>
        <v>1</v>
      </c>
      <c r="B48" s="1681" t="str">
        <f ca="1">IFERROR(TRUNC(_xlfn.XLOOKUP(NewTrader!$V48,TabCalc[Ticker],ListLastBuyp),2)&amp;"x"&amp;_xlfn.XLOOKUP(NewTrader!$V48,TabCalc[Ticker],ListLastBuyn)&amp;"=    "&amp;IF(_xlfn.XLOOKUP(NewTrader!$V48,TabCalc[Ticker],ListReverseS)&gt;0,"+","")&amp;TEXT(_xlfn.XLOOKUP(NewTrader!$V48,TabCalc[Ticker],ListReverseS),"#,#0")&amp;" "&amp;#REF!,"")</f>
        <v/>
      </c>
      <c r="C48" s="1682" t="str">
        <f ca="1">_xlfn.XLOOKUP(NewTrader!$V48,TabCalc[Ticker],ListResale)&amp;" @ "&amp;TEXT((_xlfn.XLOOKUP(NewTrader!$V48,TabCalc[Ticker],TabCalc[L_Bp])+_xlfn.XLOOKUP(NewTrader!$V48,TabCalc[Ticker],TabCalc[M]))/_xlfn.XLOOKUP(NewTrader!$V48,TabCalc[Ticker],TabCalc[M]),"#0.0%")</f>
        <v>B_more @ -28.5%</v>
      </c>
      <c r="D48" s="1683"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84" t="str">
        <f ca="1">IF(      AND(NewTrader!$X48&lt;NewTrader!$Y48,    _xlfn.XLOOKUP(NewTrader!$V48,TabCalc[Ticker],TabCalc[L_Sp])&gt;NewTrader!$Y48),"BUY  "&amp;TEXT(DesiredBuyGain/NewTrader!$A48/(_xlfn.XLOOKUP(NewTrader!$V48,TabCalc[Ticker],TabCalc[L_Sp])-NewTrader!$Y48),"#,##0"),"")</f>
        <v/>
      </c>
      <c r="F48" s="1681" t="str">
        <f ca="1">TRUNC(TabCalc[[#This Row],[L_B1p]],2)&amp;"x"&amp;TabCalc[[#This Row],[L_B1n]]&amp;"=   "&amp;TEXT(TabCalc[[#This Row],[ReverseS1]],"#,#0")&amp;"$"</f>
        <v>0x0=   0$</v>
      </c>
      <c r="G48" s="1685" t="str">
        <f ca="1">IFERROR(TRUNC(_xlfn.XLOOKUP(NewTrader!$V48,TabCalc[Ticker],ListLastSalep),2)&amp;"x"&amp;_xlfn.XLOOKUP(NewTrader!$V48,TabCalc[Ticker],ListLastSalen)&amp;"=   "&amp;TEXT(-_xlfn.XLOOKUP(NewTrader!$V48,TabCalc[Ticker],ListReverseB),"#,#0")&amp;"$","")</f>
        <v>0x0=   0$</v>
      </c>
      <c r="H48" s="1686"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81" t="str">
        <f ca="1">IFERROR(TRUNC(TabCalc[[#This Row],[L_S1p]],2)&amp;"x"&amp;TabCalc[[#This Row],[L_S1n]]&amp;"=   "&amp;TEXT(TabCalc[[#This Row],[ReverseB1]],"#,#0"),"")</f>
        <v>0x0=   0</v>
      </c>
      <c r="J48" s="1687">
        <f ca="1">_xlfn.XLOOKUP(NewTrader!$V48,TabCalc[Ticker],ListGravity)</f>
        <v>0.99447513812154698</v>
      </c>
      <c r="K48" s="1688" cm="1">
        <f t="array" aca="1" ref="K48" ca="1">IF(_xlfn.XLOOKUP(NewTrader!$V48,NewTrader!$V$3:$V$96,ListExtra_n)&gt;0,_xlfn.XLOOKUP(NewTrader!$V48,NewTrader!$V$3:$V$96,ListExtra_n),"")</f>
        <v>5235</v>
      </c>
      <c r="L48" s="1689">
        <f ca="1">IF(_xlfn.XLOOKUP(NewTrader!$V48,TabCalc[Ticker],ListExtra_n)&gt;0,_xlfn.XLOOKUP(NewTrader!$V48,TabCalc[Ticker],ListExtra_n)*NewTrader!$Y48*_xlfn.XLOOKUP(NewTrader!$V48,TabCalc[Ticker],ListScale),"")</f>
        <v>37901.4</v>
      </c>
      <c r="M48" s="1690">
        <f ca="1">_xlfn.XLOOKUP(NewTrader!$V48,TabCalc[Ticker],TabCalc[Agiotage])</f>
        <v>1.8710369154732505</v>
      </c>
      <c r="N48" s="1691" t="e" cm="1">
        <f t="array" aca="1" ref="N48" ca="1">_xlfn.XLOOKUP(NewTrader!$V48,ListTickers,Tab2RSIConventional[RSIConv20])</f>
        <v>#REF!</v>
      </c>
      <c r="O48" s="1631" t="str">
        <f ca="1">TEXT(_xlfn.XLOOKUP(NewTrader!$V48,TabCalc[Ticker],TabCalc[Nbegin]),"#,#0")&amp;": "&amp;_xlfn.XLOOKUP(NewTrader!$V48,TabCalc[Ticker],TabCalc[Pile?])</f>
        <v xml:space="preserve">2,000: </v>
      </c>
      <c r="P48" s="1692">
        <f ca="1">_xlfn.XLOOKUP(NewTrader!$V48,TabCalc[Ticker],TabCalc[L_Bn])</f>
        <v>7235</v>
      </c>
      <c r="Q48" s="1693">
        <f ca="1">_xlfn.XLOOKUP(NewTrader!$V48,TabCalc[Ticker],TabCalc[L_Bp])</f>
        <v>-9.3000000000000007</v>
      </c>
      <c r="R48" s="1694">
        <f ca="1">(NewTrader!$Y48+NewTrader!$Q48)/ABS(NewTrader!$Q48)</f>
        <v>-0.22150537634408607</v>
      </c>
      <c r="S48" s="262">
        <f ca="1">INT(_xlfn.XLOOKUP(NewTrader!$V48,TabCalc[Ticker],TabCalc[Rev(MinStock)])*Comm_Net)</f>
        <v>-14824</v>
      </c>
      <c r="T48" s="1635">
        <f ca="1">_xlfn.XLOOKUP(NewTrader!$V48,TabCalc[Ticker],TabCalc[Agiotage])</f>
        <v>1.8710369154732505</v>
      </c>
      <c r="U48" s="1695"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3,328/3,328=&gt;7.3% / 7.3%</v>
      </c>
      <c r="V48" s="1578" t="str">
        <f ca="1">SORTING!B48</f>
        <v>UNIT</v>
      </c>
      <c r="W48" s="1637">
        <f ca="1">_xlfn.XLOOKUP(NewTrader!$V48,TabCalc[Ticker],TabCalc[Y])</f>
        <v>7.2</v>
      </c>
      <c r="X48" s="1639">
        <f ca="1">-_xlfn.XLOOKUP(NewTrader!$V48&amp;2,Consolid!B$3:JZ$3,Consolid!B$4:JZ$4)</f>
        <v>9.3241800000000001</v>
      </c>
      <c r="Y48" s="1639">
        <f ca="1">_xlfn.XLOOKUP(NewTrader!$V48,TabCalc[Ticker],TabCalc[M])</f>
        <v>7.24</v>
      </c>
      <c r="Z48" s="1640">
        <f ca="1">_xlfn.XLOOKUP(NewTrader!$V48,[1]!RTData[Ticker_Symbol],[1]!RTData[YTChange])</f>
        <v>-0.82978723404255317</v>
      </c>
      <c r="AA48" s="1640" cm="1">
        <f t="array" aca="1" ref="AA48" ca="1">_xlfn.XLOOKUP(NewTrader!$V48,ListTickers,Tab1ChangePercent[Change%19])</f>
        <v>7.2592999999999991E-2</v>
      </c>
      <c r="AB48" s="1641">
        <f ca="1">_xlfn.XLOOKUP(NewTrader!$V48,TabCalc[Ticker],TabCalc[NAfter])</f>
        <v>7235</v>
      </c>
      <c r="AC48" s="1641">
        <f ca="1">_xlfn.XLOOKUP(NewTrader!$V48,TabCalc[Ticker],TabCalc[Nbegin])</f>
        <v>2000</v>
      </c>
      <c r="AD48" s="1642" t="str">
        <f ca="1">_xlfn.LET(_xlpm.PILE,_xlfn.XLOOKUP(NewTrader!$V48,TabCalc[Ticker],TabCalc[Pile?]),                    _xlpm.GL,_xlfn.XLOOKUP(NewTrader!$V48,TabCalc[Ticker],TabCalc[GL]),                        _xlpm.GLK,_xlfn.XLOOKUP(NewTrader!$V48,TabCalc[Ticker],TabCalc[GL])/1000,                             _xlpm.MVal,_xlfn.XLOOKUP(NewTrader!$V48,TabCalc[Ticker],TabCalc[M_V])/1000,                   _xlpm.PILE&amp;" "&amp;IF(_xlpm.GL&lt;0,TEXT(_xlpm.GLK,"#,#0")&amp;"K /"&amp;TEXT(_xlpm.MVal,"#,#0")&amp;" K$","^"&amp;TEXT(_xlpm.GLK,"#,#0")&amp;"K / "&amp;TEXT(_xlpm.MVal,"#,#0")&amp;" K$"))</f>
        <v xml:space="preserve"> -15K /52 K$</v>
      </c>
      <c r="AE48" s="1720" t="str">
        <f ca="1">_xlfn.XLOOKUP(NewTrader!$V48,[1]!RTData[Ticker_Symbol],[1]!RTData[Currency])</f>
        <v>USD</v>
      </c>
      <c r="AF48" s="1721"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698" t="str" cm="1">
        <f t="array" aca="1" ref="AH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7.24 -   7.20</v>
      </c>
      <c r="AI4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7.3%</v>
      </c>
      <c r="AJ48" s="1651" t="str" cm="1">
        <f t="array" aca="1" ref="AJ48" ca="1">_xlfn.IFS(Tab_NewTRADER[[#This Row],[State]]="Sell More",TEXT(MIN(Tab_NewTRADER[[#This Row],[N]],Tab_NewTRADER[[#This Row],[L_Bn]])*(Tab_NewTRADER[[#This Row],[M]]-Tab_NewTRADER[[#This Row],[L_Sp]])*Tab_NewTRADER[[#This Row],[Scale]]*ComFactor,"#,#0"), TRUE,"M= "&amp;TEXT(Tab_NewTRADER[[#This Row],[M]],"#,#0.00"))</f>
        <v>M= 7.24</v>
      </c>
      <c r="AK48" s="1699" cm="1">
        <f t="array" aca="1" ref="AK48" ca="1">_xlfn.IFS(Tab_NewTRADER[[#This Row],[Y]]&gt;Tab_NewTRADER[[#This Row],[A]],                 TEXT(MIN(Tab_NewTRADER[[#This Row],[L_Bn]],Tab_NewTRADER[[#This Row],[N]])*(Tab_NewTRADER[[#This Row],[M]]-Tab_NewTRADER[[#This Row],[A]])*Tab_NewTRADER[[#This Row],[Scale]]*ComFactor,"#,#0"), TRUE,0)</f>
        <v>0</v>
      </c>
      <c r="AL48" s="1700" cm="1">
        <f t="array" aca="1" ref="AL48" ca="1">_xlfn.IFS(Tab_NewTRADER[[#This Row],[M]]&gt;Tab_NewTRADER[[#This Row],[A]],                  Tab_NewTRADER[[#This Row],[N]]*(Tab_NewTRADER[[#This Row],[M]]-Tab_NewTRADER[[#This Row],[A]])*Tab_NewTRADER[[#This Row],[Scale]]*ComFactor, TRUE,0)</f>
        <v>0</v>
      </c>
      <c r="AM48" s="1592" t="str">
        <f ca="1">_xlfn.XLOOKUP(Tab_NewTRADER[[#This Row],[Show]],TabCalc[Ticker],TabCalc[Max_Bn])&amp;" x "&amp;TEXT(_xlfn.XLOOKUP(Tab_NewTRADER[[#This Row],[Show]],TabCalc[Ticker],TabCalc[Max_Bp]),"#,#0.00")</f>
        <v>7235 x 9.32</v>
      </c>
      <c r="AN48" s="1650" t="str">
        <f ca="1">NewTrader!$V48</f>
        <v>UNIT</v>
      </c>
      <c r="AO48" s="1651" t="str">
        <f ca="1">TEXT(_xlfn.XLOOKUP(Tab_NewTRADER[[#This Row],[ClickTick]],TabCalc[Ticker],TabCalc[NAfter]),"#,#0")&amp;"x"&amp;_xlfn.XLOOKUP(Tab_NewTRADER[[#This Row],[ClickTick]],TabCalc[Ticker],TabCalc[M])&amp;"           (A: "&amp;TEXT(-_xlfn.XLOOKUP(Tab_NewTRADER[[#This Row],[ClickTick]]&amp;2,Consolid!B$3:JZ$3,Consolid!B$4:JZ$4),"#,??0.00")&amp;")"</f>
        <v>7,235x7.24           (A:   9.32)</v>
      </c>
      <c r="AP48" s="1592" t="str">
        <f ca="1">_xlfn.XLOOKUP(Tab_NewTRADER[[#This Row],[Show]],TabCalc[Ticker],TabCalc[Min_Sn])&amp;" x "&amp;TEXT(_xlfn.XLOOKUP(Tab_NewTRADER[[#This Row],[Show]],TabCalc[Ticker],TabCalc[Min_Sp]),"#,#0.00")</f>
        <v>0 x 0.00</v>
      </c>
      <c r="AQ4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702" t="str" cm="1">
        <f t="array" aca="1" ref="AR48" ca="1">_xlfn.IFS(Tab_NewTRADER[[#This Row],[State]]="Reverse Buy",TEXT(-Tab_NewTRADER[[#This Row],[Buy_Back]],"#,#0")&amp;" / "&amp;TEXT(Tab_NewTRADER[[#This Row],[Rev_Buy]],"#,#0.0%"),TRUE,Tab_NewTRADER[[#This Row],[AMY]])</f>
        <v xml:space="preserve">   9.32 -   7.24 -   7.20</v>
      </c>
      <c r="AS48" s="1651"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14,865       / 28.5%</v>
      </c>
      <c r="AT48" s="1699"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-15,040   / -28.8%</v>
      </c>
      <c r="AU48" s="1699" t="str" cm="1">
        <f t="array" aca="1" ref="AU48" ca="1">_xlfn.IFS(Tab_NewTRADER[[#This Row],[M]]&lt;Tab_NewTRADER[[#This Row],[A]],TEXT(Tab_NewTRADER[[#This Row],[N]]*Tab_NewTRADER[[#This Row],[M]]*Tab_NewTRADER[[#This Row],[Scale]]*Comm_Net,"#,#0")&amp;" @ "&amp;TEXT(Tab_NewTRADER[[#This Row],[M]],"#,#0.#0"),TRUE,"M: "&amp; Tab_NewTRADER[[#This Row],[M]])</f>
        <v>52,240 @ 7.24</v>
      </c>
      <c r="AV48" s="1703" cm="1">
        <f t="array" aca="1" ref="AV48" ca="1">-_xlfn.XLOOKUP(
    Tab_NewTRADER[[#This Row],[Show]] &amp; 2,
    TabConsolid[#Headers],
    INDEX(TabConsolid[], 1, 0)
)</f>
        <v>9.3241800000000001</v>
      </c>
      <c r="AW48" s="1704">
        <f ca="1">Tab_NewTRADER[[#This Row],[M]]*Tab_NewTRADER[[#This Row],[N]]*(1-Commission)*Tab_NewTRADER[[#This Row],[Scale]]</f>
        <v>52245.208359999997</v>
      </c>
      <c r="AX48" s="1705"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705"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8" s="1706" t="str" cm="1">
        <f t="array" aca="1" ref="AZ48" ca="1">_xlfn.IFS(   Tab_NewTRADER[[#This Row],[State]]=SellMorePercentGain,                     MIN(Tab_NewTRADER[[#This Row],[L_Sn]],Tab_NewTRADER[[#This Row],[N]])*(Tab_NewTRADER[[#This Row],[M]]-Tab_NewTRADER[[#This Row],[L_Sp]])*(1-Commission)*Tab_NewTRADER[[#This Row],[Scale]],                    TRUE,"")</f>
        <v/>
      </c>
      <c r="BA48" s="1707">
        <f ca="1">_xlfn.XLOOKUP(NewTrader!$V48,TabCalc[Ticker],TabCalc[Ann%RevLB])</f>
        <v>-0.6229838709677421</v>
      </c>
      <c r="BB48" s="1708" t="str">
        <f ca="1">_xlfn.XLOOKUP(NewTrader!$V48,TabCalc[Ticker],TabCalc[Up20])</f>
        <v>/100/%</v>
      </c>
      <c r="BC48" s="1747"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M Lower: M&gt;Y</v>
      </c>
      <c r="BD48" s="1706" t="str" cm="1">
        <f t="array" aca="1" ref="BD48" ca="1">_xlfn.IFS(         NewTrader!$AF48=MDown,NewTrader!$P48*NewTrader!$Y48*(-(NewTrader!$Q48+NewTrader!$Y48)/NewTrader!$Y48)*(1-Commission)*NewTrader!$A48,                               TRUE,"")</f>
        <v/>
      </c>
      <c r="BE48" s="1705" t="str" cm="1">
        <f t="array" aca="1" ref="BE48" ca="1">_xlfn.IFS(   NewTrader!$AF48=MUp,NewTrader!$BP48-Commission,        NewTrader!$AF48=MDown,(NewTrader!$X48-NewTrader!$Y48)/NewTrader!$Y48-Commission,                              TRUE,"")</f>
        <v/>
      </c>
      <c r="BF48" s="1706"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710" t="e" cm="1">
        <f t="array" aca="1" ref="BG48" ca="1">_xlfn.LET(_xlpm.SumChTxt,TEXT(_xlfn.XLOOKUP(NewTrader!$V48,ListTickers,Tab2SumChangePercent[AVGChan20]),"#0.0%"),
      _xlfn.IFS(NewTrader!$AF48=NoStock,_xlpm.SumChTxt,
      TRUE, IF(NewTrader!$AF48=SellMorePercentGain,             "SumChange "&amp;_xlpm.SumChTxt,                         "&lt;"&amp;INT(_xlfn.XLOOKUP(NewTrader!$V48,ListTickers,Tab2ReverseGL[Rev_GL19]))&amp;    "&lt;"&amp;INT(_xlfn.XLOOKUP(NewTrader!$V48,ListTickers,Tab2ReverseGL[Rev_GL18]))&amp;":      "&amp;_xlpm.SumChTxt)))</f>
        <v>#VALUE!</v>
      </c>
      <c r="BH48" s="1711"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-2.06</v>
      </c>
      <c r="BI48" s="1712" cm="1">
        <f t="array" aca="1" ref="BI48" ca="1">_xlfn.IFS(NewTrader!$AF48=Sale_Back,"",         NewTrader!$AF48=MDown, (NewTrader!$Y48-NewTrader!$X48)/NewTrader!$X48*ComFactor,             TRUE, IFERROR((NewTrader!$Y48-NewTrader!$X48)/NewTrader!$X48*ComFactor,""))</f>
        <v>-0.22294305043446178</v>
      </c>
      <c r="BJ48" s="1664" cm="1">
        <f t="array" aca="1" ref="BJ48" ca="1">_xlfn.IFS(               NewTrader!$AF48=NoStock,(NewTrader!$BL48-NewTrader!$Y48)/NewTrader!$Y48-Commission,             NewTrader!$X48&lt;&gt;0,(NewTrader!$X48-NewTrader!$Y48)/NewTrader!$Y48-Commission)</f>
        <v>0.28527016574585634</v>
      </c>
      <c r="BK48" s="1713">
        <f ca="1">_xlfn.XLOOKUP(NewTrader!$V48,TabCalc[Ticker],TabCalc[L_Sn])</f>
        <v>0</v>
      </c>
      <c r="BL48" s="1693">
        <f ca="1">_xlfn.XLOOKUP(NewTrader!$V48,TabCalc[Ticker],TabCalc[L_Sp])</f>
        <v>0</v>
      </c>
      <c r="BM48" s="1694">
        <f ca="1">-IFERROR((Tab_NewTRADER[[#This Row],[M]]-Tab_NewTRADER[[#This Row],[L_Sp]])/Tab_NewTRADER[[#This Row],[L_Sp]],0)</f>
        <v>0</v>
      </c>
      <c r="BN48" s="1714">
        <f ca="1">MIN(Tab_NewTRADER[[#This Row],[L_Sn]],Tab_NewTRADER[[#This Row],[N]])*(Tab_NewTRADER[[#This Row],[M]]-Tab_NewTRADER[[#This Row],[L_Sp]])*Comm_Net*Tab_NewTRADER[[#This Row],[Scale]]</f>
        <v>0</v>
      </c>
      <c r="BO48" s="1715">
        <f ca="1">Tab_NewTRADER[[#This Row],[L_Sn]]*(Tab_NewTRADER[[#This Row],[Agiotage]]-Tab_NewTRADER[[#This Row],[M]])/(Tab_NewTRADER[[#This Row],[L_Bn]]*Tab_NewTRADER[[#This Row],[M]])</f>
        <v>0</v>
      </c>
      <c r="BP48" s="1716">
        <f ca="1">IFERROR((Tab_NewTRADER[[#This Row],[M]]-Tab_NewTRADER[[#This Row],[A]])/Tab_NewTRADER[[#This Row],[A]],0)</f>
        <v>-0.22352421338927389</v>
      </c>
      <c r="BQ48" s="1671" t="str">
        <f ca="1">TEXT(_xlfn.XLOOKUP(Tab_NewTRADER[[#This Row],[ClickTick]],TabCalc[Ticker],TabCalc[NAfter]),"#,#0")&amp;" : "&amp;TEXT(_xlfn.XLOOKUP(Tab_NewTRADER[[#This Row],[ClickTick]],TabCalc[Ticker],TabCalc[NAfter])*(Tab_NewTRADER[[#This Row],[M]]-Tab_NewTRADER[[#This Row],[A]])*(1-Commission)*Tab_NewTRADER[[#This Row],[Scale]],"#,#0$")</f>
        <v>7,235 : -15,040$</v>
      </c>
      <c r="BR48" s="262">
        <f ca="1">_xlfn.XLOOKUP(NewTrader!$V48,TabCalc[[#This Row],[Ticker]],TabCalc[[#This Row],[GL]])*(1-Commission)</f>
        <v>-15316.369632965307</v>
      </c>
      <c r="BS48" s="262"/>
      <c r="BT48" s="1672" t="str">
        <f ca="1">Tab_NewTRADER[[#This Row],[Show]]&amp;": "&amp;_xlfn.XLOOKUP(Tab_NewTRADER[[#This Row],[Show]],TabCalc[Ticker],TabCalc[Pile?])</f>
        <v xml:space="preserve">UNIT: </v>
      </c>
      <c r="BU48" s="1717" t="s">
        <v>1907</v>
      </c>
      <c r="BV48" s="1674" t="str" cm="1">
        <f t="array" aca="1" ref="BV48" ca="1">_xlfn.TEXTJOIN("",,INDEX({"M","A","Y"}, _xlfn.SORTBY({1,2,3}, -CHOOSE({1,2,3}, Tab_NewTRADER[[#This Row],[M]], Tab_NewTRADER[[#This Row],[A]], Tab_NewTRADER[[#This Row],[Y]]))))</f>
        <v>AMY</v>
      </c>
      <c r="BW48" s="1675"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Buy:@M&gt;@Y?</v>
      </c>
      <c r="BX48" s="1676" t="e">
        <f ca="1">Tab_NewTRADER[[#This Row],[L_Sn]]*Tab_NewTRADER[[#This Row],[L_Sp]]+Tab_NewTRADER[[#This Row],[SellMore]]*Tab_NewTRADER[[#This Row],[M]]</f>
        <v>#N/A</v>
      </c>
      <c r="BY48" s="1676" t="e">
        <f ca="1">INDEX(
  INDEX(TabConsolid[], , _xlfn.XMATCH(Tab_NewTRADER[[#This Row],[ClickTick]]&amp;1, TabConsolid[#Headers])),
  MATCH(
    -Tab_NewTRADER[[#This Row],[M]],
    INDEX(TabConsolid[], , _xlfn.XMATCH(Tab_NewTRADER[[#This Row],[ClickTick]]&amp;2, TabConsolid[#Headers])),
    -1
  )
)</f>
        <v>#N/A</v>
      </c>
      <c r="BZ48" s="1676"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77" t="e">
        <f ca="1">Tab_NewTRADER[[#This Row],[ReBuy]]/(Tab_NewTRADER[[#This Row],[L_Sn]]+Tab_NewTRADER[[#This Row],[SellMore]])</f>
        <v>#N/A</v>
      </c>
      <c r="CB48" s="1678" t="e">
        <f ca="1">((_xlfn.XLOOKUP(Tab_NewTRADER[[#This Row],[Show]],TabCalc[Ticker],TabCalc[NAfter])+Tab_NewTRADER[[#This Row],[L_Sn]])*(Tab_NewTRADER[[#This Row],[Agiotage]]-Tab_NewTRADER[[#This Row],[M]]))/(Tab_NewTRADER[[#This Row],[L_Sn]]*_xlfn.XLOOKUP(Tab_NewTRADER[[#This Row],[Show]],TabCalc[Ticker],TabCalc[NAfter]))</f>
        <v>#DIV/0!</v>
      </c>
      <c r="CC48" s="1677">
        <f ca="1">INDEX(Tab1Price[Price19], MATCH(Tab_NewTRADER[[#This Row],[Show]], Tab_NewTRADER[Show], 0))</f>
        <v>7.24</v>
      </c>
      <c r="CD48" s="1679">
        <f ca="1">_xlfn.XMATCH(Tab_NewTRADER[[#This Row],[Show]]&amp;1, TabConsolid[#Headers])</f>
        <v>137</v>
      </c>
      <c r="CE48" s="1678"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729" t="str" cm="1">
        <f t="array" aca="1" ref="CF48" ca="1">_xlfn.LET(
    _xlpm.FMT, _xlfn.LAMBDA(_xlpm.n, REPT(" ", 7 - LEN(TEXT(_xlpm.n,"0.00"))) &amp; TEXT(_xlpm.n,"0.00")),
    _xlpm.FMT(Tab_NewTRADER[[#This Row],[A]]) &amp; " -" &amp; _xlpm.FMT(Tab_NewTRADER[[#This Row],[M]]) &amp; " -" &amp; _xlpm.FMT(Tab_NewTRADER[[#This Row],[Y]])
)</f>
        <v xml:space="preserve">   9.32 -   7.24 -   7.20</v>
      </c>
      <c r="CG48" s="1730" t="str" cm="1">
        <f t="array" aca="1" ref="CG48" ca="1">_xlfn.LET(
    _xlpm.W, 7,
    _xlpm.FMT, _xlfn.LAMBDA(_xlpm.n, REPT(" ", _xlpm.W - LEN(TEXT(_xlpm.n,"0.00"))) &amp; TEXT(_xlpm.n,"0.00")),
    _xlpm.FMT(Tab_NewTRADER[[#This Row],[A]]) &amp; " * " &amp; _xlpm.FMT(Tab_NewTRADER[[#This Row],[M]]) &amp; " * " &amp; _xlpm.FMT(Tab_NewTRADER[[#This Row],[Y]])
)</f>
        <v xml:space="preserve">   9.32 *    7.24 *    7.20</v>
      </c>
      <c r="CH48" s="1843">
        <f>0</f>
        <v>0</v>
      </c>
      <c r="CI48" t="str">
        <f ca="1">IF(ABS(NewTrader!$Q48)&gt;=NewTrader!$Y48,"OK")</f>
        <v>OK</v>
      </c>
    </row>
    <row r="49" spans="1:87" ht="28" thickBot="1">
      <c r="A49" s="1838">
        <f ca="1">IF(_xlfn.XLOOKUP(NewTrader!$V49,TabCalc[Ticker],TabCalc[Cur])="GBp",0.01,1)</f>
        <v>1</v>
      </c>
      <c r="B49" s="1620" t="str">
        <f ca="1">IFERROR(TRUNC(_xlfn.XLOOKUP(NewTrader!$V49,TabCalc[Ticker],ListLastBuyp),2)&amp;"x"&amp;_xlfn.XLOOKUP(NewTrader!$V49,TabCalc[Ticker],ListLastBuyn)&amp;"=    "&amp;IF(_xlfn.XLOOKUP(NewTrader!$V49,TabCalc[Ticker],ListReverseS)&gt;0,"+","")&amp;TEXT(_xlfn.XLOOKUP(NewTrader!$V49,TabCalc[Ticker],ListReverseS),"#,#0")&amp;" "&amp;#REF!,"")</f>
        <v/>
      </c>
      <c r="C49" s="1621" t="str">
        <f ca="1">_xlfn.XLOOKUP(NewTrader!$V49,TabCalc[Ticker],ListResale)&amp;" @ "&amp;TEXT((_xlfn.XLOOKUP(NewTrader!$V49,TabCalc[Ticker],TabCalc[L_Bp])+_xlfn.XLOOKUP(NewTrader!$V49,TabCalc[Ticker],TabCalc[M]))/_xlfn.XLOOKUP(NewTrader!$V49,TabCalc[Ticker],TabCalc[M]),"#0.0%")</f>
        <v>Sell @ 12.6%</v>
      </c>
      <c r="D49" s="1622"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1,236/2,600=39,611</v>
      </c>
      <c r="E49" s="1718" t="str">
        <f ca="1">IF(      AND(NewTrader!$X49&lt;NewTrader!$Y49,    _xlfn.XLOOKUP(NewTrader!$V49,TabCalc[Ticker],TabCalc[L_Sp])&gt;NewTrader!$Y49),"BUY  "&amp;TEXT(DesiredBuyGain/NewTrader!$A49/(_xlfn.XLOOKUP(NewTrader!$V49,TabCalc[Ticker],TabCalc[L_Sp])-NewTrader!$Y49),"#,##0"),"")</f>
        <v/>
      </c>
      <c r="F49" s="1620" t="str">
        <f ca="1">TRUNC(TabCalc[[#This Row],[L_B1p]],2)&amp;"x"&amp;TabCalc[[#This Row],[L_B1n]]&amp;"=   "&amp;TEXT(TabCalc[[#This Row],[ReverseS1]],"#,#0")&amp;"$"</f>
        <v>-24.15x3000=   20,527$</v>
      </c>
      <c r="G49" s="1624" t="str">
        <f ca="1">IFERROR(TRUNC(_xlfn.XLOOKUP(NewTrader!$V49,TabCalc[Ticker],ListLastSalep),2)&amp;"x"&amp;_xlfn.XLOOKUP(NewTrader!$V49,TabCalc[Ticker],ListLastSalen)&amp;"=   "&amp;TEXT(-_xlfn.XLOOKUP(NewTrader!$V49,TabCalc[Ticker],ListReverseB),"#,#0")&amp;"$","")</f>
        <v>31.52x400=   210$</v>
      </c>
      <c r="H49" s="1625"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-1.6% = 0</v>
      </c>
      <c r="I49" s="1620" t="str">
        <f ca="1">IFERROR(TRUNC(TabCalc[[#This Row],[L_S1p]],2)&amp;"x"&amp;TabCalc[[#This Row],[L_S1n]]&amp;"=   "&amp;TEXT(TabCalc[[#This Row],[ReverseB1]],"#,#0"),"")</f>
        <v>30.08x500=   -983</v>
      </c>
      <c r="J49" s="1626">
        <f ca="1">_xlfn.XLOOKUP(NewTrader!$V49,TabCalc[Ticker],ListGravity)</f>
        <v>1.0922140739584958</v>
      </c>
      <c r="K49" s="1627" t="str" cm="1">
        <f t="array" aca="1" ref="K49" ca="1">IF(_xlfn.XLOOKUP(NewTrader!$V49,NewTrader!$V$3:$V$96,ListExtra_n)&gt;0,_xlfn.XLOOKUP(NewTrader!$V49,NewTrader!$V$3:$V$96,ListExtra_n),"")</f>
        <v/>
      </c>
      <c r="L49" s="1628" t="str">
        <f ca="1">IF(_xlfn.XLOOKUP(NewTrader!$V49,TabCalc[Ticker],ListExtra_n)&gt;0,_xlfn.XLOOKUP(NewTrader!$V49,TabCalc[Ticker],ListExtra_n)*NewTrader!$Y49*_xlfn.XLOOKUP(NewTrader!$V49,TabCalc[Ticker],ListScale),"")</f>
        <v/>
      </c>
      <c r="M49" s="1629">
        <f ca="1">_xlfn.XLOOKUP(NewTrader!$V49,TabCalc[Ticker],TabCalc[Agiotage])</f>
        <v>1.4284331856694336E-2</v>
      </c>
      <c r="N49" s="1630" cm="1">
        <f t="array" aca="1" ref="N49" ca="1">_xlfn.XLOOKUP(NewTrader!$V49,ListTickers,Tab2RSIConventional[RSIConv20])</f>
        <v>74</v>
      </c>
      <c r="O49" s="1631" t="str">
        <f ca="1">TEXT(_xlfn.XLOOKUP(NewTrader!$V49,TabCalc[Ticker],TabCalc[Nbegin]),"#,#0")&amp;": "&amp;_xlfn.XLOOKUP(NewTrader!$V49,TabCalc[Ticker],TabCalc[Pile?])</f>
        <v>10,000: Pile</v>
      </c>
      <c r="P49" s="1632">
        <f ca="1">_xlfn.XLOOKUP(NewTrader!$V49,TabCalc[Ticker],TabCalc[L_Bn])</f>
        <v>1500</v>
      </c>
      <c r="Q49" s="1633">
        <f ca="1">_xlfn.XLOOKUP(NewTrader!$V49,TabCalc[Ticker],TabCalc[L_Bp])</f>
        <v>-28</v>
      </c>
      <c r="R49" s="1634">
        <f ca="1">(NewTrader!$Y49+NewTrader!$Q49)/ABS(NewTrader!$Q49)</f>
        <v>0.14446428571428577</v>
      </c>
      <c r="S49" s="259">
        <f ca="1">INT(_xlfn.XLOOKUP(NewTrader!$V49,TabCalc[Ticker],TabCalc[Rev(MinStock)])*Comm_Net)</f>
        <v>6034</v>
      </c>
      <c r="T49" s="1635">
        <f ca="1">_xlfn.XLOOKUP(NewTrader!$V49,TabCalc[Ticker],TabCalc[Agiotage])</f>
        <v>1.4284331856694336E-2</v>
      </c>
      <c r="U49" s="1719"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273/273=&gt;2.2% / 2.2%</v>
      </c>
      <c r="V49" s="1578" t="str">
        <f ca="1">SORTING!B49</f>
        <v>VLVLY</v>
      </c>
      <c r="W49" s="1637">
        <f ca="1">_xlfn.XLOOKUP(NewTrader!$V49,TabCalc[Ticker],TabCalc[Y])</f>
        <v>35</v>
      </c>
      <c r="X49" s="1639">
        <f ca="1">-_xlfn.XLOOKUP(NewTrader!$V49&amp;2,Consolid!B$3:JZ$3,Consolid!B$4:JZ$4)</f>
        <v>26.439718846153845</v>
      </c>
      <c r="Y49" s="1639">
        <f ca="1">_xlfn.XLOOKUP(NewTrader!$V49,TabCalc[Ticker],TabCalc[M])</f>
        <v>32.045000000000002</v>
      </c>
      <c r="Z49" s="1640">
        <f ca="1">_xlfn.XLOOKUP(NewTrader!$V49,[1]!RTData[Ticker_Symbol],[1]!RTData[YTChange])</f>
        <v>0.1772620248906828</v>
      </c>
      <c r="AA49" s="1640" cm="1">
        <f t="array" aca="1" ref="AA49" ca="1">_xlfn.XLOOKUP(NewTrader!$V49,ListTickers,Tab1ChangePercent[Change%19])</f>
        <v>2.1842999999999998E-2</v>
      </c>
      <c r="AB49" s="1641">
        <f ca="1">_xlfn.XLOOKUP(NewTrader!$V49,TabCalc[Ticker],TabCalc[NAfter])</f>
        <v>2600</v>
      </c>
      <c r="AC49" s="1641">
        <f ca="1">_xlfn.XLOOKUP(NewTrader!$V49,TabCalc[Ticker],TabCalc[Nbegin])</f>
        <v>10000</v>
      </c>
      <c r="AD49" s="1642" t="str">
        <f ca="1">_xlfn.LET(_xlpm.PILE,_xlfn.XLOOKUP(NewTrader!$V49,TabCalc[Ticker],TabCalc[Pile?]),                    _xlpm.GL,_xlfn.XLOOKUP(NewTrader!$V49,TabCalc[Ticker],TabCalc[GL]),                        _xlpm.GLK,_xlfn.XLOOKUP(NewTrader!$V49,TabCalc[Ticker],TabCalc[GL])/1000,                             _xlpm.MVal,_xlfn.XLOOKUP(NewTrader!$V49,TabCalc[Ticker],TabCalc[M_V])/1000,                   _xlpm.PILE&amp;" "&amp;IF(_xlpm.GL&lt;0,TEXT(_xlpm.GLK,"#,#0")&amp;"K /"&amp;TEXT(_xlpm.MVal,"#,#0")&amp;" K$","^"&amp;TEXT(_xlpm.GLK,"#,#0")&amp;"K / "&amp;TEXT(_xlpm.MVal,"#,#0")&amp;" K$"))</f>
        <v>Pile ^107K / 83 K$</v>
      </c>
      <c r="AE49" s="1643" t="str">
        <f ca="1">_xlfn.XLOOKUP(NewTrader!$V49,[1]!RTData[Ticker_Symbol],[1]!RTData[Currency])</f>
        <v>USD</v>
      </c>
      <c r="AF49" s="1696"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G4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698" t="str" cm="1">
        <f t="array" aca="1" ref="AH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32.05 -  35.00</v>
      </c>
      <c r="AI4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49" s="1766" t="str" cm="1">
        <f t="array" aca="1" ref="AJ49" ca="1">_xlfn.IFS(Tab_NewTRADER[[#This Row],[State]]="Sell More",TEXT(MIN(Tab_NewTRADER[[#This Row],[N]],Tab_NewTRADER[[#This Row],[L_Bn]])*(Tab_NewTRADER[[#This Row],[M]]-Tab_NewTRADER[[#This Row],[L_Sp]])*Tab_NewTRADER[[#This Row],[Scale]]*ComFactor,"#,#0"), TRUE,"M= "&amp;TEXT(Tab_NewTRADER[[#This Row],[M]],"#,#0.00"))</f>
        <v>785</v>
      </c>
      <c r="AK49" s="1767" t="str" cm="1">
        <f t="array" aca="1" ref="AK49" ca="1">_xlfn.IFS(Tab_NewTRADER[[#This Row],[Y]]&gt;Tab_NewTRADER[[#This Row],[A]],                 TEXT(MIN(Tab_NewTRADER[[#This Row],[L_Bn]],Tab_NewTRADER[[#This Row],[N]])*(Tab_NewTRADER[[#This Row],[M]]-Tab_NewTRADER[[#This Row],[A]])*Tab_NewTRADER[[#This Row],[Scale]]*ComFactor,"#,#0"), TRUE,0)</f>
        <v>8,386</v>
      </c>
      <c r="AL49" s="1768" cm="1">
        <f t="array" aca="1" ref="AL49" ca="1">_xlfn.IFS(Tab_NewTRADER[[#This Row],[M]]&gt;Tab_NewTRADER[[#This Row],[A]],                  Tab_NewTRADER[[#This Row],[N]]*(Tab_NewTRADER[[#This Row],[M]]-Tab_NewTRADER[[#This Row],[A]])*Tab_NewTRADER[[#This Row],[Scale]]*ComFactor, TRUE,0)</f>
        <v>14535.839299400006</v>
      </c>
      <c r="AM49" s="1592" t="str">
        <f ca="1">_xlfn.XLOOKUP(Tab_NewTRADER[[#This Row],[Show]],TabCalc[Ticker],TabCalc[Max_Bn])&amp;" x "&amp;TEXT(_xlfn.XLOOKUP(Tab_NewTRADER[[#This Row],[Show]],TabCalc[Ticker],TabCalc[Max_Bp]),"#,#0.00")</f>
        <v>1500 x 28.00</v>
      </c>
      <c r="AN49" s="1650" t="str">
        <f ca="1">NewTrader!$V49</f>
        <v>VLVLY</v>
      </c>
      <c r="AO49" s="1766" t="str">
        <f ca="1">TEXT(_xlfn.XLOOKUP(Tab_NewTRADER[[#This Row],[ClickTick]],TabCalc[Ticker],TabCalc[NAfter]),"#,#0")&amp;"x"&amp;_xlfn.XLOOKUP(Tab_NewTRADER[[#This Row],[ClickTick]],TabCalc[Ticker],TabCalc[M])&amp;"           (A: "&amp;TEXT(-_xlfn.XLOOKUP(Tab_NewTRADER[[#This Row],[ClickTick]]&amp;2,Consolid!B$3:JZ$3,Consolid!B$4:JZ$4),"#,??0.00")&amp;")"</f>
        <v>2,600x32.045           (A:  26.44)</v>
      </c>
      <c r="AP49" s="1592" t="str">
        <f ca="1">_xlfn.XLOOKUP(Tab_NewTRADER[[#This Row],[Show]],TabCalc[Ticker],TabCalc[Min_Sn])&amp;" x "&amp;TEXT(_xlfn.XLOOKUP(Tab_NewTRADER[[#This Row],[Show]],TabCalc[Ticker],TabCalc[Min_Sp]),"#,#0.00")</f>
        <v>400 x 24.09</v>
      </c>
      <c r="AQ4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702" t="str" cm="1">
        <f t="array" aca="1" ref="AR49" ca="1">_xlfn.IFS(Tab_NewTRADER[[#This Row],[State]]="Reverse Buy",TEXT(-Tab_NewTRADER[[#This Row],[Buy_Back]],"#,#0")&amp;" / "&amp;TEXT(Tab_NewTRADER[[#This Row],[Rev_Buy]],"#,#0.0%"),TRUE,Tab_NewTRADER[[#This Row],[AMY]])</f>
        <v xml:space="preserve">  26.44 -  32.05 -  35.00</v>
      </c>
      <c r="AS49" s="1651"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67"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67" t="str" cm="1">
        <f t="array" aca="1" ref="AU49" ca="1">_xlfn.IFS(Tab_NewTRADER[[#This Row],[M]]&lt;Tab_NewTRADER[[#This Row],[A]],TEXT(Tab_NewTRADER[[#This Row],[N]]*Tab_NewTRADER[[#This Row],[M]]*Tab_NewTRADER[[#This Row],[Scale]]*Comm_Net,"#,#0")&amp;" @ "&amp;TEXT(Tab_NewTRADER[[#This Row],[M]],"#,#0.#0"),TRUE,"M: "&amp; Tab_NewTRADER[[#This Row],[M]])</f>
        <v>M: 32.045</v>
      </c>
      <c r="AV49" s="1740" cm="1">
        <f t="array" aca="1" ref="AV49" ca="1">-_xlfn.XLOOKUP(
    Tab_NewTRADER[[#This Row],[Show]] &amp; 2,
    TabConsolid[#Headers],
    INDEX(TabConsolid[], 1, 0)
)</f>
        <v>26.439718846153845</v>
      </c>
      <c r="AW49" s="1741">
        <f ca="1">Tab_NewTRADER[[#This Row],[M]]*Tab_NewTRADER[[#This Row],[N]]*(1-Commission)*Tab_NewTRADER[[#This Row],[Scale]]</f>
        <v>83100.375799999994</v>
      </c>
      <c r="AX49" s="1705"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705"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706" t="str" cm="1">
        <f t="array" aca="1" ref="AZ49" ca="1">_xlfn.IFS(   Tab_NewTRADER[[#This Row],[State]]=SellMorePercentGain,                     MIN(Tab_NewTRADER[[#This Row],[L_Sn]],Tab_NewTRADER[[#This Row],[N]])*(Tab_NewTRADER[[#This Row],[M]]-Tab_NewTRADER[[#This Row],[L_Sp]])*(1-Commission)*Tab_NewTRADER[[#This Row],[Scale]],                    TRUE,"")</f>
        <v/>
      </c>
      <c r="BA49" s="1723">
        <f ca="1">_xlfn.XLOOKUP(NewTrader!$V49,TabCalc[Ticker],TabCalc[Ann%RevLB])</f>
        <v>1.2094684385382064</v>
      </c>
      <c r="BB49" s="1751">
        <f ca="1">_xlfn.XLOOKUP(NewTrader!$V49,TabCalc[Ticker],TabCalc[Up20])</f>
        <v>0</v>
      </c>
      <c r="BC49" s="1769"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706" t="str" cm="1">
        <f t="array" aca="1" ref="BD49" ca="1">_xlfn.IFS(         NewTrader!$AF49=MDown,NewTrader!$P49*NewTrader!$Y49*(-(NewTrader!$Q49+NewTrader!$Y49)/NewTrader!$Y49)*(1-Commission)*NewTrader!$A49,                               TRUE,"")</f>
        <v/>
      </c>
      <c r="BE49" s="1705" t="str" cm="1">
        <f t="array" aca="1" ref="BE49" ca="1">_xlfn.IFS(   NewTrader!$AF49=MUp,NewTrader!$BP49-Commission,        NewTrader!$AF49=MDown,(NewTrader!$X49-NewTrader!$Y49)/NewTrader!$Y49-Commission,                              TRUE,"")</f>
        <v/>
      </c>
      <c r="BF49" s="1706"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710" t="str" cm="1">
        <f t="array" aca="1" ref="BG49" ca="1">_xlfn.LET(_xlpm.SumChTxt,TEXT(_xlfn.XLOOKUP(NewTrader!$V49,ListTickers,Tab2SumChangePercent[AVGChan20]),"#0.0%"),
      _xlfn.IFS(NewTrader!$AF49=NoStock,_xlpm.SumChTxt,
      TRUE, IF(NewTrader!$AF49=SellMorePercentGain,             "SumChange "&amp;_xlpm.SumChTxt,                         "&lt;"&amp;INT(_xlfn.XLOOKUP(NewTrader!$V49,ListTickers,Tab2ReverseGL[Rev_GL19]))&amp;    "&lt;"&amp;INT(_xlfn.XLOOKUP(NewTrader!$V49,ListTickers,Tab2ReverseGL[Rev_GL18]))&amp;":      "&amp;_xlpm.SumChTxt)))</f>
        <v>&lt;-1&lt;-1:      0.4%</v>
      </c>
      <c r="BH49" s="1711"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1,500x5.6</v>
      </c>
      <c r="BI49" s="1712" cm="1">
        <f t="array" aca="1" ref="BI49" ca="1">_xlfn.IFS(NewTrader!$AF49=Sale_Back,"",         NewTrader!$AF49=MDown, (NewTrader!$Y49-NewTrader!$X49)/NewTrader!$X49*ComFactor,             TRUE, IFERROR((NewTrader!$Y49-NewTrader!$X49)/NewTrader!$X49*ComFactor,""))</f>
        <v>0.21145109202473347</v>
      </c>
      <c r="BJ49" s="1664" cm="1">
        <f t="array" aca="1" ref="BJ49" ca="1">_xlfn.IFS(               NewTrader!$AF49=NoStock,(NewTrader!$BL49-NewTrader!$Y49)/NewTrader!$Y49-Commission,             NewTrader!$X49&lt;&gt;0,(NewTrader!$X49-NewTrader!$Y49)/NewTrader!$Y49-Commission)</f>
        <v>-0.17751905613500255</v>
      </c>
      <c r="BK49" s="1726">
        <f ca="1">_xlfn.XLOOKUP(NewTrader!$V49,TabCalc[Ticker],TabCalc[L_Sn])</f>
        <v>400</v>
      </c>
      <c r="BL49" s="1727">
        <f ca="1">_xlfn.XLOOKUP(NewTrader!$V49,TabCalc[Ticker],TabCalc[L_Sp])</f>
        <v>31.52</v>
      </c>
      <c r="BM49" s="1634">
        <f ca="1">-IFERROR((Tab_NewTRADER[[#This Row],[M]]-Tab_NewTRADER[[#This Row],[L_Sp]])/Tab_NewTRADER[[#This Row],[L_Sp]],0)</f>
        <v>-1.6656091370558443E-2</v>
      </c>
      <c r="BN49" s="1728">
        <f ca="1">MIN(Tab_NewTRADER[[#This Row],[L_Sn]],Tab_NewTRADER[[#This Row],[N]])*(Tab_NewTRADER[[#This Row],[M]]-Tab_NewTRADER[[#This Row],[L_Sp]])*Comm_Net*Tab_NewTRADER[[#This Row],[Scale]]</f>
        <v>209.43300000000085</v>
      </c>
      <c r="BO49" s="1715">
        <f ca="1">Tab_NewTRADER[[#This Row],[L_Sn]]*(Tab_NewTRADER[[#This Row],[Agiotage]]-Tab_NewTRADER[[#This Row],[M]])/(Tab_NewTRADER[[#This Row],[L_Bn]]*Tab_NewTRADER[[#This Row],[M]])</f>
        <v>-0.26654779772730686</v>
      </c>
      <c r="BP49" s="1670">
        <f ca="1">IFERROR((Tab_NewTRADER[[#This Row],[M]]-Tab_NewTRADER[[#This Row],[A]])/Tab_NewTRADER[[#This Row],[A]],0)</f>
        <v>0.21200229799953227</v>
      </c>
      <c r="BQ49" s="1671" t="str">
        <f ca="1">TEXT(_xlfn.XLOOKUP(Tab_NewTRADER[[#This Row],[ClickTick]],TabCalc[Ticker],TabCalc[NAfter]),"#,#0")&amp;" : "&amp;TEXT(_xlfn.XLOOKUP(Tab_NewTRADER[[#This Row],[ClickTick]],TabCalc[Ticker],TabCalc[NAfter])*(Tab_NewTRADER[[#This Row],[M]]-Tab_NewTRADER[[#This Row],[A]])*(1-Commission)*Tab_NewTRADER[[#This Row],[Scale]],"#,#0$")</f>
        <v>2,600 : 14,536$</v>
      </c>
      <c r="BR49" s="259">
        <f ca="1">_xlfn.XLOOKUP(NewTrader!$V49,TabCalc[[#This Row],[Ticker]],TabCalc[[#This Row],[GL]])*(1-Commission)</f>
        <v>107164.7315233569</v>
      </c>
      <c r="BS49" s="259"/>
      <c r="BT49" s="1672" t="str">
        <f ca="1">Tab_NewTRADER[[#This Row],[Show]]&amp;": "&amp;_xlfn.XLOOKUP(Tab_NewTRADER[[#This Row],[Show]],TabCalc[Ticker],TabCalc[Pile?])</f>
        <v>VLVLY: Pile</v>
      </c>
      <c r="BU49" s="1717" t="s">
        <v>1908</v>
      </c>
      <c r="BV49" s="1674" t="str" cm="1">
        <f t="array" aca="1" ref="BV49" ca="1">_xlfn.TEXTJOIN("",,INDEX({"M","A","Y"}, _xlfn.SORTBY({1,2,3}, -CHOOSE({1,2,3}, Tab_NewTRADER[[#This Row],[M]], Tab_NewTRADER[[#This Row],[A]], Tab_NewTRADER[[#This Row],[Y]]))))</f>
        <v>YMA</v>
      </c>
      <c r="BW49" s="1675"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76">
        <f ca="1">Tab_NewTRADER[[#This Row],[L_Sn]]*Tab_NewTRADER[[#This Row],[L_Sp]]+Tab_NewTRADER[[#This Row],[SellMore]]*Tab_NewTRADER[[#This Row],[M]]</f>
        <v>60675.5</v>
      </c>
      <c r="BY49" s="1676">
        <f ca="1">INDEX(
  INDEX(TabConsolid[], , _xlfn.XMATCH(Tab_NewTRADER[[#This Row],[ClickTick]]&amp;1, TabConsolid[#Headers])),
  MATCH(
    -Tab_NewTRADER[[#This Row],[M]],
    INDEX(TabConsolid[], , _xlfn.XMATCH(Tab_NewTRADER[[#This Row],[ClickTick]]&amp;2, TabConsolid[#Headers])),
    -1
  )
)</f>
        <v>1500</v>
      </c>
      <c r="BZ49" s="1676"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77">
        <f ca="1">Tab_NewTRADER[[#This Row],[ReBuy]]/(Tab_NewTRADER[[#This Row],[L_Sn]]+Tab_NewTRADER[[#This Row],[SellMore]])</f>
        <v>31.934473684210527</v>
      </c>
      <c r="CB49" s="1678">
        <f ca="1">((_xlfn.XLOOKUP(Tab_NewTRADER[[#This Row],[Show]],TabCalc[Ticker],TabCalc[NAfter])+Tab_NewTRADER[[#This Row],[L_Sn]])*(Tab_NewTRADER[[#This Row],[Agiotage]]-Tab_NewTRADER[[#This Row],[M]]))/(Tab_NewTRADER[[#This Row],[L_Sn]]*_xlfn.XLOOKUP(Tab_NewTRADER[[#This Row],[Show]],TabCalc[Ticker],TabCalc[NAfter]))</f>
        <v>-9.2396295196567238E-2</v>
      </c>
      <c r="CC49" s="1677">
        <f ca="1">INDEX(Tab1Price[Price19], MATCH(Tab_NewTRADER[[#This Row],[Show]], Tab_NewTRADER[Show], 0))</f>
        <v>32.045000000000002</v>
      </c>
      <c r="CD49" s="1679">
        <f ca="1">_xlfn.XMATCH(Tab_NewTRADER[[#This Row],[Show]]&amp;1, TabConsolid[#Headers])</f>
        <v>143</v>
      </c>
      <c r="CE49" s="1678"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729" t="str" cm="1">
        <f t="array" aca="1" ref="CF49" ca="1">_xlfn.LET(
    _xlpm.FMT, _xlfn.LAMBDA(_xlpm.n, REPT(" ", 7 - LEN(TEXT(_xlpm.n,"0.00"))) &amp; TEXT(_xlpm.n,"0.00")),
    _xlpm.FMT(Tab_NewTRADER[[#This Row],[A]]) &amp; " -" &amp; _xlpm.FMT(Tab_NewTRADER[[#This Row],[M]]) &amp; " -" &amp; _xlpm.FMT(Tab_NewTRADER[[#This Row],[Y]])
)</f>
        <v xml:space="preserve">  26.44 -  32.05 -  35.00</v>
      </c>
      <c r="CG49" s="1730" t="str" cm="1">
        <f t="array" aca="1" ref="CG49" ca="1">_xlfn.LET(
    _xlpm.W, 7,
    _xlpm.FMT, _xlfn.LAMBDA(_xlpm.n, REPT(" ", _xlpm.W - LEN(TEXT(_xlpm.n,"0.00"))) &amp; TEXT(_xlpm.n,"0.00")),
    _xlpm.FMT(Tab_NewTRADER[[#This Row],[A]]) &amp; " * " &amp; _xlpm.FMT(Tab_NewTRADER[[#This Row],[M]]) &amp; " * " &amp; _xlpm.FMT(Tab_NewTRADER[[#This Row],[Y]])
)</f>
        <v xml:space="preserve">  26.44 *   32.05 *   35.00</v>
      </c>
      <c r="CH49" s="1843">
        <f>0</f>
        <v>0</v>
      </c>
      <c r="CI49" t="b">
        <f ca="1">IF(ABS(NewTrader!$Q49)&gt;=NewTrader!$Y49,"OK")</f>
        <v>0</v>
      </c>
    </row>
    <row r="50" spans="1:87" ht="23" hidden="1" thickBot="1">
      <c r="A50" s="1839">
        <f ca="1">IF(_xlfn.XLOOKUP(NewTrader!$V50,TabCalc[Ticker],TabCalc[Cur])="GBp",0.01,1)</f>
        <v>1</v>
      </c>
      <c r="B50" s="1681" t="str">
        <f ca="1">IFERROR(TRUNC(_xlfn.XLOOKUP(NewTrader!$V50,TabCalc[Ticker],ListLastBuyp),2)&amp;"x"&amp;_xlfn.XLOOKUP(NewTrader!$V50,TabCalc[Ticker],ListLastBuyn)&amp;"=    "&amp;IF(_xlfn.XLOOKUP(NewTrader!$V50,TabCalc[Ticker],ListReverseS)&gt;0,"+","")&amp;TEXT(_xlfn.XLOOKUP(NewTrader!$V50,TabCalc[Ticker],ListReverseS),"#,#0")&amp;" "&amp;#REF!,"")</f>
        <v/>
      </c>
      <c r="C50" s="1682" t="str">
        <f ca="1">_xlfn.XLOOKUP(NewTrader!$V50,TabCalc[Ticker],ListResale)&amp;" @ "&amp;TEXT((_xlfn.XLOOKUP(NewTrader!$V50,TabCalc[Ticker],TabCalc[L_Bp])+_xlfn.XLOOKUP(NewTrader!$V50,TabCalc[Ticker],TabCalc[M]))/_xlfn.XLOOKUP(NewTrader!$V50,TabCalc[Ticker],TabCalc[M]),"#0.0%")</f>
        <v>Resell @ 4.3%</v>
      </c>
      <c r="D50" s="1683"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1,887/16,500=115,283</v>
      </c>
      <c r="E50" s="1684" t="str">
        <f ca="1">IF(      AND(NewTrader!$X50&lt;NewTrader!$Y50,    _xlfn.XLOOKUP(NewTrader!$V50,TabCalc[Ticker],TabCalc[L_Sp])&gt;NewTrader!$Y50),"BUY  "&amp;TEXT(DesiredBuyGain/NewTrader!$A50/(_xlfn.XLOOKUP(NewTrader!$V50,TabCalc[Ticker],TabCalc[L_Sp])-NewTrader!$Y50),"#,##0"),"")</f>
        <v>BUY  7,143</v>
      </c>
      <c r="F50" s="1681" t="str">
        <f ca="1">TRUNC(TabCalc[[#This Row],[L_B1p]],2)&amp;"x"&amp;TabCalc[[#This Row],[L_B1n]]&amp;"=   "&amp;TEXT(TabCalc[[#This Row],[ReverseS1]],"#,#0")&amp;"$"</f>
        <v>-58.8x2000=   4,600$</v>
      </c>
      <c r="G50" s="1685" t="str">
        <f ca="1">IFERROR(TRUNC(_xlfn.XLOOKUP(NewTrader!$V50,TabCalc[Ticker],ListLastSalep),2)&amp;"x"&amp;_xlfn.XLOOKUP(NewTrader!$V50,TabCalc[Ticker],ListLastSalen)&amp;"=   "&amp;TEXT(-_xlfn.XLOOKUP(NewTrader!$V50,TabCalc[Ticker],ListReverseB),"#,#0")&amp;"$","")</f>
        <v>61.8x1010=   -707$</v>
      </c>
      <c r="H50" s="1686"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1.1% = 7,143</v>
      </c>
      <c r="I50" s="1681" t="str">
        <f ca="1">IFERROR(TRUNC(TabCalc[[#This Row],[L_S1p]],2)&amp;"x"&amp;TabCalc[[#This Row],[L_S1n]]&amp;"=   "&amp;TEXT(TabCalc[[#This Row],[ReverseB1]],"#,#0"),"")</f>
        <v>61.6x1000=   500</v>
      </c>
      <c r="J50" s="1687">
        <f ca="1">_xlfn.XLOOKUP(NewTrader!$V50,TabCalc[Ticker],ListGravity)</f>
        <v>1.0256410801963993</v>
      </c>
      <c r="K50" s="1688" t="str" cm="1">
        <f t="array" aca="1" ref="K50" ca="1">IF(_xlfn.XLOOKUP(NewTrader!$V50,NewTrader!$V$3:$V$96,ListExtra_n)&gt;0,_xlfn.XLOOKUP(NewTrader!$V50,NewTrader!$V$3:$V$96,ListExtra_n),"")</f>
        <v/>
      </c>
      <c r="L50" s="1689" t="str">
        <f ca="1">IF(_xlfn.XLOOKUP(NewTrader!$V50,TabCalc[Ticker],ListExtra_n)&gt;0,_xlfn.XLOOKUP(NewTrader!$V50,TabCalc[Ticker],ListExtra_n)*NewTrader!$Y50*_xlfn.XLOOKUP(NewTrader!$V50,TabCalc[Ticker],ListScale),"")</f>
        <v/>
      </c>
      <c r="M50" s="1690">
        <f ca="1">_xlfn.XLOOKUP(NewTrader!$V50,TabCalc[Ticker],TabCalc[Agiotage])</f>
        <v>1.5685418415897006</v>
      </c>
      <c r="N50" s="1691" cm="1">
        <f t="array" aca="1" ref="N50" ca="1">_xlfn.XLOOKUP(NewTrader!$V50,ListTickers,Tab2RSIConventional[RSIConv20])</f>
        <v>59</v>
      </c>
      <c r="O50" s="1631" t="str">
        <f ca="1">TEXT(_xlfn.XLOOKUP(NewTrader!$V50,TabCalc[Ticker],TabCalc[Nbegin]),"#,#0")&amp;": "&amp;_xlfn.XLOOKUP(NewTrader!$V50,TabCalc[Ticker],TabCalc[Pile?])</f>
        <v xml:space="preserve">20,000: </v>
      </c>
      <c r="P50" s="1692">
        <f ca="1">_xlfn.XLOOKUP(NewTrader!$V50,TabCalc[Ticker],TabCalc[L_Bn])</f>
        <v>2000</v>
      </c>
      <c r="Q50" s="1693">
        <f ca="1">_xlfn.XLOOKUP(NewTrader!$V50,TabCalc[Ticker],TabCalc[L_Bp])</f>
        <v>-58.45</v>
      </c>
      <c r="R50" s="1694">
        <f ca="1">(NewTrader!$Y50+NewTrader!$Q50)/ABS(NewTrader!$Q50)</f>
        <v>4.5337895637296809E-2</v>
      </c>
      <c r="S50" s="262">
        <f ca="1">INT(_xlfn.XLOOKUP(NewTrader!$V50,TabCalc[Ticker],TabCalc[Rev(MinStock)])*Comm_Net)</f>
        <v>5270</v>
      </c>
      <c r="T50" s="1635">
        <f ca="1">_xlfn.XLOOKUP(NewTrader!$V50,TabCalc[Ticker],TabCalc[Agiotage])</f>
        <v>1.5685418415897006</v>
      </c>
      <c r="U50" s="1695"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3,300/3,300=&gt;0.5% / 0.5%</v>
      </c>
      <c r="V50" s="1578" t="str">
        <f ca="1">SORTING!B50</f>
        <v>VONN</v>
      </c>
      <c r="W50" s="1637">
        <f ca="1">_xlfn.XLOOKUP(NewTrader!$V50,TabCalc[Ticker],TabCalc[Y])</f>
        <v>62.666670000000003</v>
      </c>
      <c r="X50" s="1639">
        <f ca="1">-_xlfn.XLOOKUP(NewTrader!$V50&amp;2,Consolid!B$3:JZ$3,Consolid!B$4:JZ$4)</f>
        <v>59.356350545454546</v>
      </c>
      <c r="Y50" s="1639">
        <f ca="1">_xlfn.XLOOKUP(NewTrader!$V50,TabCalc[Ticker],TabCalc[M])</f>
        <v>61.1</v>
      </c>
      <c r="Z50" s="1640">
        <f ca="1">_xlfn.XLOOKUP(NewTrader!$V50,[1]!RTData[Ticker_Symbol],[1]!RTData[YTChange])</f>
        <v>2.7322459016393498E-2</v>
      </c>
      <c r="AA50" s="1640" cm="1">
        <f t="array" aca="1" ref="AA50" ca="1">_xlfn.XLOOKUP(NewTrader!$V50,ListTickers,Tab1ChangePercent[Change%19])</f>
        <v>4.934E-3</v>
      </c>
      <c r="AB50" s="1641">
        <f ca="1">_xlfn.XLOOKUP(NewTrader!$V50,TabCalc[Ticker],TabCalc[NAfter])</f>
        <v>16500</v>
      </c>
      <c r="AC50" s="1641">
        <f ca="1">_xlfn.XLOOKUP(NewTrader!$V50,TabCalc[Ticker],TabCalc[Nbegin])</f>
        <v>20000</v>
      </c>
      <c r="AD50" s="1642" t="str">
        <f ca="1">_xlfn.LET(_xlpm.PILE,_xlfn.XLOOKUP(NewTrader!$V50,TabCalc[Ticker],TabCalc[Pile?]),                    _xlpm.GL,_xlfn.XLOOKUP(NewTrader!$V50,TabCalc[Ticker],TabCalc[GL]),                        _xlpm.GLK,_xlfn.XLOOKUP(NewTrader!$V50,TabCalc[Ticker],TabCalc[GL])/1000,                             _xlpm.MVal,_xlfn.XLOOKUP(NewTrader!$V50,TabCalc[Ticker],TabCalc[M_V])/1000,                   _xlpm.PILE&amp;" "&amp;IF(_xlpm.GL&lt;0,TEXT(_xlpm.GLK,"#,#0")&amp;"K /"&amp;TEXT(_xlpm.MVal,"#,#0")&amp;" K$","^"&amp;TEXT(_xlpm.GLK,"#,#0")&amp;"K / "&amp;TEXT(_xlpm.MVal,"#,#0")&amp;" K$"))</f>
        <v xml:space="preserve"> ^169K / 1,005 K$</v>
      </c>
      <c r="AE50" s="1720" t="str">
        <f ca="1">_xlfn.XLOOKUP(NewTrader!$V50,[1]!RTData[Ticker_Symbol],[1]!RTData[Currency])</f>
        <v>CHF</v>
      </c>
      <c r="AF50" s="1696"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Reverse Buy</v>
      </c>
      <c r="AG5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16,500 x 59.36</v>
      </c>
      <c r="AH50" s="1698" t="str" cm="1">
        <f t="array" aca="1" ref="AH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59.36 -  61.10 -  62.67</v>
      </c>
      <c r="AI5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0" s="1651" t="str" cm="1">
        <f t="array" aca="1" ref="AJ50" ca="1">_xlfn.IFS(Tab_NewTRADER[[#This Row],[State]]="Sell More",TEXT(MIN(Tab_NewTRADER[[#This Row],[N]],Tab_NewTRADER[[#This Row],[L_Bn]])*(Tab_NewTRADER[[#This Row],[M]]-Tab_NewTRADER[[#This Row],[L_Sp]])*Tab_NewTRADER[[#This Row],[Scale]]*ComFactor,"#,#0"), TRUE,"M= "&amp;TEXT(Tab_NewTRADER[[#This Row],[M]],"#,#0.00"))</f>
        <v>M= 61.10</v>
      </c>
      <c r="AK50" s="1699" t="str" cm="1">
        <f t="array" aca="1" ref="AK50" ca="1">_xlfn.IFS(Tab_NewTRADER[[#This Row],[Y]]&gt;Tab_NewTRADER[[#This Row],[A]],                 TEXT(MIN(Tab_NewTRADER[[#This Row],[L_Bn]],Tab_NewTRADER[[#This Row],[N]])*(Tab_NewTRADER[[#This Row],[M]]-Tab_NewTRADER[[#This Row],[A]])*Tab_NewTRADER[[#This Row],[Scale]]*ComFactor,"#,#0"), TRUE,0)</f>
        <v>3,478</v>
      </c>
      <c r="AL50" s="1700" cm="1">
        <f t="array" aca="1" ref="AL50" ca="1">_xlfn.IFS(Tab_NewTRADER[[#This Row],[M]]&gt;Tab_NewTRADER[[#This Row],[A]],                  Tab_NewTRADER[[#This Row],[N]]*(Tab_NewTRADER[[#This Row],[M]]-Tab_NewTRADER[[#This Row],[A]])*Tab_NewTRADER[[#This Row],[Scale]]*ComFactor, TRUE,0)</f>
        <v>28695.413438400006</v>
      </c>
      <c r="AM50" s="1592" t="str">
        <f ca="1">_xlfn.XLOOKUP(Tab_NewTRADER[[#This Row],[Show]],TabCalc[Ticker],TabCalc[Max_Bn])&amp;" x "&amp;TEXT(_xlfn.XLOOKUP(Tab_NewTRADER[[#This Row],[Show]],TabCalc[Ticker],TabCalc[Max_Bp]),"#,#0.00")</f>
        <v>1000 x 60.10</v>
      </c>
      <c r="AN50" s="1650" t="str">
        <f ca="1">NewTrader!$V50</f>
        <v>VONN</v>
      </c>
      <c r="AO50" s="1651" t="str">
        <f ca="1">TEXT(_xlfn.XLOOKUP(Tab_NewTRADER[[#This Row],[ClickTick]],TabCalc[Ticker],TabCalc[NAfter]),"#,#0")&amp;"x"&amp;_xlfn.XLOOKUP(Tab_NewTRADER[[#This Row],[ClickTick]],TabCalc[Ticker],TabCalc[M])&amp;"           (A: "&amp;TEXT(-_xlfn.XLOOKUP(Tab_NewTRADER[[#This Row],[ClickTick]]&amp;2,Consolid!B$3:JZ$3,Consolid!B$4:JZ$4),"#,??0.00")&amp;")"</f>
        <v>16,500x61.1           (A:  59.36)</v>
      </c>
      <c r="AP50" s="1592" t="str">
        <f ca="1">_xlfn.XLOOKUP(Tab_NewTRADER[[#This Row],[Show]],TabCalc[Ticker],TabCalc[Min_Sn])&amp;" x "&amp;TEXT(_xlfn.XLOOKUP(Tab_NewTRADER[[#This Row],[Show]],TabCalc[Ticker],TabCalc[Min_Sp]),"#,#0.00")</f>
        <v>21 x 53.50</v>
      </c>
      <c r="AQ5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1,010 x 61.80 ;           16,500 x 59.36</v>
      </c>
      <c r="AR50" s="1702" t="str" cm="1">
        <f t="array" aca="1" ref="AR50" ca="1">_xlfn.IFS(Tab_NewTRADER[[#This Row],[State]]="Reverse Buy",TEXT(-Tab_NewTRADER[[#This Row],[Buy_Back]],"#,#0")&amp;" / "&amp;TEXT(Tab_NewTRADER[[#This Row],[Rev_Buy]],"#,#0.0%"),TRUE,Tab_NewTRADER[[#This Row],[AMY]])</f>
        <v>705 / 1.1%</v>
      </c>
      <c r="AS50" s="1651"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99"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99" t="str" cm="1">
        <f t="array" aca="1" ref="AU50" ca="1">_xlfn.IFS(Tab_NewTRADER[[#This Row],[M]]&lt;Tab_NewTRADER[[#This Row],[A]],TEXT(Tab_NewTRADER[[#This Row],[N]]*Tab_NewTRADER[[#This Row],[M]]*Tab_NewTRADER[[#This Row],[Scale]]*Comm_Net,"#,#0")&amp;" @ "&amp;TEXT(Tab_NewTRADER[[#This Row],[M]],"#,#0.#0"),TRUE,"M: "&amp; Tab_NewTRADER[[#This Row],[M]])</f>
        <v>M: 61.1</v>
      </c>
      <c r="AV50" s="1703" cm="1">
        <f t="array" aca="1" ref="AV50" ca="1">-_xlfn.XLOOKUP(
    Tab_NewTRADER[[#This Row],[Show]] &amp; 2,
    TabConsolid[#Headers],
    INDEX(TabConsolid[], 1, 0)
)</f>
        <v>59.356350545454546</v>
      </c>
      <c r="AW50" s="1704">
        <f ca="1">Tab_NewTRADER[[#This Row],[M]]*Tab_NewTRADER[[#This Row],[N]]*(1-Commission)*Tab_NewTRADER[[#This Row],[Scale]]</f>
        <v>1005528.8099999999</v>
      </c>
      <c r="AX50" s="1705"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705"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0" s="1706" t="str" cm="1">
        <f t="array" aca="1" ref="AZ50" ca="1">_xlfn.IFS(   Tab_NewTRADER[[#This Row],[State]]=SellMorePercentGain,                     MIN(Tab_NewTRADER[[#This Row],[L_Sn]],Tab_NewTRADER[[#This Row],[N]])*(Tab_NewTRADER[[#This Row],[M]]-Tab_NewTRADER[[#This Row],[L_Sp]])*(1-Commission)*Tab_NewTRADER[[#This Row],[Scale]],                    TRUE,"")</f>
        <v/>
      </c>
      <c r="BA50" s="1707">
        <f ca="1">_xlfn.XLOOKUP(NewTrader!$V50,TabCalc[Ticker],TabCalc[Ann%RevLB])</f>
        <v>0.48004830674784854</v>
      </c>
      <c r="BB50" s="1708">
        <f ca="1">_xlfn.XLOOKUP(NewTrader!$V50,TabCalc[Ticker],TabCalc[Up20])</f>
        <v>0</v>
      </c>
      <c r="BC50" s="1747"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
      </c>
      <c r="BD50" s="1706" t="str" cm="1">
        <f t="array" aca="1" ref="BD50" ca="1">_xlfn.IFS(         NewTrader!$AF50=MDown,NewTrader!$P50*NewTrader!$Y50*(-(NewTrader!$Q50+NewTrader!$Y50)/NewTrader!$Y50)*(1-Commission)*NewTrader!$A50,                               TRUE,"")</f>
        <v/>
      </c>
      <c r="BE50" s="1705" t="str" cm="1">
        <f t="array" aca="1" ref="BE50" ca="1">_xlfn.IFS(   NewTrader!$AF50=MUp,NewTrader!$BP50-Commission,        NewTrader!$AF50=MDown,(NewTrader!$X50-NewTrader!$Y50)/NewTrader!$Y50-Commission,                              TRUE,"")</f>
        <v/>
      </c>
      <c r="BF50" s="1710"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710" t="str" cm="1">
        <f t="array" aca="1" ref="BG50" ca="1">_xlfn.LET(_xlpm.SumChTxt,TEXT(_xlfn.XLOOKUP(NewTrader!$V50,ListTickers,Tab2SumChangePercent[AVGChan20]),"#0.0%"),
      _xlfn.IFS(NewTrader!$AF50=NoStock,_xlpm.SumChTxt,
      TRUE, IF(NewTrader!$AF50=SellMorePercentGain,             "SumChange "&amp;_xlpm.SumChTxt,                         "&lt;"&amp;INT(_xlfn.XLOOKUP(NewTrader!$V50,ListTickers,Tab2ReverseGL[Rev_GL19]))&amp;    "&lt;"&amp;INT(_xlfn.XLOOKUP(NewTrader!$V50,ListTickers,Tab2ReverseGL[Rev_GL18]))&amp;":      "&amp;_xlpm.SumChTxt)))</f>
        <v>&lt;-1&lt;-1:      -0.1%</v>
      </c>
      <c r="BH50" s="1711"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M&lt;L_Sp</v>
      </c>
      <c r="BI50" s="1712" cm="1">
        <f t="array" aca="1" ref="BI50" ca="1">_xlfn.IFS(NewTrader!$AF50=Sale_Back,"",         NewTrader!$AF50=MDown, (NewTrader!$Y50-NewTrader!$X50)/NewTrader!$X50*ComFactor,             TRUE, IFERROR((NewTrader!$Y50-NewTrader!$X50)/NewTrader!$X50*ComFactor,""))</f>
        <v>2.9299577045792898E-2</v>
      </c>
      <c r="BJ50" s="1664" cm="1">
        <f t="array" aca="1" ref="BJ50" ca="1">_xlfn.IFS(               NewTrader!$AF50=NoStock,(NewTrader!$BL50-NewTrader!$Y50)/NewTrader!$Y50-Commission,             NewTrader!$X50&lt;&gt;0,(NewTrader!$X50-NewTrader!$Y50)/NewTrader!$Y50-Commission)</f>
        <v>-3.1137634280613009E-2</v>
      </c>
      <c r="BK50" s="1713">
        <f ca="1">_xlfn.XLOOKUP(NewTrader!$V50,TabCalc[Ticker],TabCalc[L_Sn])</f>
        <v>1010</v>
      </c>
      <c r="BL50" s="1693">
        <f ca="1">_xlfn.XLOOKUP(NewTrader!$V50,TabCalc[Ticker],TabCalc[L_Sp])</f>
        <v>61.8</v>
      </c>
      <c r="BM50" s="1694">
        <f ca="1">-IFERROR((Tab_NewTRADER[[#This Row],[M]]-Tab_NewTRADER[[#This Row],[L_Sp]])/Tab_NewTRADER[[#This Row],[L_Sp]],0)</f>
        <v>1.132686084142388E-2</v>
      </c>
      <c r="BN50" s="1714">
        <f ca="1">MIN(Tab_NewTRADER[[#This Row],[L_Sn]],Tab_NewTRADER[[#This Row],[N]])*(Tab_NewTRADER[[#This Row],[M]]-Tab_NewTRADER[[#This Row],[L_Sp]])*Comm_Net*Tab_NewTRADER[[#This Row],[Scale]]</f>
        <v>-705.09109999999566</v>
      </c>
      <c r="BO50" s="1715">
        <f ca="1">Tab_NewTRADER[[#This Row],[L_Sn]]*(Tab_NewTRADER[[#This Row],[Agiotage]]-Tab_NewTRADER[[#This Row],[M]])/(Tab_NewTRADER[[#This Row],[L_Bn]]*Tab_NewTRADER[[#This Row],[M]])</f>
        <v>-0.49203578346967597</v>
      </c>
      <c r="BP50" s="1716">
        <f ca="1">IFERROR((Tab_NewTRADER[[#This Row],[M]]-Tab_NewTRADER[[#This Row],[A]])/Tab_NewTRADER[[#This Row],[A]],0)</f>
        <v>2.9375954527564568E-2</v>
      </c>
      <c r="BQ50" s="1671" t="str">
        <f ca="1">TEXT(_xlfn.XLOOKUP(Tab_NewTRADER[[#This Row],[ClickTick]],TabCalc[Ticker],TabCalc[NAfter]),"#,#0")&amp;" : "&amp;TEXT(_xlfn.XLOOKUP(Tab_NewTRADER[[#This Row],[ClickTick]],TabCalc[Ticker],TabCalc[NAfter])*(Tab_NewTRADER[[#This Row],[M]]-Tab_NewTRADER[[#This Row],[A]])*(1-Commission)*Tab_NewTRADER[[#This Row],[Scale]],"#,#0$")</f>
        <v>16,500 : 28,695$</v>
      </c>
      <c r="BR50" s="262">
        <f ca="1">_xlfn.XLOOKUP(NewTrader!$V50,TabCalc[[#This Row],[Ticker]],TabCalc[[#This Row],[GL]])*(1-Commission)</f>
        <v>168976.49527251057</v>
      </c>
      <c r="BS50" s="262"/>
      <c r="BT50" s="1672" t="str">
        <f ca="1">Tab_NewTRADER[[#This Row],[Show]]&amp;": "&amp;_xlfn.XLOOKUP(Tab_NewTRADER[[#This Row],[Show]],TabCalc[Ticker],TabCalc[Pile?])</f>
        <v xml:space="preserve">VONN: </v>
      </c>
      <c r="BU50" s="1717" t="s">
        <v>1913</v>
      </c>
      <c r="BV50" s="1674" t="str" cm="1">
        <f t="array" aca="1" ref="BV50" ca="1">_xlfn.TEXTJOIN("",,INDEX({"M","A","Y"}, _xlfn.SORTBY({1,2,3}, -CHOOSE({1,2,3}, Tab_NewTRADER[[#This Row],[M]], Tab_NewTRADER[[#This Row],[A]], Tab_NewTRADER[[#This Row],[Y]]))))</f>
        <v>YMA</v>
      </c>
      <c r="BW50" s="1675"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
      </c>
      <c r="BX50" s="1676">
        <f ca="1">Tab_NewTRADER[[#This Row],[L_Sn]]*Tab_NewTRADER[[#This Row],[L_Sp]]+Tab_NewTRADER[[#This Row],[SellMore]]*Tab_NewTRADER[[#This Row],[M]]</f>
        <v>123518</v>
      </c>
      <c r="BY50" s="1676">
        <f ca="1">INDEX(
  INDEX(TabConsolid[], , _xlfn.XMATCH(Tab_NewTRADER[[#This Row],[ClickTick]]&amp;1, TabConsolid[#Headers])),
  MATCH(
    -Tab_NewTRADER[[#This Row],[M]],
    INDEX(TabConsolid[], , _xlfn.XMATCH(Tab_NewTRADER[[#This Row],[ClickTick]]&amp;2, TabConsolid[#Headers])),
    -1
  )
)</f>
        <v>1000</v>
      </c>
      <c r="BZ50" s="1676"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77">
        <f ca="1">Tab_NewTRADER[[#This Row],[ReBuy]]/(Tab_NewTRADER[[#This Row],[L_Sn]]+Tab_NewTRADER[[#This Row],[SellMore]])</f>
        <v>61.451741293532336</v>
      </c>
      <c r="CB50" s="1678">
        <f ca="1">((_xlfn.XLOOKUP(Tab_NewTRADER[[#This Row],[Show]],TabCalc[Ticker],TabCalc[NAfter])+Tab_NewTRADER[[#This Row],[L_Sn]])*(Tab_NewTRADER[[#This Row],[Agiotage]]-Tab_NewTRADER[[#This Row],[M]]))/(Tab_NewTRADER[[#This Row],[L_Sn]]*_xlfn.XLOOKUP(Tab_NewTRADER[[#This Row],[Show]],TabCalc[Ticker],TabCalc[NAfter]))</f>
        <v>-6.2550004941720042E-2</v>
      </c>
      <c r="CC50" s="1677">
        <f ca="1">INDEX(Tab1Price[Price19], MATCH(Tab_NewTRADER[[#This Row],[Show]], Tab_NewTRADER[Show], 0))</f>
        <v>61.1</v>
      </c>
      <c r="CD50" s="1679">
        <f ca="1">_xlfn.XMATCH(Tab_NewTRADER[[#This Row],[Show]]&amp;1, TabConsolid[#Headers])</f>
        <v>146</v>
      </c>
      <c r="CE50" s="1678"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729" t="str" cm="1">
        <f t="array" aca="1" ref="CF50" ca="1">_xlfn.LET(
    _xlpm.FMT, _xlfn.LAMBDA(_xlpm.n, REPT(" ", 7 - LEN(TEXT(_xlpm.n,"0.00"))) &amp; TEXT(_xlpm.n,"0.00")),
    _xlpm.FMT(Tab_NewTRADER[[#This Row],[A]]) &amp; " -" &amp; _xlpm.FMT(Tab_NewTRADER[[#This Row],[M]]) &amp; " -" &amp; _xlpm.FMT(Tab_NewTRADER[[#This Row],[Y]])
)</f>
        <v xml:space="preserve">  59.36 -  61.10 -  62.67</v>
      </c>
      <c r="CG50" s="1730" t="str" cm="1">
        <f t="array" aca="1" ref="CG50" ca="1">_xlfn.LET(
    _xlpm.W, 7,
    _xlpm.FMT, _xlfn.LAMBDA(_xlpm.n, REPT(" ", _xlpm.W - LEN(TEXT(_xlpm.n,"0.00"))) &amp; TEXT(_xlpm.n,"0.00")),
    _xlpm.FMT(Tab_NewTRADER[[#This Row],[A]]) &amp; " * " &amp; _xlpm.FMT(Tab_NewTRADER[[#This Row],[M]]) &amp; " * " &amp; _xlpm.FMT(Tab_NewTRADER[[#This Row],[Y]])
)</f>
        <v xml:space="preserve">  59.36 *   61.10 *   62.67</v>
      </c>
      <c r="CH50" s="1843">
        <f>0</f>
        <v>0</v>
      </c>
      <c r="CI50" t="b">
        <f ca="1">IF(ABS(NewTrader!$Q50)&gt;=NewTrader!$Y50,"OK")</f>
        <v>0</v>
      </c>
    </row>
    <row r="51" spans="1:87">
      <c r="A51" s="1838">
        <f ca="1">IF(_xlfn.XLOOKUP(NewTrader!$V51,TabCalc[Ticker],TabCalc[Cur])="GBp",0.01,1)</f>
        <v>1</v>
      </c>
      <c r="B51" s="1620" t="str">
        <f ca="1">IFERROR(TRUNC(_xlfn.XLOOKUP(NewTrader!$V51,TabCalc[Ticker],ListLastBuyp),2)&amp;"x"&amp;_xlfn.XLOOKUP(NewTrader!$V51,TabCalc[Ticker],ListLastBuyn)&amp;"=    "&amp;IF(_xlfn.XLOOKUP(NewTrader!$V51,TabCalc[Ticker],ListReverseS)&gt;0,"+","")&amp;TEXT(_xlfn.XLOOKUP(NewTrader!$V51,TabCalc[Ticker],ListReverseS),"#,#0")&amp;" "&amp;#REF!,"")</f>
        <v/>
      </c>
      <c r="C51" s="1621" t="str">
        <f ca="1">_xlfn.XLOOKUP(NewTrader!$V51,TabCalc[Ticker],ListResale)&amp;" @ "&amp;TEXT((_xlfn.XLOOKUP(NewTrader!$V51,TabCalc[Ticker],TabCalc[L_Bp])+_xlfn.XLOOKUP(NewTrader!$V51,TabCalc[Ticker],TabCalc[M]))/_xlfn.XLOOKUP(NewTrader!$V51,TabCalc[Ticker],TabCalc[M]),"#0.0%")</f>
        <v>Resell @ 18.4%</v>
      </c>
      <c r="D51" s="1622"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2,347/5,000=27,207</v>
      </c>
      <c r="E51" s="1718" t="str">
        <f ca="1">IF(      AND(NewTrader!$X51&lt;NewTrader!$Y51,    _xlfn.XLOOKUP(NewTrader!$V51,TabCalc[Ticker],TabCalc[L_Sp])&gt;NewTrader!$Y51),"BUY  "&amp;TEXT(DesiredBuyGain/NewTrader!$A51/(_xlfn.XLOOKUP(NewTrader!$V51,TabCalc[Ticker],TabCalc[L_Sp])-NewTrader!$Y51),"#,##0"),"")</f>
        <v/>
      </c>
      <c r="F51" s="1620" t="str">
        <f ca="1">TRUNC(TabCalc[[#This Row],[L_B1p]],2)&amp;"x"&amp;TabCalc[[#This Row],[L_B1n]]&amp;"=   "&amp;TEXT(TabCalc[[#This Row],[ReverseS1]],"#,#0")&amp;"$"</f>
        <v>-8.23x5000=   16,800$</v>
      </c>
      <c r="G51" s="1624" t="str">
        <f ca="1">IFERROR(TRUNC(_xlfn.XLOOKUP(NewTrader!$V51,TabCalc[Ticker],ListLastSalep),2)&amp;"x"&amp;_xlfn.XLOOKUP(NewTrader!$V51,TabCalc[Ticker],ListLastSalen)&amp;"=   "&amp;TEXT(-_xlfn.XLOOKUP(NewTrader!$V51,TabCalc[Ticker],ListReverseB),"#,#0")&amp;"$","")</f>
        <v>10.07x5000=   7,600$</v>
      </c>
      <c r="H51" s="1625"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-13.1% = 0</v>
      </c>
      <c r="I51" s="1620" t="str">
        <f ca="1">IFERROR(TRUNC(TabCalc[[#This Row],[L_S1p]],2)&amp;"x"&amp;TabCalc[[#This Row],[L_S1n]]&amp;"=   "&amp;TEXT(TabCalc[[#This Row],[ReverseB1]],"#,#0"),"")</f>
        <v>10.58x5000=   -5,050</v>
      </c>
      <c r="J51" s="1626">
        <f ca="1">_xlfn.XLOOKUP(NewTrader!$V51,TabCalc[Ticker],ListGravity)</f>
        <v>1.046160483175151</v>
      </c>
      <c r="K51" s="1627" t="str" cm="1">
        <f t="array" aca="1" ref="K51" ca="1">IF(_xlfn.XLOOKUP(NewTrader!$V51,NewTrader!$V$3:$V$96,ListExtra_n)&gt;0,_xlfn.XLOOKUP(NewTrader!$V51,NewTrader!$V$3:$V$96,ListExtra_n),"")</f>
        <v/>
      </c>
      <c r="L51" s="1628" t="str">
        <f ca="1">IF(_xlfn.XLOOKUP(NewTrader!$V51,TabCalc[Ticker],ListExtra_n)&gt;0,_xlfn.XLOOKUP(NewTrader!$V51,TabCalc[Ticker],ListExtra_n)*NewTrader!$Y51*_xlfn.XLOOKUP(NewTrader!$V51,TabCalc[Ticker],ListScale),"")</f>
        <v/>
      </c>
      <c r="M51" s="1629">
        <f ca="1">_xlfn.XLOOKUP(NewTrader!$V51,TabCalc[Ticker],TabCalc[Agiotage])</f>
        <v>0.70274789932397963</v>
      </c>
      <c r="N51" s="1630" cm="1">
        <f t="array" aca="1" ref="N51" ca="1">_xlfn.XLOOKUP(NewTrader!$V51,ListTickers,Tab2RSIConventional[RSIConv20])</f>
        <v>81</v>
      </c>
      <c r="O51" s="1631" t="str">
        <f ca="1">TEXT(_xlfn.XLOOKUP(NewTrader!$V51,TabCalc[Ticker],TabCalc[Nbegin]),"#,#0")&amp;": "&amp;_xlfn.XLOOKUP(NewTrader!$V51,TabCalc[Ticker],TabCalc[Pile?])</f>
        <v xml:space="preserve">5,000: </v>
      </c>
      <c r="P51" s="1632">
        <f ca="1">_xlfn.XLOOKUP(NewTrader!$V51,TabCalc[Ticker],TabCalc[L_Bn])</f>
        <v>5000</v>
      </c>
      <c r="Q51" s="1727">
        <f ca="1">_xlfn.XLOOKUP(NewTrader!$V51,TabCalc[Ticker],TabCalc[L_Bp])</f>
        <v>-9.4600000000000009</v>
      </c>
      <c r="R51" s="1634">
        <f ca="1">(NewTrader!$Y51+NewTrader!$Q51)/ABS(NewTrader!$Q51)</f>
        <v>0.22515856236786458</v>
      </c>
      <c r="S51" s="259">
        <f ca="1">INT(_xlfn.XLOOKUP(NewTrader!$V51,TabCalc[Ticker],TabCalc[Rev(MinStock)])*Comm_Net)</f>
        <v>10592</v>
      </c>
      <c r="T51" s="1635">
        <f ca="1">_xlfn.XLOOKUP(NewTrader!$V51,TabCalc[Ticker],TabCalc[Agiotage])</f>
        <v>0.70274789932397963</v>
      </c>
      <c r="U51" s="1719"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-50/-50=&gt;-0.1% / -0.1%</v>
      </c>
      <c r="V51" s="1578" t="str">
        <f ca="1">SORTING!B51</f>
        <v>VTRS</v>
      </c>
      <c r="W51" s="1637">
        <f ca="1">_xlfn.XLOOKUP(NewTrader!$V51,TabCalc[Ticker],TabCalc[Y])</f>
        <v>12.125</v>
      </c>
      <c r="X51" s="1639">
        <f ca="1">-_xlfn.XLOOKUP(NewTrader!$V51&amp;2,Consolid!B$3:JZ$3,Consolid!B$4:JZ$4)</f>
        <v>9.4845959999999998</v>
      </c>
      <c r="Y51" s="1639">
        <f ca="1">_xlfn.XLOOKUP(NewTrader!$V51,TabCalc[Ticker],TabCalc[M])</f>
        <v>11.59</v>
      </c>
      <c r="Z51" s="1640">
        <f ca="1">_xlfn.XLOOKUP(NewTrader!$V51,[1]!RTData[Ticker_Symbol],[1]!RTData[YTChange])</f>
        <v>6.546572934973631E-2</v>
      </c>
      <c r="AA51" s="1640" cm="1">
        <f t="array" aca="1" ref="AA51" ca="1">_xlfn.XLOOKUP(NewTrader!$V51,ListTickers,Tab1ChangePercent[Change%19])</f>
        <v>-8.6209999999999998E-4</v>
      </c>
      <c r="AB51" s="1641">
        <f ca="1">_xlfn.XLOOKUP(NewTrader!$V51,TabCalc[Ticker],TabCalc[NAfter])</f>
        <v>5000</v>
      </c>
      <c r="AC51" s="1641">
        <f ca="1">_xlfn.XLOOKUP(NewTrader!$V51,TabCalc[Ticker],TabCalc[Nbegin])</f>
        <v>5000</v>
      </c>
      <c r="AD51" s="1642" t="str">
        <f ca="1">_xlfn.LET(_xlpm.PILE,_xlfn.XLOOKUP(NewTrader!$V51,TabCalc[Ticker],TabCalc[Pile?]),                    _xlpm.GL,_xlfn.XLOOKUP(NewTrader!$V51,TabCalc[Ticker],TabCalc[GL]),                        _xlpm.GLK,_xlfn.XLOOKUP(NewTrader!$V51,TabCalc[Ticker],TabCalc[GL])/1000,                             _xlpm.MVal,_xlfn.XLOOKUP(NewTrader!$V51,TabCalc[Ticker],TabCalc[M_V])/1000,                   _xlpm.PILE&amp;" "&amp;IF(_xlpm.GL&lt;0,TEXT(_xlpm.GLK,"#,#0")&amp;"K /"&amp;TEXT(_xlpm.MVal,"#,#0")&amp;" K$","^"&amp;TEXT(_xlpm.GLK,"#,#0")&amp;"K / "&amp;TEXT(_xlpm.MVal,"#,#0")&amp;" K$"))</f>
        <v xml:space="preserve"> -76K /58 K$</v>
      </c>
      <c r="AE51" s="1720" t="str">
        <f ca="1">_xlfn.XLOOKUP(NewTrader!$V51,[1]!RTData[Ticker_Symbol],[1]!RTData[Currency])</f>
        <v>USD</v>
      </c>
      <c r="AF51" s="1721"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733" t="str" cm="1">
        <f t="array" aca="1" ref="AH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11.59 -  12.13</v>
      </c>
      <c r="AI51"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1" s="1739" t="str" cm="1">
        <f t="array" aca="1" ref="AJ51" ca="1">_xlfn.IFS(Tab_NewTRADER[[#This Row],[State]]="Sell More",TEXT(MIN(Tab_NewTRADER[[#This Row],[N]],Tab_NewTRADER[[#This Row],[L_Bn]])*(Tab_NewTRADER[[#This Row],[M]]-Tab_NewTRADER[[#This Row],[L_Sp]])*Tab_NewTRADER[[#This Row],[Scale]]*ComFactor,"#,#0"), TRUE,"M= "&amp;TEXT(Tab_NewTRADER[[#This Row],[M]],"#,#0.00"))</f>
        <v>7,580</v>
      </c>
      <c r="AK51" s="1699" t="str" cm="1">
        <f t="array" aca="1" ref="AK51" ca="1">_xlfn.IFS(Tab_NewTRADER[[#This Row],[Y]]&gt;Tab_NewTRADER[[#This Row],[A]],                 TEXT(MIN(Tab_NewTRADER[[#This Row],[L_Bn]],Tab_NewTRADER[[#This Row],[N]])*(Tab_NewTRADER[[#This Row],[M]]-Tab_NewTRADER[[#This Row],[A]])*Tab_NewTRADER[[#This Row],[Scale]]*ComFactor,"#,#0"), TRUE,0)</f>
        <v>10,500</v>
      </c>
      <c r="AL51" s="1700" cm="1">
        <f t="array" aca="1" ref="AL51" ca="1">_xlfn.IFS(Tab_NewTRADER[[#This Row],[M]]&gt;Tab_NewTRADER[[#This Row],[A]],                  Tab_NewTRADER[[#This Row],[N]]*(Tab_NewTRADER[[#This Row],[M]]-Tab_NewTRADER[[#This Row],[A]])*Tab_NewTRADER[[#This Row],[Scale]]*ComFactor, TRUE,0)</f>
        <v>10499.649748</v>
      </c>
      <c r="AM51" s="1592" t="str">
        <f ca="1">_xlfn.XLOOKUP(Tab_NewTRADER[[#This Row],[Show]],TabCalc[Ticker],TabCalc[Max_Bn])&amp;" x "&amp;TEXT(_xlfn.XLOOKUP(Tab_NewTRADER[[#This Row],[Show]],TabCalc[Ticker],TabCalc[Max_Bp]),"#,#0.00")</f>
        <v>5000 x 9.48</v>
      </c>
      <c r="AN51" s="1650" t="str">
        <f ca="1">NewTrader!$V51</f>
        <v>VTRS</v>
      </c>
      <c r="AO51" s="1651" t="str">
        <f ca="1">TEXT(_xlfn.XLOOKUP(Tab_NewTRADER[[#This Row],[ClickTick]],TabCalc[Ticker],TabCalc[NAfter]),"#,#0")&amp;"x"&amp;_xlfn.XLOOKUP(Tab_NewTRADER[[#This Row],[ClickTick]],TabCalc[Ticker],TabCalc[M])&amp;"           (A: "&amp;TEXT(-_xlfn.XLOOKUP(Tab_NewTRADER[[#This Row],[ClickTick]]&amp;2,Consolid!B$3:JZ$3,Consolid!B$4:JZ$4),"#,??0.00")&amp;")"</f>
        <v>5,000x11.59           (A:   9.48)</v>
      </c>
      <c r="AP51" s="1592" t="str">
        <f ca="1">_xlfn.XLOOKUP(Tab_NewTRADER[[#This Row],[Show]],TabCalc[Ticker],TabCalc[Min_Sn])&amp;" x "&amp;TEXT(_xlfn.XLOOKUP(Tab_NewTRADER[[#This Row],[Show]],TabCalc[Ticker],TabCalc[Min_Sp]),"#,#0.00")</f>
        <v>5000 x 10.07</v>
      </c>
      <c r="AQ5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702" t="str" cm="1">
        <f t="array" aca="1" ref="AR51" ca="1">_xlfn.IFS(Tab_NewTRADER[[#This Row],[State]]="Reverse Buy",TEXT(-Tab_NewTRADER[[#This Row],[Buy_Back]],"#,#0")&amp;" / "&amp;TEXT(Tab_NewTRADER[[#This Row],[Rev_Buy]],"#,#0.0%"),TRUE,Tab_NewTRADER[[#This Row],[AMY]])</f>
        <v xml:space="preserve">   9.48 -  11.59 -  12.13</v>
      </c>
      <c r="AS51" s="1651"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99"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99" t="str" cm="1">
        <f t="array" aca="1" ref="AU51" ca="1">_xlfn.IFS(Tab_NewTRADER[[#This Row],[M]]&lt;Tab_NewTRADER[[#This Row],[A]],TEXT(Tab_NewTRADER[[#This Row],[N]]*Tab_NewTRADER[[#This Row],[M]]*Tab_NewTRADER[[#This Row],[Scale]]*Comm_Net,"#,#0")&amp;" @ "&amp;TEXT(Tab_NewTRADER[[#This Row],[M]],"#,#0.#0"),TRUE,"M: "&amp; Tab_NewTRADER[[#This Row],[M]])</f>
        <v>M: 11.59</v>
      </c>
      <c r="AV51" s="1740" cm="1">
        <f t="array" aca="1" ref="AV51" ca="1">-_xlfn.XLOOKUP(
    Tab_NewTRADER[[#This Row],[Show]] &amp; 2,
    TabConsolid[#Headers],
    INDEX(TabConsolid[], 1, 0)
)</f>
        <v>9.4845959999999998</v>
      </c>
      <c r="AW51" s="1741">
        <f ca="1">Tab_NewTRADER[[#This Row],[M]]*Tab_NewTRADER[[#This Row],[N]]*(1-Commission)*Tab_NewTRADER[[#This Row],[Scale]]</f>
        <v>57799.329999999994</v>
      </c>
      <c r="AX51" s="1705"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705"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706" t="str" cm="1">
        <f t="array" aca="1" ref="AZ51" ca="1">_xlfn.IFS(   Tab_NewTRADER[[#This Row],[State]]=SellMorePercentGain,                     MIN(Tab_NewTRADER[[#This Row],[L_Sn]],Tab_NewTRADER[[#This Row],[N]])*(Tab_NewTRADER[[#This Row],[M]]-Tab_NewTRADER[[#This Row],[L_Sp]])*(1-Commission)*Tab_NewTRADER[[#This Row],[Scale]],                    TRUE,"")</f>
        <v/>
      </c>
      <c r="BA51" s="1707">
        <f ca="1">_xlfn.XLOOKUP(NewTrader!$V51,TabCalc[Ticker],TabCalc[Ann%RevLB])</f>
        <v>1.052689382499107</v>
      </c>
      <c r="BB51" s="1708">
        <f ca="1">_xlfn.XLOOKUP(NewTrader!$V51,TabCalc[Ticker],TabCalc[Up20])</f>
        <v>0</v>
      </c>
      <c r="BC51" s="1769"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706" t="str" cm="1">
        <f t="array" aca="1" ref="BD51" ca="1">_xlfn.IFS(         NewTrader!$AF51=MDown,NewTrader!$P51*NewTrader!$Y51*(-(NewTrader!$Q51+NewTrader!$Y51)/NewTrader!$Y51)*(1-Commission)*NewTrader!$A51,                               TRUE,"")</f>
        <v/>
      </c>
      <c r="BE51" s="1705" t="str" cm="1">
        <f t="array" aca="1" ref="BE51" ca="1">_xlfn.IFS(   NewTrader!$AF51=MUp,NewTrader!$BP51-Commission,        NewTrader!$AF51=MDown,(NewTrader!$X51-NewTrader!$Y51)/NewTrader!$Y51-Commission,                              TRUE,"")</f>
        <v/>
      </c>
      <c r="BF51" s="1706"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710" t="str" cm="1">
        <f t="array" aca="1" ref="BG51" ca="1">_xlfn.LET(_xlpm.SumChTxt,TEXT(_xlfn.XLOOKUP(NewTrader!$V51,ListTickers,Tab2SumChangePercent[AVGChan20]),"#0.0%"),
      _xlfn.IFS(NewTrader!$AF51=NoStock,_xlpm.SumChTxt,
      TRUE, IF(NewTrader!$AF51=SellMorePercentGain,             "SumChange "&amp;_xlpm.SumChTxt,                         "&lt;"&amp;INT(_xlfn.XLOOKUP(NewTrader!$V51,ListTickers,Tab2ReverseGL[Rev_GL19]))&amp;    "&lt;"&amp;INT(_xlfn.XLOOKUP(NewTrader!$V51,ListTickers,Tab2ReverseGL[Rev_GL18]))&amp;":      "&amp;_xlpm.SumChTxt)))</f>
        <v>&lt;0&lt;0:      0.8%</v>
      </c>
      <c r="BH51" s="1711"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5,000x2.1</v>
      </c>
      <c r="BI51" s="1712" cm="1">
        <f t="array" aca="1" ref="BI51" ca="1">_xlfn.IFS(NewTrader!$AF51=Sale_Back,"",         NewTrader!$AF51=MDown, (NewTrader!$Y51-NewTrader!$X51)/NewTrader!$X51*ComFactor,             TRUE, IFERROR((NewTrader!$Y51-NewTrader!$X51)/NewTrader!$X51*ComFactor,""))</f>
        <v>0.22140425903222447</v>
      </c>
      <c r="BJ51" s="1664" cm="1">
        <f t="array" aca="1" ref="BJ51" ca="1">_xlfn.IFS(               NewTrader!$AF51=NoStock,(NewTrader!$BL51-NewTrader!$Y51)/NewTrader!$Y51-Commission,             NewTrader!$X51&lt;&gt;0,(NewTrader!$X51-NewTrader!$Y51)/NewTrader!$Y51-Commission)</f>
        <v>-0.18425694564279552</v>
      </c>
      <c r="BK51" s="1726">
        <f ca="1">_xlfn.XLOOKUP(NewTrader!$V51,TabCalc[Ticker],TabCalc[L_Sn])</f>
        <v>5000</v>
      </c>
      <c r="BL51" s="1727">
        <f ca="1">_xlfn.XLOOKUP(NewTrader!$V51,TabCalc[Ticker],TabCalc[L_Sp])</f>
        <v>10.07</v>
      </c>
      <c r="BM51" s="1634">
        <f ca="1">-IFERROR((Tab_NewTRADER[[#This Row],[M]]-Tab_NewTRADER[[#This Row],[L_Sp]])/Tab_NewTRADER[[#This Row],[L_Sp]],0)</f>
        <v>-0.15094339622641506</v>
      </c>
      <c r="BN51" s="1728">
        <f ca="1">MIN(Tab_NewTRADER[[#This Row],[L_Sn]],Tab_NewTRADER[[#This Row],[N]])*(Tab_NewTRADER[[#This Row],[M]]-Tab_NewTRADER[[#This Row],[L_Sp]])*Comm_Net*Tab_NewTRADER[[#This Row],[Scale]]</f>
        <v>7579.4799999999977</v>
      </c>
      <c r="BO51" s="1715">
        <f ca="1">Tab_NewTRADER[[#This Row],[L_Sn]]*(Tab_NewTRADER[[#This Row],[Agiotage]]-Tab_NewTRADER[[#This Row],[M]])/(Tab_NewTRADER[[#This Row],[L_Bn]]*Tab_NewTRADER[[#This Row],[M]])</f>
        <v>-0.93936601386333218</v>
      </c>
      <c r="BP51" s="1670">
        <f ca="1">IFERROR((Tab_NewTRADER[[#This Row],[M]]-Tab_NewTRADER[[#This Row],[A]])/Tab_NewTRADER[[#This Row],[A]],0)</f>
        <v>0.2219814107000446</v>
      </c>
      <c r="BQ51" s="1671" t="str">
        <f ca="1">TEXT(_xlfn.XLOOKUP(Tab_NewTRADER[[#This Row],[ClickTick]],TabCalc[Ticker],TabCalc[NAfter]),"#,#0")&amp;" : "&amp;TEXT(_xlfn.XLOOKUP(Tab_NewTRADER[[#This Row],[ClickTick]],TabCalc[Ticker],TabCalc[NAfter])*(Tab_NewTRADER[[#This Row],[M]]-Tab_NewTRADER[[#This Row],[A]])*(1-Commission)*Tab_NewTRADER[[#This Row],[Scale]],"#,#0$")</f>
        <v>5,000 : 10,500$</v>
      </c>
      <c r="BR51" s="259">
        <f ca="1">_xlfn.XLOOKUP(NewTrader!$V51,TabCalc[[#This Row],[Ticker]],TabCalc[[#This Row],[GL]])*(1-Commission)</f>
        <v>-75549.651320601333</v>
      </c>
      <c r="BS51" s="259"/>
      <c r="BT51" s="1672" t="str">
        <f ca="1">Tab_NewTRADER[[#This Row],[Show]]&amp;": "&amp;_xlfn.XLOOKUP(Tab_NewTRADER[[#This Row],[Show]],TabCalc[Ticker],TabCalc[Pile?])</f>
        <v xml:space="preserve">VTRS: </v>
      </c>
      <c r="BU51" s="1717" t="s">
        <v>1915</v>
      </c>
      <c r="BV51" s="1674" t="str" cm="1">
        <f t="array" aca="1" ref="BV51" ca="1">_xlfn.TEXTJOIN("",,INDEX({"M","A","Y"}, _xlfn.SORTBY({1,2,3}, -CHOOSE({1,2,3}, Tab_NewTRADER[[#This Row],[M]], Tab_NewTRADER[[#This Row],[A]], Tab_NewTRADER[[#This Row],[Y]]))))</f>
        <v>YMA</v>
      </c>
      <c r="BW51" s="1675"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76">
        <f ca="1">Tab_NewTRADER[[#This Row],[L_Sn]]*Tab_NewTRADER[[#This Row],[L_Sp]]+Tab_NewTRADER[[#This Row],[SellMore]]*Tab_NewTRADER[[#This Row],[M]]</f>
        <v>108300</v>
      </c>
      <c r="BY51" s="1676">
        <f ca="1">INDEX(
  INDEX(TabConsolid[], , _xlfn.XMATCH(Tab_NewTRADER[[#This Row],[ClickTick]]&amp;1, TabConsolid[#Headers])),
  MATCH(
    -Tab_NewTRADER[[#This Row],[M]],
    INDEX(TabConsolid[], , _xlfn.XMATCH(Tab_NewTRADER[[#This Row],[ClickTick]]&amp;2, TabConsolid[#Headers])),
    -1
  )
)</f>
        <v>5000</v>
      </c>
      <c r="BZ51" s="1676"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77">
        <f ca="1">Tab_NewTRADER[[#This Row],[ReBuy]]/(Tab_NewTRADER[[#This Row],[L_Sn]]+Tab_NewTRADER[[#This Row],[SellMore]])</f>
        <v>10.83</v>
      </c>
      <c r="CB51" s="1678">
        <f ca="1">((_xlfn.XLOOKUP(Tab_NewTRADER[[#This Row],[Show]],TabCalc[Ticker],TabCalc[NAfter])+Tab_NewTRADER[[#This Row],[L_Sn]])*(Tab_NewTRADER[[#This Row],[Agiotage]]-Tab_NewTRADER[[#This Row],[M]]))/(Tab_NewTRADER[[#This Row],[L_Sn]]*_xlfn.XLOOKUP(Tab_NewTRADER[[#This Row],[Show]],TabCalc[Ticker],TabCalc[NAfter]))</f>
        <v>-4.354900840270408E-3</v>
      </c>
      <c r="CC51" s="1677">
        <f ca="1">INDEX(Tab1Price[Price19], MATCH(Tab_NewTRADER[[#This Row],[Show]], Tab_NewTRADER[Show], 0))</f>
        <v>11.59</v>
      </c>
      <c r="CD51" s="1679">
        <f ca="1">_xlfn.XMATCH(Tab_NewTRADER[[#This Row],[Show]]&amp;1, TabConsolid[#Headers])</f>
        <v>149</v>
      </c>
      <c r="CE51" s="1678"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729" t="str" cm="1">
        <f t="array" aca="1" ref="CF51" ca="1">_xlfn.LET(
    _xlpm.FMT, _xlfn.LAMBDA(_xlpm.n, REPT(" ", 7 - LEN(TEXT(_xlpm.n,"0.00"))) &amp; TEXT(_xlpm.n,"0.00")),
    _xlpm.FMT(Tab_NewTRADER[[#This Row],[A]]) &amp; " -" &amp; _xlpm.FMT(Tab_NewTRADER[[#This Row],[M]]) &amp; " -" &amp; _xlpm.FMT(Tab_NewTRADER[[#This Row],[Y]])
)</f>
        <v xml:space="preserve">   9.48 -  11.59 -  12.13</v>
      </c>
      <c r="CG51" s="1730" t="str" cm="1">
        <f t="array" aca="1" ref="CG51" ca="1">_xlfn.LET(
    _xlpm.W, 7,
    _xlpm.FMT, _xlfn.LAMBDA(_xlpm.n, REPT(" ", _xlpm.W - LEN(TEXT(_xlpm.n,"0.00"))) &amp; TEXT(_xlpm.n,"0.00")),
    _xlpm.FMT(Tab_NewTRADER[[#This Row],[A]]) &amp; " * " &amp; _xlpm.FMT(Tab_NewTRADER[[#This Row],[M]]) &amp; " * " &amp; _xlpm.FMT(Tab_NewTRADER[[#This Row],[Y]])
)</f>
        <v xml:space="preserve">   9.48 *   11.59 *   12.13</v>
      </c>
      <c r="CH51" s="1843">
        <f>0</f>
        <v>0</v>
      </c>
      <c r="CI51" t="b">
        <f ca="1">IF(ABS(NewTrader!$Q51)&gt;=NewTrader!$Y51,"OK")</f>
        <v>0</v>
      </c>
    </row>
    <row r="52" spans="1:87" ht="23" thickBot="1">
      <c r="A52" s="1839">
        <f ca="1">IF(_xlfn.XLOOKUP(NewTrader!$V52,TabCalc[Ticker],TabCalc[Cur])="GBp",0.01,1)</f>
        <v>1</v>
      </c>
      <c r="B52" s="1681" t="str">
        <f ca="1">IFERROR(TRUNC(_xlfn.XLOOKUP(NewTrader!$V52,TabCalc[Ticker],ListLastBuyp),2)&amp;"x"&amp;_xlfn.XLOOKUP(NewTrader!$V52,TabCalc[Ticker],ListLastBuyn)&amp;"=    "&amp;IF(_xlfn.XLOOKUP(NewTrader!$V52,TabCalc[Ticker],ListReverseS)&gt;0,"+","")&amp;TEXT(_xlfn.XLOOKUP(NewTrader!$V52,TabCalc[Ticker],ListReverseS),"#,#0")&amp;" "&amp;#REF!,"")</f>
        <v/>
      </c>
      <c r="C52" s="1682" t="str">
        <f ca="1">_xlfn.XLOOKUP(NewTrader!$V52,TabCalc[Ticker],ListResale)&amp;" @ "&amp;TEXT((_xlfn.XLOOKUP(NewTrader!$V52,TabCalc[Ticker],TabCalc[L_Bp])+_xlfn.XLOOKUP(NewTrader!$V52,TabCalc[Ticker],TabCalc[M]))/_xlfn.XLOOKUP(NewTrader!$V52,TabCalc[Ticker],TabCalc[M]),"#0.0%")</f>
        <v>Resell @ 16.0%</v>
      </c>
      <c r="D52" s="1683"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84" t="str">
        <f ca="1">IF(      AND(NewTrader!$X52&lt;NewTrader!$Y52,    _xlfn.XLOOKUP(NewTrader!$V52,TabCalc[Ticker],TabCalc[L_Sp])&gt;NewTrader!$Y52),"BUY  "&amp;TEXT(DesiredBuyGain/NewTrader!$A52/(_xlfn.XLOOKUP(NewTrader!$V52,TabCalc[Ticker],TabCalc[L_Sp])-NewTrader!$Y52),"#,##0"),"")</f>
        <v/>
      </c>
      <c r="F52" s="1681" t="str">
        <f ca="1">TRUNC(TabCalc[[#This Row],[L_B1p]],2)&amp;"x"&amp;TabCalc[[#This Row],[L_B1n]]&amp;"=   "&amp;TEXT(TabCalc[[#This Row],[ReverseS1]],"#,#0")&amp;"$"</f>
        <v>-10.48x1500=   2,250$</v>
      </c>
      <c r="G52" s="1685" t="str">
        <f ca="1">IFERROR(TRUNC(_xlfn.XLOOKUP(NewTrader!$V52,TabCalc[Ticker],ListLastSalep),2)&amp;"x"&amp;_xlfn.XLOOKUP(NewTrader!$V52,TabCalc[Ticker],ListLastSalen)&amp;"=   "&amp;TEXT(-_xlfn.XLOOKUP(NewTrader!$V52,TabCalc[Ticker],ListReverseB),"#,#0")&amp;"$","")</f>
        <v>11.25x4000=   2,916$</v>
      </c>
      <c r="H52" s="1686"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81" t="str">
        <f ca="1">IFERROR(TRUNC(TabCalc[[#This Row],[L_S1p]],2)&amp;"x"&amp;TabCalc[[#This Row],[L_S1n]]&amp;"=   "&amp;TEXT(TabCalc[[#This Row],[ReverseB1]],"#,#0"),"")</f>
        <v>10.76x3000=   -3,645</v>
      </c>
      <c r="J52" s="1687">
        <f ca="1">_xlfn.XLOOKUP(NewTrader!$V52,TabCalc[Ticker],ListGravity)</f>
        <v>0</v>
      </c>
      <c r="K52" s="1688" cm="1">
        <f t="array" aca="1" ref="K52" ca="1">IF(_xlfn.XLOOKUP(NewTrader!$V52,NewTrader!$V$3:$V$96,ListExtra_n)&gt;0,_xlfn.XLOOKUP(NewTrader!$V52,NewTrader!$V$3:$V$96,ListExtra_n),"")</f>
        <v>2250</v>
      </c>
      <c r="L52" s="1689">
        <f ca="1">IF(_xlfn.XLOOKUP(NewTrader!$V52,TabCalc[Ticker],ListExtra_n)&gt;0,_xlfn.XLOOKUP(NewTrader!$V52,TabCalc[Ticker],ListExtra_n)*NewTrader!$Y52*_xlfn.XLOOKUP(NewTrader!$V52,TabCalc[Ticker],ListScale),"")</f>
        <v>26955</v>
      </c>
      <c r="M52" s="1690">
        <f ca="1">_xlfn.XLOOKUP(NewTrader!$V52,TabCalc[Ticker],TabCalc[Agiotage])</f>
        <v>14.986033366586197</v>
      </c>
      <c r="N52" s="1691" t="e" cm="1">
        <f t="array" aca="1" ref="N52" ca="1">_xlfn.XLOOKUP(NewTrader!$V52,ListTickers,Tab2RSIConventional[RSIConv20])</f>
        <v>#DIV/0!</v>
      </c>
      <c r="O52" s="1631" t="str">
        <f ca="1">TEXT(_xlfn.XLOOKUP(NewTrader!$V52,TabCalc[Ticker],TabCalc[Nbegin]),"#,#0")&amp;": "&amp;_xlfn.XLOOKUP(NewTrader!$V52,TabCalc[Ticker],TabCalc[Pile?])</f>
        <v xml:space="preserve">750: </v>
      </c>
      <c r="P52" s="1692">
        <f ca="1">_xlfn.XLOOKUP(NewTrader!$V52,TabCalc[Ticker],TabCalc[L_Bn])</f>
        <v>6500</v>
      </c>
      <c r="Q52" s="1693">
        <f ca="1">_xlfn.XLOOKUP(NewTrader!$V52,TabCalc[Ticker],TabCalc[L_Bp])</f>
        <v>-10.059900000000001</v>
      </c>
      <c r="R52" s="1694">
        <f ca="1">(NewTrader!$Y52+NewTrader!$Q52)/ABS(NewTrader!$Q52)</f>
        <v>0.19086670841658462</v>
      </c>
      <c r="S52" s="262">
        <f ca="1">INT(_xlfn.XLOOKUP(NewTrader!$V52,TabCalc[Ticker],TabCalc[Rev(MinStock)])*Comm_Net)</f>
        <v>5728</v>
      </c>
      <c r="T52" s="1635">
        <f ca="1">_xlfn.XLOOKUP(NewTrader!$V52,TabCalc[Ticker],TabCalc[Agiotage])</f>
        <v>14.986033366586197</v>
      </c>
      <c r="U52" s="1695"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78" t="str">
        <f ca="1">SORTING!B52</f>
        <v>WBA</v>
      </c>
      <c r="W52" s="1637">
        <f ca="1">_xlfn.XLOOKUP(NewTrader!$V52,TabCalc[Ticker],TabCalc[Y])</f>
        <v>0</v>
      </c>
      <c r="X52" s="1639">
        <f ca="1">-_xlfn.XLOOKUP(NewTrader!$V52&amp;2,Consolid!B$3:JZ$3,Consolid!B$4:JZ$4)</f>
        <v>10.086055739999999</v>
      </c>
      <c r="Y52" s="1639">
        <f ca="1">_xlfn.XLOOKUP(NewTrader!$V52,TabCalc[Ticker],TabCalc[M])</f>
        <v>11.98</v>
      </c>
      <c r="Z52" s="1640">
        <f ca="1">_xlfn.XLOOKUP(NewTrader!$V52,[1]!RTData[Ticker_Symbol],[1]!RTData[YTChange])</f>
        <v>0</v>
      </c>
      <c r="AA52" s="1640" cm="1">
        <f t="array" aca="1" ref="AA52" ca="1">_xlfn.XLOOKUP(NewTrader!$V52,ListTickers,Tab1ChangePercent[Change%19])</f>
        <v>0</v>
      </c>
      <c r="AB52" s="1641">
        <f ca="1">_xlfn.XLOOKUP(NewTrader!$V52,TabCalc[Ticker],TabCalc[NAfter])</f>
        <v>3000</v>
      </c>
      <c r="AC52" s="1641">
        <f ca="1">_xlfn.XLOOKUP(NewTrader!$V52,TabCalc[Ticker],TabCalc[Nbegin])</f>
        <v>750</v>
      </c>
      <c r="AD52" s="1642" t="str">
        <f ca="1">_xlfn.LET(_xlpm.PILE,_xlfn.XLOOKUP(NewTrader!$V52,TabCalc[Ticker],TabCalc[Pile?]),                    _xlpm.GL,_xlfn.XLOOKUP(NewTrader!$V52,TabCalc[Ticker],TabCalc[GL]),                        _xlpm.GLK,_xlfn.XLOOKUP(NewTrader!$V52,TabCalc[Ticker],TabCalc[GL])/1000,                             _xlpm.MVal,_xlfn.XLOOKUP(NewTrader!$V52,TabCalc[Ticker],TabCalc[M_V])/1000,                   _xlpm.PILE&amp;" "&amp;IF(_xlpm.GL&lt;0,TEXT(_xlpm.GLK,"#,#0")&amp;"K /"&amp;TEXT(_xlpm.MVal,"#,#0")&amp;" K$","^"&amp;TEXT(_xlpm.GLK,"#,#0")&amp;"K / "&amp;TEXT(_xlpm.MVal,"#,#0")&amp;" K$"))</f>
        <v xml:space="preserve"> -22K /36 K$</v>
      </c>
      <c r="AE52" s="1643" t="str">
        <f ca="1">_xlfn.XLOOKUP(NewTrader!$V52,[1]!RTData[Ticker_Symbol],[1]!RTData[Currency])</f>
        <v>USD</v>
      </c>
      <c r="AF52" s="1696"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744" t="str" cm="1">
        <f t="array" aca="1" ref="AH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739" t="str" cm="1">
        <f t="array" aca="1" ref="AJ52" ca="1">_xlfn.IFS(Tab_NewTRADER[[#This Row],[State]]="Sell More",TEXT(MIN(Tab_NewTRADER[[#This Row],[N]],Tab_NewTRADER[[#This Row],[L_Bn]])*(Tab_NewTRADER[[#This Row],[M]]-Tab_NewTRADER[[#This Row],[L_Sp]])*Tab_NewTRADER[[#This Row],[Scale]]*ComFactor,"#,#0"), TRUE,"M= "&amp;TEXT(Tab_NewTRADER[[#This Row],[M]],"#,#0.00"))</f>
        <v>2,181</v>
      </c>
      <c r="AK52" s="1699" cm="1">
        <f t="array" aca="1" ref="AK52" ca="1">_xlfn.IFS(Tab_NewTRADER[[#This Row],[Y]]&gt;Tab_NewTRADER[[#This Row],[A]],                 TEXT(MIN(Tab_NewTRADER[[#This Row],[L_Bn]],Tab_NewTRADER[[#This Row],[N]])*(Tab_NewTRADER[[#This Row],[M]]-Tab_NewTRADER[[#This Row],[A]])*Tab_NewTRADER[[#This Row],[Scale]]*ComFactor,"#,#0"), TRUE,0)</f>
        <v>0</v>
      </c>
      <c r="AL52" s="1700" cm="1">
        <f t="array" aca="1" ref="AL52" ca="1">_xlfn.IFS(Tab_NewTRADER[[#This Row],[M]]&gt;Tab_NewTRADER[[#This Row],[A]],                  Tab_NewTRADER[[#This Row],[N]]*(Tab_NewTRADER[[#This Row],[M]]-Tab_NewTRADER[[#This Row],[A]])*Tab_NewTRADER[[#This Row],[Scale]]*ComFactor, TRUE,0)</f>
        <v>5667.0600147720043</v>
      </c>
      <c r="AM52" s="1592" t="str">
        <f ca="1">_xlfn.XLOOKUP(Tab_NewTRADER[[#This Row],[Show]],TabCalc[Ticker],TabCalc[Max_Bn])&amp;" x "&amp;TEXT(_xlfn.XLOOKUP(Tab_NewTRADER[[#This Row],[Show]],TabCalc[Ticker],TabCalc[Max_Bp]),"#,#0.00")</f>
        <v>3000 x 10.09</v>
      </c>
      <c r="AN52" s="1650" t="str">
        <f ca="1">NewTrader!$V52</f>
        <v>WBA</v>
      </c>
      <c r="AO52" s="1651" t="str">
        <f ca="1">TEXT(_xlfn.XLOOKUP(Tab_NewTRADER[[#This Row],[ClickTick]],TabCalc[Ticker],TabCalc[NAfter]),"#,#0")&amp;"x"&amp;_xlfn.XLOOKUP(Tab_NewTRADER[[#This Row],[ClickTick]],TabCalc[Ticker],TabCalc[M])&amp;"           (A: "&amp;TEXT(-_xlfn.XLOOKUP(Tab_NewTRADER[[#This Row],[ClickTick]]&amp;2,Consolid!B$3:JZ$3,Consolid!B$4:JZ$4),"#,??0.00")&amp;")"</f>
        <v>3,000x11.98           (A:  10.09)</v>
      </c>
      <c r="AP52" s="1592" t="str">
        <f ca="1">_xlfn.XLOOKUP(Tab_NewTRADER[[#This Row],[Show]],TabCalc[Ticker],TabCalc[Min_Sn])&amp;" x "&amp;TEXT(_xlfn.XLOOKUP(Tab_NewTRADER[[#This Row],[Show]],TabCalc[Ticker],TabCalc[Min_Sp]),"#,#0.00")</f>
        <v>750 x 10.77</v>
      </c>
      <c r="AQ5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702" t="str" cm="1">
        <f t="array" aca="1" ref="AR52" ca="1">_xlfn.IFS(Tab_NewTRADER[[#This Row],[State]]="Reverse Buy",TEXT(-Tab_NewTRADER[[#This Row],[Buy_Back]],"#,#0")&amp;" / "&amp;TEXT(Tab_NewTRADER[[#This Row],[Rev_Buy]],"#,#0.0%"),TRUE,Tab_NewTRADER[[#This Row],[AMY]])</f>
        <v xml:space="preserve">  10.09 -  11.98 -   0.00</v>
      </c>
      <c r="AS52" s="1651"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99"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99" t="str" cm="1">
        <f t="array" aca="1" ref="AU52" ca="1">_xlfn.IFS(Tab_NewTRADER[[#This Row],[M]]&lt;Tab_NewTRADER[[#This Row],[A]],TEXT(Tab_NewTRADER[[#This Row],[N]]*Tab_NewTRADER[[#This Row],[M]]*Tab_NewTRADER[[#This Row],[Scale]]*Comm_Net,"#,#0")&amp;" @ "&amp;TEXT(Tab_NewTRADER[[#This Row],[M]],"#,#0.#0"),TRUE,"M: "&amp; Tab_NewTRADER[[#This Row],[M]])</f>
        <v>M: 11.98</v>
      </c>
      <c r="AV52" s="1703" cm="1">
        <f t="array" aca="1" ref="AV52" ca="1">-_xlfn.XLOOKUP(
    Tab_NewTRADER[[#This Row],[Show]] &amp; 2,
    TabConsolid[#Headers],
    INDEX(TabConsolid[], 1, 0)
)</f>
        <v>10.086055739999999</v>
      </c>
      <c r="AW52" s="1704">
        <f ca="1">Tab_NewTRADER[[#This Row],[M]]*Tab_NewTRADER[[#This Row],[N]]*(1-Commission)*Tab_NewTRADER[[#This Row],[Scale]]</f>
        <v>35846.555999999997</v>
      </c>
      <c r="AX52" s="1705"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705"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706" t="str" cm="1">
        <f t="array" aca="1" ref="AZ52" ca="1">_xlfn.IFS(   Tab_NewTRADER[[#This Row],[State]]=SellMorePercentGain,                     MIN(Tab_NewTRADER[[#This Row],[L_Sn]],Tab_NewTRADER[[#This Row],[N]])*(Tab_NewTRADER[[#This Row],[M]]-Tab_NewTRADER[[#This Row],[L_Sp]])*(1-Commission)*Tab_NewTRADER[[#This Row],[Scale]],                    TRUE,"")</f>
        <v/>
      </c>
      <c r="BA52" s="1707">
        <f ca="1">_xlfn.XLOOKUP(NewTrader!$V52,TabCalc[Ticker],TabCalc[Ann%RevLB])</f>
        <v>0.2230909578895145</v>
      </c>
      <c r="BB52" s="1746">
        <f ca="1">_xlfn.XLOOKUP(NewTrader!$V52,TabCalc[Ticker],TabCalc[Up20])</f>
        <v>0</v>
      </c>
      <c r="BC52" s="1747"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706" t="str" cm="1">
        <f t="array" aca="1" ref="BD52" ca="1">_xlfn.IFS(         NewTrader!$AF52=MDown,NewTrader!$P52*NewTrader!$Y52*(-(NewTrader!$Q52+NewTrader!$Y52)/NewTrader!$Y52)*(1-Commission)*NewTrader!$A52,                               TRUE,"")</f>
        <v/>
      </c>
      <c r="BE52" s="1705" t="str" cm="1">
        <f t="array" aca="1" ref="BE52" ca="1">_xlfn.IFS(   NewTrader!$AF52=MUp,NewTrader!$BP52-Commission,        NewTrader!$AF52=MDown,(NewTrader!$X52-NewTrader!$Y52)/NewTrader!$Y52-Commission,                              TRUE,"")</f>
        <v/>
      </c>
      <c r="BF52" s="1706"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710" t="str" cm="1">
        <f t="array" aca="1" ref="BG52" ca="1">_xlfn.LET(_xlpm.SumChTxt,TEXT(_xlfn.XLOOKUP(NewTrader!$V52,ListTickers,Tab2SumChangePercent[AVGChan20]),"#0.0%"),
      _xlfn.IFS(NewTrader!$AF52=NoStock,_xlpm.SumChTxt,
      TRUE, IF(NewTrader!$AF52=SellMorePercentGain,             "SumChange "&amp;_xlpm.SumChTxt,                         "&lt;"&amp;INT(_xlfn.XLOOKUP(NewTrader!$V52,ListTickers,Tab2ReverseGL[Rev_GL19]))&amp;    "&lt;"&amp;INT(_xlfn.XLOOKUP(NewTrader!$V52,ListTickers,Tab2ReverseGL[Rev_GL18]))&amp;":      "&amp;_xlpm.SumChTxt)))</f>
        <v>&lt;-1&lt;-1:      0.0%</v>
      </c>
      <c r="BH52" s="1711"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712" cm="1">
        <f t="array" aca="1" ref="BI52" ca="1">_xlfn.IFS(NewTrader!$AF52=Sale_Back,"",         NewTrader!$AF52=MDown, (NewTrader!$Y52-NewTrader!$X52)/NewTrader!$X52*ComFactor,             TRUE, IFERROR((NewTrader!$Y52-NewTrader!$X52)/NewTrader!$X52*ComFactor,""))</f>
        <v>0.18729026029792706</v>
      </c>
      <c r="BJ52" s="1664" cm="1">
        <f t="array" aca="1" ref="BJ52" ca="1">_xlfn.IFS(               NewTrader!$AF52=NoStock,(NewTrader!$BL52-NewTrader!$Y52)/NewTrader!$Y52-Commission,             NewTrader!$X52&lt;&gt;0,(NewTrader!$X52-NewTrader!$Y52)/NewTrader!$Y52-Commission)</f>
        <v>-0.16069217529215368</v>
      </c>
      <c r="BK52" s="1713">
        <f ca="1">_xlfn.XLOOKUP(NewTrader!$V52,TabCalc[Ticker],TabCalc[L_Sn])</f>
        <v>4000</v>
      </c>
      <c r="BL52" s="1693">
        <f ca="1">_xlfn.XLOOKUP(NewTrader!$V52,TabCalc[Ticker],TabCalc[L_Sp])</f>
        <v>11.251099999999999</v>
      </c>
      <c r="BM52" s="1694">
        <f ca="1">-IFERROR((Tab_NewTRADER[[#This Row],[M]]-Tab_NewTRADER[[#This Row],[L_Sp]])/Tab_NewTRADER[[#This Row],[L_Sp]],0)</f>
        <v>-6.478477659962148E-2</v>
      </c>
      <c r="BN52" s="1714">
        <f ca="1">MIN(Tab_NewTRADER[[#This Row],[L_Sn]],Tab_NewTRADER[[#This Row],[N]])*(Tab_NewTRADER[[#This Row],[M]]-Tab_NewTRADER[[#This Row],[L_Sp]])*Comm_Net*Tab_NewTRADER[[#This Row],[Scale]]</f>
        <v>2180.7959100000035</v>
      </c>
      <c r="BO52" s="1715">
        <f ca="1">Tab_NewTRADER[[#This Row],[L_Sn]]*(Tab_NewTRADER[[#This Row],[Agiotage]]-Tab_NewTRADER[[#This Row],[M]])/(Tab_NewTRADER[[#This Row],[L_Bn]]*Tab_NewTRADER[[#This Row],[M]])</f>
        <v>0.15441291211435451</v>
      </c>
      <c r="BP52" s="1716">
        <f ca="1">IFERROR((Tab_NewTRADER[[#This Row],[M]]-Tab_NewTRADER[[#This Row],[A]])/Tab_NewTRADER[[#This Row],[A]],0)</f>
        <v>0.18777848435725594</v>
      </c>
      <c r="BQ52" s="1671"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Row],[GL]])*(1-Commission)</f>
        <v>-21944.544716113087</v>
      </c>
      <c r="BS52" s="262"/>
      <c r="BT52" s="1672" t="str">
        <f ca="1">Tab_NewTRADER[[#This Row],[Show]]&amp;": "&amp;_xlfn.XLOOKUP(Tab_NewTRADER[[#This Row],[Show]],TabCalc[Ticker],TabCalc[Pile?])</f>
        <v xml:space="preserve">WBA: </v>
      </c>
      <c r="BU52" s="1717" t="s">
        <v>1916</v>
      </c>
      <c r="BV52" s="1674" t="str" cm="1">
        <f t="array" aca="1" ref="BV52" ca="1">_xlfn.TEXTJOIN("",,INDEX({"M","A","Y"}, _xlfn.SORTBY({1,2,3}, -CHOOSE({1,2,3}, Tab_NewTRADER[[#This Row],[M]], Tab_NewTRADER[[#This Row],[A]], Tab_NewTRADER[[#This Row],[Y]]))))</f>
        <v>MAY</v>
      </c>
      <c r="BW52" s="1675"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76">
        <f ca="1">Tab_NewTRADER[[#This Row],[L_Sn]]*Tab_NewTRADER[[#This Row],[L_Sp]]+Tab_NewTRADER[[#This Row],[SellMore]]*Tab_NewTRADER[[#This Row],[M]]</f>
        <v>80944.399999999994</v>
      </c>
      <c r="BY52" s="1676">
        <f ca="1">INDEX(
  INDEX(TabConsolid[], , _xlfn.XMATCH(Tab_NewTRADER[[#This Row],[ClickTick]]&amp;1, TabConsolid[#Headers])),
  MATCH(
    -Tab_NewTRADER[[#This Row],[M]],
    INDEX(TabConsolid[], , _xlfn.XMATCH(Tab_NewTRADER[[#This Row],[ClickTick]]&amp;2, TabConsolid[#Headers])),
    -1
  )
)</f>
        <v>3000</v>
      </c>
      <c r="BZ52" s="1676"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77">
        <f ca="1">Tab_NewTRADER[[#This Row],[ReBuy]]/(Tab_NewTRADER[[#This Row],[L_Sn]]+Tab_NewTRADER[[#This Row],[SellMore]])</f>
        <v>11.563485714285713</v>
      </c>
      <c r="CB52" s="1678">
        <f ca="1">((_xlfn.XLOOKUP(Tab_NewTRADER[[#This Row],[Show]],TabCalc[Ticker],TabCalc[NAfter])+Tab_NewTRADER[[#This Row],[L_Sn]])*(Tab_NewTRADER[[#This Row],[Agiotage]]-Tab_NewTRADER[[#This Row],[M]]))/(Tab_NewTRADER[[#This Row],[L_Sn]]*_xlfn.XLOOKUP(Tab_NewTRADER[[#This Row],[Show]],TabCalc[Ticker],TabCalc[NAfter]))</f>
        <v>1.753519463841948E-3</v>
      </c>
      <c r="CC52" s="1677">
        <f ca="1">INDEX(Tab1Price[Price19], MATCH(Tab_NewTRADER[[#This Row],[Show]], Tab_NewTRADER[Show], 0))</f>
        <v>11.98</v>
      </c>
      <c r="CD52" s="1679">
        <f ca="1">_xlfn.XMATCH(Tab_NewTRADER[[#This Row],[Show]]&amp;1, TabConsolid[#Headers])</f>
        <v>152</v>
      </c>
      <c r="CE52" s="1678"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729" t="str" cm="1">
        <f t="array" aca="1" ref="CF52" ca="1">_xlfn.LET(
    _xlpm.FMT, _xlfn.LAMBDA(_xlpm.n, REPT(" ", 7 - LEN(TEXT(_xlpm.n,"0.00"))) &amp; TEXT(_xlpm.n,"0.00")),
    _xlpm.FMT(Tab_NewTRADER[[#This Row],[A]]) &amp; " -" &amp; _xlpm.FMT(Tab_NewTRADER[[#This Row],[M]]) &amp; " -" &amp; _xlpm.FMT(Tab_NewTRADER[[#This Row],[Y]])
)</f>
        <v xml:space="preserve">  10.09 -  11.98 -   0.00</v>
      </c>
      <c r="CG52" s="1730"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43">
        <f>0</f>
        <v>0</v>
      </c>
      <c r="CI52" t="b">
        <f ca="1">IF(ABS(NewTrader!$Q52)&gt;=NewTrader!$Y52,"OK")</f>
        <v>0</v>
      </c>
    </row>
    <row r="53" spans="1:87" ht="23" hidden="1" thickBot="1">
      <c r="A53" s="1838">
        <f ca="1">IF(_xlfn.XLOOKUP(NewTrader!$V53,TabCalc[Ticker],TabCalc[Cur])="GBp",0.01,1)</f>
        <v>1</v>
      </c>
      <c r="B53" s="1620" t="str">
        <f ca="1">IFERROR(TRUNC(_xlfn.XLOOKUP(NewTrader!$V53,TabCalc[Ticker],ListLastBuyp),2)&amp;"x"&amp;_xlfn.XLOOKUP(NewTrader!$V53,TabCalc[Ticker],ListLastBuyn)&amp;"=    "&amp;IF(_xlfn.XLOOKUP(NewTrader!$V53,TabCalc[Ticker],ListReverseS)&gt;0,"+","")&amp;TEXT(_xlfn.XLOOKUP(NewTrader!$V53,TabCalc[Ticker],ListReverseS),"#,#0")&amp;" "&amp;#REF!,"")</f>
        <v/>
      </c>
      <c r="C53" s="1621" t="str">
        <f ca="1">_xlfn.XLOOKUP(NewTrader!$V53,TabCalc[Ticker],ListResale)&amp;" @ "&amp;TEXT((_xlfn.XLOOKUP(NewTrader!$V53,TabCalc[Ticker],TabCalc[L_Bp])+_xlfn.XLOOKUP(NewTrader!$V53,TabCalc[Ticker],TabCalc[M]))/_xlfn.XLOOKUP(NewTrader!$V53,TabCalc[Ticker],TabCalc[M]),"#0.0%")</f>
        <v>Sell @ 1.7%</v>
      </c>
      <c r="D53" s="1622"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718" t="str">
        <f ca="1">IF(      AND(NewTrader!$X53&lt;NewTrader!$Y53,    _xlfn.XLOOKUP(NewTrader!$V53,TabCalc[Ticker],TabCalc[L_Sp])&gt;NewTrader!$Y53),"BUY  "&amp;TEXT(DesiredBuyGain/NewTrader!$A53/(_xlfn.XLOOKUP(NewTrader!$V53,TabCalc[Ticker],TabCalc[L_Sp])-NewTrader!$Y53),"#,##0"),"")</f>
        <v/>
      </c>
      <c r="F53" s="1620" t="str">
        <f ca="1">TRUNC(TabCalc[[#This Row],[L_B1p]],2)&amp;"x"&amp;TabCalc[[#This Row],[L_B1n]]&amp;"=   "&amp;TEXT(TabCalc[[#This Row],[ReverseS1]],"#,#0")&amp;"$"</f>
        <v>-106.09x1800=   6,730$</v>
      </c>
      <c r="G53" s="1624" t="str">
        <f ca="1">IFERROR(TRUNC(_xlfn.XLOOKUP(NewTrader!$V53,TabCalc[Ticker],ListLastSalep),2)&amp;"x"&amp;_xlfn.XLOOKUP(NewTrader!$V53,TabCalc[Ticker],ListLastSalen)&amp;"=   "&amp;TEXT(-_xlfn.XLOOKUP(NewTrader!$V53,TabCalc[Ticker],ListReverseB),"#,#0")&amp;"$","")</f>
        <v>107.37x1800=   21,924$</v>
      </c>
      <c r="H53" s="1625"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10.2% = 0</v>
      </c>
      <c r="I53" s="1620" t="str">
        <f ca="1">IFERROR(TRUNC(TabCalc[[#This Row],[L_S1p]],2)&amp;"x"&amp;TabCalc[[#This Row],[L_S1n]]&amp;"=   "&amp;TEXT(TabCalc[[#This Row],[ReverseB1]],"#,#0"),"")</f>
        <v>114.13x1800=   -9,756</v>
      </c>
      <c r="J53" s="1626">
        <f ca="1">_xlfn.XLOOKUP(NewTrader!$V53,TabCalc[Ticker],ListGravity)</f>
        <v>1.0783772480133835</v>
      </c>
      <c r="K53" s="1627" cm="1">
        <f t="array" aca="1" ref="K53" ca="1">IF(_xlfn.XLOOKUP(NewTrader!$V53,NewTrader!$V$3:$V$96,ListExtra_n)&gt;0,_xlfn.XLOOKUP(NewTrader!$V53,NewTrader!$V$3:$V$96,ListExtra_n),"")</f>
        <v>300</v>
      </c>
      <c r="L53" s="1628">
        <f ca="1">IF(_xlfn.XLOOKUP(NewTrader!$V53,TabCalc[Ticker],ListExtra_n)&gt;0,_xlfn.XLOOKUP(NewTrader!$V53,TabCalc[Ticker],ListExtra_n)*NewTrader!$Y53*_xlfn.XLOOKUP(NewTrader!$V53,TabCalc[Ticker],ListScale),"")</f>
        <v>35865</v>
      </c>
      <c r="M53" s="1629">
        <f ca="1">_xlfn.XLOOKUP(NewTrader!$V53,TabCalc[Ticker],TabCalc[Agiotage])</f>
        <v>0.89778480211282241</v>
      </c>
      <c r="N53" s="1630" cm="1">
        <f t="array" aca="1" ref="N53" ca="1">_xlfn.XLOOKUP(NewTrader!$V53,ListTickers,Tab2RSIConventional[RSIConv20])</f>
        <v>82</v>
      </c>
      <c r="O53" s="1631" t="str">
        <f ca="1">TEXT(_xlfn.XLOOKUP(NewTrader!$V53,TabCalc[Ticker],TabCalc[Nbegin]),"#,#0")&amp;": "&amp;_xlfn.XLOOKUP(NewTrader!$V53,TabCalc[Ticker],TabCalc[Pile?])</f>
        <v xml:space="preserve">200: </v>
      </c>
      <c r="P53" s="1630">
        <f ca="1">_xlfn.XLOOKUP(NewTrader!$V53,TabCalc[Ticker],TabCalc[L_Bn])</f>
        <v>300</v>
      </c>
      <c r="Q53" s="1633">
        <f ca="1">_xlfn.XLOOKUP(NewTrader!$V53,TabCalc[Ticker],TabCalc[L_Bp])</f>
        <v>-117.49</v>
      </c>
      <c r="R53" s="1634">
        <f ca="1">(NewTrader!$Y53+NewTrader!$Q53)/ABS(NewTrader!$Q53)</f>
        <v>1.7533407098476485E-2</v>
      </c>
      <c r="S53" s="259">
        <f ca="1">INT(_xlfn.XLOOKUP(NewTrader!$V53,TabCalc[Ticker],TabCalc[Rev(MinStock)])*Comm_Net)</f>
        <v>614</v>
      </c>
      <c r="T53" s="1635">
        <f ca="1">_xlfn.XLOOKUP(NewTrader!$V53,TabCalc[Ticker],TabCalc[Agiotage])</f>
        <v>0.89778480211282241</v>
      </c>
      <c r="U53" s="1719"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150/150=&gt;0.0% / 0.0%</v>
      </c>
      <c r="V53" s="1578" t="str">
        <f ca="1">SORTING!B53</f>
        <v>XOM</v>
      </c>
      <c r="W53" s="1637">
        <f ca="1">_xlfn.XLOOKUP(NewTrader!$V53,TabCalc[Ticker],TabCalc[Y])</f>
        <v>128.91999999999999</v>
      </c>
      <c r="X53" s="1639">
        <f ca="1">-_xlfn.XLOOKUP(NewTrader!$V53&amp;2,Consolid!B$3:JZ$3,Consolid!B$4:JZ$4)</f>
        <v>113.22361799999999</v>
      </c>
      <c r="Y53" s="1639">
        <f ca="1">_xlfn.XLOOKUP(NewTrader!$V53,TabCalc[Ticker],TabCalc[M])</f>
        <v>119.55</v>
      </c>
      <c r="Z53" s="1640">
        <f ca="1">_xlfn.XLOOKUP(NewTrader!$V53,[1]!RTData[Ticker_Symbol],[1]!RTData[YTChange])</f>
        <v>-2.980132450331132E-2</v>
      </c>
      <c r="AA53" s="1640" cm="1">
        <f t="array" aca="1" ref="AA53" ca="1">_xlfn.XLOOKUP(NewTrader!$V53,ListTickers,Tab1ChangePercent[Change%19])</f>
        <v>8.3649999999999987E-5</v>
      </c>
      <c r="AB53" s="1641">
        <f ca="1">_xlfn.XLOOKUP(NewTrader!$V53,TabCalc[Ticker],TabCalc[NAfter])</f>
        <v>500</v>
      </c>
      <c r="AC53" s="1641">
        <f ca="1">_xlfn.XLOOKUP(NewTrader!$V53,TabCalc[Ticker],TabCalc[Nbegin])</f>
        <v>200</v>
      </c>
      <c r="AD53" s="1642" t="str">
        <f ca="1">_xlfn.LET(_xlpm.PILE,_xlfn.XLOOKUP(NewTrader!$V53,TabCalc[Ticker],TabCalc[Pile?]),                    _xlpm.GL,_xlfn.XLOOKUP(NewTrader!$V53,TabCalc[Ticker],TabCalc[GL]),                        _xlpm.GLK,_xlfn.XLOOKUP(NewTrader!$V53,TabCalc[Ticker],TabCalc[GL])/1000,                             _xlpm.MVal,_xlfn.XLOOKUP(NewTrader!$V53,TabCalc[Ticker],TabCalc[M_V])/1000,                   _xlpm.PILE&amp;" "&amp;IF(_xlpm.GL&lt;0,TEXT(_xlpm.GLK,"#,#0")&amp;"K /"&amp;TEXT(_xlpm.MVal,"#,#0")&amp;" K$","^"&amp;TEXT(_xlpm.GLK,"#,#0")&amp;"K / "&amp;TEXT(_xlpm.MVal,"#,#0")&amp;" K$"))</f>
        <v xml:space="preserve"> ^11K / 60 K$</v>
      </c>
      <c r="AE53" s="1643" t="str">
        <f ca="1">_xlfn.XLOOKUP(NewTrader!$V53,[1]!RTData[Ticker_Symbol],[1]!RTData[Currency])</f>
        <v>USD</v>
      </c>
      <c r="AF53" s="1721"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G5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646" t="str" cm="1">
        <f t="array" aca="1" ref="AH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614 @ 119.55 : (1.7%, 8.3%)</v>
      </c>
      <c r="AI5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3" s="1651" t="str" cm="1">
        <f t="array" aca="1" ref="AJ53" ca="1">_xlfn.IFS(Tab_NewTRADER[[#This Row],[State]]="Sell More",TEXT(MIN(Tab_NewTRADER[[#This Row],[N]],Tab_NewTRADER[[#This Row],[L_Bn]])*(Tab_NewTRADER[[#This Row],[M]]-Tab_NewTRADER[[#This Row],[L_Sp]])*Tab_NewTRADER[[#This Row],[Scale]]*ComFactor,"#,#0"), TRUE,"M= "&amp;TEXT(Tab_NewTRADER[[#This Row],[M]],"#,#0.00"))</f>
        <v>M= 119.55</v>
      </c>
      <c r="AK53" s="1699" t="str" cm="1">
        <f t="array" aca="1" ref="AK53" ca="1">_xlfn.IFS(Tab_NewTRADER[[#This Row],[Y]]&gt;Tab_NewTRADER[[#This Row],[A]],                 TEXT(MIN(Tab_NewTRADER[[#This Row],[L_Bn]],Tab_NewTRADER[[#This Row],[N]])*(Tab_NewTRADER[[#This Row],[M]]-Tab_NewTRADER[[#This Row],[A]])*Tab_NewTRADER[[#This Row],[Scale]]*ComFactor,"#,#0"), TRUE,0)</f>
        <v>1,893</v>
      </c>
      <c r="AL53" s="1700" cm="1">
        <f t="array" aca="1" ref="AL53" ca="1">_xlfn.IFS(Tab_NewTRADER[[#This Row],[M]]&gt;Tab_NewTRADER[[#This Row],[A]],                  Tab_NewTRADER[[#This Row],[N]]*(Tab_NewTRADER[[#This Row],[M]]-Tab_NewTRADER[[#This Row],[A]])*Tab_NewTRADER[[#This Row],[Scale]]*ComFactor, TRUE,0)</f>
        <v>3154.9667034000045</v>
      </c>
      <c r="AM53" s="1592" t="str">
        <f ca="1">_xlfn.XLOOKUP(Tab_NewTRADER[[#This Row],[Show]],TabCalc[Ticker],TabCalc[Max_Bn])&amp;" x "&amp;TEXT(_xlfn.XLOOKUP(Tab_NewTRADER[[#This Row],[Show]],TabCalc[Ticker],TabCalc[Max_Bp]),"#,#0.00")</f>
        <v>300 x 117.49</v>
      </c>
      <c r="AN53" s="1650" t="str">
        <f ca="1">NewTrader!$V53</f>
        <v>XOM</v>
      </c>
      <c r="AO53" s="1651" t="str">
        <f ca="1">TEXT(_xlfn.XLOOKUP(Tab_NewTRADER[[#This Row],[ClickTick]],TabCalc[Ticker],TabCalc[NAfter]),"#,#0")&amp;"x"&amp;_xlfn.XLOOKUP(Tab_NewTRADER[[#This Row],[ClickTick]],TabCalc[Ticker],TabCalc[M])&amp;"           (A: "&amp;TEXT(-_xlfn.XLOOKUP(Tab_NewTRADER[[#This Row],[ClickTick]]&amp;2,Consolid!B$3:JZ$3,Consolid!B$4:JZ$4),"#,??0.00")&amp;")"</f>
        <v>500x119.55           (A: 113.22)</v>
      </c>
      <c r="AP53" s="1592" t="str">
        <f ca="1">_xlfn.XLOOKUP(Tab_NewTRADER[[#This Row],[Show]],TabCalc[Ticker],TabCalc[Min_Sn])&amp;" x "&amp;TEXT(_xlfn.XLOOKUP(Tab_NewTRADER[[#This Row],[Show]],TabCalc[Ticker],TabCalc[Min_Sp]),"#,#0.00")</f>
        <v>190 x 104.12</v>
      </c>
      <c r="AQ5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702" t="str" cm="1">
        <f t="array" aca="1" ref="AR53" ca="1">_xlfn.IFS(Tab_NewTRADER[[#This Row],[State]]="Reverse Buy",TEXT(-Tab_NewTRADER[[#This Row],[Buy_Back]],"#,#0")&amp;" / "&amp;TEXT(Tab_NewTRADER[[#This Row],[Rev_Buy]],"#,#0.0%"),TRUE,Tab_NewTRADER[[#This Row],[AMY]])</f>
        <v xml:space="preserve"> 113.22 - 119.55 - 128.92</v>
      </c>
      <c r="AS53" s="1651"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99"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99" t="str" cm="1">
        <f t="array" aca="1" ref="AU53" ca="1">_xlfn.IFS(Tab_NewTRADER[[#This Row],[M]]&lt;Tab_NewTRADER[[#This Row],[A]],TEXT(Tab_NewTRADER[[#This Row],[N]]*Tab_NewTRADER[[#This Row],[M]]*Tab_NewTRADER[[#This Row],[Scale]]*Comm_Net,"#,#0")&amp;" @ "&amp;TEXT(Tab_NewTRADER[[#This Row],[M]],"#,#0.#0"),TRUE,"M: "&amp; Tab_NewTRADER[[#This Row],[M]])</f>
        <v>M: 119.55</v>
      </c>
      <c r="AV53" s="1740" cm="1">
        <f t="array" aca="1" ref="AV53" ca="1">-_xlfn.XLOOKUP(
    Tab_NewTRADER[[#This Row],[Show]] &amp; 2,
    TabConsolid[#Headers],
    INDEX(TabConsolid[], 1, 0)
)</f>
        <v>113.22361799999999</v>
      </c>
      <c r="AW53" s="1741">
        <f ca="1">Tab_NewTRADER[[#This Row],[M]]*Tab_NewTRADER[[#This Row],[N]]*(1-Commission)*Tab_NewTRADER[[#This Row],[Scale]]</f>
        <v>59619.584999999999</v>
      </c>
      <c r="AX53" s="1705"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705"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706" t="str" cm="1">
        <f t="array" aca="1" ref="AZ53" ca="1">_xlfn.IFS(   Tab_NewTRADER[[#This Row],[State]]=SellMorePercentGain,                     MIN(Tab_NewTRADER[[#This Row],[L_Sn]],Tab_NewTRADER[[#This Row],[N]])*(Tab_NewTRADER[[#This Row],[M]]-Tab_NewTRADER[[#This Row],[L_Sp]])*(1-Commission)*Tab_NewTRADER[[#This Row],[Scale]],                    TRUE,"")</f>
        <v/>
      </c>
      <c r="BA53" s="1707">
        <f ca="1">_xlfn.XLOOKUP(NewTrader!$V53,TabCalc[Ticker],TabCalc[Ann%RevLB])</f>
        <v>8.3052980992783354E-2</v>
      </c>
      <c r="BB53" s="1708">
        <f ca="1">_xlfn.XLOOKUP(NewTrader!$V53,TabCalc[Ticker],TabCalc[Up20])</f>
        <v>0</v>
      </c>
      <c r="BC53" s="1742"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706" t="str" cm="1">
        <f t="array" aca="1" ref="BD53" ca="1">_xlfn.IFS(         NewTrader!$AF53=MDown,NewTrader!$P53*NewTrader!$Y53*(-(NewTrader!$Q53+NewTrader!$Y53)/NewTrader!$Y53)*(1-Commission)*NewTrader!$A53,                               TRUE,"")</f>
        <v/>
      </c>
      <c r="BE53" s="1705" t="str" cm="1">
        <f t="array" aca="1" ref="BE53" ca="1">_xlfn.IFS(   NewTrader!$AF53=MUp,NewTrader!$BP53-Commission,        NewTrader!$AF53=MDown,(NewTrader!$X53-NewTrader!$Y53)/NewTrader!$Y53-Commission,                              TRUE,"")</f>
        <v/>
      </c>
      <c r="BF53" s="1706"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710" t="str" cm="1">
        <f t="array" aca="1" ref="BG53" ca="1">_xlfn.LET(_xlpm.SumChTxt,TEXT(_xlfn.XLOOKUP(NewTrader!$V53,ListTickers,Tab2SumChangePercent[AVGChan20]),"#0.0%"),
      _xlfn.IFS(NewTrader!$AF53=NoStock,_xlpm.SumChTxt,
      TRUE, IF(NewTrader!$AF53=SellMorePercentGain,             "SumChange "&amp;_xlpm.SumChTxt,                         "&lt;"&amp;INT(_xlfn.XLOOKUP(NewTrader!$V53,ListTickers,Tab2ReverseGL[Rev_GL19]))&amp;    "&lt;"&amp;INT(_xlfn.XLOOKUP(NewTrader!$V53,ListTickers,Tab2ReverseGL[Rev_GL18]))&amp;":      "&amp;_xlpm.SumChTxt)))</f>
        <v>&lt;-1&lt;-1:      0.2%</v>
      </c>
      <c r="BH53" s="1711"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712" cm="1">
        <f t="array" aca="1" ref="BI53" ca="1">_xlfn.IFS(NewTrader!$AF53=Sale_Back,"",         NewTrader!$AF53=MDown, (NewTrader!$Y53-NewTrader!$X53)/NewTrader!$X53*ComFactor,             TRUE, IFERROR((NewTrader!$Y53-NewTrader!$X53)/NewTrader!$X53*ComFactor,""))</f>
        <v>5.5729833741931918E-2</v>
      </c>
      <c r="BJ53" s="1664" cm="1">
        <f t="array" aca="1" ref="BJ53" ca="1">_xlfn.IFS(               NewTrader!$AF53=NoStock,(NewTrader!$BL53-NewTrader!$Y53)/NewTrader!$Y53-Commission,             NewTrader!$X53&lt;&gt;0,(NewTrader!$X53-NewTrader!$Y53)/NewTrader!$Y53-Commission)</f>
        <v>-5.551829360100384E-2</v>
      </c>
      <c r="BK53" s="1726">
        <f ca="1">_xlfn.XLOOKUP(NewTrader!$V53,TabCalc[Ticker],TabCalc[L_Sn])</f>
        <v>1800</v>
      </c>
      <c r="BL53" s="1727">
        <f ca="1">_xlfn.XLOOKUP(NewTrader!$V53,TabCalc[Ticker],TabCalc[L_Sp])</f>
        <v>107.37</v>
      </c>
      <c r="BM53" s="1634">
        <f ca="1">-IFERROR((Tab_NewTRADER[[#This Row],[M]]-Tab_NewTRADER[[#This Row],[L_Sp]])/Tab_NewTRADER[[#This Row],[L_Sp]],0)</f>
        <v>-0.11343950824252577</v>
      </c>
      <c r="BN53" s="1728">
        <f ca="1">MIN(Tab_NewTRADER[[#This Row],[L_Sn]],Tab_NewTRADER[[#This Row],[N]])*(Tab_NewTRADER[[#This Row],[M]]-Tab_NewTRADER[[#This Row],[L_Sp]])*Comm_Net*Tab_NewTRADER[[#This Row],[Scale]]</f>
        <v>6073.5569999999962</v>
      </c>
      <c r="BO53" s="1715">
        <f ca="1">Tab_NewTRADER[[#This Row],[L_Sn]]*(Tab_NewTRADER[[#This Row],[Agiotage]]-Tab_NewTRADER[[#This Row],[M]])/(Tab_NewTRADER[[#This Row],[L_Bn]]*Tab_NewTRADER[[#This Row],[M]])</f>
        <v>-5.9549417916129075</v>
      </c>
      <c r="BP53" s="1670">
        <f ca="1">IFERROR((Tab_NewTRADER[[#This Row],[M]]-Tab_NewTRADER[[#This Row],[A]])/Tab_NewTRADER[[#This Row],[A]],0)</f>
        <v>5.5875109025397954E-2</v>
      </c>
      <c r="BQ53" s="1671" t="str">
        <f ca="1">TEXT(_xlfn.XLOOKUP(Tab_NewTRADER[[#This Row],[ClickTick]],TabCalc[Ticker],TabCalc[NAfter]),"#,#0")&amp;" : "&amp;TEXT(_xlfn.XLOOKUP(Tab_NewTRADER[[#This Row],[ClickTick]],TabCalc[Ticker],TabCalc[NAfter])*(Tab_NewTRADER[[#This Row],[M]]-Tab_NewTRADER[[#This Row],[A]])*(1-Commission)*Tab_NewTRADER[[#This Row],[Scale]],"#,#0$")</f>
        <v>500 : 3,155$</v>
      </c>
      <c r="BR53" s="259">
        <f ca="1">_xlfn.XLOOKUP(NewTrader!$V53,TabCalc[[#This Row],[Ticker]],TabCalc[[#This Row],[GL]])*(1-Commission)</f>
        <v>11033.446040270701</v>
      </c>
      <c r="BS53" s="259"/>
      <c r="BT53" s="1672" t="str">
        <f ca="1">Tab_NewTRADER[[#This Row],[Show]]&amp;": "&amp;_xlfn.XLOOKUP(Tab_NewTRADER[[#This Row],[Show]],TabCalc[Ticker],TabCalc[Pile?])</f>
        <v xml:space="preserve">XOM: </v>
      </c>
      <c r="BU53" s="1717" t="s">
        <v>1917</v>
      </c>
      <c r="BV53" s="1674" t="str" cm="1">
        <f t="array" aca="1" ref="BV53" ca="1">_xlfn.TEXTJOIN("",,INDEX({"M","A","Y"}, _xlfn.SORTBY({1,2,3}, -CHOOSE({1,2,3}, Tab_NewTRADER[[#This Row],[M]], Tab_NewTRADER[[#This Row],[A]], Tab_NewTRADER[[#This Row],[Y]]))))</f>
        <v>YMA</v>
      </c>
      <c r="BW53" s="1675"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76">
        <f ca="1">Tab_NewTRADER[[#This Row],[L_Sn]]*Tab_NewTRADER[[#This Row],[L_Sp]]+Tab_NewTRADER[[#This Row],[SellMore]]*Tab_NewTRADER[[#This Row],[M]]</f>
        <v>229131</v>
      </c>
      <c r="BY53" s="1676">
        <f ca="1">INDEX(
  INDEX(TabConsolid[], , _xlfn.XMATCH(Tab_NewTRADER[[#This Row],[ClickTick]]&amp;1, TabConsolid[#Headers])),
  MATCH(
    -Tab_NewTRADER[[#This Row],[M]],
    INDEX(TabConsolid[], , _xlfn.XMATCH(Tab_NewTRADER[[#This Row],[ClickTick]]&amp;2, TabConsolid[#Headers])),
    -1
  )
)</f>
        <v>300</v>
      </c>
      <c r="BZ53" s="1676"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77">
        <f ca="1">Tab_NewTRADER[[#This Row],[ReBuy]]/(Tab_NewTRADER[[#This Row],[L_Sn]]+Tab_NewTRADER[[#This Row],[SellMore]])</f>
        <v>109.11</v>
      </c>
      <c r="CB53" s="1678">
        <f ca="1">((_xlfn.XLOOKUP(Tab_NewTRADER[[#This Row],[Show]],TabCalc[Ticker],TabCalc[NAfter])+Tab_NewTRADER[[#This Row],[L_Sn]])*(Tab_NewTRADER[[#This Row],[Agiotage]]-Tab_NewTRADER[[#This Row],[M]]))/(Tab_NewTRADER[[#This Row],[L_Sn]]*_xlfn.XLOOKUP(Tab_NewTRADER[[#This Row],[Show]],TabCalc[Ticker],TabCalc[NAfter]))</f>
        <v>-0.30322232772793389</v>
      </c>
      <c r="CC53" s="1677">
        <f ca="1">INDEX(Tab1Price[Price19], MATCH(Tab_NewTRADER[[#This Row],[Show]], Tab_NewTRADER[Show], 0))</f>
        <v>119.55</v>
      </c>
      <c r="CD53" s="1679">
        <f ca="1">_xlfn.XMATCH(Tab_NewTRADER[[#This Row],[Show]]&amp;1, TabConsolid[#Headers])</f>
        <v>155</v>
      </c>
      <c r="CE53" s="1678"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729" t="str" cm="1">
        <f t="array" aca="1" ref="CF53" ca="1">_xlfn.LET(
    _xlpm.FMT, _xlfn.LAMBDA(_xlpm.n, REPT(" ", 7 - LEN(TEXT(_xlpm.n,"0.00"))) &amp; TEXT(_xlpm.n,"0.00")),
    _xlpm.FMT(Tab_NewTRADER[[#This Row],[A]]) &amp; " -" &amp; _xlpm.FMT(Tab_NewTRADER[[#This Row],[M]]) &amp; " -" &amp; _xlpm.FMT(Tab_NewTRADER[[#This Row],[Y]])
)</f>
        <v xml:space="preserve"> 113.22 - 119.55 - 128.92</v>
      </c>
      <c r="CG53" s="1730" t="str" cm="1">
        <f t="array" aca="1" ref="CG53" ca="1">_xlfn.LET(
    _xlpm.W, 7,
    _xlpm.FMT, _xlfn.LAMBDA(_xlpm.n, REPT(" ", _xlpm.W - LEN(TEXT(_xlpm.n,"0.00"))) &amp; TEXT(_xlpm.n,"0.00")),
    _xlpm.FMT(Tab_NewTRADER[[#This Row],[A]]) &amp; " * " &amp; _xlpm.FMT(Tab_NewTRADER[[#This Row],[M]]) &amp; " * " &amp; _xlpm.FMT(Tab_NewTRADER[[#This Row],[Y]])
)</f>
        <v xml:space="preserve"> 113.22 *  119.55 *  128.92</v>
      </c>
      <c r="CH53" s="1843">
        <f>0</f>
        <v>0</v>
      </c>
      <c r="CI53" t="b">
        <f ca="1">IF(ABS(NewTrader!$Q53)&gt;=NewTrader!$Y53,"OK")</f>
        <v>0</v>
      </c>
    </row>
    <row r="54" spans="1:87" ht="23" hidden="1" thickBot="1">
      <c r="A54" s="1839">
        <f ca="1">IF(_xlfn.XLOOKUP(NewTrader!$V54,TabCalc[Ticker],TabCalc[Cur])="GBp",0.01,1)</f>
        <v>1</v>
      </c>
      <c r="B54" s="1681" t="str">
        <f ca="1">IFERROR(TRUNC(_xlfn.XLOOKUP(NewTrader!$V54,TabCalc[Ticker],ListLastBuyp),2)&amp;"x"&amp;_xlfn.XLOOKUP(NewTrader!$V54,TabCalc[Ticker],ListLastBuyn)&amp;"=    "&amp;IF(_xlfn.XLOOKUP(NewTrader!$V54,TabCalc[Ticker],ListReverseS)&gt;0,"+","")&amp;TEXT(_xlfn.XLOOKUP(NewTrader!$V54,TabCalc[Ticker],ListReverseS),"#,#0")&amp;" "&amp;#REF!,"")</f>
        <v/>
      </c>
      <c r="C54" s="1682" t="str">
        <f ca="1">_xlfn.XLOOKUP(NewTrader!$V54,TabCalc[Ticker],ListResale)&amp;" @ "&amp;TEXT((_xlfn.XLOOKUP(NewTrader!$V54,TabCalc[Ticker],TabCalc[L_Bp])+_xlfn.XLOOKUP(NewTrader!$V54,TabCalc[Ticker],TabCalc[M]))/_xlfn.XLOOKUP(NewTrader!$V54,TabCalc[Ticker],TabCalc[M]),"#0.0%")</f>
        <v>B_more @ -8.1%</v>
      </c>
      <c r="D54" s="1683"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84" t="str">
        <f ca="1">IF(      AND(NewTrader!$X54&lt;NewTrader!$Y54,    _xlfn.XLOOKUP(NewTrader!$V54,TabCalc[Ticker],TabCalc[L_Sp])&gt;NewTrader!$Y54),"BUY  "&amp;TEXT(DesiredBuyGain/NewTrader!$A54/(_xlfn.XLOOKUP(NewTrader!$V54,TabCalc[Ticker],TabCalc[L_Sp])-NewTrader!$Y54),"#,##0"),"")</f>
        <v/>
      </c>
      <c r="F54" s="1681" t="str">
        <f ca="1">TRUNC(TabCalc[[#This Row],[L_B1p]],2)&amp;"x"&amp;TabCalc[[#This Row],[L_B1n]]&amp;"=   "&amp;TEXT(TabCalc[[#This Row],[ReverseS1]],"#,#0")&amp;"$"</f>
        <v>-9.88x4200=   -15,624$</v>
      </c>
      <c r="G54" s="1685" t="str">
        <f ca="1">IFERROR(TRUNC(_xlfn.XLOOKUP(NewTrader!$V54,TabCalc[Ticker],ListLastSalep),2)&amp;"x"&amp;_xlfn.XLOOKUP(NewTrader!$V54,TabCalc[Ticker],ListLastSalen)&amp;"=   "&amp;TEXT(-_xlfn.XLOOKUP(NewTrader!$V54,TabCalc[Ticker],ListReverseB),"#,#0")&amp;"$","")</f>
        <v>10.55x7200=   -31,608$</v>
      </c>
      <c r="H54" s="1686"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71.3% = 1,139</v>
      </c>
      <c r="I54" s="1681" t="str">
        <f ca="1">IFERROR(TRUNC(TabCalc[[#This Row],[L_S1p]],2)&amp;"x"&amp;TabCalc[[#This Row],[L_S1n]]&amp;"=   "&amp;TEXT(TabCalc[[#This Row],[ReverseB1]],"#,#0"),"")</f>
        <v>8.63x3000=   7,410</v>
      </c>
      <c r="J54" s="1687">
        <f ca="1">_xlfn.XLOOKUP(NewTrader!$V54,TabCalc[Ticker],ListGravity)</f>
        <v>1.8506493506493507</v>
      </c>
      <c r="K54" s="1688" cm="1">
        <f t="array" aca="1" ref="K54" ca="1">IF(_xlfn.XLOOKUP(NewTrader!$V54,NewTrader!$V$3:$V$96,ListExtra_n)&gt;0,_xlfn.XLOOKUP(NewTrader!$V54,NewTrader!$V$3:$V$96,ListExtra_n),"")</f>
        <v>9200</v>
      </c>
      <c r="L54" s="1689">
        <f ca="1">IF(_xlfn.XLOOKUP(NewTrader!$V54,TabCalc[Ticker],ListExtra_n)&gt;0,_xlfn.XLOOKUP(NewTrader!$V54,TabCalc[Ticker],ListExtra_n)*NewTrader!$Y54*_xlfn.XLOOKUP(NewTrader!$V54,TabCalc[Ticker],ListScale),"")</f>
        <v>56672</v>
      </c>
      <c r="M54" s="1690">
        <f ca="1">_xlfn.XLOOKUP(NewTrader!$V54,TabCalc[Ticker],TabCalc[Agiotage])</f>
        <v>0.65766770373662653</v>
      </c>
      <c r="N54" s="1691" cm="1">
        <f t="array" aca="1" ref="N54" ca="1">_xlfn.XLOOKUP(NewTrader!$V54,ListTickers,Tab2RSIConventional[RSIConv20])</f>
        <v>70</v>
      </c>
      <c r="O54" s="1631" t="str">
        <f ca="1">TEXT(_xlfn.XLOOKUP(NewTrader!$V54,TabCalc[Ticker],TabCalc[Nbegin]),"#,#0")&amp;": "&amp;_xlfn.XLOOKUP(NewTrader!$V54,TabCalc[Ticker],TabCalc[Pile?])</f>
        <v>800: Pile</v>
      </c>
      <c r="P54" s="1692">
        <f ca="1">_xlfn.XLOOKUP(NewTrader!$V54,TabCalc[Ticker],TabCalc[L_Bn])</f>
        <v>5000</v>
      </c>
      <c r="Q54" s="1693">
        <f ca="1">_xlfn.XLOOKUP(NewTrader!$V54,TabCalc[Ticker],TabCalc[L_Bp])</f>
        <v>-6.66</v>
      </c>
      <c r="R54" s="1694">
        <f ca="1">(NewTrader!$Y54+NewTrader!$Q54)/ABS(NewTrader!$Q54)</f>
        <v>-7.5075075075075076E-2</v>
      </c>
      <c r="S54" s="262">
        <f ca="1">INT(_xlfn.XLOOKUP(NewTrader!$V54,TabCalc[Ticker],TabCalc[Rev(MinStock)])*Comm_Net)</f>
        <v>-2488</v>
      </c>
      <c r="T54" s="1635">
        <f ca="1">_xlfn.XLOOKUP(NewTrader!$V54,TabCalc[Ticker],TabCalc[Agiotage])</f>
        <v>0.65766770373662653</v>
      </c>
      <c r="U54" s="1695"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-950/-950=&gt;-1.4% / -1.4%</v>
      </c>
      <c r="V54" s="1578" t="str">
        <f ca="1">SORTING!B54</f>
        <v>XPER</v>
      </c>
      <c r="W54" s="1637">
        <f ca="1">_xlfn.XLOOKUP(NewTrader!$V54,TabCalc[Ticker],TabCalc[Y])</f>
        <v>11.4</v>
      </c>
      <c r="X54" s="1639">
        <f ca="1">-_xlfn.XLOOKUP(NewTrader!$V54&amp;2,Consolid!B$3:JZ$3,Consolid!B$4:JZ$4)</f>
        <v>8.2882936799999989</v>
      </c>
      <c r="Y54" s="1639">
        <f ca="1">_xlfn.XLOOKUP(NewTrader!$V54,TabCalc[Ticker],TabCalc[M])</f>
        <v>6.16</v>
      </c>
      <c r="Z54" s="1640">
        <f ca="1">_xlfn.XLOOKUP(NewTrader!$V54,[1]!RTData[Ticker_Symbol],[1]!RTData[YTChange])</f>
        <v>-0.39199999999999996</v>
      </c>
      <c r="AA54" s="1640" cm="1">
        <f t="array" aca="1" ref="AA54" ca="1">_xlfn.XLOOKUP(NewTrader!$V54,ListTickers,Tab1ChangePercent[Change%19])</f>
        <v>-1.44E-2</v>
      </c>
      <c r="AB54" s="1641">
        <f ca="1">_xlfn.XLOOKUP(NewTrader!$V54,TabCalc[Ticker],TabCalc[NAfter])</f>
        <v>10000</v>
      </c>
      <c r="AC54" s="1641">
        <f ca="1">_xlfn.XLOOKUP(NewTrader!$V54,TabCalc[Ticker],TabCalc[Nbegin])</f>
        <v>800</v>
      </c>
      <c r="AD54" s="1642" t="str">
        <f ca="1">_xlfn.LET(_xlpm.PILE,_xlfn.XLOOKUP(NewTrader!$V54,TabCalc[Ticker],TabCalc[Pile?]),                    _xlpm.GL,_xlfn.XLOOKUP(NewTrader!$V54,TabCalc[Ticker],TabCalc[GL]),                        _xlpm.GLK,_xlfn.XLOOKUP(NewTrader!$V54,TabCalc[Ticker],TabCalc[GL])/1000,                             _xlpm.MVal,_xlfn.XLOOKUP(NewTrader!$V54,TabCalc[Ticker],TabCalc[M_V])/1000,                   _xlpm.PILE&amp;" "&amp;IF(_xlpm.GL&lt;0,TEXT(_xlpm.GLK,"#,#0")&amp;"K /"&amp;TEXT(_xlpm.MVal,"#,#0")&amp;" K$","^"&amp;TEXT(_xlpm.GLK,"#,#0")&amp;"K / "&amp;TEXT(_xlpm.MVal,"#,#0")&amp;" K$"))</f>
        <v>Pile -62K /61 K$</v>
      </c>
      <c r="AE54" s="1643" t="str">
        <f ca="1">_xlfn.XLOOKUP(NewTrader!$V54,[1]!RTData[Ticker_Symbol],[1]!RTData[Currency])</f>
        <v>USD</v>
      </c>
      <c r="AF54" s="1721"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698" t="str" cm="1">
        <f t="array" aca="1" ref="AH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6.16 -  11.40</v>
      </c>
      <c r="AI5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54" s="1651" t="str" cm="1">
        <f t="array" aca="1" ref="AJ54" ca="1">_xlfn.IFS(Tab_NewTRADER[[#This Row],[State]]="Sell More",TEXT(MIN(Tab_NewTRADER[[#This Row],[N]],Tab_NewTRADER[[#This Row],[L_Bn]])*(Tab_NewTRADER[[#This Row],[M]]-Tab_NewTRADER[[#This Row],[L_Sp]])*Tab_NewTRADER[[#This Row],[Scale]]*ComFactor,"#,#0"), TRUE,"M= "&amp;TEXT(Tab_NewTRADER[[#This Row],[M]],"#,#0.00"))</f>
        <v>M= 6.16</v>
      </c>
      <c r="AK54" s="1699" t="str" cm="1">
        <f t="array" aca="1" ref="AK54" ca="1">_xlfn.IFS(Tab_NewTRADER[[#This Row],[Y]]&gt;Tab_NewTRADER[[#This Row],[A]],                 TEXT(MIN(Tab_NewTRADER[[#This Row],[L_Bn]],Tab_NewTRADER[[#This Row],[N]])*(Tab_NewTRADER[[#This Row],[M]]-Tab_NewTRADER[[#This Row],[A]])*Tab_NewTRADER[[#This Row],[Scale]]*ComFactor,"#,#0"), TRUE,0)</f>
        <v>-10,614</v>
      </c>
      <c r="AL54" s="1700" cm="1">
        <f t="array" aca="1" ref="AL54" ca="1">_xlfn.IFS(Tab_NewTRADER[[#This Row],[M]]&gt;Tab_NewTRADER[[#This Row],[A]],                  Tab_NewTRADER[[#This Row],[N]]*(Tab_NewTRADER[[#This Row],[M]]-Tab_NewTRADER[[#This Row],[A]])*Tab_NewTRADER[[#This Row],[Scale]]*ComFactor, TRUE,0)</f>
        <v>0</v>
      </c>
      <c r="AM54" s="1592" t="str">
        <f ca="1">_xlfn.XLOOKUP(Tab_NewTRADER[[#This Row],[Show]],TabCalc[Ticker],TabCalc[Max_Bn])&amp;" x "&amp;TEXT(_xlfn.XLOOKUP(Tab_NewTRADER[[#This Row],[Show]],TabCalc[Ticker],TabCalc[Max_Bp]),"#,#0.00")</f>
        <v>4200 x 9.88</v>
      </c>
      <c r="AN54" s="1650" t="str">
        <f ca="1">NewTrader!$V54</f>
        <v>XPER</v>
      </c>
      <c r="AO54" s="1651" t="str">
        <f ca="1">TEXT(_xlfn.XLOOKUP(Tab_NewTRADER[[#This Row],[ClickTick]],TabCalc[Ticker],TabCalc[NAfter]),"#,#0")&amp;"x"&amp;_xlfn.XLOOKUP(Tab_NewTRADER[[#This Row],[ClickTick]],TabCalc[Ticker],TabCalc[M])&amp;"           (A: "&amp;TEXT(-_xlfn.XLOOKUP(Tab_NewTRADER[[#This Row],[ClickTick]]&amp;2,Consolid!B$3:JZ$3,Consolid!B$4:JZ$4),"#,??0.00")&amp;")"</f>
        <v>10,000x6.16           (A:   8.29)</v>
      </c>
      <c r="AP54" s="1592" t="str">
        <f ca="1">_xlfn.XLOOKUP(Tab_NewTRADER[[#This Row],[Show]],TabCalc[Ticker],TabCalc[Min_Sn])&amp;" x "&amp;TEXT(_xlfn.XLOOKUP(Tab_NewTRADER[[#This Row],[Show]],TabCalc[Ticker],TabCalc[Min_Sp]),"#,#0.00")</f>
        <v>1200 x 8.28</v>
      </c>
      <c r="AQ5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702" t="str" cm="1">
        <f t="array" aca="1" ref="AR54" ca="1">_xlfn.IFS(Tab_NewTRADER[[#This Row],[State]]="Reverse Buy",TEXT(-Tab_NewTRADER[[#This Row],[Buy_Back]],"#,#0")&amp;" / "&amp;TEXT(Tab_NewTRADER[[#This Row],[Rev_Buy]],"#,#0.0%"),TRUE,Tab_NewTRADER[[#This Row],[AMY]])</f>
        <v xml:space="preserve">   8.29 -   6.16 -  11.40</v>
      </c>
      <c r="AS54" s="1651"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4,987       / 08.1%</v>
      </c>
      <c r="AT54" s="1699"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-21,228   / -34.6%</v>
      </c>
      <c r="AU54" s="1699" t="str" cm="1">
        <f t="array" aca="1" ref="AU54" ca="1">_xlfn.IFS(Tab_NewTRADER[[#This Row],[M]]&lt;Tab_NewTRADER[[#This Row],[A]],TEXT(Tab_NewTRADER[[#This Row],[N]]*Tab_NewTRADER[[#This Row],[M]]*Tab_NewTRADER[[#This Row],[Scale]]*Comm_Net,"#,#0")&amp;" @ "&amp;TEXT(Tab_NewTRADER[[#This Row],[M]],"#,#0.#0"),TRUE,"M: "&amp; Tab_NewTRADER[[#This Row],[M]])</f>
        <v>61,434 @ 6.16</v>
      </c>
      <c r="AV54" s="1703" cm="1">
        <f t="array" aca="1" ref="AV54" ca="1">-_xlfn.XLOOKUP(
    Tab_NewTRADER[[#This Row],[Show]] &amp; 2,
    TabConsolid[#Headers],
    INDEX(TabConsolid[], 1, 0)
)</f>
        <v>8.2882936799999989</v>
      </c>
      <c r="AW54" s="1704">
        <f ca="1">Tab_NewTRADER[[#This Row],[M]]*Tab_NewTRADER[[#This Row],[N]]*(1-Commission)*Tab_NewTRADER[[#This Row],[Scale]]</f>
        <v>61439.839999999997</v>
      </c>
      <c r="AX54" s="1705"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705"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706" t="str" cm="1">
        <f t="array" aca="1" ref="AZ54" ca="1">_xlfn.IFS(   Tab_NewTRADER[[#This Row],[State]]=SellMorePercentGain,                     MIN(Tab_NewTRADER[[#This Row],[L_Sn]],Tab_NewTRADER[[#This Row],[N]])*(Tab_NewTRADER[[#This Row],[M]]-Tab_NewTRADER[[#This Row],[L_Sp]])*(1-Commission)*Tab_NewTRADER[[#This Row],[Scale]],                    TRUE,"")</f>
        <v/>
      </c>
      <c r="BA54" s="1707">
        <f ca="1">_xlfn.XLOOKUP(NewTrader!$V54,TabCalc[Ticker],TabCalc[Ann%RevLB])</f>
        <v>-0.42900042900042901</v>
      </c>
      <c r="BB54" s="1708">
        <f ca="1">_xlfn.XLOOKUP(NewTrader!$V54,TabCalc[Ticker],TabCalc[Up20])</f>
        <v>0</v>
      </c>
      <c r="BC54" s="1747"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706" t="str" cm="1">
        <f t="array" aca="1" ref="BD54" ca="1">_xlfn.IFS(         NewTrader!$AF54=MDown,NewTrader!$P54*NewTrader!$Y54*(-(NewTrader!$Q54+NewTrader!$Y54)/NewTrader!$Y54)*(1-Commission)*NewTrader!$A54,                               TRUE,"")</f>
        <v/>
      </c>
      <c r="BE54" s="1705" t="str" cm="1">
        <f t="array" aca="1" ref="BE54" ca="1">_xlfn.IFS(   NewTrader!$AF54=MUp,NewTrader!$BP54-Commission,        NewTrader!$AF54=MDown,(NewTrader!$X54-NewTrader!$Y54)/NewTrader!$Y54-Commission,                              TRUE,"")</f>
        <v/>
      </c>
      <c r="BF54" s="1706"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710" t="str" cm="1">
        <f t="array" aca="1" ref="BG54" ca="1">_xlfn.LET(_xlpm.SumChTxt,TEXT(_xlfn.XLOOKUP(NewTrader!$V54,ListTickers,Tab2SumChangePercent[AVGChan20]),"#0.0%"),
      _xlfn.IFS(NewTrader!$AF54=NoStock,_xlpm.SumChTxt,
      TRUE, IF(NewTrader!$AF54=SellMorePercentGain,             "SumChange "&amp;_xlpm.SumChTxt,                         "&lt;"&amp;INT(_xlfn.XLOOKUP(NewTrader!$V54,ListTickers,Tab2ReverseGL[Rev_GL19]))&amp;    "&lt;"&amp;INT(_xlfn.XLOOKUP(NewTrader!$V54,ListTickers,Tab2ReverseGL[Rev_GL18]))&amp;":      "&amp;_xlpm.SumChTxt)))</f>
        <v>&lt;0&lt;0:      0.1%</v>
      </c>
      <c r="BH54" s="1711"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-0.5</v>
      </c>
      <c r="BI54" s="1712" cm="1">
        <f t="array" aca="1" ref="BI54" ca="1">_xlfn.IFS(NewTrader!$AF54=Sale_Back,"",         NewTrader!$AF54=MDown, (NewTrader!$Y54-NewTrader!$X54)/NewTrader!$X54*ComFactor,             TRUE, IFERROR((NewTrader!$Y54-NewTrader!$X54)/NewTrader!$X54*ComFactor,""))</f>
        <v>-0.256115456134754</v>
      </c>
      <c r="BJ54" s="1664" cm="1">
        <f t="array" aca="1" ref="BJ54" ca="1">_xlfn.IFS(               NewTrader!$AF54=NoStock,(NewTrader!$BL54-NewTrader!$Y54)/NewTrader!$Y54-Commission,             NewTrader!$X54&lt;&gt;0,(NewTrader!$X54-NewTrader!$Y54)/NewTrader!$Y54-Commission)</f>
        <v>0.34290222077922056</v>
      </c>
      <c r="BK54" s="1713">
        <f ca="1">_xlfn.XLOOKUP(NewTrader!$V54,TabCalc[Ticker],TabCalc[L_Sn])</f>
        <v>7200</v>
      </c>
      <c r="BL54" s="1693">
        <f ca="1">_xlfn.XLOOKUP(NewTrader!$V54,TabCalc[Ticker],TabCalc[L_Sp])</f>
        <v>10.55</v>
      </c>
      <c r="BM54" s="1694">
        <f ca="1">-IFERROR((Tab_NewTRADER[[#This Row],[M]]-Tab_NewTRADER[[#This Row],[L_Sp]])/Tab_NewTRADER[[#This Row],[L_Sp]],0)</f>
        <v>0.41611374407582941</v>
      </c>
      <c r="BN54" s="1714">
        <f ca="1">MIN(Tab_NewTRADER[[#This Row],[L_Sn]],Tab_NewTRADER[[#This Row],[N]])*(Tab_NewTRADER[[#This Row],[M]]-Tab_NewTRADER[[#This Row],[L_Sp]])*Comm_Net*Tab_NewTRADER[[#This Row],[Scale]]</f>
        <v>-31522.658400000004</v>
      </c>
      <c r="BO54" s="1715">
        <f ca="1">Tab_NewTRADER[[#This Row],[L_Sn]]*(Tab_NewTRADER[[#This Row],[Agiotage]]-Tab_NewTRADER[[#This Row],[M]])/(Tab_NewTRADER[[#This Row],[L_Bn]]*Tab_NewTRADER[[#This Row],[M]])</f>
        <v>-1.2862594978278017</v>
      </c>
      <c r="BP54" s="1716">
        <f ca="1">IFERROR((Tab_NewTRADER[[#This Row],[M]]-Tab_NewTRADER[[#This Row],[A]])/Tab_NewTRADER[[#This Row],[A]],0)</f>
        <v>-0.25678309217440748</v>
      </c>
      <c r="BQ54" s="1671" t="str">
        <f ca="1">TEXT(_xlfn.XLOOKUP(Tab_NewTRADER[[#This Row],[ClickTick]],TabCalc[Ticker],TabCalc[NAfter]),"#,#0")&amp;" : "&amp;TEXT(_xlfn.XLOOKUP(Tab_NewTRADER[[#This Row],[ClickTick]],TabCalc[Ticker],TabCalc[NAfter])*(Tab_NewTRADER[[#This Row],[M]]-Tab_NewTRADER[[#This Row],[A]])*(1-Commission)*Tab_NewTRADER[[#This Row],[Scale]],"#,#0$")</f>
        <v>10,000 : -21,228$</v>
      </c>
      <c r="BR54" s="262">
        <f ca="1">_xlfn.XLOOKUP(NewTrader!$V54,TabCalc[[#This Row],[Ticker]],TabCalc[[#This Row],[GL]])*(1-Commission)</f>
        <v>-61375.161807664379</v>
      </c>
      <c r="BS54" s="262"/>
      <c r="BT54" s="1672" t="str">
        <f ca="1">Tab_NewTRADER[[#This Row],[Show]]&amp;": "&amp;_xlfn.XLOOKUP(Tab_NewTRADER[[#This Row],[Show]],TabCalc[Ticker],TabCalc[Pile?])</f>
        <v>XPER: Pile</v>
      </c>
      <c r="BU54" s="1717" t="s">
        <v>1918</v>
      </c>
      <c r="BV54" s="1674" t="str" cm="1">
        <f t="array" aca="1" ref="BV54" ca="1">_xlfn.TEXTJOIN("",,INDEX({"M","A","Y"}, _xlfn.SORTBY({1,2,3}, -CHOOSE({1,2,3}, Tab_NewTRADER[[#This Row],[M]], Tab_NewTRADER[[#This Row],[A]], Tab_NewTRADER[[#This Row],[Y]]))))</f>
        <v>YAM</v>
      </c>
      <c r="BW54" s="1675"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76" t="e">
        <f ca="1">Tab_NewTRADER[[#This Row],[L_Sn]]*Tab_NewTRADER[[#This Row],[L_Sp]]+Tab_NewTRADER[[#This Row],[SellMore]]*Tab_NewTRADER[[#This Row],[M]]</f>
        <v>#N/A</v>
      </c>
      <c r="BY54" s="1676" t="e">
        <f ca="1">INDEX(
  INDEX(TabConsolid[], , _xlfn.XMATCH(Tab_NewTRADER[[#This Row],[ClickTick]]&amp;1, TabConsolid[#Headers])),
  MATCH(
    -Tab_NewTRADER[[#This Row],[M]],
    INDEX(TabConsolid[], , _xlfn.XMATCH(Tab_NewTRADER[[#This Row],[ClickTick]]&amp;2, TabConsolid[#Headers])),
    -1
  )
)</f>
        <v>#N/A</v>
      </c>
      <c r="BZ54" s="1676"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77" t="e">
        <f ca="1">Tab_NewTRADER[[#This Row],[ReBuy]]/(Tab_NewTRADER[[#This Row],[L_Sn]]+Tab_NewTRADER[[#This Row],[SellMore]])</f>
        <v>#N/A</v>
      </c>
      <c r="CB54" s="1678">
        <f ca="1">((_xlfn.XLOOKUP(Tab_NewTRADER[[#This Row],[Show]],TabCalc[Ticker],TabCalc[NAfter])+Tab_NewTRADER[[#This Row],[L_Sn]])*(Tab_NewTRADER[[#This Row],[Agiotage]]-Tab_NewTRADER[[#This Row],[M]]))/(Tab_NewTRADER[[#This Row],[L_Sn]]*_xlfn.XLOOKUP(Tab_NewTRADER[[#This Row],[Show]],TabCalc[Ticker],TabCalc[NAfter]))</f>
        <v>-1.314446048551806E-3</v>
      </c>
      <c r="CC54" s="1677">
        <f ca="1">INDEX(Tab1Price[Price19], MATCH(Tab_NewTRADER[[#This Row],[Show]], Tab_NewTRADER[Show], 0))</f>
        <v>6.16</v>
      </c>
      <c r="CD54" s="1679">
        <f ca="1">_xlfn.XMATCH(Tab_NewTRADER[[#This Row],[Show]]&amp;1, TabConsolid[#Headers])</f>
        <v>158</v>
      </c>
      <c r="CE54" s="1678"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729" t="str" cm="1">
        <f t="array" aca="1" ref="CF54" ca="1">_xlfn.LET(
    _xlpm.FMT, _xlfn.LAMBDA(_xlpm.n, REPT(" ", 7 - LEN(TEXT(_xlpm.n,"0.00"))) &amp; TEXT(_xlpm.n,"0.00")),
    _xlpm.FMT(Tab_NewTRADER[[#This Row],[A]]) &amp; " -" &amp; _xlpm.FMT(Tab_NewTRADER[[#This Row],[M]]) &amp; " -" &amp; _xlpm.FMT(Tab_NewTRADER[[#This Row],[Y]])
)</f>
        <v xml:space="preserve">   8.29 -   6.16 -  11.40</v>
      </c>
      <c r="CG54" s="1730" t="str" cm="1">
        <f t="array" aca="1" ref="CG54" ca="1">_xlfn.LET(
    _xlpm.W, 7,
    _xlpm.FMT, _xlfn.LAMBDA(_xlpm.n, REPT(" ", _xlpm.W - LEN(TEXT(_xlpm.n,"0.00"))) &amp; TEXT(_xlpm.n,"0.00")),
    _xlpm.FMT(Tab_NewTRADER[[#This Row],[A]]) &amp; " * " &amp; _xlpm.FMT(Tab_NewTRADER[[#This Row],[M]]) &amp; " * " &amp; _xlpm.FMT(Tab_NewTRADER[[#This Row],[Y]])
)</f>
        <v xml:space="preserve">   8.29 *    6.16 *   11.40</v>
      </c>
      <c r="CH54" s="1843">
        <f>0</f>
        <v>0</v>
      </c>
      <c r="CI54" t="str">
        <f ca="1">IF(ABS(NewTrader!$Q54)&gt;=NewTrader!$Y54,"OK")</f>
        <v>OK</v>
      </c>
    </row>
    <row r="55" spans="1:87" ht="23" hidden="1" thickBot="1">
      <c r="A55" s="1838">
        <f ca="1">IF(_xlfn.XLOOKUP(NewTrader!$V55,TabCalc[Ticker],TabCalc[Cur])="GBp",0.01,1)</f>
        <v>1</v>
      </c>
      <c r="B55" s="1620" t="str">
        <f ca="1">IFERROR(TRUNC(_xlfn.XLOOKUP(NewTrader!$V55,TabCalc[Ticker],ListLastBuyp),2)&amp;"x"&amp;_xlfn.XLOOKUP(NewTrader!$V55,TabCalc[Ticker],ListLastBuyn)&amp;"=    "&amp;IF(_xlfn.XLOOKUP(NewTrader!$V55,TabCalc[Ticker],ListReverseS)&gt;0,"+","")&amp;TEXT(_xlfn.XLOOKUP(NewTrader!$V55,TabCalc[Ticker],ListReverseS),"#,#0")&amp;" "&amp;#REF!,"")</f>
        <v/>
      </c>
      <c r="C55" s="1621" t="str">
        <f ca="1">_xlfn.XLOOKUP(NewTrader!$V55,TabCalc[Ticker],ListResale)&amp;" @ "&amp;TEXT((_xlfn.XLOOKUP(NewTrader!$V55,TabCalc[Ticker],TabCalc[L_Bp])+_xlfn.XLOOKUP(NewTrader!$V55,TabCalc[Ticker],TabCalc[M]))/_xlfn.XLOOKUP(NewTrader!$V55,TabCalc[Ticker],TabCalc[M]),"#0.0%")</f>
        <v>B_more @ -74.2%</v>
      </c>
      <c r="D55" s="1622"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718" t="str">
        <f ca="1">IF(      AND(NewTrader!$X55&lt;NewTrader!$Y55,    _xlfn.XLOOKUP(NewTrader!$V55,TabCalc[Ticker],TabCalc[L_Sp])&gt;NewTrader!$Y55),"BUY  "&amp;TEXT(DesiredBuyGain/NewTrader!$A55/(_xlfn.XLOOKUP(NewTrader!$V55,TabCalc[Ticker],TabCalc[L_Sp])-NewTrader!$Y55),"#,##0"),"")</f>
        <v/>
      </c>
      <c r="F55" s="1620" t="str">
        <f ca="1">TRUNC(TabCalc[[#This Row],[L_B1p]],2)&amp;"x"&amp;TabCalc[[#This Row],[L_B1n]]&amp;"=   "&amp;TEXT(TabCalc[[#This Row],[ReverseS1]],"#,#0")&amp;"$"</f>
        <v>-1.01x20000=   -9,200$</v>
      </c>
      <c r="G55" s="1624" t="str">
        <f ca="1">IFERROR(TRUNC(_xlfn.XLOOKUP(NewTrader!$V55,TabCalc[Ticker],ListLastSalep),2)&amp;"x"&amp;_xlfn.XLOOKUP(NewTrader!$V55,TabCalc[Ticker],ListLastSalen)&amp;"=   "&amp;TEXT(-_xlfn.XLOOKUP(NewTrader!$V55,TabCalc[Ticker],ListReverseB),"#,#0")&amp;"$","")</f>
        <v>0x0=   0$</v>
      </c>
      <c r="H55" s="1625"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620" t="str">
        <f ca="1">IFERROR(TRUNC(TabCalc[[#This Row],[L_S1p]],2)&amp;"x"&amp;TabCalc[[#This Row],[L_S1n]]&amp;"=   "&amp;TEXT(TabCalc[[#This Row],[ReverseB1]],"#,#0"),"")</f>
        <v>0x0=   0</v>
      </c>
      <c r="J55" s="1626">
        <f ca="1">_xlfn.XLOOKUP(NewTrader!$V55,TabCalc[Ticker],ListGravity)</f>
        <v>2.8484909090909087</v>
      </c>
      <c r="K55" s="1627" cm="1">
        <f t="array" aca="1" ref="K55" ca="1">IF(_xlfn.XLOOKUP(NewTrader!$V55,NewTrader!$V$3:$V$96,ListExtra_n)&gt;0,_xlfn.XLOOKUP(NewTrader!$V55,NewTrader!$V$3:$V$96,ListExtra_n),"")</f>
        <v>109969</v>
      </c>
      <c r="L55" s="1628">
        <f ca="1">IF(_xlfn.XLOOKUP(NewTrader!$V55,TabCalc[Ticker],ListExtra_n)&gt;0,_xlfn.XLOOKUP(NewTrader!$V55,TabCalc[Ticker],ListExtra_n)*NewTrader!$Y55*_xlfn.XLOOKUP(NewTrader!$V55,TabCalc[Ticker],ListScale),"")</f>
        <v>60482.950000000004</v>
      </c>
      <c r="M55" s="1629">
        <f ca="1">_xlfn.XLOOKUP(NewTrader!$V55,TabCalc[Ticker],TabCalc[Agiotage])</f>
        <v>0.95520716685330342</v>
      </c>
      <c r="N55" s="1630" cm="1">
        <f t="array" aca="1" ref="N55" ca="1">_xlfn.XLOOKUP(NewTrader!$V55,ListTickers,Tab2RSIConventional[RSIConv20])</f>
        <v>20</v>
      </c>
      <c r="O55" s="1631" t="str">
        <f ca="1">TEXT(_xlfn.XLOOKUP(NewTrader!$V55,TabCalc[Ticker],TabCalc[Nbegin]),"#,#0")&amp;": "&amp;_xlfn.XLOOKUP(NewTrader!$V55,TabCalc[Ticker],TabCalc[Pile?])</f>
        <v>395,031: Pile</v>
      </c>
      <c r="P55" s="1632">
        <f ca="1">_xlfn.XLOOKUP(NewTrader!$V55,TabCalc[Ticker],TabCalc[L_Bn])</f>
        <v>20000</v>
      </c>
      <c r="Q55" s="1727">
        <f ca="1">_xlfn.XLOOKUP(NewTrader!$V55,TabCalc[Ticker],TabCalc[L_Bp])</f>
        <v>-0.95828650000000004</v>
      </c>
      <c r="R55" s="1634">
        <f ca="1">(NewTrader!$Y55+NewTrader!$Q55)/ABS(NewTrader!$Q55)</f>
        <v>-0.42605890827012588</v>
      </c>
      <c r="S55" s="259">
        <f ca="1">INT(_xlfn.XLOOKUP(NewTrader!$V55,TabCalc[Ticker],TabCalc[Rev(MinStock)])*Comm_Net)</f>
        <v>-8123</v>
      </c>
      <c r="T55" s="1635">
        <f ca="1">_xlfn.XLOOKUP(NewTrader!$V55,TabCalc[Ticker],TabCalc[Agiotage])</f>
        <v>0.95520716685330342</v>
      </c>
      <c r="U55" s="1719"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-18,180/-18,180=&gt;-8.0% / -8.0%</v>
      </c>
      <c r="V55" s="1578" t="str">
        <f ca="1">SORTING!B55</f>
        <v>MVEALDNE</v>
      </c>
      <c r="W55" s="1637">
        <f ca="1">_xlfn.XLOOKUP(NewTrader!$V55,TabCalc[Ticker],TabCalc[Y])</f>
        <v>1.56667</v>
      </c>
      <c r="X55" s="1639">
        <f ca="1">-_xlfn.XLOOKUP(NewTrader!$V55&amp;2,Consolid!B$3:JZ$3,Consolid!B$4:JZ$4)</f>
        <v>1.2674944585077077</v>
      </c>
      <c r="Y55" s="1639">
        <f ca="1">_xlfn.XLOOKUP(NewTrader!$V55,TabCalc[Ticker],TabCalc[M])</f>
        <v>0.55000000000000004</v>
      </c>
      <c r="Z55" s="1640">
        <f ca="1">_xlfn.XLOOKUP(NewTrader!$V55,[1]!RTData[Ticker_Symbol],[1]!RTData[YTChange])</f>
        <v>-0.59517571059431518</v>
      </c>
      <c r="AA55" s="1640" cm="1">
        <f t="array" aca="1" ref="AA55" ca="1">_xlfn.XLOOKUP(NewTrader!$V55,ListTickers,Tab1ChangePercent[Change%19])</f>
        <v>-8.0267999999999992E-2</v>
      </c>
      <c r="AB55" s="1641">
        <f ca="1">_xlfn.XLOOKUP(NewTrader!$V55,TabCalc[Ticker],TabCalc[NAfter])</f>
        <v>505000</v>
      </c>
      <c r="AC55" s="1641">
        <f ca="1">_xlfn.XLOOKUP(NewTrader!$V55,TabCalc[Ticker],TabCalc[Nbegin])</f>
        <v>395031</v>
      </c>
      <c r="AD55" s="1642" t="str">
        <f ca="1">_xlfn.LET(_xlpm.PILE,_xlfn.XLOOKUP(NewTrader!$V55,TabCalc[Ticker],TabCalc[Pile?]),                    _xlpm.GL,_xlfn.XLOOKUP(NewTrader!$V55,TabCalc[Ticker],TabCalc[GL]),                        _xlpm.GLK,_xlfn.XLOOKUP(NewTrader!$V55,TabCalc[Ticker],TabCalc[GL])/1000,                             _xlpm.MVal,_xlfn.XLOOKUP(NewTrader!$V55,TabCalc[Ticker],TabCalc[M_V])/1000,                   _xlpm.PILE&amp;" "&amp;IF(_xlpm.GL&lt;0,TEXT(_xlpm.GLK,"#,#0")&amp;"K /"&amp;TEXT(_xlpm.MVal,"#,#0")&amp;" K$","^"&amp;TEXT(_xlpm.GLK,"#,#0")&amp;"K / "&amp;TEXT(_xlpm.MVal,"#,#0")&amp;" K$"))</f>
        <v>Pile -364K /277 K$</v>
      </c>
      <c r="AE55" s="1720" t="str">
        <f ca="1">_xlfn.XLOOKUP(NewTrader!$V55,[1]!RTData[Ticker_Symbol],[1]!RTData[Currency])</f>
        <v>EUR</v>
      </c>
      <c r="AF55" s="1721"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698" t="str" cm="1">
        <f t="array" aca="1" ref="AH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0.55 -   1.57</v>
      </c>
      <c r="AI5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v>
      </c>
      <c r="AJ55" s="1651" t="str" cm="1">
        <f t="array" aca="1" ref="AJ55" ca="1">_xlfn.IFS(Tab_NewTRADER[[#This Row],[State]]="Sell More",TEXT(MIN(Tab_NewTRADER[[#This Row],[N]],Tab_NewTRADER[[#This Row],[L_Bn]])*(Tab_NewTRADER[[#This Row],[M]]-Tab_NewTRADER[[#This Row],[L_Sp]])*Tab_NewTRADER[[#This Row],[Scale]]*ComFactor,"#,#0"), TRUE,"M= "&amp;TEXT(Tab_NewTRADER[[#This Row],[M]],"#,#0.00"))</f>
        <v>M= 0.55</v>
      </c>
      <c r="AK55" s="1699" t="str" cm="1">
        <f t="array" aca="1" ref="AK55" ca="1">_xlfn.IFS(Tab_NewTRADER[[#This Row],[Y]]&gt;Tab_NewTRADER[[#This Row],[A]],                 TEXT(MIN(Tab_NewTRADER[[#This Row],[L_Bn]],Tab_NewTRADER[[#This Row],[N]])*(Tab_NewTRADER[[#This Row],[M]]-Tab_NewTRADER[[#This Row],[A]])*Tab_NewTRADER[[#This Row],[Scale]]*ComFactor,"#,#0"), TRUE,0)</f>
        <v>-14,313</v>
      </c>
      <c r="AL55" s="1700" cm="1">
        <f t="array" aca="1" ref="AL55" ca="1">_xlfn.IFS(Tab_NewTRADER[[#This Row],[M]]&gt;Tab_NewTRADER[[#This Row],[A]],                  Tab_NewTRADER[[#This Row],[N]]*(Tab_NewTRADER[[#This Row],[M]]-Tab_NewTRADER[[#This Row],[A]])*Tab_NewTRADER[[#This Row],[Scale]]*ComFactor, TRUE,0)</f>
        <v>0</v>
      </c>
      <c r="AM55" s="1592" t="str">
        <f ca="1">_xlfn.XLOOKUP(Tab_NewTRADER[[#This Row],[Show]],TabCalc[Ticker],TabCalc[Max_Bn])&amp;" x "&amp;TEXT(_xlfn.XLOOKUP(Tab_NewTRADER[[#This Row],[Show]],TabCalc[Ticker],TabCalc[Max_Bp]),"#,#0.00")</f>
        <v>14969 x 4.39</v>
      </c>
      <c r="AN55" s="1650" t="str">
        <f ca="1">NewTrader!$V55</f>
        <v>MVEALDNE</v>
      </c>
      <c r="AO55" s="1651" t="str">
        <f ca="1">TEXT(_xlfn.XLOOKUP(Tab_NewTRADER[[#This Row],[ClickTick]],TabCalc[Ticker],TabCalc[NAfter]),"#,#0")&amp;"x"&amp;_xlfn.XLOOKUP(Tab_NewTRADER[[#This Row],[ClickTick]],TabCalc[Ticker],TabCalc[M])&amp;"           (A: "&amp;TEXT(-_xlfn.XLOOKUP(Tab_NewTRADER[[#This Row],[ClickTick]]&amp;2,Consolid!B$3:JZ$3,Consolid!B$4:JZ$4),"#,??0.00")&amp;")"</f>
        <v>505,000x0.55           (A:   1.27)</v>
      </c>
      <c r="AP55" s="1592" t="str">
        <f ca="1">_xlfn.XLOOKUP(Tab_NewTRADER[[#This Row],[Show]],TabCalc[Ticker],TabCalc[Min_Sn])&amp;" x "&amp;TEXT(_xlfn.XLOOKUP(Tab_NewTRADER[[#This Row],[Show]],TabCalc[Ticker],TabCalc[Min_Sp]),"#,#0.00")</f>
        <v>0 x 0.00</v>
      </c>
      <c r="AQ5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702" t="str" cm="1">
        <f t="array" aca="1" ref="AR55" ca="1">_xlfn.IFS(Tab_NewTRADER[[#This Row],[State]]="Reverse Buy",TEXT(-Tab_NewTRADER[[#This Row],[Buy_Back]],"#,#0")&amp;" / "&amp;TEXT(Tab_NewTRADER[[#This Row],[Rev_Buy]],"#,#0.0%"),TRUE,Tab_NewTRADER[[#This Row],[AMY]])</f>
        <v xml:space="preserve">   1.27 -   0.55 -   1.57</v>
      </c>
      <c r="AS55" s="1651"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205,649       / 74.2%</v>
      </c>
      <c r="AT55" s="1699"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-361,393   / -130.5%</v>
      </c>
      <c r="AU55" s="1699" t="str" cm="1">
        <f t="array" aca="1" ref="AU55" ca="1">_xlfn.IFS(Tab_NewTRADER[[#This Row],[M]]&lt;Tab_NewTRADER[[#This Row],[A]],TEXT(Tab_NewTRADER[[#This Row],[N]]*Tab_NewTRADER[[#This Row],[M]]*Tab_NewTRADER[[#This Row],[Scale]]*Comm_Net,"#,#0")&amp;" @ "&amp;TEXT(Tab_NewTRADER[[#This Row],[M]],"#,#0.#0"),TRUE,"M: "&amp; Tab_NewTRADER[[#This Row],[M]])</f>
        <v>277,000 @ 0.55</v>
      </c>
      <c r="AV55" s="1740" cm="1">
        <f t="array" aca="1" ref="AV55" ca="1">-_xlfn.XLOOKUP(
    Tab_NewTRADER[[#This Row],[Show]] &amp; 2,
    TabConsolid[#Headers],
    INDEX(TabConsolid[], 1, 0)
)</f>
        <v>1.2674944585077077</v>
      </c>
      <c r="AW55" s="1741">
        <f ca="1">Tab_NewTRADER[[#This Row],[M]]*Tab_NewTRADER[[#This Row],[N]]*(1-Commission)*Tab_NewTRADER[[#This Row],[Scale]]</f>
        <v>277027.84999999998</v>
      </c>
      <c r="AX55" s="1705"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705"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706" t="str" cm="1">
        <f t="array" aca="1" ref="AZ55" ca="1">_xlfn.IFS(   Tab_NewTRADER[[#This Row],[State]]=SellMorePercentGain,                     MIN(Tab_NewTRADER[[#This Row],[L_Sn]],Tab_NewTRADER[[#This Row],[N]])*(Tab_NewTRADER[[#This Row],[M]]-Tab_NewTRADER[[#This Row],[L_Sp]])*(1-Commission)*Tab_NewTRADER[[#This Row],[Scale]],                    TRUE,"")</f>
        <v/>
      </c>
      <c r="BA55" s="1707">
        <f ca="1">_xlfn.XLOOKUP(NewTrader!$V55,TabCalc[Ticker],TabCalc[Ann%RevLB])</f>
        <v>-1.0955800498374666</v>
      </c>
      <c r="BB55" s="1708">
        <f ca="1">_xlfn.XLOOKUP(NewTrader!$V55,TabCalc[Ticker],TabCalc[Up20])</f>
        <v>0</v>
      </c>
      <c r="BC55" s="1742"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706" t="str" cm="1">
        <f t="array" aca="1" ref="BD55" ca="1">_xlfn.IFS(         NewTrader!$AF55=MDown,NewTrader!$P55*NewTrader!$Y55*(-(NewTrader!$Q55+NewTrader!$Y55)/NewTrader!$Y55)*(1-Commission)*NewTrader!$A55,                               TRUE,"")</f>
        <v/>
      </c>
      <c r="BE55" s="1705" t="str" cm="1">
        <f t="array" aca="1" ref="BE55" ca="1">_xlfn.IFS(   NewTrader!$AF55=MUp,NewTrader!$BP55-Commission,        NewTrader!$AF55=MDown,(NewTrader!$X55-NewTrader!$Y55)/NewTrader!$Y55-Commission,                              TRUE,"")</f>
        <v/>
      </c>
      <c r="BF55" s="1706"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710" t="str" cm="1">
        <f t="array" aca="1" ref="BG55" ca="1">_xlfn.LET(_xlpm.SumChTxt,TEXT(_xlfn.XLOOKUP(NewTrader!$V55,ListTickers,Tab2SumChangePercent[AVGChan20]),"#0.0%"),
      _xlfn.IFS(NewTrader!$AF55=NoStock,_xlpm.SumChTxt,
      TRUE, IF(NewTrader!$AF55=SellMorePercentGain,             "SumChange "&amp;_xlpm.SumChTxt,                         "&lt;"&amp;INT(_xlfn.XLOOKUP(NewTrader!$V55,ListTickers,Tab2ReverseGL[Rev_GL19]))&amp;    "&lt;"&amp;INT(_xlfn.XLOOKUP(NewTrader!$V55,ListTickers,Tab2ReverseGL[Rev_GL18]))&amp;":      "&amp;_xlpm.SumChTxt)))</f>
        <v>&lt;-1&lt;-1:      -0.1%</v>
      </c>
      <c r="BH55" s="1711"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-0.4</v>
      </c>
      <c r="BI55" s="1712" cm="1">
        <f t="array" aca="1" ref="BI55" ca="1">_xlfn.IFS(NewTrader!$AF55=Sale_Back,"",         NewTrader!$AF55=MDown, (NewTrader!$Y55-NewTrader!$X55)/NewTrader!$X55*ComFactor,             TRUE, IFERROR((NewTrader!$Y55-NewTrader!$X55)/NewTrader!$X55*ComFactor,""))</f>
        <v>-0.56460126362851137</v>
      </c>
      <c r="BJ55" s="1664" cm="1">
        <f t="array" aca="1" ref="BJ55" ca="1">_xlfn.IFS(               NewTrader!$AF55=NoStock,(NewTrader!$BL55-NewTrader!$Y55)/NewTrader!$Y55-Commission,             NewTrader!$X55&lt;&gt;0,(NewTrader!$X55-NewTrader!$Y55)/NewTrader!$Y55-Commission)</f>
        <v>1.3019353791049231</v>
      </c>
      <c r="BK55" s="1726">
        <f ca="1">_xlfn.XLOOKUP(NewTrader!$V55,TabCalc[Ticker],TabCalc[L_Sn])</f>
        <v>0</v>
      </c>
      <c r="BL55" s="1727">
        <f ca="1">_xlfn.XLOOKUP(NewTrader!$V55,TabCalc[Ticker],TabCalc[L_Sp])</f>
        <v>0</v>
      </c>
      <c r="BM55" s="1634">
        <f ca="1">-IFERROR((Tab_NewTRADER[[#This Row],[M]]-Tab_NewTRADER[[#This Row],[L_Sp]])/Tab_NewTRADER[[#This Row],[L_Sp]],0)</f>
        <v>0</v>
      </c>
      <c r="BN55" s="1728">
        <f ca="1">MIN(Tab_NewTRADER[[#This Row],[L_Sn]],Tab_NewTRADER[[#This Row],[N]])*(Tab_NewTRADER[[#This Row],[M]]-Tab_NewTRADER[[#This Row],[L_Sp]])*Comm_Net*Tab_NewTRADER[[#This Row],[Scale]]</f>
        <v>0</v>
      </c>
      <c r="BO55" s="1715">
        <f ca="1">Tab_NewTRADER[[#This Row],[L_Sn]]*(Tab_NewTRADER[[#This Row],[Agiotage]]-Tab_NewTRADER[[#This Row],[M]])/(Tab_NewTRADER[[#This Row],[L_Bn]]*Tab_NewTRADER[[#This Row],[M]])</f>
        <v>0</v>
      </c>
      <c r="BP55" s="1670">
        <f ca="1">IFERROR((Tab_NewTRADER[[#This Row],[M]]-Tab_NewTRADER[[#This Row],[A]])/Tab_NewTRADER[[#This Row],[A]],0)</f>
        <v>-0.5660730535677877</v>
      </c>
      <c r="BQ55" s="1671" t="str">
        <f ca="1">TEXT(_xlfn.XLOOKUP(Tab_NewTRADER[[#This Row],[ClickTick]],TabCalc[Ticker],TabCalc[NAfter]),"#,#0")&amp;" : "&amp;TEXT(_xlfn.XLOOKUP(Tab_NewTRADER[[#This Row],[ClickTick]],TabCalc[Ticker],TabCalc[NAfter])*(Tab_NewTRADER[[#This Row],[M]]-Tab_NewTRADER[[#This Row],[A]])*(1-Commission)*Tab_NewTRADER[[#This Row],[Scale]],"#,#0$")</f>
        <v>505,000 : -361,393$</v>
      </c>
      <c r="BR55" s="259">
        <f ca="1">_xlfn.XLOOKUP(NewTrader!$V55,TabCalc[[#This Row],[Ticker]],TabCalc[[#This Row],[GL]])*(1-Commission)</f>
        <v>-362858.9341918648</v>
      </c>
      <c r="BS55" s="259"/>
      <c r="BT55" s="1672" t="str">
        <f ca="1">Tab_NewTRADER[[#This Row],[Show]]&amp;": "&amp;_xlfn.XLOOKUP(Tab_NewTRADER[[#This Row],[Show]],TabCalc[Ticker],TabCalc[Pile?])</f>
        <v>MVEALDNE: Pile</v>
      </c>
      <c r="BU55" s="1717" t="s">
        <v>1919</v>
      </c>
      <c r="BV55" s="1674" t="str" cm="1">
        <f t="array" aca="1" ref="BV55" ca="1">_xlfn.TEXTJOIN("",,INDEX({"M","A","Y"}, _xlfn.SORTBY({1,2,3}, -CHOOSE({1,2,3}, Tab_NewTRADER[[#This Row],[M]], Tab_NewTRADER[[#This Row],[A]], Tab_NewTRADER[[#This Row],[Y]]))))</f>
        <v>YAM</v>
      </c>
      <c r="BW55" s="1675"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76" t="e">
        <f ca="1">Tab_NewTRADER[[#This Row],[L_Sn]]*Tab_NewTRADER[[#This Row],[L_Sp]]+Tab_NewTRADER[[#This Row],[SellMore]]*Tab_NewTRADER[[#This Row],[M]]</f>
        <v>#N/A</v>
      </c>
      <c r="BY55" s="1676" t="e">
        <f ca="1">INDEX(
  INDEX(TabConsolid[], , _xlfn.XMATCH(Tab_NewTRADER[[#This Row],[ClickTick]]&amp;1, TabConsolid[#Headers])),
  MATCH(
    -Tab_NewTRADER[[#This Row],[M]],
    INDEX(TabConsolid[], , _xlfn.XMATCH(Tab_NewTRADER[[#This Row],[ClickTick]]&amp;2, TabConsolid[#Headers])),
    -1
  )
)</f>
        <v>#N/A</v>
      </c>
      <c r="BZ55" s="1676"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77" t="e">
        <f ca="1">Tab_NewTRADER[[#This Row],[ReBuy]]/(Tab_NewTRADER[[#This Row],[L_Sn]]+Tab_NewTRADER[[#This Row],[SellMore]])</f>
        <v>#N/A</v>
      </c>
      <c r="CB55" s="1678" t="e">
        <f ca="1">((_xlfn.XLOOKUP(Tab_NewTRADER[[#This Row],[Show]],TabCalc[Ticker],TabCalc[NAfter])+Tab_NewTRADER[[#This Row],[L_Sn]])*(Tab_NewTRADER[[#This Row],[Agiotage]]-Tab_NewTRADER[[#This Row],[M]]))/(Tab_NewTRADER[[#This Row],[L_Sn]]*_xlfn.XLOOKUP(Tab_NewTRADER[[#This Row],[Show]],TabCalc[Ticker],TabCalc[NAfter]))</f>
        <v>#DIV/0!</v>
      </c>
      <c r="CC55" s="1677">
        <f ca="1">INDEX(Tab1Price[Price19], MATCH(Tab_NewTRADER[[#This Row],[Show]], Tab_NewTRADER[Show], 0))</f>
        <v>0.55000000000000004</v>
      </c>
      <c r="CD55" s="1679">
        <f ca="1">_xlfn.XMATCH(Tab_NewTRADER[[#This Row],[Show]]&amp;1, TabConsolid[#Headers])</f>
        <v>161</v>
      </c>
      <c r="CE55" s="1678"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729" t="str" cm="1">
        <f t="array" aca="1" ref="CF55" ca="1">_xlfn.LET(
    _xlpm.FMT, _xlfn.LAMBDA(_xlpm.n, REPT(" ", 7 - LEN(TEXT(_xlpm.n,"0.00"))) &amp; TEXT(_xlpm.n,"0.00")),
    _xlpm.FMT(Tab_NewTRADER[[#This Row],[A]]) &amp; " -" &amp; _xlpm.FMT(Tab_NewTRADER[[#This Row],[M]]) &amp; " -" &amp; _xlpm.FMT(Tab_NewTRADER[[#This Row],[Y]])
)</f>
        <v xml:space="preserve">   1.27 -   0.55 -   1.57</v>
      </c>
      <c r="CG55" s="1730" t="str" cm="1">
        <f t="array" aca="1" ref="CG55" ca="1">_xlfn.LET(
    _xlpm.W, 7,
    _xlpm.FMT, _xlfn.LAMBDA(_xlpm.n, REPT(" ", _xlpm.W - LEN(TEXT(_xlpm.n,"0.00"))) &amp; TEXT(_xlpm.n,"0.00")),
    _xlpm.FMT(Tab_NewTRADER[[#This Row],[A]]) &amp; " * " &amp; _xlpm.FMT(Tab_NewTRADER[[#This Row],[M]]) &amp; " * " &amp; _xlpm.FMT(Tab_NewTRADER[[#This Row],[Y]])
)</f>
        <v xml:space="preserve">   1.27 *    0.55 *    1.57</v>
      </c>
      <c r="CH55" s="1843">
        <f>0</f>
        <v>0</v>
      </c>
      <c r="CI55" t="str">
        <f ca="1">IF(ABS(NewTrader!$Q55)&gt;=NewTrader!$Y55,"OK")</f>
        <v>OK</v>
      </c>
    </row>
    <row r="56" spans="1:87" ht="23" hidden="1" thickBot="1">
      <c r="A56" s="1839">
        <f ca="1">IF(_xlfn.XLOOKUP(NewTrader!$V56,TabCalc[Ticker],TabCalc[Cur])="GBp",0.01,1)</f>
        <v>1</v>
      </c>
      <c r="B56" s="1681" t="str">
        <f ca="1">IFERROR(TRUNC(_xlfn.XLOOKUP(NewTrader!$V56,TabCalc[Ticker],ListLastBuyp),2)&amp;"x"&amp;_xlfn.XLOOKUP(NewTrader!$V56,TabCalc[Ticker],ListLastBuyn)&amp;"=    "&amp;IF(_xlfn.XLOOKUP(NewTrader!$V56,TabCalc[Ticker],ListReverseS)&gt;0,"+","")&amp;TEXT(_xlfn.XLOOKUP(NewTrader!$V56,TabCalc[Ticker],ListReverseS),"#,#0")&amp;" "&amp;#REF!,"")</f>
        <v/>
      </c>
      <c r="C56" s="1682" t="str">
        <f ca="1">_xlfn.XLOOKUP(NewTrader!$V56,TabCalc[Ticker],ListResale)&amp;" @ "&amp;TEXT((_xlfn.XLOOKUP(NewTrader!$V56,TabCalc[Ticker],TabCalc[L_Bp])+_xlfn.XLOOKUP(NewTrader!$V56,TabCalc[Ticker],TabCalc[M]))/_xlfn.XLOOKUP(NewTrader!$V56,TabCalc[Ticker],TabCalc[M]),"#0.0%")</f>
        <v>B_more @ -24.7%</v>
      </c>
      <c r="D56" s="1683"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84" t="str">
        <f ca="1">IF(      AND(NewTrader!$X56&lt;NewTrader!$Y56,    _xlfn.XLOOKUP(NewTrader!$V56,TabCalc[Ticker],TabCalc[L_Sp])&gt;NewTrader!$Y56),"BUY  "&amp;TEXT(DesiredBuyGain/NewTrader!$A56/(_xlfn.XLOOKUP(NewTrader!$V56,TabCalc[Ticker],TabCalc[L_Sp])-NewTrader!$Y56),"#,##0"),"")</f>
        <v/>
      </c>
      <c r="F56" s="1681" t="str">
        <f ca="1">TRUNC(TabCalc[[#This Row],[L_B1p]],2)&amp;"x"&amp;TabCalc[[#This Row],[L_B1n]]&amp;"=   "&amp;TEXT(TabCalc[[#This Row],[ReverseS1]],"#,#0")&amp;"$"</f>
        <v>-3.2x5000=   -6,220$</v>
      </c>
      <c r="G56" s="1685" t="str">
        <f ca="1">IFERROR(TRUNC(_xlfn.XLOOKUP(NewTrader!$V56,TabCalc[Ticker],ListLastSalep),2)&amp;"x"&amp;_xlfn.XLOOKUP(NewTrader!$V56,TabCalc[Ticker],ListLastSalen)&amp;"=   "&amp;TEXT(-_xlfn.XLOOKUP(NewTrader!$V56,TabCalc[Ticker],ListReverseB),"#,#0")&amp;"$","")</f>
        <v>3.52x5000=   -7,775$</v>
      </c>
      <c r="H56" s="1686"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79.1% = 3,215</v>
      </c>
      <c r="I56" s="1681" t="str">
        <f ca="1">IFERROR(TRUNC(TabCalc[[#This Row],[L_S1p]],2)&amp;"x"&amp;TabCalc[[#This Row],[L_S1n]]&amp;"=   "&amp;TEXT(TabCalc[[#This Row],[ReverseB1]],"#,#0"),"")</f>
        <v>3.96x5000=   9,976</v>
      </c>
      <c r="J56" s="1687">
        <f ca="1">_xlfn.XLOOKUP(NewTrader!$V56,TabCalc[Ticker],ListGravity)</f>
        <v>1.8447837150127226</v>
      </c>
      <c r="K56" s="1688" t="str" cm="1">
        <f t="array" aca="1" ref="K56" ca="1">IF(_xlfn.XLOOKUP(NewTrader!$V56,NewTrader!$V$3:$V$96,ListExtra_n)&gt;0,_xlfn.XLOOKUP(NewTrader!$V56,NewTrader!$V$3:$V$96,ListExtra_n),"")</f>
        <v/>
      </c>
      <c r="L56" s="1689" t="str">
        <f ca="1">IF(_xlfn.XLOOKUP(NewTrader!$V56,TabCalc[Ticker],ListExtra_n)&gt;0,_xlfn.XLOOKUP(NewTrader!$V56,TabCalc[Ticker],ListExtra_n)*NewTrader!$Y56*_xlfn.XLOOKUP(NewTrader!$V56,TabCalc[Ticker],ListScale),"")</f>
        <v/>
      </c>
      <c r="M56" s="1690">
        <f ca="1">_xlfn.XLOOKUP(NewTrader!$V56,TabCalc[Ticker],TabCalc[Agiotage])</f>
        <v>1.5342978323128995</v>
      </c>
      <c r="N56" s="1691" cm="1">
        <f t="array" aca="1" ref="N56" ca="1">_xlfn.XLOOKUP(NewTrader!$V56,ListTickers,Tab2RSIConventional[RSIConv20])</f>
        <v>49</v>
      </c>
      <c r="O56" s="1631" t="str">
        <f ca="1">TEXT(_xlfn.XLOOKUP(NewTrader!$V56,TabCalc[Ticker],TabCalc[Nbegin]),"#,#0")&amp;": "&amp;_xlfn.XLOOKUP(NewTrader!$V56,TabCalc[Ticker],TabCalc[Pile?])</f>
        <v xml:space="preserve">10,000: </v>
      </c>
      <c r="P56" s="1692">
        <f ca="1">_xlfn.XLOOKUP(NewTrader!$V56,TabCalc[Ticker],TabCalc[L_Bn])</f>
        <v>10000</v>
      </c>
      <c r="Q56" s="1731">
        <f ca="1">_xlfn.XLOOKUP(NewTrader!$V56,TabCalc[Ticker],TabCalc[L_Bp])</f>
        <v>-2.4500000000000002</v>
      </c>
      <c r="R56" s="1694">
        <f ca="1">(NewTrader!$Y56+NewTrader!$Q56)/ABS(NewTrader!$Q56)</f>
        <v>-0.1979591836734694</v>
      </c>
      <c r="S56" s="262">
        <f ca="1">INT(_xlfn.XLOOKUP(NewTrader!$V56,TabCalc[Ticker],TabCalc[Rev(MinStock)])*Comm_Net)</f>
        <v>-4824</v>
      </c>
      <c r="T56" s="1635">
        <f ca="1">_xlfn.XLOOKUP(NewTrader!$V56,TabCalc[Ticker],TabCalc[Agiotage])</f>
        <v>1.5342978323128995</v>
      </c>
      <c r="U56" s="1695"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1,750/1,750=&gt;11.0% / 11.0%</v>
      </c>
      <c r="V56" s="1578" t="str">
        <f ca="1">SORTING!B56</f>
        <v>MVEDDD</v>
      </c>
      <c r="W56" s="1637">
        <f ca="1">_xlfn.XLOOKUP(NewTrader!$V56,TabCalc[Ticker],TabCalc[Y])</f>
        <v>3.625</v>
      </c>
      <c r="X56" s="1639">
        <f ca="1">-_xlfn.XLOOKUP(NewTrader!$V56&amp;2,Consolid!B$3:JZ$3,Consolid!B$4:JZ$4)</f>
        <v>2.4563699999999997</v>
      </c>
      <c r="Y56" s="1639">
        <f ca="1">_xlfn.XLOOKUP(NewTrader!$V56,TabCalc[Ticker],TabCalc[M])</f>
        <v>1.9650000000000001</v>
      </c>
      <c r="Z56" s="1640">
        <f ca="1">_xlfn.XLOOKUP(NewTrader!$V56,[1]!RTData[Ticker_Symbol],[1]!RTData[YTChange])</f>
        <v>-7.9949238578680193E-2</v>
      </c>
      <c r="AA56" s="1640" cm="1">
        <f t="array" aca="1" ref="AA56" ca="1">_xlfn.XLOOKUP(NewTrader!$V56,ListTickers,Tab1ChangePercent[Change%19])</f>
        <v>0.110169</v>
      </c>
      <c r="AB56" s="1641">
        <f ca="1">_xlfn.XLOOKUP(NewTrader!$V56,TabCalc[Ticker],TabCalc[NAfter])</f>
        <v>10000</v>
      </c>
      <c r="AC56" s="1641">
        <f ca="1">_xlfn.XLOOKUP(NewTrader!$V56,TabCalc[Ticker],TabCalc[Nbegin])</f>
        <v>10000</v>
      </c>
      <c r="AD56" s="1642" t="str">
        <f ca="1">_xlfn.LET(_xlpm.PILE,_xlfn.XLOOKUP(NewTrader!$V56,TabCalc[Ticker],TabCalc[Pile?]),                    _xlpm.GL,_xlfn.XLOOKUP(NewTrader!$V56,TabCalc[Ticker],TabCalc[GL]),                        _xlpm.GLK,_xlfn.XLOOKUP(NewTrader!$V56,TabCalc[Ticker],TabCalc[GL])/1000,                             _xlpm.MVal,_xlfn.XLOOKUP(NewTrader!$V56,TabCalc[Ticker],TabCalc[M_V])/1000,                   _xlpm.PILE&amp;" "&amp;IF(_xlpm.GL&lt;0,TEXT(_xlpm.GLK,"#,#0")&amp;"K /"&amp;TEXT(_xlpm.MVal,"#,#0")&amp;" K$","^"&amp;TEXT(_xlpm.GLK,"#,#0")&amp;"K / "&amp;TEXT(_xlpm.MVal,"#,#0")&amp;" K$"))</f>
        <v xml:space="preserve"> ^7K / 20 K$</v>
      </c>
      <c r="AE56" s="1720" t="str">
        <f ca="1">_xlfn.XLOOKUP(NewTrader!$V56,[1]!RTData[Ticker_Symbol],[1]!RTData[Currency])</f>
        <v>USD</v>
      </c>
      <c r="AF56" s="1721"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698" t="str" cm="1">
        <f t="array" aca="1" ref="AH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1.97 -   3.63</v>
      </c>
      <c r="AI5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11.0%</v>
      </c>
      <c r="AJ56" s="1651" t="str" cm="1">
        <f t="array" aca="1" ref="AJ56" ca="1">_xlfn.IFS(Tab_NewTRADER[[#This Row],[State]]="Sell More",TEXT(MIN(Tab_NewTRADER[[#This Row],[N]],Tab_NewTRADER[[#This Row],[L_Bn]])*(Tab_NewTRADER[[#This Row],[M]]-Tab_NewTRADER[[#This Row],[L_Sp]])*Tab_NewTRADER[[#This Row],[Scale]]*ComFactor,"#,#0"), TRUE,"M= "&amp;TEXT(Tab_NewTRADER[[#This Row],[M]],"#,#0.00"))</f>
        <v>M= 1.97</v>
      </c>
      <c r="AK56" s="1699" t="str" cm="1">
        <f t="array" aca="1" ref="AK56" ca="1">_xlfn.IFS(Tab_NewTRADER[[#This Row],[Y]]&gt;Tab_NewTRADER[[#This Row],[A]],                 TEXT(MIN(Tab_NewTRADER[[#This Row],[L_Bn]],Tab_NewTRADER[[#This Row],[N]])*(Tab_NewTRADER[[#This Row],[M]]-Tab_NewTRADER[[#This Row],[A]])*Tab_NewTRADER[[#This Row],[Scale]]*ComFactor,"#,#0"), TRUE,0)</f>
        <v>-4,901</v>
      </c>
      <c r="AL56" s="1700" cm="1">
        <f t="array" aca="1" ref="AL56" ca="1">_xlfn.IFS(Tab_NewTRADER[[#This Row],[M]]&gt;Tab_NewTRADER[[#This Row],[A]],                  Tab_NewTRADER[[#This Row],[N]]*(Tab_NewTRADER[[#This Row],[M]]-Tab_NewTRADER[[#This Row],[A]])*Tab_NewTRADER[[#This Row],[Scale]]*ComFactor, TRUE,0)</f>
        <v>0</v>
      </c>
      <c r="AM56" s="1592" t="str">
        <f ca="1">_xlfn.XLOOKUP(Tab_NewTRADER[[#This Row],[Show]],TabCalc[Ticker],TabCalc[Max_Bn])&amp;" x "&amp;TEXT(_xlfn.XLOOKUP(Tab_NewTRADER[[#This Row],[Show]],TabCalc[Ticker],TabCalc[Max_Bp]),"#,#0.00")</f>
        <v>10000 x 2.46</v>
      </c>
      <c r="AN56" s="1650" t="str">
        <f ca="1">NewTrader!$V56</f>
        <v>MVEDDD</v>
      </c>
      <c r="AO56" s="1651" t="str">
        <f ca="1">TEXT(_xlfn.XLOOKUP(Tab_NewTRADER[[#This Row],[ClickTick]],TabCalc[Ticker],TabCalc[NAfter]),"#,#0")&amp;"x"&amp;_xlfn.XLOOKUP(Tab_NewTRADER[[#This Row],[ClickTick]],TabCalc[Ticker],TabCalc[M])&amp;"           (A: "&amp;TEXT(-_xlfn.XLOOKUP(Tab_NewTRADER[[#This Row],[ClickTick]]&amp;2,Consolid!B$3:JZ$3,Consolid!B$4:JZ$4),"#,??0.00")&amp;")"</f>
        <v>10,000x1.965           (A:   2.46)</v>
      </c>
      <c r="AP56" s="1592" t="str">
        <f ca="1">_xlfn.XLOOKUP(Tab_NewTRADER[[#This Row],[Show]],TabCalc[Ticker],TabCalc[Min_Sn])&amp;" x "&amp;TEXT(_xlfn.XLOOKUP(Tab_NewTRADER[[#This Row],[Show]],TabCalc[Ticker],TabCalc[Min_Sp]),"#,#0.00")</f>
        <v>5000 x 3.52</v>
      </c>
      <c r="AQ5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702" t="str" cm="1">
        <f t="array" aca="1" ref="AR56" ca="1">_xlfn.IFS(Tab_NewTRADER[[#This Row],[State]]="Reverse Buy",TEXT(-Tab_NewTRADER[[#This Row],[Buy_Back]],"#,#0")&amp;" / "&amp;TEXT(Tab_NewTRADER[[#This Row],[Rev_Buy]],"#,#0.0%"),TRUE,Tab_NewTRADER[[#This Row],[AMY]])</f>
        <v>7,754 / 44.2%</v>
      </c>
      <c r="AS56" s="1651"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4,837       / 24.7%</v>
      </c>
      <c r="AT56" s="1699"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-4,901   / -25.0%</v>
      </c>
      <c r="AU56" s="1699" t="str" cm="1">
        <f t="array" aca="1" ref="AU56" ca="1">_xlfn.IFS(Tab_NewTRADER[[#This Row],[M]]&lt;Tab_NewTRADER[[#This Row],[A]],TEXT(Tab_NewTRADER[[#This Row],[N]]*Tab_NewTRADER[[#This Row],[M]]*Tab_NewTRADER[[#This Row],[Scale]]*Comm_Net,"#,#0")&amp;" @ "&amp;TEXT(Tab_NewTRADER[[#This Row],[M]],"#,#0.#0"),TRUE,"M: "&amp; Tab_NewTRADER[[#This Row],[M]])</f>
        <v>19,597 @ 1.97</v>
      </c>
      <c r="AV56" s="1703" cm="1">
        <f t="array" aca="1" ref="AV56" ca="1">-_xlfn.XLOOKUP(
    Tab_NewTRADER[[#This Row],[Show]] &amp; 2,
    TabConsolid[#Headers],
    INDEX(TabConsolid[], 1, 0)
)</f>
        <v>2.4563699999999997</v>
      </c>
      <c r="AW56" s="1704">
        <f ca="1">Tab_NewTRADER[[#This Row],[M]]*Tab_NewTRADER[[#This Row],[N]]*(1-Commission)*Tab_NewTRADER[[#This Row],[Scale]]</f>
        <v>19598.91</v>
      </c>
      <c r="AX56" s="1705"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705"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706" t="str" cm="1">
        <f t="array" aca="1" ref="AZ56" ca="1">_xlfn.IFS(   Tab_NewTRADER[[#This Row],[State]]=SellMorePercentGain,                     MIN(Tab_NewTRADER[[#This Row],[L_Sn]],Tab_NewTRADER[[#This Row],[N]])*(Tab_NewTRADER[[#This Row],[M]]-Tab_NewTRADER[[#This Row],[L_Sp]])*(1-Commission)*Tab_NewTRADER[[#This Row],[Scale]],                    TRUE,"")</f>
        <v/>
      </c>
      <c r="BA56" s="1707">
        <f ca="1">_xlfn.XLOOKUP(NewTrader!$V56,TabCalc[Ticker],TabCalc[Ann%RevLB])</f>
        <v>-0.1569720399172885</v>
      </c>
      <c r="BB56" s="1708">
        <f ca="1">_xlfn.XLOOKUP(NewTrader!$V56,TabCalc[Ticker],TabCalc[Up20])</f>
        <v>0</v>
      </c>
      <c r="BC56" s="1747"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706" t="str" cm="1">
        <f t="array" aca="1" ref="BD56" ca="1">_xlfn.IFS(         NewTrader!$AF56=MDown,NewTrader!$P56*NewTrader!$Y56*(-(NewTrader!$Q56+NewTrader!$Y56)/NewTrader!$Y56)*(1-Commission)*NewTrader!$A56,                               TRUE,"")</f>
        <v/>
      </c>
      <c r="BE56" s="1705" t="str" cm="1">
        <f t="array" aca="1" ref="BE56" ca="1">_xlfn.IFS(   NewTrader!$AF56=MUp,NewTrader!$BP56-Commission,        NewTrader!$AF56=MDown,(NewTrader!$X56-NewTrader!$Y56)/NewTrader!$Y56-Commission,                              TRUE,"")</f>
        <v/>
      </c>
      <c r="BF56" s="1706"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710" t="str" cm="1">
        <f t="array" aca="1" ref="BG56" ca="1">_xlfn.LET(_xlpm.SumChTxt,TEXT(_xlfn.XLOOKUP(NewTrader!$V56,ListTickers,Tab2SumChangePercent[AVGChan20]),"#0.0%"),
      _xlfn.IFS(NewTrader!$AF56=NoStock,_xlpm.SumChTxt,
      TRUE, IF(NewTrader!$AF56=SellMorePercentGain,             "SumChange "&amp;_xlpm.SumChTxt,                         "&lt;"&amp;INT(_xlfn.XLOOKUP(NewTrader!$V56,ListTickers,Tab2ReverseGL[Rev_GL19]))&amp;    "&lt;"&amp;INT(_xlfn.XLOOKUP(NewTrader!$V56,ListTickers,Tab2ReverseGL[Rev_GL18]))&amp;":      "&amp;_xlpm.SumChTxt)))</f>
        <v>&lt;0&lt;0:      1.5%</v>
      </c>
      <c r="BH56" s="1711"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712" cm="1">
        <f t="array" aca="1" ref="BI56" ca="1">_xlfn.IFS(NewTrader!$AF56=Sale_Back,"",         NewTrader!$AF56=MDown, (NewTrader!$Y56-NewTrader!$X56)/NewTrader!$X56*ComFactor,             TRUE, IFERROR((NewTrader!$Y56-NewTrader!$X56)/NewTrader!$X56*ComFactor,""))</f>
        <v>-0.19951898044675667</v>
      </c>
      <c r="BJ56" s="1664" cm="1">
        <f t="array" aca="1" ref="BJ56" ca="1">_xlfn.IFS(               NewTrader!$AF56=NoStock,(NewTrader!$BL56-NewTrader!$Y56)/NewTrader!$Y56-Commission,             NewTrader!$X56&lt;&gt;0,(NewTrader!$X56-NewTrader!$Y56)/NewTrader!$Y56-Commission)</f>
        <v>0.2474610687022899</v>
      </c>
      <c r="BK56" s="1713">
        <f ca="1">_xlfn.XLOOKUP(NewTrader!$V56,TabCalc[Ticker],TabCalc[L_Sn])</f>
        <v>5000</v>
      </c>
      <c r="BL56" s="1693">
        <f ca="1">_xlfn.XLOOKUP(NewTrader!$V56,TabCalc[Ticker],TabCalc[L_Sp])</f>
        <v>3.52</v>
      </c>
      <c r="BM56" s="1694">
        <f ca="1">-IFERROR((Tab_NewTRADER[[#This Row],[M]]-Tab_NewTRADER[[#This Row],[L_Sp]])/Tab_NewTRADER[[#This Row],[L_Sp]],0)</f>
        <v>0.44176136363636359</v>
      </c>
      <c r="BN56" s="1714">
        <f ca="1">MIN(Tab_NewTRADER[[#This Row],[L_Sn]],Tab_NewTRADER[[#This Row],[N]])*(Tab_NewTRADER[[#This Row],[M]]-Tab_NewTRADER[[#This Row],[L_Sp]])*Comm_Net*Tab_NewTRADER[[#This Row],[Scale]]</f>
        <v>-7754.0074999999997</v>
      </c>
      <c r="BO56" s="1715">
        <f ca="1">Tab_NewTRADER[[#This Row],[L_Sn]]*(Tab_NewTRADER[[#This Row],[Agiotage]]-Tab_NewTRADER[[#This Row],[M]])/(Tab_NewTRADER[[#This Row],[L_Bn]]*Tab_NewTRADER[[#This Row],[M]])</f>
        <v>-0.10959342689239202</v>
      </c>
      <c r="BP56" s="1716">
        <f ca="1">IFERROR((Tab_NewTRADER[[#This Row],[M]]-Tab_NewTRADER[[#This Row],[A]])/Tab_NewTRADER[[#This Row],[A]],0)</f>
        <v>-0.20003908206011298</v>
      </c>
      <c r="BQ56" s="1671" t="str">
        <f ca="1">TEXT(_xlfn.XLOOKUP(Tab_NewTRADER[[#This Row],[ClickTick]],TabCalc[Ticker],TabCalc[NAfter]),"#,#0")&amp;" : "&amp;TEXT(_xlfn.XLOOKUP(Tab_NewTRADER[[#This Row],[ClickTick]],TabCalc[Ticker],TabCalc[NAfter])*(Tab_NewTRADER[[#This Row],[M]]-Tab_NewTRADER[[#This Row],[A]])*(1-Commission)*Tab_NewTRADER[[#This Row],[Scale]],"#,#0$")</f>
        <v>10,000 : -4,901$</v>
      </c>
      <c r="BR56" s="262">
        <f ca="1">_xlfn.XLOOKUP(NewTrader!$V56,TabCalc[[#This Row],[Ticker]],TabCalc[[#This Row],[GL]])*(1-Commission)</f>
        <v>6505.6761709427947</v>
      </c>
      <c r="BS56" s="262"/>
      <c r="BT56" s="1672" t="str">
        <f ca="1">Tab_NewTRADER[[#This Row],[Show]]&amp;": "&amp;_xlfn.XLOOKUP(Tab_NewTRADER[[#This Row],[Show]],TabCalc[Ticker],TabCalc[Pile?])</f>
        <v xml:space="preserve">MVEDDD: </v>
      </c>
      <c r="BU56" s="1717" t="s">
        <v>1924</v>
      </c>
      <c r="BV56" s="1674" t="str" cm="1">
        <f t="array" aca="1" ref="BV56" ca="1">_xlfn.TEXTJOIN("",,INDEX({"M","A","Y"}, _xlfn.SORTBY({1,2,3}, -CHOOSE({1,2,3}, Tab_NewTRADER[[#This Row],[M]], Tab_NewTRADER[[#This Row],[A]], Tab_NewTRADER[[#This Row],[Y]]))))</f>
        <v>YAM</v>
      </c>
      <c r="BW56" s="1675"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76" t="e">
        <f ca="1">Tab_NewTRADER[[#This Row],[L_Sn]]*Tab_NewTRADER[[#This Row],[L_Sp]]+Tab_NewTRADER[[#This Row],[SellMore]]*Tab_NewTRADER[[#This Row],[M]]</f>
        <v>#N/A</v>
      </c>
      <c r="BY56" s="1676" t="e">
        <f ca="1">INDEX(
  INDEX(TabConsolid[], , _xlfn.XMATCH(Tab_NewTRADER[[#This Row],[ClickTick]]&amp;1, TabConsolid[#Headers])),
  MATCH(
    -Tab_NewTRADER[[#This Row],[M]],
    INDEX(TabConsolid[], , _xlfn.XMATCH(Tab_NewTRADER[[#This Row],[ClickTick]]&amp;2, TabConsolid[#Headers])),
    -1
  )
)</f>
        <v>#N/A</v>
      </c>
      <c r="BZ56" s="1676"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77" t="e">
        <f ca="1">Tab_NewTRADER[[#This Row],[ReBuy]]/(Tab_NewTRADER[[#This Row],[L_Sn]]+Tab_NewTRADER[[#This Row],[SellMore]])</f>
        <v>#N/A</v>
      </c>
      <c r="CB56" s="1678">
        <f ca="1">((_xlfn.XLOOKUP(Tab_NewTRADER[[#This Row],[Show]],TabCalc[Ticker],TabCalc[NAfter])+Tab_NewTRADER[[#This Row],[L_Sn]])*(Tab_NewTRADER[[#This Row],[Agiotage]]-Tab_NewTRADER[[#This Row],[M]]))/(Tab_NewTRADER[[#This Row],[L_Sn]]*_xlfn.XLOOKUP(Tab_NewTRADER[[#This Row],[Show]],TabCalc[Ticker],TabCalc[NAfter]))</f>
        <v>-1.2921065030613017E-4</v>
      </c>
      <c r="CC56" s="1677">
        <f ca="1">INDEX(Tab1Price[Price19], MATCH(Tab_NewTRADER[[#This Row],[Show]], Tab_NewTRADER[Show], 0))</f>
        <v>1.9650000000000001</v>
      </c>
      <c r="CD56" s="1679">
        <f ca="1">_xlfn.XMATCH(Tab_NewTRADER[[#This Row],[Show]]&amp;1, TabConsolid[#Headers])</f>
        <v>164</v>
      </c>
      <c r="CE56" s="1678"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729" t="str" cm="1">
        <f t="array" aca="1" ref="CF56" ca="1">_xlfn.LET(
    _xlpm.FMT, _xlfn.LAMBDA(_xlpm.n, REPT(" ", 7 - LEN(TEXT(_xlpm.n,"0.00"))) &amp; TEXT(_xlpm.n,"0.00")),
    _xlpm.FMT(Tab_NewTRADER[[#This Row],[A]]) &amp; " -" &amp; _xlpm.FMT(Tab_NewTRADER[[#This Row],[M]]) &amp; " -" &amp; _xlpm.FMT(Tab_NewTRADER[[#This Row],[Y]])
)</f>
        <v xml:space="preserve">   2.46 -   1.97 -   3.63</v>
      </c>
      <c r="CG56" s="1730" t="str" cm="1">
        <f t="array" aca="1" ref="CG56" ca="1">_xlfn.LET(
    _xlpm.W, 7,
    _xlpm.FMT, _xlfn.LAMBDA(_xlpm.n, REPT(" ", _xlpm.W - LEN(TEXT(_xlpm.n,"0.00"))) &amp; TEXT(_xlpm.n,"0.00")),
    _xlpm.FMT(Tab_NewTRADER[[#This Row],[A]]) &amp; " * " &amp; _xlpm.FMT(Tab_NewTRADER[[#This Row],[M]]) &amp; " * " &amp; _xlpm.FMT(Tab_NewTRADER[[#This Row],[Y]])
)</f>
        <v xml:space="preserve">   2.46 *    1.97 *    3.63</v>
      </c>
      <c r="CH56" s="1843">
        <f>0</f>
        <v>0</v>
      </c>
      <c r="CI56" t="str">
        <f ca="1">IF(ABS(NewTrader!$Q56)&gt;=NewTrader!$Y56,"OK")</f>
        <v>OK</v>
      </c>
    </row>
    <row r="57" spans="1:87" ht="23" hidden="1" thickBot="1">
      <c r="A57" s="1838">
        <f ca="1">IF(_xlfn.XLOOKUP(NewTrader!$V57,TabCalc[Ticker],TabCalc[Cur])="GBp",0.01,1)</f>
        <v>1</v>
      </c>
      <c r="B57" s="1620" t="str">
        <f ca="1">IFERROR(TRUNC(_xlfn.XLOOKUP(NewTrader!$V57,TabCalc[Ticker],ListLastBuyp),2)&amp;"x"&amp;_xlfn.XLOOKUP(NewTrader!$V57,TabCalc[Ticker],ListLastBuyn)&amp;"=    "&amp;IF(_xlfn.XLOOKUP(NewTrader!$V57,TabCalc[Ticker],ListReverseS)&gt;0,"+","")&amp;TEXT(_xlfn.XLOOKUP(NewTrader!$V57,TabCalc[Ticker],ListReverseS),"#,#0")&amp;" "&amp;#REF!,"")</f>
        <v/>
      </c>
      <c r="C57" s="1621" t="str">
        <f ca="1">_xlfn.XLOOKUP(NewTrader!$V57,TabCalc[Ticker],ListResale)&amp;" @ "&amp;TEXT((_xlfn.XLOOKUP(NewTrader!$V57,TabCalc[Ticker],TabCalc[L_Bp])+_xlfn.XLOOKUP(NewTrader!$V57,TabCalc[Ticker],TabCalc[M]))/_xlfn.XLOOKUP(NewTrader!$V57,TabCalc[Ticker],TabCalc[M]),"#0.0%")</f>
        <v>B_more @ -30.7%</v>
      </c>
      <c r="D57" s="1622"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718" t="str">
        <f ca="1">IF(      AND(NewTrader!$X57&lt;NewTrader!$Y57,    _xlfn.XLOOKUP(NewTrader!$V57,TabCalc[Ticker],TabCalc[L_Sp])&gt;NewTrader!$Y57),"BUY  "&amp;TEXT(DesiredBuyGain/NewTrader!$A57/(_xlfn.XLOOKUP(NewTrader!$V57,TabCalc[Ticker],TabCalc[L_Sp])-NewTrader!$Y57),"#,##0"),"")</f>
        <v/>
      </c>
      <c r="F57" s="1620" t="str">
        <f ca="1">TRUNC(TabCalc[[#This Row],[L_B1p]],2)&amp;"x"&amp;TabCalc[[#This Row],[L_B1n]]&amp;"=   "&amp;TEXT(TabCalc[[#This Row],[ReverseS1]],"#,#0")&amp;"$"</f>
        <v>-31.36x500=   -4,115$</v>
      </c>
      <c r="G57" s="1624" t="str">
        <f ca="1">IFERROR(TRUNC(_xlfn.XLOOKUP(NewTrader!$V57,TabCalc[Ticker],ListLastSalep),2)&amp;"x"&amp;_xlfn.XLOOKUP(NewTrader!$V57,TabCalc[Ticker],ListLastSalen)&amp;"=   "&amp;TEXT(-_xlfn.XLOOKUP(NewTrader!$V57,TabCalc[Ticker],ListReverseB),"#,#0")&amp;"$","")</f>
        <v>40.01x1000=   -16,880$</v>
      </c>
      <c r="H57" s="1625"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73.0% = 296</v>
      </c>
      <c r="I57" s="1620" t="str">
        <f ca="1">IFERROR(TRUNC(TabCalc[[#This Row],[L_S1p]],2)&amp;"x"&amp;TabCalc[[#This Row],[L_S1n]]&amp;"=   "&amp;TEXT(TabCalc[[#This Row],[ReverseB1]],"#,#0"),"")</f>
        <v>40.59x1000=   17,465</v>
      </c>
      <c r="J57" s="1626">
        <f ca="1">_xlfn.XLOOKUP(NewTrader!$V57,TabCalc[Ticker],ListGravity)</f>
        <v>1.368593169044531</v>
      </c>
      <c r="K57" s="1627" cm="1">
        <f t="array" aca="1" ref="K57" ca="1">IF(_xlfn.XLOOKUP(NewTrader!$V57,NewTrader!$V$3:$V$96,ListExtra_n)&gt;0,_xlfn.XLOOKUP(NewTrader!$V57,NewTrader!$V$3:$V$96,ListExtra_n),"")</f>
        <v>10000</v>
      </c>
      <c r="L57" s="1628">
        <f ca="1">IF(_xlfn.XLOOKUP(NewTrader!$V57,TabCalc[Ticker],ListExtra_n)&gt;0,_xlfn.XLOOKUP(NewTrader!$V57,TabCalc[Ticker],ListExtra_n)*NewTrader!$Y57*_xlfn.XLOOKUP(NewTrader!$V57,TabCalc[Ticker],ListScale),"")</f>
        <v>231300</v>
      </c>
      <c r="M57" s="1629">
        <f ca="1">_xlfn.XLOOKUP(NewTrader!$V57,TabCalc[Ticker],TabCalc[Agiotage])</f>
        <v>1.1231597996094751</v>
      </c>
      <c r="N57" s="1630" cm="1">
        <f t="array" aca="1" ref="N57" ca="1">_xlfn.XLOOKUP(NewTrader!$V57,ListTickers,Tab2RSIConventional[RSIConv20])</f>
        <v>39</v>
      </c>
      <c r="O57" s="1631" t="str">
        <f ca="1">TEXT(_xlfn.XLOOKUP(NewTrader!$V57,TabCalc[Ticker],TabCalc[Nbegin]),"#,#0")&amp;": "&amp;_xlfn.XLOOKUP(NewTrader!$V57,TabCalc[Ticker],TabCalc[Pile?])</f>
        <v>2,000: Pile</v>
      </c>
      <c r="P57" s="1630">
        <f ca="1">_xlfn.XLOOKUP(NewTrader!$V57,TabCalc[Ticker],TabCalc[L_Bn])</f>
        <v>1500</v>
      </c>
      <c r="Q57" s="1633">
        <f ca="1">_xlfn.XLOOKUP(NewTrader!$V57,TabCalc[Ticker],TabCalc[L_Bp])</f>
        <v>-30.22</v>
      </c>
      <c r="R57" s="1634">
        <f ca="1">(NewTrader!$Y57+NewTrader!$Q57)/ABS(NewTrader!$Q57)</f>
        <v>-0.23461283917935144</v>
      </c>
      <c r="S57" s="259">
        <f ca="1">INT(_xlfn.XLOOKUP(NewTrader!$V57,TabCalc[Ticker],TabCalc[Rev(MinStock)])*Comm_Net)</f>
        <v>-10579</v>
      </c>
      <c r="T57" s="1635">
        <f ca="1">_xlfn.XLOOKUP(NewTrader!$V57,TabCalc[Ticker],TabCalc[Agiotage])</f>
        <v>1.1231597996094751</v>
      </c>
      <c r="U57" s="1719"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2,760/2,760=&gt;0.5% / 0.5%</v>
      </c>
      <c r="V57" s="1578" t="str">
        <f ca="1">SORTING!B57</f>
        <v>MVEDSY</v>
      </c>
      <c r="W57" s="1637">
        <f ca="1">_xlfn.XLOOKUP(NewTrader!$V57,TabCalc[Ticker],TabCalc[Y])</f>
        <v>31.655560000000001</v>
      </c>
      <c r="X57" s="1639">
        <f ca="1">-_xlfn.XLOOKUP(NewTrader!$V57&amp;2,Consolid!B$3:JZ$3,Consolid!B$4:JZ$4)</f>
        <v>33.724957500000002</v>
      </c>
      <c r="Y57" s="1639">
        <f ca="1">_xlfn.XLOOKUP(NewTrader!$V57,TabCalc[Ticker],TabCalc[M])</f>
        <v>23.13</v>
      </c>
      <c r="Z57" s="1640">
        <f ca="1">_xlfn.XLOOKUP(NewTrader!$V57,[1]!RTData[Ticker_Symbol],[1]!RTData[YTChange])</f>
        <v>2.8056360284435082</v>
      </c>
      <c r="AA57" s="1640" cm="1">
        <f t="array" aca="1" ref="AA57" ca="1">_xlfn.XLOOKUP(NewTrader!$V57,ListTickers,Tab1ChangePercent[Change%19])</f>
        <v>4.7780000000000001E-3</v>
      </c>
      <c r="AB57" s="1641">
        <f ca="1">_xlfn.XLOOKUP(NewTrader!$V57,TabCalc[Ticker],TabCalc[NAfter])</f>
        <v>12000</v>
      </c>
      <c r="AC57" s="1641">
        <f ca="1">_xlfn.XLOOKUP(NewTrader!$V57,TabCalc[Ticker],TabCalc[Nbegin])</f>
        <v>2000</v>
      </c>
      <c r="AD57" s="1642" t="str">
        <f ca="1">_xlfn.LET(_xlpm.PILE,_xlfn.XLOOKUP(NewTrader!$V57,TabCalc[Ticker],TabCalc[Pile?]),                    _xlpm.GL,_xlfn.XLOOKUP(NewTrader!$V57,TabCalc[Ticker],TabCalc[GL]),                        _xlpm.GLK,_xlfn.XLOOKUP(NewTrader!$V57,TabCalc[Ticker],TabCalc[GL])/1000,                             _xlpm.MVal,_xlfn.XLOOKUP(NewTrader!$V57,TabCalc[Ticker],TabCalc[M_V])/1000,                   _xlpm.PILE&amp;" "&amp;IF(_xlpm.GL&lt;0,TEXT(_xlpm.GLK,"#,#0")&amp;"K /"&amp;TEXT(_xlpm.MVal,"#,#0")&amp;" K$","^"&amp;TEXT(_xlpm.GLK,"#,#0")&amp;"K / "&amp;TEXT(_xlpm.MVal,"#,#0")&amp;" K$"))</f>
        <v>Pile -124K /277 K$</v>
      </c>
      <c r="AE57" s="1720" t="str">
        <f ca="1">_xlfn.XLOOKUP(NewTrader!$V57,[1]!RTData[Ticker_Symbol],[1]!RTData[Currency])</f>
        <v>EUR</v>
      </c>
      <c r="AF57" s="1721"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698" t="str" cm="1">
        <f t="array" aca="1" ref="AH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23.13 -  31.66</v>
      </c>
      <c r="AI5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7" s="1651" t="str" cm="1">
        <f t="array" aca="1" ref="AJ57" ca="1">_xlfn.IFS(Tab_NewTRADER[[#This Row],[State]]="Sell More",TEXT(MIN(Tab_NewTRADER[[#This Row],[N]],Tab_NewTRADER[[#This Row],[L_Bn]])*(Tab_NewTRADER[[#This Row],[M]]-Tab_NewTRADER[[#This Row],[L_Sp]])*Tab_NewTRADER[[#This Row],[Scale]]*ComFactor,"#,#0"), TRUE,"M= "&amp;TEXT(Tab_NewTRADER[[#This Row],[M]],"#,#0.00"))</f>
        <v>M= 23.13</v>
      </c>
      <c r="AK57" s="1699" cm="1">
        <f t="array" aca="1" ref="AK57" ca="1">_xlfn.IFS(Tab_NewTRADER[[#This Row],[Y]]&gt;Tab_NewTRADER[[#This Row],[A]],                 TEXT(MIN(Tab_NewTRADER[[#This Row],[L_Bn]],Tab_NewTRADER[[#This Row],[N]])*(Tab_NewTRADER[[#This Row],[M]]-Tab_NewTRADER[[#This Row],[A]])*Tab_NewTRADER[[#This Row],[Scale]]*ComFactor,"#,#0"), TRUE,0)</f>
        <v>0</v>
      </c>
      <c r="AL57" s="1700" cm="1">
        <f t="array" aca="1" ref="AL57" ca="1">_xlfn.IFS(Tab_NewTRADER[[#This Row],[M]]&gt;Tab_NewTRADER[[#This Row],[A]],                  Tab_NewTRADER[[#This Row],[N]]*(Tab_NewTRADER[[#This Row],[M]]-Tab_NewTRADER[[#This Row],[A]])*Tab_NewTRADER[[#This Row],[Scale]]*ComFactor, TRUE,0)</f>
        <v>0</v>
      </c>
      <c r="AM57" s="1592" t="str">
        <f ca="1">_xlfn.XLOOKUP(Tab_NewTRADER[[#This Row],[Show]],TabCalc[Ticker],TabCalc[Max_Bn])&amp;" x "&amp;TEXT(_xlfn.XLOOKUP(Tab_NewTRADER[[#This Row],[Show]],TabCalc[Ticker],TabCalc[Max_Bp]),"#,#0.00")</f>
        <v>2000 x 35.44</v>
      </c>
      <c r="AN57" s="1650" t="str">
        <f ca="1">NewTrader!$V57</f>
        <v>MVEDSY</v>
      </c>
      <c r="AO57" s="1651" t="str">
        <f ca="1">TEXT(_xlfn.XLOOKUP(Tab_NewTRADER[[#This Row],[ClickTick]],TabCalc[Ticker],TabCalc[NAfter]),"#,#0")&amp;"x"&amp;_xlfn.XLOOKUP(Tab_NewTRADER[[#This Row],[ClickTick]],TabCalc[Ticker],TabCalc[M])&amp;"           (A: "&amp;TEXT(-_xlfn.XLOOKUP(Tab_NewTRADER[[#This Row],[ClickTick]]&amp;2,Consolid!B$3:JZ$3,Consolid!B$4:JZ$4),"#,??0.00")&amp;")"</f>
        <v>12,000x23.13           (A:  33.72)</v>
      </c>
      <c r="AP57" s="1592" t="str">
        <f ca="1">_xlfn.XLOOKUP(Tab_NewTRADER[[#This Row],[Show]],TabCalc[Ticker],TabCalc[Min_Sn])&amp;" x "&amp;TEXT(_xlfn.XLOOKUP(Tab_NewTRADER[[#This Row],[Show]],TabCalc[Ticker],TabCalc[Min_Sp]),"#,#0.00")</f>
        <v>780 x 39.55</v>
      </c>
      <c r="AQ5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702" t="str" cm="1">
        <f t="array" aca="1" ref="AR57" ca="1">_xlfn.IFS(Tab_NewTRADER[[#This Row],[State]]="Reverse Buy",TEXT(-Tab_NewTRADER[[#This Row],[Buy_Back]],"#,#0")&amp;" / "&amp;TEXT(Tab_NewTRADER[[#This Row],[Rev_Buy]],"#,#0.0%"),TRUE,Tab_NewTRADER[[#This Row],[AMY]])</f>
        <v xml:space="preserve">  33.72 -  23.13 -  31.66</v>
      </c>
      <c r="AS57" s="1651"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84,859       / 30.7%</v>
      </c>
      <c r="AT57" s="1699"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-126,809   / -45.8%</v>
      </c>
      <c r="AU57" s="1699" t="str" cm="1">
        <f t="array" aca="1" ref="AU57" ca="1">_xlfn.IFS(Tab_NewTRADER[[#This Row],[M]]&lt;Tab_NewTRADER[[#This Row],[A]],TEXT(Tab_NewTRADER[[#This Row],[N]]*Tab_NewTRADER[[#This Row],[M]]*Tab_NewTRADER[[#This Row],[Scale]]*Comm_Net,"#,#0")&amp;" @ "&amp;TEXT(Tab_NewTRADER[[#This Row],[M]],"#,#0.#0"),TRUE,"M: "&amp; Tab_NewTRADER[[#This Row],[M]])</f>
        <v>276,811 @ 23.13</v>
      </c>
      <c r="AV57" s="1740" cm="1">
        <f t="array" aca="1" ref="AV57" ca="1">-_xlfn.XLOOKUP(
    Tab_NewTRADER[[#This Row],[Show]] &amp; 2,
    TabConsolid[#Headers],
    INDEX(TabConsolid[], 1, 0)
)</f>
        <v>33.724957500000002</v>
      </c>
      <c r="AW57" s="1741">
        <f ca="1">Tab_NewTRADER[[#This Row],[M]]*Tab_NewTRADER[[#This Row],[N]]*(1-Commission)*Tab_NewTRADER[[#This Row],[Scale]]</f>
        <v>276838.34399999998</v>
      </c>
      <c r="AX57" s="1705"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705"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706" t="str" cm="1">
        <f t="array" aca="1" ref="AZ57" ca="1">_xlfn.IFS(   Tab_NewTRADER[[#This Row],[State]]=SellMorePercentGain,                     MIN(Tab_NewTRADER[[#This Row],[L_Sn]],Tab_NewTRADER[[#This Row],[N]])*(Tab_NewTRADER[[#This Row],[M]]-Tab_NewTRADER[[#This Row],[L_Sp]])*(1-Commission)*Tab_NewTRADER[[#This Row],[Scale]],                    TRUE,"")</f>
        <v/>
      </c>
      <c r="BA57" s="1707">
        <f ca="1">_xlfn.XLOOKUP(NewTrader!$V57,TabCalc[Ticker],TabCalc[Ann%RevLB])</f>
        <v>-0.50274179824146736</v>
      </c>
      <c r="BB57" s="1708">
        <f ca="1">_xlfn.XLOOKUP(NewTrader!$V57,TabCalc[Ticker],TabCalc[Up20])</f>
        <v>0</v>
      </c>
      <c r="BC57" s="1742"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706" t="str" cm="1">
        <f t="array" aca="1" ref="BD57" ca="1">_xlfn.IFS(         NewTrader!$AF57=MDown,NewTrader!$P57*NewTrader!$Y57*(-(NewTrader!$Q57+NewTrader!$Y57)/NewTrader!$Y57)*(1-Commission)*NewTrader!$A57,                               TRUE,"")</f>
        <v/>
      </c>
      <c r="BE57" s="1705" t="str" cm="1">
        <f t="array" aca="1" ref="BE57" ca="1">_xlfn.IFS(   NewTrader!$AF57=MUp,NewTrader!$BP57-Commission,        NewTrader!$AF57=MDown,(NewTrader!$X57-NewTrader!$Y57)/NewTrader!$Y57-Commission,                              TRUE,"")</f>
        <v/>
      </c>
      <c r="BF57" s="1706"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710" t="str" cm="1">
        <f t="array" aca="1" ref="BG57" ca="1">_xlfn.LET(_xlpm.SumChTxt,TEXT(_xlfn.XLOOKUP(NewTrader!$V57,ListTickers,Tab2SumChangePercent[AVGChan20]),"#0.0%"),
      _xlfn.IFS(NewTrader!$AF57=NoStock,_xlpm.SumChTxt,
      TRUE, IF(NewTrader!$AF57=SellMorePercentGain,             "SumChange "&amp;_xlpm.SumChTxt,                         "&lt;"&amp;INT(_xlfn.XLOOKUP(NewTrader!$V57,ListTickers,Tab2ReverseGL[Rev_GL19]))&amp;    "&lt;"&amp;INT(_xlfn.XLOOKUP(NewTrader!$V57,ListTickers,Tab2ReverseGL[Rev_GL18]))&amp;":      "&amp;_xlpm.SumChTxt)))</f>
        <v>&lt;0&lt;0:      0.3%</v>
      </c>
      <c r="BH57" s="1711"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-7.09</v>
      </c>
      <c r="BI57" s="1712" cm="1">
        <f t="array" aca="1" ref="BI57" ca="1">_xlfn.IFS(NewTrader!$AF57=Sale_Back,"",         NewTrader!$AF57=MDown, (NewTrader!$Y57-NewTrader!$X57)/NewTrader!$X57*ComFactor,             TRUE, IFERROR((NewTrader!$Y57-NewTrader!$X57)/NewTrader!$X57*ComFactor,""))</f>
        <v>-0.31334096152678625</v>
      </c>
      <c r="BJ57" s="1664" cm="1">
        <f t="array" aca="1" ref="BJ57" ca="1">_xlfn.IFS(               NewTrader!$AF57=NoStock,(NewTrader!$BL57-NewTrader!$Y57)/NewTrader!$Y57-Commission,             NewTrader!$X57&lt;&gt;0,(NewTrader!$X57-NewTrader!$Y57)/NewTrader!$Y57-Commission)</f>
        <v>0.45546128404669278</v>
      </c>
      <c r="BK57" s="1726">
        <f ca="1">_xlfn.XLOOKUP(NewTrader!$V57,TabCalc[Ticker],TabCalc[L_Sn])</f>
        <v>1000</v>
      </c>
      <c r="BL57" s="1727">
        <f ca="1">_xlfn.XLOOKUP(NewTrader!$V57,TabCalc[Ticker],TabCalc[L_Sp])</f>
        <v>40.01</v>
      </c>
      <c r="BM57" s="1634">
        <f ca="1">-IFERROR((Tab_NewTRADER[[#This Row],[M]]-Tab_NewTRADER[[#This Row],[L_Sp]])/Tab_NewTRADER[[#This Row],[L_Sp]],0)</f>
        <v>0.42189452636840791</v>
      </c>
      <c r="BN57" s="1728">
        <f ca="1">MIN(Tab_NewTRADER[[#This Row],[L_Sn]],Tab_NewTRADER[[#This Row],[N]])*(Tab_NewTRADER[[#This Row],[M]]-Tab_NewTRADER[[#This Row],[L_Sp]])*Comm_Net*Tab_NewTRADER[[#This Row],[Scale]]</f>
        <v>-16834.423999999999</v>
      </c>
      <c r="BO57" s="1715">
        <f ca="1">Tab_NewTRADER[[#This Row],[L_Sn]]*(Tab_NewTRADER[[#This Row],[Agiotage]]-Tab_NewTRADER[[#This Row],[M]])/(Tab_NewTRADER[[#This Row],[L_Bn]]*Tab_NewTRADER[[#This Row],[M]])</f>
        <v>-0.63429428449028746</v>
      </c>
      <c r="BP57" s="1670">
        <f ca="1">IFERROR((Tab_NewTRADER[[#This Row],[M]]-Tab_NewTRADER[[#This Row],[A]])/Tab_NewTRADER[[#This Row],[A]],0)</f>
        <v>-0.31415777173329285</v>
      </c>
      <c r="BQ57" s="1671" t="str">
        <f ca="1">TEXT(_xlfn.XLOOKUP(Tab_NewTRADER[[#This Row],[ClickTick]],TabCalc[Ticker],TabCalc[NAfter]),"#,#0")&amp;" : "&amp;TEXT(_xlfn.XLOOKUP(Tab_NewTRADER[[#This Row],[ClickTick]],TabCalc[Ticker],TabCalc[NAfter])*(Tab_NewTRADER[[#This Row],[M]]-Tab_NewTRADER[[#This Row],[A]])*(1-Commission)*Tab_NewTRADER[[#This Row],[Scale]],"#,#0$")</f>
        <v>12,000 : -126,809$</v>
      </c>
      <c r="BR57" s="259">
        <f ca="1">_xlfn.XLOOKUP(NewTrader!$V57,TabCalc[[#This Row],[Ticker]],TabCalc[[#This Row],[GL]])*(1-Commission)</f>
        <v>-124171.65087762816</v>
      </c>
      <c r="BS57" s="259"/>
      <c r="BT57" s="1672" t="str">
        <f ca="1">Tab_NewTRADER[[#This Row],[Show]]&amp;": "&amp;_xlfn.XLOOKUP(Tab_NewTRADER[[#This Row],[Show]],TabCalc[Ticker],TabCalc[Pile?])</f>
        <v>MVEDSY: Pile</v>
      </c>
      <c r="BU57" s="1717" t="s">
        <v>1929</v>
      </c>
      <c r="BV57" s="1674" t="str" cm="1">
        <f t="array" aca="1" ref="BV57" ca="1">_xlfn.TEXTJOIN("",,INDEX({"M","A","Y"}, _xlfn.SORTBY({1,2,3}, -CHOOSE({1,2,3}, Tab_NewTRADER[[#This Row],[M]], Tab_NewTRADER[[#This Row],[A]], Tab_NewTRADER[[#This Row],[Y]]))))</f>
        <v>AYM</v>
      </c>
      <c r="BW57" s="1675"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76" t="e">
        <f ca="1">Tab_NewTRADER[[#This Row],[L_Sn]]*Tab_NewTRADER[[#This Row],[L_Sp]]+Tab_NewTRADER[[#This Row],[SellMore]]*Tab_NewTRADER[[#This Row],[M]]</f>
        <v>#N/A</v>
      </c>
      <c r="BY57" s="1676" t="e">
        <f ca="1">INDEX(
  INDEX(TabConsolid[], , _xlfn.XMATCH(Tab_NewTRADER[[#This Row],[ClickTick]]&amp;1, TabConsolid[#Headers])),
  MATCH(
    -Tab_NewTRADER[[#This Row],[M]],
    INDEX(TabConsolid[], , _xlfn.XMATCH(Tab_NewTRADER[[#This Row],[ClickTick]]&amp;2, TabConsolid[#Headers])),
    -1
  )
)</f>
        <v>#N/A</v>
      </c>
      <c r="BZ57" s="1676"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77" t="e">
        <f ca="1">Tab_NewTRADER[[#This Row],[ReBuy]]/(Tab_NewTRADER[[#This Row],[L_Sn]]+Tab_NewTRADER[[#This Row],[SellMore]])</f>
        <v>#N/A</v>
      </c>
      <c r="CB57" s="1678">
        <f ca="1">((_xlfn.XLOOKUP(Tab_NewTRADER[[#This Row],[Show]],TabCalc[Ticker],TabCalc[NAfter])+Tab_NewTRADER[[#This Row],[L_Sn]])*(Tab_NewTRADER[[#This Row],[Agiotage]]-Tab_NewTRADER[[#This Row],[M]]))/(Tab_NewTRADER[[#This Row],[L_Sn]]*_xlfn.XLOOKUP(Tab_NewTRADER[[#This Row],[Show]],TabCalc[Ticker],TabCalc[NAfter]))</f>
        <v>-2.3840743550423066E-2</v>
      </c>
      <c r="CC57" s="1677">
        <f ca="1">INDEX(Tab1Price[Price19], MATCH(Tab_NewTRADER[[#This Row],[Show]], Tab_NewTRADER[Show], 0))</f>
        <v>23.13</v>
      </c>
      <c r="CD57" s="1679">
        <f ca="1">_xlfn.XMATCH(Tab_NewTRADER[[#This Row],[Show]]&amp;1, TabConsolid[#Headers])</f>
        <v>167</v>
      </c>
      <c r="CE57" s="1678"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729" t="str" cm="1">
        <f t="array" aca="1" ref="CF57" ca="1">_xlfn.LET(
    _xlpm.FMT, _xlfn.LAMBDA(_xlpm.n, REPT(" ", 7 - LEN(TEXT(_xlpm.n,"0.00"))) &amp; TEXT(_xlpm.n,"0.00")),
    _xlpm.FMT(Tab_NewTRADER[[#This Row],[A]]) &amp; " -" &amp; _xlpm.FMT(Tab_NewTRADER[[#This Row],[M]]) &amp; " -" &amp; _xlpm.FMT(Tab_NewTRADER[[#This Row],[Y]])
)</f>
        <v xml:space="preserve">  33.72 -  23.13 -  31.66</v>
      </c>
      <c r="CG57" s="1730" t="str" cm="1">
        <f t="array" aca="1" ref="CG57" ca="1">_xlfn.LET(
    _xlpm.W, 7,
    _xlpm.FMT, _xlfn.LAMBDA(_xlpm.n, REPT(" ", _xlpm.W - LEN(TEXT(_xlpm.n,"0.00"))) &amp; TEXT(_xlpm.n,"0.00")),
    _xlpm.FMT(Tab_NewTRADER[[#This Row],[A]]) &amp; " * " &amp; _xlpm.FMT(Tab_NewTRADER[[#This Row],[M]]) &amp; " * " &amp; _xlpm.FMT(Tab_NewTRADER[[#This Row],[Y]])
)</f>
        <v xml:space="preserve">  33.72 *   23.13 *   31.66</v>
      </c>
      <c r="CH57" s="1843">
        <f>0</f>
        <v>0</v>
      </c>
      <c r="CI57" t="str">
        <f ca="1">IF(ABS(NewTrader!$Q57)&gt;=NewTrader!$Y57,"OK")</f>
        <v>OK</v>
      </c>
    </row>
    <row r="58" spans="1:87" ht="23" hidden="1" thickBot="1">
      <c r="A58" s="1839">
        <f ca="1">IF(_xlfn.XLOOKUP(NewTrader!$V58,TabCalc[Ticker],TabCalc[Cur])="GBp",0.01,1)</f>
        <v>1</v>
      </c>
      <c r="B58" s="1681" t="str">
        <f ca="1">IFERROR(TRUNC(_xlfn.XLOOKUP(NewTrader!$V58,TabCalc[Ticker],ListLastBuyp),2)&amp;"x"&amp;_xlfn.XLOOKUP(NewTrader!$V58,TabCalc[Ticker],ListLastBuyn)&amp;"=    "&amp;IF(_xlfn.XLOOKUP(NewTrader!$V58,TabCalc[Ticker],ListReverseS)&gt;0,"+","")&amp;TEXT(_xlfn.XLOOKUP(NewTrader!$V58,TabCalc[Ticker],ListReverseS),"#,#0")&amp;" "&amp;#REF!,"")</f>
        <v/>
      </c>
      <c r="C58" s="1682" t="str">
        <f ca="1">_xlfn.XLOOKUP(NewTrader!$V58,TabCalc[Ticker],ListResale)&amp;" @ "&amp;TEXT((_xlfn.XLOOKUP(NewTrader!$V58,TabCalc[Ticker],TabCalc[L_Bp])+_xlfn.XLOOKUP(NewTrader!$V58,TabCalc[Ticker],TabCalc[M]))/_xlfn.XLOOKUP(NewTrader!$V58,TabCalc[Ticker],TabCalc[M]),"#0.0%")</f>
        <v>Resell @ 26.4%</v>
      </c>
      <c r="D58" s="1683"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84" t="str">
        <f ca="1">IF(      AND(NewTrader!$X58&lt;NewTrader!$Y58,    _xlfn.XLOOKUP(NewTrader!$V58,TabCalc[Ticker],TabCalc[L_Sp])&gt;NewTrader!$Y58),"BUY  "&amp;TEXT(DesiredBuyGain/NewTrader!$A58/(_xlfn.XLOOKUP(NewTrader!$V58,TabCalc[Ticker],TabCalc[L_Sp])-NewTrader!$Y58),"#,##0"),"")</f>
        <v/>
      </c>
      <c r="F58" s="1681" t="str">
        <f ca="1">TRUNC(TabCalc[[#This Row],[L_B1p]],2)&amp;"x"&amp;TabCalc[[#This Row],[L_B1n]]&amp;"=   "&amp;TEXT(TabCalc[[#This Row],[ReverseS1]],"#,#0")&amp;"$"</f>
        <v>-10.66x30000=   44$</v>
      </c>
      <c r="G58" s="1685" t="str">
        <f ca="1">IFERROR(TRUNC(_xlfn.XLOOKUP(NewTrader!$V58,TabCalc[Ticker],ListLastSalep),2)&amp;"x"&amp;_xlfn.XLOOKUP(NewTrader!$V58,TabCalc[Ticker],ListLastSalen)&amp;"=   "&amp;TEXT(-_xlfn.XLOOKUP(NewTrader!$V58,TabCalc[Ticker],ListReverseB),"#,#0")&amp;"$","")</f>
        <v>12.56x2990=   7,400$</v>
      </c>
      <c r="H58" s="1686"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-16.5% = 0</v>
      </c>
      <c r="I58" s="1681" t="str">
        <f ca="1">IFERROR(TRUNC(TabCalc[[#This Row],[L_S1p]],2)&amp;"x"&amp;TabCalc[[#This Row],[L_S1n]]&amp;"=   "&amp;TEXT(TabCalc[[#This Row],[ReverseB1]],"#,#0"),"")</f>
        <v>11.65x3000=   -10,151</v>
      </c>
      <c r="J58" s="1687">
        <f ca="1">_xlfn.XLOOKUP(NewTrader!$V58,TabCalc[Ticker],ListGravity)</f>
        <v>1.126317259727303</v>
      </c>
      <c r="K58" s="1688" t="str" cm="1">
        <f t="array" aca="1" ref="K58" ca="1">IF(_xlfn.XLOOKUP(NewTrader!$V58,NewTrader!$V$3:$V$96,ListExtra_n)&gt;0,_xlfn.XLOOKUP(NewTrader!$V58,NewTrader!$V$3:$V$96,ListExtra_n),"")</f>
        <v/>
      </c>
      <c r="L58" s="1689" t="str">
        <f ca="1">IF(_xlfn.XLOOKUP(NewTrader!$V58,TabCalc[Ticker],ListExtra_n)&gt;0,_xlfn.XLOOKUP(NewTrader!$V58,TabCalc[Ticker],ListExtra_n)*NewTrader!$Y58*_xlfn.XLOOKUP(NewTrader!$V58,TabCalc[Ticker],ListScale),"")</f>
        <v/>
      </c>
      <c r="M58" s="1690">
        <f ca="1">_xlfn.XLOOKUP(NewTrader!$V58,TabCalc[Ticker],TabCalc[Agiotage])</f>
        <v>8.077429734486519E-3</v>
      </c>
      <c r="N58" s="1691" cm="1">
        <f t="array" aca="1" ref="N58" ca="1">_xlfn.XLOOKUP(NewTrader!$V58,ListTickers,Tab2RSIConventional[RSIConv20])</f>
        <v>54</v>
      </c>
      <c r="O58" s="1631" t="str">
        <f ca="1">TEXT(_xlfn.XLOOKUP(NewTrader!$V58,TabCalc[Ticker],TabCalc[Nbegin]),"#,#0")&amp;": "&amp;_xlfn.XLOOKUP(NewTrader!$V58,TabCalc[Ticker],TabCalc[Pile?])</f>
        <v>20,000: Pile</v>
      </c>
      <c r="P58" s="1692">
        <f ca="1">_xlfn.XLOOKUP(NewTrader!$V58,TabCalc[Ticker],TabCalc[L_Bn])</f>
        <v>6000</v>
      </c>
      <c r="Q58" s="1731">
        <f ca="1">_xlfn.XLOOKUP(NewTrader!$V58,TabCalc[Ticker],TabCalc[L_Bp])</f>
        <v>-11.06</v>
      </c>
      <c r="R58" s="1694">
        <f ca="1">(NewTrader!$Y58+NewTrader!$Q58)/ABS(NewTrader!$Q58)</f>
        <v>0.35940325497287517</v>
      </c>
      <c r="S58" s="262">
        <f ca="1">INT(_xlfn.XLOOKUP(NewTrader!$V58,TabCalc[Ticker],TabCalc[Rev(MinStock)])*Comm_Net)</f>
        <v>38</v>
      </c>
      <c r="T58" s="1635">
        <f ca="1">_xlfn.XLOOKUP(NewTrader!$V58,TabCalc[Ticker],TabCalc[Agiotage])</f>
        <v>8.077429734486519E-3</v>
      </c>
      <c r="U58" s="1695"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-4/-4=&gt;-3.3% / -3.3%</v>
      </c>
      <c r="V58" s="1578" t="str">
        <f ca="1">SORTING!B58</f>
        <v>MVEEOAN</v>
      </c>
      <c r="W58" s="1637">
        <f ca="1">_xlfn.XLOOKUP(NewTrader!$V58,TabCalc[Ticker],TabCalc[Y])</f>
        <v>16.934180000000001</v>
      </c>
      <c r="X58" s="1639">
        <f ca="1">-_xlfn.XLOOKUP(NewTrader!$V58&amp;2,Consolid!B$3:JZ$3,Consolid!B$4:JZ$4)</f>
        <v>11.088756</v>
      </c>
      <c r="Y58" s="1639">
        <f ca="1">_xlfn.XLOOKUP(NewTrader!$V58,TabCalc[Ticker],TabCalc[M])</f>
        <v>15.035</v>
      </c>
      <c r="Z58" s="1640">
        <f ca="1">_xlfn.XLOOKUP(NewTrader!$V58,[1]!RTData[Ticker_Symbol],[1]!RTData[YTChange])</f>
        <v>0.1442013513513514</v>
      </c>
      <c r="AA58" s="1640" cm="1">
        <f t="array" aca="1" ref="AA58" ca="1">_xlfn.XLOOKUP(NewTrader!$V58,ListTickers,Tab1ChangePercent[Change%19])</f>
        <v>-3.3119000000000003E-2</v>
      </c>
      <c r="AB58" s="1641">
        <f ca="1">_xlfn.XLOOKUP(NewTrader!$V58,TabCalc[Ticker],TabCalc[NAfter])</f>
        <v>10</v>
      </c>
      <c r="AC58" s="1641">
        <f ca="1">_xlfn.XLOOKUP(NewTrader!$V58,TabCalc[Ticker],TabCalc[Nbegin])</f>
        <v>20000</v>
      </c>
      <c r="AD58" s="1642" t="str">
        <f ca="1">_xlfn.LET(_xlpm.PILE,_xlfn.XLOOKUP(NewTrader!$V58,TabCalc[Ticker],TabCalc[Pile?]),                    _xlpm.GL,_xlfn.XLOOKUP(NewTrader!$V58,TabCalc[Ticker],TabCalc[GL]),                        _xlpm.GLK,_xlfn.XLOOKUP(NewTrader!$V58,TabCalc[Ticker],TabCalc[GL])/1000,                             _xlpm.MVal,_xlfn.XLOOKUP(NewTrader!$V58,TabCalc[Ticker],TabCalc[M_V])/1000,                   _xlpm.PILE&amp;" "&amp;IF(_xlpm.GL&lt;0,TEXT(_xlpm.GLK,"#,#0")&amp;"K /"&amp;TEXT(_xlpm.MVal,"#,#0")&amp;" K$","^"&amp;TEXT(_xlpm.GLK,"#,#0")&amp;"K / "&amp;TEXT(_xlpm.MVal,"#,#0")&amp;" K$"))</f>
        <v>Pile ^18K / 0 K$</v>
      </c>
      <c r="AE58" s="1643" t="str">
        <f ca="1">_xlfn.XLOOKUP(NewTrader!$V58,[1]!RTData[Ticker_Symbol],[1]!RTData[Currency])</f>
        <v>EUR</v>
      </c>
      <c r="AF58" s="1721"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698" t="str" cm="1">
        <f t="array" aca="1" ref="AH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15.04 -  16.93</v>
      </c>
      <c r="AI5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58" s="1651" t="str" cm="1">
        <f t="array" aca="1" ref="AJ58" ca="1">_xlfn.IFS(Tab_NewTRADER[[#This Row],[State]]="Sell More",TEXT(MIN(Tab_NewTRADER[[#This Row],[N]],Tab_NewTRADER[[#This Row],[L_Bn]])*(Tab_NewTRADER[[#This Row],[M]]-Tab_NewTRADER[[#This Row],[L_Sp]])*Tab_NewTRADER[[#This Row],[Scale]]*ComFactor,"#,#0"), TRUE,"M= "&amp;TEXT(Tab_NewTRADER[[#This Row],[M]],"#,#0.00"))</f>
        <v>25</v>
      </c>
      <c r="AK58" s="1699" t="str" cm="1">
        <f t="array" aca="1" ref="AK58" ca="1">_xlfn.IFS(Tab_NewTRADER[[#This Row],[Y]]&gt;Tab_NewTRADER[[#This Row],[A]],                 TEXT(MIN(Tab_NewTRADER[[#This Row],[L_Bn]],Tab_NewTRADER[[#This Row],[N]])*(Tab_NewTRADER[[#This Row],[M]]-Tab_NewTRADER[[#This Row],[A]])*Tab_NewTRADER[[#This Row],[Scale]]*ComFactor,"#,#0"), TRUE,0)</f>
        <v>39</v>
      </c>
      <c r="AL58" s="1700" cm="1">
        <f t="array" aca="1" ref="AL58" ca="1">_xlfn.IFS(Tab_NewTRADER[[#This Row],[M]]&gt;Tab_NewTRADER[[#This Row],[A]],                  Tab_NewTRADER[[#This Row],[N]]*(Tab_NewTRADER[[#This Row],[M]]-Tab_NewTRADER[[#This Row],[A]])*Tab_NewTRADER[[#This Row],[Scale]]*ComFactor, TRUE,0)</f>
        <v>39.359837655999996</v>
      </c>
      <c r="AM58" s="1592" t="str">
        <f ca="1">_xlfn.XLOOKUP(Tab_NewTRADER[[#This Row],[Show]],TabCalc[Ticker],TabCalc[Max_Bn])&amp;" x "&amp;TEXT(_xlfn.XLOOKUP(Tab_NewTRADER[[#This Row],[Show]],TabCalc[Ticker],TabCalc[Max_Bp]),"#,#0.00")</f>
        <v>10 x 11.09</v>
      </c>
      <c r="AN58" s="1650" t="str">
        <f ca="1">NewTrader!$V58</f>
        <v>MVEEOAN</v>
      </c>
      <c r="AO58" s="1651" t="str">
        <f ca="1">TEXT(_xlfn.XLOOKUP(Tab_NewTRADER[[#This Row],[ClickTick]],TabCalc[Ticker],TabCalc[NAfter]),"#,#0")&amp;"x"&amp;_xlfn.XLOOKUP(Tab_NewTRADER[[#This Row],[ClickTick]],TabCalc[Ticker],TabCalc[M])&amp;"           (A: "&amp;TEXT(-_xlfn.XLOOKUP(Tab_NewTRADER[[#This Row],[ClickTick]]&amp;2,Consolid!B$3:JZ$3,Consolid!B$4:JZ$4),"#,??0.00")&amp;")"</f>
        <v>10x15.035           (A:  11.09)</v>
      </c>
      <c r="AP58" s="1592" t="str">
        <f ca="1">_xlfn.XLOOKUP(Tab_NewTRADER[[#This Row],[Show]],TabCalc[Ticker],TabCalc[Min_Sn])&amp;" x "&amp;TEXT(_xlfn.XLOOKUP(Tab_NewTRADER[[#This Row],[Show]],TabCalc[Ticker],TabCalc[Min_Sp]),"#,#0.00")</f>
        <v>10 x 11.05</v>
      </c>
      <c r="AQ5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702" t="str" cm="1">
        <f t="array" aca="1" ref="AR58" ca="1">_xlfn.IFS(Tab_NewTRADER[[#This Row],[State]]="Reverse Buy",TEXT(-Tab_NewTRADER[[#This Row],[Buy_Back]],"#,#0")&amp;" / "&amp;TEXT(Tab_NewTRADER[[#This Row],[Rev_Buy]],"#,#0.0%"),TRUE,Tab_NewTRADER[[#This Row],[AMY]])</f>
        <v xml:space="preserve">  11.09 -  15.04 -  16.93</v>
      </c>
      <c r="AS58" s="1651"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99"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99" t="str" cm="1">
        <f t="array" aca="1" ref="AU58" ca="1">_xlfn.IFS(Tab_NewTRADER[[#This Row],[M]]&lt;Tab_NewTRADER[[#This Row],[A]],TEXT(Tab_NewTRADER[[#This Row],[N]]*Tab_NewTRADER[[#This Row],[M]]*Tab_NewTRADER[[#This Row],[Scale]]*Comm_Net,"#,#0")&amp;" @ "&amp;TEXT(Tab_NewTRADER[[#This Row],[M]],"#,#0.#0"),TRUE,"M: "&amp; Tab_NewTRADER[[#This Row],[M]])</f>
        <v>M: 15.035</v>
      </c>
      <c r="AV58" s="1703" cm="1">
        <f t="array" aca="1" ref="AV58" ca="1">-_xlfn.XLOOKUP(
    Tab_NewTRADER[[#This Row],[Show]] &amp; 2,
    TabConsolid[#Headers],
    INDEX(TabConsolid[], 1, 0)
)</f>
        <v>11.088756</v>
      </c>
      <c r="AW58" s="1704">
        <f ca="1">Tab_NewTRADER[[#This Row],[M]]*Tab_NewTRADER[[#This Row],[N]]*(1-Commission)*Tab_NewTRADER[[#This Row],[Scale]]</f>
        <v>149.95908999999997</v>
      </c>
      <c r="AX58" s="1705"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705"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706" t="str" cm="1">
        <f t="array" aca="1" ref="AZ58" ca="1">_xlfn.IFS(   Tab_NewTRADER[[#This Row],[State]]=SellMorePercentGain,                     MIN(Tab_NewTRADER[[#This Row],[L_Sn]],Tab_NewTRADER[[#This Row],[N]])*(Tab_NewTRADER[[#This Row],[M]]-Tab_NewTRADER[[#This Row],[L_Sp]])*(1-Commission)*Tab_NewTRADER[[#This Row],[Scale]],                    TRUE,"")</f>
        <v/>
      </c>
      <c r="BA58" s="1707">
        <f ca="1">_xlfn.XLOOKUP(NewTrader!$V58,TabCalc[Ticker],TabCalc[Ann%RevLB])</f>
        <v>0.39933694996986135</v>
      </c>
      <c r="BB58" s="1708">
        <f ca="1">_xlfn.XLOOKUP(NewTrader!$V58,TabCalc[Ticker],TabCalc[Up20])</f>
        <v>0</v>
      </c>
      <c r="BC58" s="1747"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706" t="str" cm="1">
        <f t="array" aca="1" ref="BD58" ca="1">_xlfn.IFS(         NewTrader!$AF58=MDown,NewTrader!$P58*NewTrader!$Y58*(-(NewTrader!$Q58+NewTrader!$Y58)/NewTrader!$Y58)*(1-Commission)*NewTrader!$A58,                               TRUE,"")</f>
        <v/>
      </c>
      <c r="BE58" s="1705" t="str" cm="1">
        <f t="array" aca="1" ref="BE58" ca="1">_xlfn.IFS(   NewTrader!$AF58=MUp,NewTrader!$BP58-Commission,        NewTrader!$AF58=MDown,(NewTrader!$X58-NewTrader!$Y58)/NewTrader!$Y58-Commission,                              TRUE,"")</f>
        <v/>
      </c>
      <c r="BF58" s="1706"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710" t="str" cm="1">
        <f t="array" aca="1" ref="BG58" ca="1">_xlfn.LET(_xlpm.SumChTxt,TEXT(_xlfn.XLOOKUP(NewTrader!$V58,ListTickers,Tab2SumChangePercent[AVGChan20]),"#0.0%"),
      _xlfn.IFS(NewTrader!$AF58=NoStock,_xlpm.SumChTxt,
      TRUE, IF(NewTrader!$AF58=SellMorePercentGain,             "SumChange "&amp;_xlpm.SumChTxt,                         "&lt;"&amp;INT(_xlfn.XLOOKUP(NewTrader!$V58,ListTickers,Tab2ReverseGL[Rev_GL19]))&amp;    "&lt;"&amp;INT(_xlfn.XLOOKUP(NewTrader!$V58,ListTickers,Tab2ReverseGL[Rev_GL18]))&amp;":      "&amp;_xlpm.SumChTxt)))</f>
        <v>&lt;-1&lt;-1:      -0.3%</v>
      </c>
      <c r="BH58" s="1711"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10x3.94</v>
      </c>
      <c r="BI58" s="1712" cm="1">
        <f t="array" aca="1" ref="BI58" ca="1">_xlfn.IFS(NewTrader!$AF58=Sale_Back,"",         NewTrader!$AF58=MDown, (NewTrader!$Y58-NewTrader!$X58)/NewTrader!$X58*ComFactor,             TRUE, IFERROR((NewTrader!$Y58-NewTrader!$X58)/NewTrader!$X58*ComFactor,""))</f>
        <v>0.35495268951720105</v>
      </c>
      <c r="BJ58" s="1664" cm="1">
        <f t="array" aca="1" ref="BJ58" ca="1">_xlfn.IFS(               NewTrader!$AF58=NoStock,(NewTrader!$BL58-NewTrader!$Y58)/NewTrader!$Y58-Commission,             NewTrader!$X58&lt;&gt;0,(NewTrader!$X58-NewTrader!$Y58)/NewTrader!$Y58-Commission)</f>
        <v>-0.26507050216162287</v>
      </c>
      <c r="BK58" s="1713">
        <f ca="1">_xlfn.XLOOKUP(NewTrader!$V58,TabCalc[Ticker],TabCalc[L_Sn])</f>
        <v>2990</v>
      </c>
      <c r="BL58" s="1693">
        <f ca="1">_xlfn.XLOOKUP(NewTrader!$V58,TabCalc[Ticker],TabCalc[L_Sp])</f>
        <v>12.56</v>
      </c>
      <c r="BM58" s="1694">
        <f ca="1">-IFERROR((Tab_NewTRADER[[#This Row],[M]]-Tab_NewTRADER[[#This Row],[L_Sp]])/Tab_NewTRADER[[#This Row],[L_Sp]],0)</f>
        <v>-0.19705414012738851</v>
      </c>
      <c r="BN58" s="1714">
        <f ca="1">MIN(Tab_NewTRADER[[#This Row],[L_Sn]],Tab_NewTRADER[[#This Row],[N]])*(Tab_NewTRADER[[#This Row],[M]]-Tab_NewTRADER[[#This Row],[L_Sp]])*Comm_Net*Tab_NewTRADER[[#This Row],[Scale]]</f>
        <v>24.683174999999995</v>
      </c>
      <c r="BO58" s="1715">
        <f ca="1">Tab_NewTRADER[[#This Row],[L_Sn]]*(Tab_NewTRADER[[#This Row],[Agiotage]]-Tab_NewTRADER[[#This Row],[M]])/(Tab_NewTRADER[[#This Row],[L_Bn]]*Tab_NewTRADER[[#This Row],[M]])</f>
        <v>-0.49806560786047982</v>
      </c>
      <c r="BP58" s="1716">
        <f ca="1">IFERROR((Tab_NewTRADER[[#This Row],[M]]-Tab_NewTRADER[[#This Row],[A]])/Tab_NewTRADER[[#This Row],[A]],0)</f>
        <v>0.35587797224503814</v>
      </c>
      <c r="BQ58" s="1671" t="str">
        <f ca="1">TEXT(_xlfn.XLOOKUP(Tab_NewTRADER[[#This Row],[ClickTick]],TabCalc[Ticker],TabCalc[NAfter]),"#,#0")&amp;" : "&amp;TEXT(_xlfn.XLOOKUP(Tab_NewTRADER[[#This Row],[ClickTick]],TabCalc[Ticker],TabCalc[NAfter])*(Tab_NewTRADER[[#This Row],[M]]-Tab_NewTRADER[[#This Row],[A]])*(1-Commission)*Tab_NewTRADER[[#This Row],[Scale]],"#,#0$")</f>
        <v>10 : 39$</v>
      </c>
      <c r="BR58" s="262">
        <f ca="1">_xlfn.XLOOKUP(NewTrader!$V58,TabCalc[[#This Row],[Ticker]],TabCalc[[#This Row],[GL]])*(1-Commission)</f>
        <v>18108.928950713231</v>
      </c>
      <c r="BS58" s="262"/>
      <c r="BT58" s="1672" t="str">
        <f ca="1">Tab_NewTRADER[[#This Row],[Show]]&amp;": "&amp;_xlfn.XLOOKUP(Tab_NewTRADER[[#This Row],[Show]],TabCalc[Ticker],TabCalc[Pile?])</f>
        <v>MVEEOAN: Pile</v>
      </c>
      <c r="BU58" s="1717" t="s">
        <v>1930</v>
      </c>
      <c r="BV58" s="1674" t="str" cm="1">
        <f t="array" aca="1" ref="BV58" ca="1">_xlfn.TEXTJOIN("",,INDEX({"M","A","Y"}, _xlfn.SORTBY({1,2,3}, -CHOOSE({1,2,3}, Tab_NewTRADER[[#This Row],[M]], Tab_NewTRADER[[#This Row],[A]], Tab_NewTRADER[[#This Row],[Y]]))))</f>
        <v>YMA</v>
      </c>
      <c r="BW58" s="1675"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76">
        <f ca="1">Tab_NewTRADER[[#This Row],[L_Sn]]*Tab_NewTRADER[[#This Row],[L_Sp]]+Tab_NewTRADER[[#This Row],[SellMore]]*Tab_NewTRADER[[#This Row],[M]]</f>
        <v>37704.75</v>
      </c>
      <c r="BY58" s="1676">
        <f ca="1">INDEX(
  INDEX(TabConsolid[], , _xlfn.XMATCH(Tab_NewTRADER[[#This Row],[ClickTick]]&amp;1, TabConsolid[#Headers])),
  MATCH(
    -Tab_NewTRADER[[#This Row],[M]],
    INDEX(TabConsolid[], , _xlfn.XMATCH(Tab_NewTRADER[[#This Row],[ClickTick]]&amp;2, TabConsolid[#Headers])),
    -1
  )
)</f>
        <v>10</v>
      </c>
      <c r="BZ58" s="1676"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77">
        <f ca="1">Tab_NewTRADER[[#This Row],[ReBuy]]/(Tab_NewTRADER[[#This Row],[L_Sn]]+Tab_NewTRADER[[#This Row],[SellMore]])</f>
        <v>12.568250000000001</v>
      </c>
      <c r="CB58" s="1678">
        <f ca="1">((_xlfn.XLOOKUP(Tab_NewTRADER[[#This Row],[Show]],TabCalc[Ticker],TabCalc[NAfter])+Tab_NewTRADER[[#This Row],[L_Sn]])*(Tab_NewTRADER[[#This Row],[Agiotage]]-Tab_NewTRADER[[#This Row],[M]]))/(Tab_NewTRADER[[#This Row],[L_Sn]]*_xlfn.XLOOKUP(Tab_NewTRADER[[#This Row],[Show]],TabCalc[Ticker],TabCalc[NAfter]))</f>
        <v>-1.5077179836386803</v>
      </c>
      <c r="CC58" s="1677">
        <f ca="1">INDEX(Tab1Price[Price19], MATCH(Tab_NewTRADER[[#This Row],[Show]], Tab_NewTRADER[Show], 0))</f>
        <v>15.035</v>
      </c>
      <c r="CD58" s="1679">
        <f ca="1">_xlfn.XMATCH(Tab_NewTRADER[[#This Row],[Show]]&amp;1, TabConsolid[#Headers])</f>
        <v>170</v>
      </c>
      <c r="CE58" s="1678"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729" t="str" cm="1">
        <f t="array" aca="1" ref="CF58" ca="1">_xlfn.LET(
    _xlpm.FMT, _xlfn.LAMBDA(_xlpm.n, REPT(" ", 7 - LEN(TEXT(_xlpm.n,"0.00"))) &amp; TEXT(_xlpm.n,"0.00")),
    _xlpm.FMT(Tab_NewTRADER[[#This Row],[A]]) &amp; " -" &amp; _xlpm.FMT(Tab_NewTRADER[[#This Row],[M]]) &amp; " -" &amp; _xlpm.FMT(Tab_NewTRADER[[#This Row],[Y]])
)</f>
        <v xml:space="preserve">  11.09 -  15.04 -  16.93</v>
      </c>
      <c r="CG58" s="1730" t="str" cm="1">
        <f t="array" aca="1" ref="CG58" ca="1">_xlfn.LET(
    _xlpm.W, 7,
    _xlpm.FMT, _xlfn.LAMBDA(_xlpm.n, REPT(" ", _xlpm.W - LEN(TEXT(_xlpm.n,"0.00"))) &amp; TEXT(_xlpm.n,"0.00")),
    _xlpm.FMT(Tab_NewTRADER[[#This Row],[A]]) &amp; " * " &amp; _xlpm.FMT(Tab_NewTRADER[[#This Row],[M]]) &amp; " * " &amp; _xlpm.FMT(Tab_NewTRADER[[#This Row],[Y]])
)</f>
        <v xml:space="preserve">  11.09 *   15.04 *   16.93</v>
      </c>
      <c r="CH58" s="1843">
        <f>0</f>
        <v>0</v>
      </c>
      <c r="CI58" t="b">
        <f ca="1">IF(ABS(NewTrader!$Q58)&gt;=NewTrader!$Y58,"OK")</f>
        <v>0</v>
      </c>
    </row>
    <row r="59" spans="1:87" ht="23" hidden="1" thickBot="1">
      <c r="A59" s="1838">
        <f ca="1">IF(_xlfn.XLOOKUP(NewTrader!$V59,TabCalc[Ticker],TabCalc[Cur])="GBp",0.01,1)</f>
        <v>1</v>
      </c>
      <c r="B59" s="1620" t="str">
        <f ca="1">IFERROR(TRUNC(_xlfn.XLOOKUP(NewTrader!$V59,TabCalc[Ticker],ListLastBuyp),2)&amp;"x"&amp;_xlfn.XLOOKUP(NewTrader!$V59,TabCalc[Ticker],ListLastBuyn)&amp;"=    "&amp;IF(_xlfn.XLOOKUP(NewTrader!$V59,TabCalc[Ticker],ListReverseS)&gt;0,"+","")&amp;TEXT(_xlfn.XLOOKUP(NewTrader!$V59,TabCalc[Ticker],ListReverseS),"#,#0")&amp;" "&amp;#REF!,"")</f>
        <v/>
      </c>
      <c r="C59" s="1621" t="str">
        <f ca="1">_xlfn.XLOOKUP(NewTrader!$V59,TabCalc[Ticker],ListResale)&amp;" @ "&amp;TEXT((_xlfn.XLOOKUP(NewTrader!$V59,TabCalc[Ticker],TabCalc[L_Bp])+_xlfn.XLOOKUP(NewTrader!$V59,TabCalc[Ticker],TabCalc[M]))/_xlfn.XLOOKUP(NewTrader!$V59,TabCalc[Ticker],TabCalc[M]),"#0.0%")</f>
        <v>Resell @ 18.5%</v>
      </c>
      <c r="D59" s="1622"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1,698/32,000=27,011</v>
      </c>
      <c r="E59" s="1718" t="str">
        <f ca="1">IF(      AND(NewTrader!$X59&lt;NewTrader!$Y59,    _xlfn.XLOOKUP(NewTrader!$V59,TabCalc[Ticker],TabCalc[L_Sp])&gt;NewTrader!$Y59),"BUY  "&amp;TEXT(DesiredBuyGain/NewTrader!$A59/(_xlfn.XLOOKUP(NewTrader!$V59,TabCalc[Ticker],TabCalc[L_Sp])-NewTrader!$Y59),"#,##0"),"")</f>
        <v>BUY  52,083</v>
      </c>
      <c r="F59" s="1620" t="str">
        <f ca="1">TRUNC(TabCalc[[#This Row],[L_B1p]],2)&amp;"x"&amp;TabCalc[[#This Row],[L_B1n]]&amp;"=   "&amp;TEXT(TabCalc[[#This Row],[ReverseS1]],"#,#0")&amp;"$"</f>
        <v>-12.59x2000=   6,628$</v>
      </c>
      <c r="G59" s="1624" t="str">
        <f ca="1">IFERROR(TRUNC(_xlfn.XLOOKUP(NewTrader!$V59,TabCalc[Ticker],ListLastSalep),2)&amp;"x"&amp;_xlfn.XLOOKUP(NewTrader!$V59,TabCalc[Ticker],ListLastSalen)&amp;"=   "&amp;TEXT(-_xlfn.XLOOKUP(NewTrader!$V59,TabCalc[Ticker],ListReverseB),"#,#0")&amp;"$","")</f>
        <v>16x4000=   -384$</v>
      </c>
      <c r="H59" s="1625"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0.6% = 52,083</v>
      </c>
      <c r="I59" s="1620" t="str">
        <f ca="1">IFERROR(TRUNC(TabCalc[[#This Row],[L_S1p]],2)&amp;"x"&amp;TabCalc[[#This Row],[L_S1n]]&amp;"=   "&amp;TEXT(TabCalc[[#This Row],[ReverseB1]],"#,#0"),"")</f>
        <v>15.12x4000=   -3,136</v>
      </c>
      <c r="J59" s="1626">
        <f ca="1">_xlfn.XLOOKUP(NewTrader!$V59,TabCalc[Ticker],ListGravity)</f>
        <v>1.0311871227364184</v>
      </c>
      <c r="K59" s="1627" cm="1">
        <f t="array" aca="1" ref="K59" ca="1">IF(_xlfn.XLOOKUP(NewTrader!$V59,NewTrader!$V$3:$V$96,ListExtra_n)&gt;0,_xlfn.XLOOKUP(NewTrader!$V59,NewTrader!$V$3:$V$96,ListExtra_n),"")</f>
        <v>22000</v>
      </c>
      <c r="L59" s="1628">
        <f ca="1">IF(_xlfn.XLOOKUP(NewTrader!$V59,TabCalc[Ticker],ListExtra_n)&gt;0,_xlfn.XLOOKUP(NewTrader!$V59,TabCalc[Ticker],ListExtra_n)*NewTrader!$Y59*_xlfn.XLOOKUP(NewTrader!$V59,TabCalc[Ticker],ListScale),"")</f>
        <v>349888</v>
      </c>
      <c r="M59" s="1629">
        <f ca="1">_xlfn.XLOOKUP(NewTrader!$V59,TabCalc[Ticker],TabCalc[Agiotage])</f>
        <v>1.121580663028575</v>
      </c>
      <c r="N59" s="1630" cm="1">
        <f t="array" aca="1" ref="N59" ca="1">_xlfn.XLOOKUP(NewTrader!$V59,ListTickers,Tab2RSIConventional[RSIConv20])</f>
        <v>57</v>
      </c>
      <c r="O59" s="1631" t="str">
        <f ca="1">TEXT(_xlfn.XLOOKUP(NewTrader!$V59,TabCalc[Ticker],TabCalc[Nbegin]),"#,#0")&amp;": "&amp;_xlfn.XLOOKUP(NewTrader!$V59,TabCalc[Ticker],TabCalc[Pile?])</f>
        <v xml:space="preserve">10,000: </v>
      </c>
      <c r="P59" s="1632">
        <f ca="1">_xlfn.XLOOKUP(NewTrader!$V59,TabCalc[Ticker],TabCalc[L_Bn])</f>
        <v>8000</v>
      </c>
      <c r="Q59" s="1727">
        <f ca="1">_xlfn.XLOOKUP(NewTrader!$V59,TabCalc[Ticker],TabCalc[L_Bp])</f>
        <v>-12.96</v>
      </c>
      <c r="R59" s="1634">
        <f ca="1">(NewTrader!$Y59+NewTrader!$Q59)/ABS(NewTrader!$Q59)</f>
        <v>0.22716049382716041</v>
      </c>
      <c r="S59" s="259">
        <f ca="1">INT(_xlfn.XLOOKUP(NewTrader!$V59,TabCalc[Ticker],TabCalc[Rev(MinStock)])*Comm_Net)</f>
        <v>23424</v>
      </c>
      <c r="T59" s="1635">
        <f ca="1">_xlfn.XLOOKUP(NewTrader!$V59,TabCalc[Ticker],TabCalc[Agiotage])</f>
        <v>1.121580663028575</v>
      </c>
      <c r="U59" s="1719"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-3,072/-3,072=&gt;-0.7% / -0.7%</v>
      </c>
      <c r="V59" s="1578" t="str">
        <f ca="1">SORTING!B59</f>
        <v>MVEENI</v>
      </c>
      <c r="W59" s="1637">
        <f ca="1">_xlfn.XLOOKUP(NewTrader!$V59,TabCalc[Ticker],TabCalc[Y])</f>
        <v>16.399999999999999</v>
      </c>
      <c r="X59" s="1639">
        <f ca="1">-_xlfn.XLOOKUP(NewTrader!$V59&amp;2,Consolid!B$3:JZ$3,Consolid!B$4:JZ$4)</f>
        <v>13.362226694999999</v>
      </c>
      <c r="Y59" s="1639">
        <f ca="1">_xlfn.XLOOKUP(NewTrader!$V59,TabCalc[Ticker],TabCalc[M])</f>
        <v>15.904</v>
      </c>
      <c r="Z59" s="1640">
        <f ca="1">_xlfn.XLOOKUP(NewTrader!$V59,[1]!RTData[Ticker_Symbol],[1]!RTData[YTChange])</f>
        <v>0.11488783140720582</v>
      </c>
      <c r="AA59" s="1640" cm="1">
        <f t="array" aca="1" ref="AA59" ca="1">_xlfn.XLOOKUP(NewTrader!$V59,ListTickers,Tab1ChangePercent[Change%19])</f>
        <v>-6.8689999999999992E-3</v>
      </c>
      <c r="AB59" s="1641">
        <f ca="1">_xlfn.XLOOKUP(NewTrader!$V59,TabCalc[Ticker],TabCalc[NAfter])</f>
        <v>32000</v>
      </c>
      <c r="AC59" s="1641">
        <f ca="1">_xlfn.XLOOKUP(NewTrader!$V59,TabCalc[Ticker],TabCalc[Nbegin])</f>
        <v>10000</v>
      </c>
      <c r="AD59" s="1642" t="str">
        <f ca="1">_xlfn.LET(_xlpm.PILE,_xlfn.XLOOKUP(NewTrader!$V59,TabCalc[Ticker],TabCalc[Pile?]),                    _xlpm.GL,_xlfn.XLOOKUP(NewTrader!$V59,TabCalc[Ticker],TabCalc[GL]),                        _xlpm.GLK,_xlfn.XLOOKUP(NewTrader!$V59,TabCalc[Ticker],TabCalc[GL])/1000,                             _xlpm.MVal,_xlfn.XLOOKUP(NewTrader!$V59,TabCalc[Ticker],TabCalc[M_V])/1000,                   _xlpm.PILE&amp;" "&amp;IF(_xlpm.GL&lt;0,TEXT(_xlpm.GLK,"#,#0")&amp;"K /"&amp;TEXT(_xlpm.MVal,"#,#0")&amp;" K$","^"&amp;TEXT(_xlpm.GLK,"#,#0")&amp;"K / "&amp;TEXT(_xlpm.MVal,"#,#0")&amp;" K$"))</f>
        <v xml:space="preserve"> ^70K / 508 K$</v>
      </c>
      <c r="AE59" s="1643" t="str">
        <f ca="1">_xlfn.XLOOKUP(NewTrader!$V59,[1]!RTData[Ticker_Symbol],[1]!RTData[Currency])</f>
        <v>EUR</v>
      </c>
      <c r="AF59" s="1721"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Reverse Buy</v>
      </c>
      <c r="AG5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698" t="str" cm="1">
        <f t="array" aca="1" ref="AH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15.90 -  16.40</v>
      </c>
      <c r="AI5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59" s="1651" t="str" cm="1">
        <f t="array" aca="1" ref="AJ59" ca="1">_xlfn.IFS(Tab_NewTRADER[[#This Row],[State]]="Sell More",TEXT(MIN(Tab_NewTRADER[[#This Row],[N]],Tab_NewTRADER[[#This Row],[L_Bn]])*(Tab_NewTRADER[[#This Row],[M]]-Tab_NewTRADER[[#This Row],[L_Sp]])*Tab_NewTRADER[[#This Row],[Scale]]*ComFactor,"#,#0"), TRUE,"M= "&amp;TEXT(Tab_NewTRADER[[#This Row],[M]],"#,#0.00"))</f>
        <v>M= 15.90</v>
      </c>
      <c r="AK59" s="1699" t="str" cm="1">
        <f t="array" aca="1" ref="AK59" ca="1">_xlfn.IFS(Tab_NewTRADER[[#This Row],[Y]]&gt;Tab_NewTRADER[[#This Row],[A]],                 TEXT(MIN(Tab_NewTRADER[[#This Row],[L_Bn]],Tab_NewTRADER[[#This Row],[N]])*(Tab_NewTRADER[[#This Row],[M]]-Tab_NewTRADER[[#This Row],[A]])*Tab_NewTRADER[[#This Row],[Scale]]*ComFactor,"#,#0"), TRUE,0)</f>
        <v>20,281</v>
      </c>
      <c r="AL59" s="1700" cm="1">
        <f t="array" aca="1" ref="AL59" ca="1">_xlfn.IFS(Tab_NewTRADER[[#This Row],[M]]&gt;Tab_NewTRADER[[#This Row],[A]],                  Tab_NewTRADER[[#This Row],[N]]*(Tab_NewTRADER[[#This Row],[M]]-Tab_NewTRADER[[#This Row],[A]])*Tab_NewTRADER[[#This Row],[Scale]]*ComFactor, TRUE,0)</f>
        <v>81125.270221024039</v>
      </c>
      <c r="AM59" s="1592" t="str">
        <f ca="1">_xlfn.XLOOKUP(Tab_NewTRADER[[#This Row],[Show]],TabCalc[Ticker],TabCalc[Max_Bn])&amp;" x "&amp;TEXT(_xlfn.XLOOKUP(Tab_NewTRADER[[#This Row],[Show]],TabCalc[Ticker],TabCalc[Max_Bp]),"#,#0.00")</f>
        <v>2000 x 14.75</v>
      </c>
      <c r="AN59" s="1650" t="str">
        <f ca="1">NewTrader!$V59</f>
        <v>MVEENI</v>
      </c>
      <c r="AO59" s="1651" t="str">
        <f ca="1">TEXT(_xlfn.XLOOKUP(Tab_NewTRADER[[#This Row],[ClickTick]],TabCalc[Ticker],TabCalc[NAfter]),"#,#0")&amp;"x"&amp;_xlfn.XLOOKUP(Tab_NewTRADER[[#This Row],[ClickTick]],TabCalc[Ticker],TabCalc[M])&amp;"           (A: "&amp;TEXT(-_xlfn.XLOOKUP(Tab_NewTRADER[[#This Row],[ClickTick]]&amp;2,Consolid!B$3:JZ$3,Consolid!B$4:JZ$4),"#,??0.00")&amp;")"</f>
        <v>32,000x15.904           (A:  13.36)</v>
      </c>
      <c r="AP59" s="1592" t="str">
        <f ca="1">_xlfn.XLOOKUP(Tab_NewTRADER[[#This Row],[Show]],TabCalc[Ticker],TabCalc[Min_Sn])&amp;" x "&amp;TEXT(_xlfn.XLOOKUP(Tab_NewTRADER[[#This Row],[Show]],TabCalc[Ticker],TabCalc[Min_Sp]),"#,#0.00")</f>
        <v>2000 x 14.26</v>
      </c>
      <c r="AQ5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702" t="str" cm="1">
        <f t="array" aca="1" ref="AR59" ca="1">_xlfn.IFS(Tab_NewTRADER[[#This Row],[State]]="Reverse Buy",TEXT(-Tab_NewTRADER[[#This Row],[Buy_Back]],"#,#0")&amp;" / "&amp;TEXT(Tab_NewTRADER[[#This Row],[Rev_Buy]],"#,#0.0%"),TRUE,Tab_NewTRADER[[#This Row],[AMY]])</f>
        <v>383 / 0.6%</v>
      </c>
      <c r="AS59" s="1651"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99"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99" t="str" cm="1">
        <f t="array" aca="1" ref="AU59" ca="1">_xlfn.IFS(Tab_NewTRADER[[#This Row],[M]]&lt;Tab_NewTRADER[[#This Row],[A]],TEXT(Tab_NewTRADER[[#This Row],[N]]*Tab_NewTRADER[[#This Row],[M]]*Tab_NewTRADER[[#This Row],[Scale]]*Comm_Net,"#,#0")&amp;" @ "&amp;TEXT(Tab_NewTRADER[[#This Row],[M]],"#,#0.#0"),TRUE,"M: "&amp; Tab_NewTRADER[[#This Row],[M]])</f>
        <v>M: 15.904</v>
      </c>
      <c r="AV59" s="1740" cm="1">
        <f t="array" aca="1" ref="AV59" ca="1">-_xlfn.XLOOKUP(
    Tab_NewTRADER[[#This Row],[Show]] &amp; 2,
    TabConsolid[#Headers],
    INDEX(TabConsolid[], 1, 0)
)</f>
        <v>13.362226694999999</v>
      </c>
      <c r="AW59" s="1741">
        <f ca="1">Tab_NewTRADER[[#This Row],[M]]*Tab_NewTRADER[[#This Row],[N]]*(1-Commission)*Tab_NewTRADER[[#This Row],[Scale]]</f>
        <v>507604.78719999996</v>
      </c>
      <c r="AX59" s="1705"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705"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706" t="str" cm="1">
        <f t="array" aca="1" ref="AZ59" ca="1">_xlfn.IFS(   Tab_NewTRADER[[#This Row],[State]]=SellMorePercentGain,                     MIN(Tab_NewTRADER[[#This Row],[L_Sn]],Tab_NewTRADER[[#This Row],[N]])*(Tab_NewTRADER[[#This Row],[M]]-Tab_NewTRADER[[#This Row],[L_Sp]])*(1-Commission)*Tab_NewTRADER[[#This Row],[Scale]],                    TRUE,"")</f>
        <v/>
      </c>
      <c r="BA59" s="1707">
        <f ca="1">_xlfn.XLOOKUP(NewTrader!$V59,TabCalc[Ticker],TabCalc[Ann%RevLB])</f>
        <v>0.4193732193732192</v>
      </c>
      <c r="BB59" s="1708">
        <f ca="1">_xlfn.XLOOKUP(NewTrader!$V59,TabCalc[Ticker],TabCalc[Up20])</f>
        <v>0</v>
      </c>
      <c r="BC59" s="1742"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706" t="str" cm="1">
        <f t="array" aca="1" ref="BD59" ca="1">_xlfn.IFS(         NewTrader!$AF59=MDown,NewTrader!$P59*NewTrader!$Y59*(-(NewTrader!$Q59+NewTrader!$Y59)/NewTrader!$Y59)*(1-Commission)*NewTrader!$A59,                               TRUE,"")</f>
        <v/>
      </c>
      <c r="BE59" s="1705" t="str" cm="1">
        <f t="array" aca="1" ref="BE59" ca="1">_xlfn.IFS(   NewTrader!$AF59=MUp,NewTrader!$BP59-Commission,        NewTrader!$AF59=MDown,(NewTrader!$X59-NewTrader!$Y59)/NewTrader!$Y59-Commission,                              TRUE,"")</f>
        <v/>
      </c>
      <c r="BF59" s="1706"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710" t="str" cm="1">
        <f t="array" aca="1" ref="BG59" ca="1">_xlfn.LET(_xlpm.SumChTxt,TEXT(_xlfn.XLOOKUP(NewTrader!$V59,ListTickers,Tab2SumChangePercent[AVGChan20]),"#0.0%"),
      _xlfn.IFS(NewTrader!$AF59=NoStock,_xlpm.SumChTxt,
      TRUE, IF(NewTrader!$AF59=SellMorePercentGain,             "SumChange "&amp;_xlpm.SumChTxt,                         "&lt;"&amp;INT(_xlfn.XLOOKUP(NewTrader!$V59,ListTickers,Tab2ReverseGL[Rev_GL19]))&amp;    "&lt;"&amp;INT(_xlfn.XLOOKUP(NewTrader!$V59,ListTickers,Tab2ReverseGL[Rev_GL18]))&amp;":      "&amp;_xlpm.SumChTxt)))</f>
        <v>&lt;0&lt;0:      -0.2%</v>
      </c>
      <c r="BH59" s="1711"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M&lt;L_Sp</v>
      </c>
      <c r="BI59" s="1712" cm="1">
        <f t="array" aca="1" ref="BI59" ca="1">_xlfn.IFS(NewTrader!$AF59=Sale_Back,"",         NewTrader!$AF59=MDown, (NewTrader!$Y59-NewTrader!$X59)/NewTrader!$X59*ComFactor,             TRUE, IFERROR((NewTrader!$Y59-NewTrader!$X59)/NewTrader!$X59*ComFactor,""))</f>
        <v>0.18972621496951797</v>
      </c>
      <c r="BJ59" s="1664" cm="1">
        <f t="array" aca="1" ref="BJ59" ca="1">_xlfn.IFS(               NewTrader!$AF59=NoStock,(NewTrader!$BL59-NewTrader!$Y59)/NewTrader!$Y59-Commission,             NewTrader!$X59&lt;&gt;0,(NewTrader!$X59-NewTrader!$Y59)/NewTrader!$Y59-Commission)</f>
        <v>-0.16241975006287734</v>
      </c>
      <c r="BK59" s="1726">
        <f ca="1">_xlfn.XLOOKUP(NewTrader!$V59,TabCalc[Ticker],TabCalc[L_Sn])</f>
        <v>4000</v>
      </c>
      <c r="BL59" s="1727">
        <f ca="1">_xlfn.XLOOKUP(NewTrader!$V59,TabCalc[Ticker],TabCalc[L_Sp])</f>
        <v>16</v>
      </c>
      <c r="BM59" s="1634">
        <f ca="1">-IFERROR((Tab_NewTRADER[[#This Row],[M]]-Tab_NewTRADER[[#This Row],[L_Sp]])/Tab_NewTRADER[[#This Row],[L_Sp]],0)</f>
        <v>6.0000000000000053E-3</v>
      </c>
      <c r="BN59" s="1728">
        <f ca="1">MIN(Tab_NewTRADER[[#This Row],[L_Sn]],Tab_NewTRADER[[#This Row],[N]])*(Tab_NewTRADER[[#This Row],[M]]-Tab_NewTRADER[[#This Row],[L_Sp]])*Comm_Net*Tab_NewTRADER[[#This Row],[Scale]]</f>
        <v>-382.96320000000031</v>
      </c>
      <c r="BO59" s="1715">
        <f ca="1">Tab_NewTRADER[[#This Row],[L_Sn]]*(Tab_NewTRADER[[#This Row],[Agiotage]]-Tab_NewTRADER[[#This Row],[M]])/(Tab_NewTRADER[[#This Row],[L_Bn]]*Tab_NewTRADER[[#This Row],[M]])</f>
        <v>-0.46473903851142562</v>
      </c>
      <c r="BP59" s="1670">
        <f ca="1">IFERROR((Tab_NewTRADER[[#This Row],[M]]-Tab_NewTRADER[[#This Row],[A]])/Tab_NewTRADER[[#This Row],[A]],0)</f>
        <v>0.1902207890209725</v>
      </c>
      <c r="BQ59" s="1671" t="str">
        <f ca="1">TEXT(_xlfn.XLOOKUP(Tab_NewTRADER[[#This Row],[ClickTick]],TabCalc[Ticker],TabCalc[NAfter]),"#,#0")&amp;" : "&amp;TEXT(_xlfn.XLOOKUP(Tab_NewTRADER[[#This Row],[ClickTick]],TabCalc[Ticker],TabCalc[NAfter])*(Tab_NewTRADER[[#This Row],[M]]-Tab_NewTRADER[[#This Row],[A]])*(1-Commission)*Tab_NewTRADER[[#This Row],[Scale]],"#,#0$")</f>
        <v>32,000 : 81,125$</v>
      </c>
      <c r="BR59" s="259">
        <f ca="1">_xlfn.XLOOKUP(NewTrader!$V59,TabCalc[[#This Row],[Ticker]],TabCalc[[#This Row],[GL]])*(1-Commission)</f>
        <v>70051.762929386779</v>
      </c>
      <c r="BS59" s="259"/>
      <c r="BT59" s="1672" t="str">
        <f ca="1">Tab_NewTRADER[[#This Row],[Show]]&amp;": "&amp;_xlfn.XLOOKUP(Tab_NewTRADER[[#This Row],[Show]],TabCalc[Ticker],TabCalc[Pile?])</f>
        <v xml:space="preserve">MVEENI: </v>
      </c>
      <c r="BU59" s="1717" t="s">
        <v>1931</v>
      </c>
      <c r="BV59" s="1674" t="str" cm="1">
        <f t="array" aca="1" ref="BV59" ca="1">_xlfn.TEXTJOIN("",,INDEX({"M","A","Y"}, _xlfn.SORTBY({1,2,3}, -CHOOSE({1,2,3}, Tab_NewTRADER[[#This Row],[M]], Tab_NewTRADER[[#This Row],[A]], Tab_NewTRADER[[#This Row],[Y]]))))</f>
        <v>YMA</v>
      </c>
      <c r="BW59" s="1675"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76">
        <f ca="1">Tab_NewTRADER[[#This Row],[L_Sn]]*Tab_NewTRADER[[#This Row],[L_Sp]]+Tab_NewTRADER[[#This Row],[SellMore]]*Tab_NewTRADER[[#This Row],[M]]</f>
        <v>95808</v>
      </c>
      <c r="BY59" s="1676">
        <f ca="1">INDEX(
  INDEX(TabConsolid[], , _xlfn.XMATCH(Tab_NewTRADER[[#This Row],[ClickTick]]&amp;1, TabConsolid[#Headers])),
  MATCH(
    -Tab_NewTRADER[[#This Row],[M]],
    INDEX(TabConsolid[], , _xlfn.XMATCH(Tab_NewTRADER[[#This Row],[ClickTick]]&amp;2, TabConsolid[#Headers])),
    -1
  )
)</f>
        <v>2000</v>
      </c>
      <c r="BZ59" s="1676"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77">
        <f ca="1">Tab_NewTRADER[[#This Row],[ReBuy]]/(Tab_NewTRADER[[#This Row],[L_Sn]]+Tab_NewTRADER[[#This Row],[SellMore]])</f>
        <v>15.968</v>
      </c>
      <c r="CB59" s="1678">
        <f ca="1">((_xlfn.XLOOKUP(Tab_NewTRADER[[#This Row],[Show]],TabCalc[Ticker],TabCalc[NAfter])+Tab_NewTRADER[[#This Row],[L_Sn]])*(Tab_NewTRADER[[#This Row],[Agiotage]]-Tab_NewTRADER[[#This Row],[M]]))/(Tab_NewTRADER[[#This Row],[L_Sn]]*_xlfn.XLOOKUP(Tab_NewTRADER[[#This Row],[Show]],TabCalc[Ticker],TabCalc[NAfter]))</f>
        <v>-4.1575554385232137E-3</v>
      </c>
      <c r="CC59" s="1677">
        <f ca="1">INDEX(Tab1Price[Price19], MATCH(Tab_NewTRADER[[#This Row],[Show]], Tab_NewTRADER[Show], 0))</f>
        <v>15.904</v>
      </c>
      <c r="CD59" s="1679">
        <f ca="1">_xlfn.XMATCH(Tab_NewTRADER[[#This Row],[Show]]&amp;1, TabConsolid[#Headers])</f>
        <v>173</v>
      </c>
      <c r="CE59" s="1678"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9" s="1729" t="str" cm="1">
        <f t="array" aca="1" ref="CF59" ca="1">_xlfn.LET(
    _xlpm.FMT, _xlfn.LAMBDA(_xlpm.n, REPT(" ", 7 - LEN(TEXT(_xlpm.n,"0.00"))) &amp; TEXT(_xlpm.n,"0.00")),
    _xlpm.FMT(Tab_NewTRADER[[#This Row],[A]]) &amp; " -" &amp; _xlpm.FMT(Tab_NewTRADER[[#This Row],[M]]) &amp; " -" &amp; _xlpm.FMT(Tab_NewTRADER[[#This Row],[Y]])
)</f>
        <v xml:space="preserve">  13.36 -  15.90 -  16.40</v>
      </c>
      <c r="CG59" s="1730" t="str" cm="1">
        <f t="array" aca="1" ref="CG59" ca="1">_xlfn.LET(
    _xlpm.W, 7,
    _xlpm.FMT, _xlfn.LAMBDA(_xlpm.n, REPT(" ", _xlpm.W - LEN(TEXT(_xlpm.n,"0.00"))) &amp; TEXT(_xlpm.n,"0.00")),
    _xlpm.FMT(Tab_NewTRADER[[#This Row],[A]]) &amp; " * " &amp; _xlpm.FMT(Tab_NewTRADER[[#This Row],[M]]) &amp; " * " &amp; _xlpm.FMT(Tab_NewTRADER[[#This Row],[Y]])
)</f>
        <v xml:space="preserve">  13.36 *   15.90 *   16.40</v>
      </c>
      <c r="CH59" s="1843">
        <f>0</f>
        <v>0</v>
      </c>
      <c r="CI59" t="b">
        <f ca="1">IF(ABS(NewTrader!$Q59)&gt;=NewTrader!$Y59,"OK")</f>
        <v>0</v>
      </c>
    </row>
    <row r="60" spans="1:87" ht="23" hidden="1" thickBot="1">
      <c r="A60" s="1839">
        <f ca="1">IF(_xlfn.XLOOKUP(NewTrader!$V60,TabCalc[Ticker],TabCalc[Cur])="GBp",0.01,1)</f>
        <v>1</v>
      </c>
      <c r="B60" s="1681" t="str">
        <f ca="1">IFERROR(TRUNC(_xlfn.XLOOKUP(NewTrader!$V60,TabCalc[Ticker],ListLastBuyp),2)&amp;"x"&amp;_xlfn.XLOOKUP(NewTrader!$V60,TabCalc[Ticker],ListLastBuyn)&amp;"=    "&amp;IF(_xlfn.XLOOKUP(NewTrader!$V60,TabCalc[Ticker],ListReverseS)&gt;0,"+","")&amp;TEXT(_xlfn.XLOOKUP(NewTrader!$V60,TabCalc[Ticker],ListReverseS),"#,#0")&amp;" "&amp;#REF!,"")</f>
        <v/>
      </c>
      <c r="C60" s="1682" t="str">
        <f ca="1">_xlfn.XLOOKUP(NewTrader!$V60,TabCalc[Ticker],ListResale)&amp;" @ "&amp;TEXT((_xlfn.XLOOKUP(NewTrader!$V60,TabCalc[Ticker],TabCalc[L_Bp])+_xlfn.XLOOKUP(NewTrader!$V60,TabCalc[Ticker],TabCalc[M]))/_xlfn.XLOOKUP(NewTrader!$V60,TabCalc[Ticker],TabCalc[M]),"#0.0%")</f>
        <v>B_more @ -754.9%</v>
      </c>
      <c r="D60" s="1683"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84" t="str">
        <f ca="1">IF(      AND(NewTrader!$X60&lt;NewTrader!$Y60,    _xlfn.XLOOKUP(NewTrader!$V60,TabCalc[Ticker],TabCalc[L_Sp])&gt;NewTrader!$Y60),"BUY  "&amp;TEXT(DesiredBuyGain/NewTrader!$A60/(_xlfn.XLOOKUP(NewTrader!$V60,TabCalc[Ticker],TabCalc[L_Sp])-NewTrader!$Y60),"#,##0"),"")</f>
        <v/>
      </c>
      <c r="F60" s="1681" t="str">
        <f ca="1">TRUNC(TabCalc[[#This Row],[L_B1p]],2)&amp;"x"&amp;TabCalc[[#This Row],[L_B1n]]&amp;"=   "&amp;TEXT(TabCalc[[#This Row],[ReverseS1]],"#,#0")&amp;"$"</f>
        <v>-6.93x2000=   -13,458$</v>
      </c>
      <c r="G60" s="1685" t="str">
        <f ca="1">IFERROR(TRUNC(_xlfn.XLOOKUP(NewTrader!$V60,TabCalc[Ticker],ListLastSalep),2)&amp;"x"&amp;_xlfn.XLOOKUP(NewTrader!$V60,TabCalc[Ticker],ListLastSalen)&amp;"=   "&amp;TEXT(-_xlfn.XLOOKUP(NewTrader!$V60,TabCalc[Ticker],ListReverseB),"#,#0")&amp;"$","")</f>
        <v>0x0=   0$</v>
      </c>
      <c r="H60" s="1686"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81" t="str">
        <f ca="1">IFERROR(TRUNC(TabCalc[[#This Row],[L_S1p]],2)&amp;"x"&amp;TabCalc[[#This Row],[L_S1n]]&amp;"=   "&amp;TEXT(TabCalc[[#This Row],[ReverseB1]],"#,#0"),"")</f>
        <v>0x0=   0</v>
      </c>
      <c r="J60" s="1687">
        <f ca="1">_xlfn.XLOOKUP(NewTrader!$V60,TabCalc[Ticker],ListGravity)</f>
        <v>0</v>
      </c>
      <c r="K60" s="1688" cm="1">
        <f t="array" aca="1" ref="K60" ca="1">IF(_xlfn.XLOOKUP(NewTrader!$V60,NewTrader!$V$3:$V$96,ListExtra_n)&gt;0,_xlfn.XLOOKUP(NewTrader!$V60,NewTrader!$V$3:$V$96,ListExtra_n),"")</f>
        <v>10000</v>
      </c>
      <c r="L60" s="1689">
        <f ca="1">IF(_xlfn.XLOOKUP(NewTrader!$V60,TabCalc[Ticker],ListExtra_n)&gt;0,_xlfn.XLOOKUP(NewTrader!$V60,TabCalc[Ticker],ListExtra_n)*NewTrader!$Y60*_xlfn.XLOOKUP(NewTrader!$V60,TabCalc[Ticker],ListScale),"")</f>
        <v>2012</v>
      </c>
      <c r="M60" s="1690">
        <f ca="1">_xlfn.XLOOKUP(NewTrader!$V60,TabCalc[Ticker],TabCalc[Agiotage])</f>
        <v>1.8522760022071003</v>
      </c>
      <c r="N60" s="1691" t="e" cm="1">
        <f t="array" aca="1" ref="N60" ca="1">_xlfn.XLOOKUP(NewTrader!$V60,ListTickers,Tab2RSIConventional[RSIConv20])</f>
        <v>#DIV/0!</v>
      </c>
      <c r="O60" s="1631" t="str">
        <f ca="1">TEXT(_xlfn.XLOOKUP(NewTrader!$V60,TabCalc[Ticker],TabCalc[Nbegin]),"#,#0")&amp;": "&amp;_xlfn.XLOOKUP(NewTrader!$V60,TabCalc[Ticker],TabCalc[Pile?])</f>
        <v>2,000: Pile</v>
      </c>
      <c r="P60" s="1692">
        <f ca="1">_xlfn.XLOOKUP(NewTrader!$V60,TabCalc[Ticker],TabCalc[L_Bn])</f>
        <v>10000</v>
      </c>
      <c r="Q60" s="1731">
        <f ca="1">_xlfn.XLOOKUP(NewTrader!$V60,TabCalc[Ticker],TabCalc[L_Bp])</f>
        <v>-1.72</v>
      </c>
      <c r="R60" s="1694">
        <f ca="1">(NewTrader!$Y60+NewTrader!$Q60)/ABS(NewTrader!$Q60)</f>
        <v>-0.88302325581395347</v>
      </c>
      <c r="S60" s="262">
        <f ca="1">INT(_xlfn.XLOOKUP(NewTrader!$V60,TabCalc[Ticker],TabCalc[Rev(MinStock)])*Comm_Net)</f>
        <v>-15107</v>
      </c>
      <c r="T60" s="1635">
        <f ca="1">_xlfn.XLOOKUP(NewTrader!$V60,TabCalc[Ticker],TabCalc[Agiotage])</f>
        <v>1.8522760022071003</v>
      </c>
      <c r="U60" s="1695"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78" t="str">
        <f ca="1">SORTING!B60</f>
        <v>MVEEPIX</v>
      </c>
      <c r="W60" s="1637">
        <f ca="1">_xlfn.XLOOKUP(NewTrader!$V60,TabCalc[Ticker],TabCalc[Y])</f>
        <v>0</v>
      </c>
      <c r="X60" s="1639">
        <f ca="1">-_xlfn.XLOOKUP(NewTrader!$V60&amp;2,Consolid!B$3:JZ$3,Consolid!B$4:JZ$4)</f>
        <v>2.5950629999999997</v>
      </c>
      <c r="Y60" s="1639">
        <f ca="1">_xlfn.XLOOKUP(NewTrader!$V60,TabCalc[Ticker],TabCalc[M])</f>
        <v>0.20119999999999999</v>
      </c>
      <c r="Z60" s="1640">
        <f ca="1">_xlfn.XLOOKUP(NewTrader!$V60,[1]!RTData[Ticker_Symbol],[1]!RTData[YTChange])</f>
        <v>0</v>
      </c>
      <c r="AA60" s="1640" cm="1">
        <f t="array" aca="1" ref="AA60" ca="1">_xlfn.XLOOKUP(NewTrader!$V60,ListTickers,Tab1ChangePercent[Change%19])</f>
        <v>0</v>
      </c>
      <c r="AB60" s="1641">
        <f ca="1">_xlfn.XLOOKUP(NewTrader!$V60,TabCalc[Ticker],TabCalc[NAfter])</f>
        <v>12000</v>
      </c>
      <c r="AC60" s="1641">
        <f ca="1">_xlfn.XLOOKUP(NewTrader!$V60,TabCalc[Ticker],TabCalc[Nbegin])</f>
        <v>2000</v>
      </c>
      <c r="AD60" s="1642" t="str">
        <f ca="1">_xlfn.LET(_xlpm.PILE,_xlfn.XLOOKUP(NewTrader!$V60,TabCalc[Ticker],TabCalc[Pile?]),                    _xlpm.GL,_xlfn.XLOOKUP(NewTrader!$V60,TabCalc[Ticker],TabCalc[GL]),                        _xlpm.GLK,_xlfn.XLOOKUP(NewTrader!$V60,TabCalc[Ticker],TabCalc[GL])/1000,                             _xlpm.MVal,_xlfn.XLOOKUP(NewTrader!$V60,TabCalc[Ticker],TabCalc[M_V])/1000,                   _xlpm.PILE&amp;" "&amp;IF(_xlpm.GL&lt;0,TEXT(_xlpm.GLK,"#,#0")&amp;"K /"&amp;TEXT(_xlpm.MVal,"#,#0")&amp;" K$","^"&amp;TEXT(_xlpm.GLK,"#,#0")&amp;"K / "&amp;TEXT(_xlpm.MVal,"#,#0")&amp;" K$"))</f>
        <v>Pile -29K /2 K$</v>
      </c>
      <c r="AE60" s="1720" t="str">
        <f ca="1">_xlfn.XLOOKUP(NewTrader!$V60,[1]!RTData[Ticker_Symbol],[1]!RTData[Currency])</f>
        <v>USD</v>
      </c>
      <c r="AF60" s="1721"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698" t="str" cm="1">
        <f t="array" aca="1" ref="AH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51" t="str" cm="1">
        <f t="array" aca="1" ref="AJ60" ca="1">_xlfn.IFS(Tab_NewTRADER[[#This Row],[State]]="Sell More",TEXT(MIN(Tab_NewTRADER[[#This Row],[N]],Tab_NewTRADER[[#This Row],[L_Bn]])*(Tab_NewTRADER[[#This Row],[M]]-Tab_NewTRADER[[#This Row],[L_Sp]])*Tab_NewTRADER[[#This Row],[Scale]]*ComFactor,"#,#0"), TRUE,"M= "&amp;TEXT(Tab_NewTRADER[[#This Row],[M]],"#,#0.00"))</f>
        <v>M= 0.20</v>
      </c>
      <c r="AK60" s="1699" cm="1">
        <f t="array" aca="1" ref="AK60" ca="1">_xlfn.IFS(Tab_NewTRADER[[#This Row],[Y]]&gt;Tab_NewTRADER[[#This Row],[A]],                 TEXT(MIN(Tab_NewTRADER[[#This Row],[L_Bn]],Tab_NewTRADER[[#This Row],[N]])*(Tab_NewTRADER[[#This Row],[M]]-Tab_NewTRADER[[#This Row],[A]])*Tab_NewTRADER[[#This Row],[Scale]]*ComFactor,"#,#0"), TRUE,0)</f>
        <v>0</v>
      </c>
      <c r="AL60" s="1700" cm="1">
        <f t="array" aca="1" ref="AL60" ca="1">_xlfn.IFS(Tab_NewTRADER[[#This Row],[M]]&gt;Tab_NewTRADER[[#This Row],[A]],                  Tab_NewTRADER[[#This Row],[N]]*(Tab_NewTRADER[[#This Row],[M]]-Tab_NewTRADER[[#This Row],[A]])*Tab_NewTRADER[[#This Row],[Scale]]*ComFactor, TRUE,0)</f>
        <v>0</v>
      </c>
      <c r="AM60" s="1592" t="str">
        <f ca="1">_xlfn.XLOOKUP(Tab_NewTRADER[[#This Row],[Show]],TabCalc[Ticker],TabCalc[Max_Bn])&amp;" x "&amp;TEXT(_xlfn.XLOOKUP(Tab_NewTRADER[[#This Row],[Show]],TabCalc[Ticker],TabCalc[Max_Bp]),"#,#0.00")</f>
        <v>2000 x 6.93</v>
      </c>
      <c r="AN60" s="1650" t="str">
        <f ca="1">NewTrader!$V60</f>
        <v>MVEEPIX</v>
      </c>
      <c r="AO60" s="1651"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92" t="str">
        <f ca="1">_xlfn.XLOOKUP(Tab_NewTRADER[[#This Row],[Show]],TabCalc[Ticker],TabCalc[Min_Sn])&amp;" x "&amp;TEXT(_xlfn.XLOOKUP(Tab_NewTRADER[[#This Row],[Show]],TabCalc[Ticker],TabCalc[Min_Sp]),"#,#0.00")</f>
        <v>0 x 0.00</v>
      </c>
      <c r="AQ6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702" t="str" cm="1">
        <f t="array" aca="1" ref="AR60" ca="1">_xlfn.IFS(Tab_NewTRADER[[#This Row],[State]]="Reverse Buy",TEXT(-Tab_NewTRADER[[#This Row],[Buy_Back]],"#,#0")&amp;" / "&amp;TEXT(Tab_NewTRADER[[#This Row],[Rev_Buy]],"#,#0.0%"),TRUE,Tab_NewTRADER[[#This Row],[AMY]])</f>
        <v xml:space="preserve">   2.60 -   0.20 -   0.00</v>
      </c>
      <c r="AS60" s="1651"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99"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99" t="str" cm="1">
        <f t="array" aca="1" ref="AU60" ca="1">_xlfn.IFS(Tab_NewTRADER[[#This Row],[M]]&lt;Tab_NewTRADER[[#This Row],[A]],TEXT(Tab_NewTRADER[[#This Row],[N]]*Tab_NewTRADER[[#This Row],[M]]*Tab_NewTRADER[[#This Row],[Scale]]*Comm_Net,"#,#0")&amp;" @ "&amp;TEXT(Tab_NewTRADER[[#This Row],[M]],"#,#0.#0"),TRUE,"M: "&amp; Tab_NewTRADER[[#This Row],[M]])</f>
        <v>2,408 @ 0.20</v>
      </c>
      <c r="AV60" s="1703" cm="1">
        <f t="array" aca="1" ref="AV60" ca="1">-_xlfn.XLOOKUP(
    Tab_NewTRADER[[#This Row],[Show]] &amp; 2,
    TabConsolid[#Headers],
    INDEX(TabConsolid[], 1, 0)
)</f>
        <v>2.5950629999999997</v>
      </c>
      <c r="AW60" s="1704">
        <f ca="1">Tab_NewTRADER[[#This Row],[M]]*Tab_NewTRADER[[#This Row],[N]]*(1-Commission)*Tab_NewTRADER[[#This Row],[Scale]]</f>
        <v>2408.1225599999998</v>
      </c>
      <c r="AX60" s="1705"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705"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706" t="str" cm="1">
        <f t="array" aca="1" ref="AZ60" ca="1">_xlfn.IFS(   Tab_NewTRADER[[#This Row],[State]]=SellMorePercentGain,                     MIN(Tab_NewTRADER[[#This Row],[L_Sn]],Tab_NewTRADER[[#This Row],[N]])*(Tab_NewTRADER[[#This Row],[M]]-Tab_NewTRADER[[#This Row],[L_Sp]])*(1-Commission)*Tab_NewTRADER[[#This Row],[Scale]],                    TRUE,"")</f>
        <v/>
      </c>
      <c r="BA60" s="1707">
        <f ca="1">_xlfn.XLOOKUP(NewTrader!$V60,TabCalc[Ticker],TabCalc[Ann%RevLB])</f>
        <v>-0.98723096923299147</v>
      </c>
      <c r="BB60" s="1708">
        <f ca="1">_xlfn.XLOOKUP(NewTrader!$V60,TabCalc[Ticker],TabCalc[Up20])</f>
        <v>0</v>
      </c>
      <c r="BC60" s="1747"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706" t="str" cm="1">
        <f t="array" aca="1" ref="BD60" ca="1">_xlfn.IFS(         NewTrader!$AF60=MDown,NewTrader!$P60*NewTrader!$Y60*(-(NewTrader!$Q60+NewTrader!$Y60)/NewTrader!$Y60)*(1-Commission)*NewTrader!$A60,                               TRUE,"")</f>
        <v/>
      </c>
      <c r="BE60" s="1705" t="str" cm="1">
        <f t="array" aca="1" ref="BE60" ca="1">_xlfn.IFS(   NewTrader!$AF60=MUp,NewTrader!$BP60-Commission,        NewTrader!$AF60=MDown,(NewTrader!$X60-NewTrader!$Y60)/NewTrader!$Y60-Commission,                              TRUE,"")</f>
        <v/>
      </c>
      <c r="BF60" s="1706"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710" t="str" cm="1">
        <f t="array" aca="1" ref="BG60" ca="1">_xlfn.LET(_xlpm.SumChTxt,TEXT(_xlfn.XLOOKUP(NewTrader!$V60,ListTickers,Tab2SumChangePercent[AVGChan20]),"#0.0%"),
      _xlfn.IFS(NewTrader!$AF60=NoStock,_xlpm.SumChTxt,
      TRUE, IF(NewTrader!$AF60=SellMorePercentGain,             "SumChange "&amp;_xlpm.SumChTxt,                         "&lt;"&amp;INT(_xlfn.XLOOKUP(NewTrader!$V60,ListTickers,Tab2ReverseGL[Rev_GL19]))&amp;    "&lt;"&amp;INT(_xlfn.XLOOKUP(NewTrader!$V60,ListTickers,Tab2ReverseGL[Rev_GL18]))&amp;":      "&amp;_xlpm.SumChTxt)))</f>
        <v>&lt;-1&lt;-1:      0.0%</v>
      </c>
      <c r="BH60" s="1711"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712" cm="1">
        <f t="array" aca="1" ref="BI60" ca="1">_xlfn.IFS(NewTrader!$AF60=Sale_Back,"",         NewTrader!$AF60=MDown, (NewTrader!$Y60-NewTrader!$X60)/NewTrader!$X60*ComFactor,             TRUE, IFERROR((NewTrader!$Y60-NewTrader!$X60)/NewTrader!$X60*ComFactor,""))</f>
        <v>-0.92006974636068561</v>
      </c>
      <c r="BJ60" s="1664" cm="1">
        <f t="array" aca="1" ref="BJ60" ca="1">_xlfn.IFS(               NewTrader!$AF60=NoStock,(NewTrader!$BL60-NewTrader!$Y60)/NewTrader!$Y60-Commission,             NewTrader!$X60&lt;&gt;0,(NewTrader!$X60-NewTrader!$Y60)/NewTrader!$Y60-Commission)</f>
        <v>11.895327435387673</v>
      </c>
      <c r="BK60" s="1713">
        <f ca="1">_xlfn.XLOOKUP(NewTrader!$V60,TabCalc[Ticker],TabCalc[L_Sn])</f>
        <v>0</v>
      </c>
      <c r="BL60" s="1693">
        <f ca="1">_xlfn.XLOOKUP(NewTrader!$V60,TabCalc[Ticker],TabCalc[L_Sp])</f>
        <v>0</v>
      </c>
      <c r="BM60" s="1694">
        <f ca="1">-IFERROR((Tab_NewTRADER[[#This Row],[M]]-Tab_NewTRADER[[#This Row],[L_Sp]])/Tab_NewTRADER[[#This Row],[L_Sp]],0)</f>
        <v>0</v>
      </c>
      <c r="BN60" s="1714">
        <f ca="1">MIN(Tab_NewTRADER[[#This Row],[L_Sn]],Tab_NewTRADER[[#This Row],[N]])*(Tab_NewTRADER[[#This Row],[M]]-Tab_NewTRADER[[#This Row],[L_Sp]])*Comm_Net*Tab_NewTRADER[[#This Row],[Scale]]</f>
        <v>0</v>
      </c>
      <c r="BO60" s="1715">
        <f ca="1">Tab_NewTRADER[[#This Row],[L_Sn]]*(Tab_NewTRADER[[#This Row],[Agiotage]]-Tab_NewTRADER[[#This Row],[M]])/(Tab_NewTRADER[[#This Row],[L_Bn]]*Tab_NewTRADER[[#This Row],[M]])</f>
        <v>0</v>
      </c>
      <c r="BP60" s="1716">
        <f ca="1">IFERROR((Tab_NewTRADER[[#This Row],[M]]-Tab_NewTRADER[[#This Row],[A]])/Tab_NewTRADER[[#This Row],[A]],0)</f>
        <v>-0.92246816358600925</v>
      </c>
      <c r="BQ60" s="1671"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Row],[GL]])*(1-Commission)</f>
        <v>-28664.413618947627</v>
      </c>
      <c r="BS60" s="262"/>
      <c r="BT60" s="1672" t="str">
        <f ca="1">Tab_NewTRADER[[#This Row],[Show]]&amp;": "&amp;_xlfn.XLOOKUP(Tab_NewTRADER[[#This Row],[Show]],TabCalc[Ticker],TabCalc[Pile?])</f>
        <v>MVEEPIX: Pile</v>
      </c>
      <c r="BU60" s="1717" t="s">
        <v>1936</v>
      </c>
      <c r="BV60" s="1674" t="str" cm="1">
        <f t="array" aca="1" ref="BV60" ca="1">_xlfn.TEXTJOIN("",,INDEX({"M","A","Y"}, _xlfn.SORTBY({1,2,3}, -CHOOSE({1,2,3}, Tab_NewTRADER[[#This Row],[M]], Tab_NewTRADER[[#This Row],[A]], Tab_NewTRADER[[#This Row],[Y]]))))</f>
        <v>AMY</v>
      </c>
      <c r="BW60" s="1675"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76" t="e">
        <f ca="1">Tab_NewTRADER[[#This Row],[L_Sn]]*Tab_NewTRADER[[#This Row],[L_Sp]]+Tab_NewTRADER[[#This Row],[SellMore]]*Tab_NewTRADER[[#This Row],[M]]</f>
        <v>#N/A</v>
      </c>
      <c r="BY60" s="1676" t="e">
        <f ca="1">INDEX(
  INDEX(TabConsolid[], , _xlfn.XMATCH(Tab_NewTRADER[[#This Row],[ClickTick]]&amp;1, TabConsolid[#Headers])),
  MATCH(
    -Tab_NewTRADER[[#This Row],[M]],
    INDEX(TabConsolid[], , _xlfn.XMATCH(Tab_NewTRADER[[#This Row],[ClickTick]]&amp;2, TabConsolid[#Headers])),
    -1
  )
)</f>
        <v>#N/A</v>
      </c>
      <c r="BZ60" s="1676"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77" t="e">
        <f ca="1">Tab_NewTRADER[[#This Row],[ReBuy]]/(Tab_NewTRADER[[#This Row],[L_Sn]]+Tab_NewTRADER[[#This Row],[SellMore]])</f>
        <v>#N/A</v>
      </c>
      <c r="CB60" s="1678" t="e">
        <f ca="1">((_xlfn.XLOOKUP(Tab_NewTRADER[[#This Row],[Show]],TabCalc[Ticker],TabCalc[NAfter])+Tab_NewTRADER[[#This Row],[L_Sn]])*(Tab_NewTRADER[[#This Row],[Agiotage]]-Tab_NewTRADER[[#This Row],[M]]))/(Tab_NewTRADER[[#This Row],[L_Sn]]*_xlfn.XLOOKUP(Tab_NewTRADER[[#This Row],[Show]],TabCalc[Ticker],TabCalc[NAfter]))</f>
        <v>#DIV/0!</v>
      </c>
      <c r="CC60" s="1677">
        <f ca="1">INDEX(Tab1Price[Price19], MATCH(Tab_NewTRADER[[#This Row],[Show]], Tab_NewTRADER[Show], 0))</f>
        <v>0.20119999999999999</v>
      </c>
      <c r="CD60" s="1679">
        <f ca="1">_xlfn.XMATCH(Tab_NewTRADER[[#This Row],[Show]]&amp;1, TabConsolid[#Headers])</f>
        <v>176</v>
      </c>
      <c r="CE60" s="1678"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729" t="str" cm="1">
        <f t="array" aca="1" ref="CF60" ca="1">_xlfn.LET(
    _xlpm.FMT, _xlfn.LAMBDA(_xlpm.n, REPT(" ", 7 - LEN(TEXT(_xlpm.n,"0.00"))) &amp; TEXT(_xlpm.n,"0.00")),
    _xlpm.FMT(Tab_NewTRADER[[#This Row],[A]]) &amp; " -" &amp; _xlpm.FMT(Tab_NewTRADER[[#This Row],[M]]) &amp; " -" &amp; _xlpm.FMT(Tab_NewTRADER[[#This Row],[Y]])
)</f>
        <v xml:space="preserve">   2.60 -   0.20 -   0.00</v>
      </c>
      <c r="CG60" s="1730"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43">
        <f>0</f>
        <v>0</v>
      </c>
      <c r="CI60" t="str">
        <f ca="1">IF(ABS(NewTrader!$Q60)&gt;=NewTrader!$Y60,"OK")</f>
        <v>OK</v>
      </c>
    </row>
    <row r="61" spans="1:87" ht="23" hidden="1" thickBot="1">
      <c r="A61" s="1838">
        <f ca="1">IF(_xlfn.XLOOKUP(NewTrader!$V61,TabCalc[Ticker],TabCalc[Cur])="GBp",0.01,1)</f>
        <v>1</v>
      </c>
      <c r="B61" s="1620" t="str">
        <f ca="1">IFERROR(TRUNC(_xlfn.XLOOKUP(NewTrader!$V61,TabCalc[Ticker],ListLastBuyp),2)&amp;"x"&amp;_xlfn.XLOOKUP(NewTrader!$V61,TabCalc[Ticker],ListLastBuyn)&amp;"=    "&amp;IF(_xlfn.XLOOKUP(NewTrader!$V61,TabCalc[Ticker],ListReverseS)&gt;0,"+","")&amp;TEXT(_xlfn.XLOOKUP(NewTrader!$V61,TabCalc[Ticker],ListReverseS),"#,#0")&amp;" "&amp;#REF!,"")</f>
        <v/>
      </c>
      <c r="C61" s="1621" t="str">
        <f ca="1">_xlfn.XLOOKUP(NewTrader!$V61,TabCalc[Ticker],ListResale)&amp;" @ "&amp;TEXT((_xlfn.XLOOKUP(NewTrader!$V61,TabCalc[Ticker],TabCalc[L_Bp])+_xlfn.XLOOKUP(NewTrader!$V61,TabCalc[Ticker],TabCalc[M]))/_xlfn.XLOOKUP(NewTrader!$V61,TabCalc[Ticker],TabCalc[M]),"#0.0%")</f>
        <v>Resell @ 16.1%</v>
      </c>
      <c r="D61" s="1622"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484/2,000=31,122</v>
      </c>
      <c r="E61" s="1718" t="str">
        <f ca="1">IF(      AND(NewTrader!$X61&lt;NewTrader!$Y61,    _xlfn.XLOOKUP(NewTrader!$V61,TabCalc[Ticker],TabCalc[L_Sp])&gt;NewTrader!$Y61),"BUY  "&amp;TEXT(DesiredBuyGain/NewTrader!$A61/(_xlfn.XLOOKUP(NewTrader!$V61,TabCalc[Ticker],TabCalc[L_Sp])-NewTrader!$Y61),"#,##0"),"")</f>
        <v/>
      </c>
      <c r="F61" s="1620" t="str">
        <f ca="1">TRUNC(TabCalc[[#This Row],[L_B1p]],2)&amp;"x"&amp;TabCalc[[#This Row],[L_B1n]]&amp;"=   "&amp;TEXT(TabCalc[[#This Row],[ReverseS1]],"#,#0")&amp;"$"</f>
        <v>-59.09x1990=   10,487$</v>
      </c>
      <c r="G61" s="1624" t="str">
        <f ca="1">IFERROR(TRUNC(_xlfn.XLOOKUP(NewTrader!$V61,TabCalc[Ticker],ListLastSalep),2)&amp;"x"&amp;_xlfn.XLOOKUP(NewTrader!$V61,TabCalc[Ticker],ListLastSalen)&amp;"=   "&amp;TEXT(-_xlfn.XLOOKUP(NewTrader!$V61,TabCalc[Ticker],ListReverseB),"#,#0")&amp;"$","")</f>
        <v>61.72x1000=   2,640$</v>
      </c>
      <c r="H61" s="1625"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-4.1% = 0</v>
      </c>
      <c r="I61" s="1620" t="str">
        <f ca="1">IFERROR(TRUNC(TabCalc[[#This Row],[L_S1p]],2)&amp;"x"&amp;TabCalc[[#This Row],[L_S1n]]&amp;"=   "&amp;TEXT(TabCalc[[#This Row],[ReverseB1]],"#,#0"),"")</f>
        <v>47.47x1000=   -16,890</v>
      </c>
      <c r="J61" s="1626">
        <f ca="1">_xlfn.XLOOKUP(NewTrader!$V61,TabCalc[Ticker],ListGravity)</f>
        <v>1.0259995338719703</v>
      </c>
      <c r="K61" s="1627" t="str" cm="1">
        <f t="array" aca="1" ref="K61" ca="1">IF(_xlfn.XLOOKUP(NewTrader!$V61,NewTrader!$V$3:$V$96,ListExtra_n)&gt;0,_xlfn.XLOOKUP(NewTrader!$V61,NewTrader!$V$3:$V$96,ListExtra_n),"")</f>
        <v/>
      </c>
      <c r="L61" s="1628" t="str">
        <f ca="1">IF(_xlfn.XLOOKUP(NewTrader!$V61,TabCalc[Ticker],ListExtra_n)&gt;0,_xlfn.XLOOKUP(NewTrader!$V61,TabCalc[Ticker],ListExtra_n)*NewTrader!$Y61*_xlfn.XLOOKUP(NewTrader!$V61,TabCalc[Ticker],ListScale),"")</f>
        <v/>
      </c>
      <c r="M61" s="1629">
        <f ca="1">_xlfn.XLOOKUP(NewTrader!$V61,TabCalc[Ticker],TabCalc[Agiotage])</f>
        <v>1.0644112472996281</v>
      </c>
      <c r="N61" s="1630" cm="1">
        <f t="array" aca="1" ref="N61" ca="1">_xlfn.XLOOKUP(NewTrader!$V61,ListTickers,Tab2RSIConventional[RSIConv20])</f>
        <v>70</v>
      </c>
      <c r="O61" s="1631" t="str">
        <f ca="1">TEXT(_xlfn.XLOOKUP(NewTrader!$V61,TabCalc[Ticker],TabCalc[Nbegin]),"#,#0")&amp;": "&amp;_xlfn.XLOOKUP(NewTrader!$V61,TabCalc[Ticker],TabCalc[Pile?])</f>
        <v>10,000: Pile</v>
      </c>
      <c r="P61" s="1630">
        <f ca="1">_xlfn.XLOOKUP(NewTrader!$V61,TabCalc[Ticker],TabCalc[L_Bn])</f>
        <v>1000</v>
      </c>
      <c r="Q61" s="1633">
        <f ca="1">_xlfn.XLOOKUP(NewTrader!$V61,TabCalc[Ticker],TabCalc[L_Bp])</f>
        <v>-54.02</v>
      </c>
      <c r="R61" s="1634">
        <f ca="1">(NewTrader!$Y61+NewTrader!$Q61)/ABS(NewTrader!$Q61)</f>
        <v>0.19141058867086255</v>
      </c>
      <c r="S61" s="259">
        <f ca="1">INT(_xlfn.XLOOKUP(NewTrader!$V61,TabCalc[Ticker],TabCalc[Rev(MinStock)])*Comm_Net)</f>
        <v>10284</v>
      </c>
      <c r="T61" s="1635">
        <f ca="1">_xlfn.XLOOKUP(NewTrader!$V61,TabCalc[Ticker],TabCalc[Agiotage])</f>
        <v>1.0644112472996281</v>
      </c>
      <c r="U61" s="1719"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2,120/2,120=&gt;1.4% / 1.4%</v>
      </c>
      <c r="V61" s="1578" t="str">
        <f ca="1">SORTING!B61</f>
        <v>MVEGLE</v>
      </c>
      <c r="W61" s="1637">
        <f ca="1">_xlfn.XLOOKUP(NewTrader!$V61,TabCalc[Ticker],TabCalc[Y])</f>
        <v>66.033330000000007</v>
      </c>
      <c r="X61" s="1639">
        <f ca="1">-_xlfn.XLOOKUP(NewTrader!$V61&amp;2,Consolid!B$3:JZ$3,Consolid!B$4:JZ$4)</f>
        <v>56.702042999999996</v>
      </c>
      <c r="Y61" s="1639">
        <f ca="1">_xlfn.XLOOKUP(NewTrader!$V61,TabCalc[Ticker],TabCalc[M])</f>
        <v>64.36</v>
      </c>
      <c r="Z61" s="1640">
        <f ca="1">_xlfn.XLOOKUP(NewTrader!$V61,[1]!RTData[Ticker_Symbol],[1]!RTData[YTChange])</f>
        <v>0.10479053036640461</v>
      </c>
      <c r="AA61" s="1640" cm="1">
        <f t="array" aca="1" ref="AA61" ca="1">_xlfn.XLOOKUP(NewTrader!$V61,ListTickers,Tab1ChangePercent[Change%19])</f>
        <v>1.3863E-2</v>
      </c>
      <c r="AB61" s="1641">
        <f ca="1">_xlfn.XLOOKUP(NewTrader!$V61,TabCalc[Ticker],TabCalc[NAfter])</f>
        <v>2000</v>
      </c>
      <c r="AC61" s="1641">
        <f ca="1">_xlfn.XLOOKUP(NewTrader!$V61,TabCalc[Ticker],TabCalc[Nbegin])</f>
        <v>10000</v>
      </c>
      <c r="AD61" s="1642" t="str">
        <f ca="1">_xlfn.LET(_xlpm.PILE,_xlfn.XLOOKUP(NewTrader!$V61,TabCalc[Ticker],TabCalc[Pile?]),                    _xlpm.GL,_xlfn.XLOOKUP(NewTrader!$V61,TabCalc[Ticker],TabCalc[GL]),                        _xlpm.GLK,_xlfn.XLOOKUP(NewTrader!$V61,TabCalc[Ticker],TabCalc[GL])/1000,                             _xlpm.MVal,_xlfn.XLOOKUP(NewTrader!$V61,TabCalc[Ticker],TabCalc[M_V])/1000,                   _xlpm.PILE&amp;" "&amp;IF(_xlpm.GL&lt;0,TEXT(_xlpm.GLK,"#,#0")&amp;"K /"&amp;TEXT(_xlpm.MVal,"#,#0")&amp;" K$","^"&amp;TEXT(_xlpm.GLK,"#,#0")&amp;"K / "&amp;TEXT(_xlpm.MVal,"#,#0")&amp;" K$"))</f>
        <v>Pile ^111K / 128 K$</v>
      </c>
      <c r="AE61" s="1720" t="str">
        <f ca="1">_xlfn.XLOOKUP(NewTrader!$V61,[1]!RTData[Ticker_Symbol],[1]!RTData[Currency])</f>
        <v>EUR</v>
      </c>
      <c r="AF61" s="1721"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698" t="str" cm="1">
        <f t="array" aca="1" ref="AH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64.36 -  66.03</v>
      </c>
      <c r="AI6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61" s="1651" t="str" cm="1">
        <f t="array" aca="1" ref="AJ61" ca="1">_xlfn.IFS(Tab_NewTRADER[[#This Row],[State]]="Sell More",TEXT(MIN(Tab_NewTRADER[[#This Row],[N]],Tab_NewTRADER[[#This Row],[L_Bn]])*(Tab_NewTRADER[[#This Row],[M]]-Tab_NewTRADER[[#This Row],[L_Sp]])*Tab_NewTRADER[[#This Row],[Scale]]*ComFactor,"#,#0"), TRUE,"M= "&amp;TEXT(Tab_NewTRADER[[#This Row],[M]],"#,#0.00"))</f>
        <v>2,633</v>
      </c>
      <c r="AK61" s="1699" t="str" cm="1">
        <f t="array" aca="1" ref="AK61" ca="1">_xlfn.IFS(Tab_NewTRADER[[#This Row],[Y]]&gt;Tab_NewTRADER[[#This Row],[A]],                 TEXT(MIN(Tab_NewTRADER[[#This Row],[L_Bn]],Tab_NewTRADER[[#This Row],[N]])*(Tab_NewTRADER[[#This Row],[M]]-Tab_NewTRADER[[#This Row],[A]])*Tab_NewTRADER[[#This Row],[Scale]]*ComFactor,"#,#0"), TRUE,0)</f>
        <v>7,638</v>
      </c>
      <c r="AL61" s="1700" cm="1">
        <f t="array" aca="1" ref="AL61" ca="1">_xlfn.IFS(Tab_NewTRADER[[#This Row],[M]]&gt;Tab_NewTRADER[[#This Row],[A]],                  Tab_NewTRADER[[#This Row],[N]]*(Tab_NewTRADER[[#This Row],[M]]-Tab_NewTRADER[[#This Row],[A]])*Tab_NewTRADER[[#This Row],[Scale]]*ComFactor, TRUE,0)</f>
        <v>15276.092623600005</v>
      </c>
      <c r="AM61" s="1592" t="str">
        <f ca="1">_xlfn.XLOOKUP(Tab_NewTRADER[[#This Row],[Show]],TabCalc[Ticker],TabCalc[Max_Bn])&amp;" x "&amp;TEXT(_xlfn.XLOOKUP(Tab_NewTRADER[[#This Row],[Show]],TabCalc[Ticker],TabCalc[Max_Bp]),"#,#0.00")</f>
        <v>1000 x 59.09</v>
      </c>
      <c r="AN61" s="1650" t="str">
        <f ca="1">NewTrader!$V61</f>
        <v>MVEGLE</v>
      </c>
      <c r="AO61" s="1651" t="str">
        <f ca="1">TEXT(_xlfn.XLOOKUP(Tab_NewTRADER[[#This Row],[ClickTick]],TabCalc[Ticker],TabCalc[NAfter]),"#,#0")&amp;"x"&amp;_xlfn.XLOOKUP(Tab_NewTRADER[[#This Row],[ClickTick]],TabCalc[Ticker],TabCalc[M])&amp;"           (A: "&amp;TEXT(-_xlfn.XLOOKUP(Tab_NewTRADER[[#This Row],[ClickTick]]&amp;2,Consolid!B$3:JZ$3,Consolid!B$4:JZ$4),"#,??0.00")&amp;")"</f>
        <v>2,000x64.36           (A:  56.70)</v>
      </c>
      <c r="AP61" s="1592" t="str">
        <f ca="1">_xlfn.XLOOKUP(Tab_NewTRADER[[#This Row],[Show]],TabCalc[Ticker],TabCalc[Min_Sn])&amp;" x "&amp;TEXT(_xlfn.XLOOKUP(Tab_NewTRADER[[#This Row],[Show]],TabCalc[Ticker],TabCalc[Min_Sp]),"#,#0.00")</f>
        <v>990 x 23.06</v>
      </c>
      <c r="AQ6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702" t="str" cm="1">
        <f t="array" aca="1" ref="AR61" ca="1">_xlfn.IFS(Tab_NewTRADER[[#This Row],[State]]="Reverse Buy",TEXT(-Tab_NewTRADER[[#This Row],[Buy_Back]],"#,#0")&amp;" / "&amp;TEXT(Tab_NewTRADER[[#This Row],[Rev_Buy]],"#,#0.0%"),TRUE,Tab_NewTRADER[[#This Row],[AMY]])</f>
        <v xml:space="preserve">  56.70 -  64.36 -  66.03</v>
      </c>
      <c r="AS61" s="1651"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99"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99" t="str" cm="1">
        <f t="array" aca="1" ref="AU61" ca="1">_xlfn.IFS(Tab_NewTRADER[[#This Row],[M]]&lt;Tab_NewTRADER[[#This Row],[A]],TEXT(Tab_NewTRADER[[#This Row],[N]]*Tab_NewTRADER[[#This Row],[M]]*Tab_NewTRADER[[#This Row],[Scale]]*Comm_Net,"#,#0")&amp;" @ "&amp;TEXT(Tab_NewTRADER[[#This Row],[M]],"#,#0.#0"),TRUE,"M: "&amp; Tab_NewTRADER[[#This Row],[M]])</f>
        <v>M: 64.36</v>
      </c>
      <c r="AV61" s="1740" cm="1">
        <f t="array" aca="1" ref="AV61" ca="1">-_xlfn.XLOOKUP(
    Tab_NewTRADER[[#This Row],[Show]] &amp; 2,
    TabConsolid[#Headers],
    INDEX(TabConsolid[], 1, 0)
)</f>
        <v>56.702042999999996</v>
      </c>
      <c r="AW61" s="1741">
        <f ca="1">Tab_NewTRADER[[#This Row],[M]]*Tab_NewTRADER[[#This Row],[N]]*(1-Commission)*Tab_NewTRADER[[#This Row],[Scale]]</f>
        <v>128385.32799999999</v>
      </c>
      <c r="AX61" s="1705"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705"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1" s="1706" t="str" cm="1">
        <f t="array" aca="1" ref="AZ61" ca="1">_xlfn.IFS(   Tab_NewTRADER[[#This Row],[State]]=SellMorePercentGain,                     MIN(Tab_NewTRADER[[#This Row],[L_Sn]],Tab_NewTRADER[[#This Row],[N]])*(Tab_NewTRADER[[#This Row],[M]]-Tab_NewTRADER[[#This Row],[L_Sp]])*(1-Commission)*Tab_NewTRADER[[#This Row],[Scale]],                    TRUE,"")</f>
        <v/>
      </c>
      <c r="BA61" s="1723">
        <f ca="1">_xlfn.XLOOKUP(NewTrader!$V61,TabCalc[Ticker],TabCalc[Ann%RevLB])</f>
        <v>1.2528693076638275</v>
      </c>
      <c r="BB61" s="1724" t="str">
        <f ca="1">_xlfn.XLOOKUP(NewTrader!$V61,TabCalc[Ticker],TabCalc[Up20])</f>
        <v>/25/%</v>
      </c>
      <c r="BC61" s="1742"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
      </c>
      <c r="BD61" s="1706" t="str" cm="1">
        <f t="array" aca="1" ref="BD61" ca="1">_xlfn.IFS(         NewTrader!$AF61=MDown,NewTrader!$P61*NewTrader!$Y61*(-(NewTrader!$Q61+NewTrader!$Y61)/NewTrader!$Y61)*(1-Commission)*NewTrader!$A61,                               TRUE,"")</f>
        <v/>
      </c>
      <c r="BE61" s="1705" t="str" cm="1">
        <f t="array" aca="1" ref="BE61" ca="1">_xlfn.IFS(   NewTrader!$AF61=MUp,NewTrader!$BP61-Commission,        NewTrader!$AF61=MDown,(NewTrader!$X61-NewTrader!$Y61)/NewTrader!$Y61-Commission,                              TRUE,"")</f>
        <v/>
      </c>
      <c r="BF61" s="1706"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710" t="e" cm="1">
        <f t="array" aca="1" ref="BG61" ca="1">_xlfn.LET(_xlpm.SumChTxt,TEXT(_xlfn.XLOOKUP(NewTrader!$V61,ListTickers,Tab2SumChangePercent[AVGChan20]),"#0.0%"),
      _xlfn.IFS(NewTrader!$AF61=NoStock,_xlpm.SumChTxt,
      TRUE, IF(NewTrader!$AF61=SellMorePercentGain,             "SumChange "&amp;_xlpm.SumChTxt,                         "&lt;"&amp;INT(_xlfn.XLOOKUP(NewTrader!$V61,ListTickers,Tab2ReverseGL[Rev_GL19]))&amp;    "&lt;"&amp;INT(_xlfn.XLOOKUP(NewTrader!$V61,ListTickers,Tab2ReverseGL[Rev_GL18]))&amp;":      "&amp;_xlpm.SumChTxt)))</f>
        <v>#VALUE!</v>
      </c>
      <c r="BH61" s="1711"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1,000x7.65</v>
      </c>
      <c r="BI61" s="1712" cm="1">
        <f t="array" aca="1" ref="BI61" ca="1">_xlfn.IFS(NewTrader!$AF61=Sale_Back,"",         NewTrader!$AF61=MDown, (NewTrader!$Y61-NewTrader!$X61)/NewTrader!$X61*ComFactor,             TRUE, IFERROR((NewTrader!$Y61-NewTrader!$X61)/NewTrader!$X61*ComFactor,""))</f>
        <v>0.13470495784076075</v>
      </c>
      <c r="BJ61" s="1664" cm="1">
        <f t="array" aca="1" ref="BJ61" ca="1">_xlfn.IFS(               NewTrader!$AF61=NoStock,(NewTrader!$BL61-NewTrader!$Y61)/NewTrader!$Y61-Commission,             NewTrader!$X61&lt;&gt;0,(NewTrader!$X61-NewTrader!$Y61)/NewTrader!$Y61-Commission)</f>
        <v>-0.121586280298322</v>
      </c>
      <c r="BK61" s="1726">
        <f ca="1">_xlfn.XLOOKUP(NewTrader!$V61,TabCalc[Ticker],TabCalc[L_Sn])</f>
        <v>1000</v>
      </c>
      <c r="BL61" s="1727">
        <f ca="1">_xlfn.XLOOKUP(NewTrader!$V61,TabCalc[Ticker],TabCalc[L_Sp])</f>
        <v>61.72</v>
      </c>
      <c r="BM61" s="1634">
        <f ca="1">-IFERROR((Tab_NewTRADER[[#This Row],[M]]-Tab_NewTRADER[[#This Row],[L_Sp]])/Tab_NewTRADER[[#This Row],[L_Sp]],0)</f>
        <v>-4.2773817239144536E-2</v>
      </c>
      <c r="BN61" s="1728">
        <f ca="1">MIN(Tab_NewTRADER[[#This Row],[L_Sn]],Tab_NewTRADER[[#This Row],[N]])*(Tab_NewTRADER[[#This Row],[M]]-Tab_NewTRADER[[#This Row],[L_Sp]])*Comm_Net*Tab_NewTRADER[[#This Row],[Scale]]</f>
        <v>2632.8720000000003</v>
      </c>
      <c r="BO61" s="1715">
        <f ca="1">Tab_NewTRADER[[#This Row],[L_Sn]]*(Tab_NewTRADER[[#This Row],[Agiotage]]-Tab_NewTRADER[[#This Row],[M]])/(Tab_NewTRADER[[#This Row],[L_Bn]]*Tab_NewTRADER[[#This Row],[M]])</f>
        <v>-0.98346160274549976</v>
      </c>
      <c r="BP61" s="1670">
        <f ca="1">IFERROR((Tab_NewTRADER[[#This Row],[M]]-Tab_NewTRADER[[#This Row],[A]])/Tab_NewTRADER[[#This Row],[A]],0)</f>
        <v>0.13505610371040783</v>
      </c>
      <c r="BQ61" s="1671" t="str">
        <f ca="1">TEXT(_xlfn.XLOOKUP(Tab_NewTRADER[[#This Row],[ClickTick]],TabCalc[Ticker],TabCalc[NAfter]),"#,#0")&amp;" : "&amp;TEXT(_xlfn.XLOOKUP(Tab_NewTRADER[[#This Row],[ClickTick]],TabCalc[Ticker],TabCalc[NAfter])*(Tab_NewTRADER[[#This Row],[M]]-Tab_NewTRADER[[#This Row],[A]])*(1-Commission)*Tab_NewTRADER[[#This Row],[Scale]],"#,#0$")</f>
        <v>2,000 : 15,276$</v>
      </c>
      <c r="BR61" s="259">
        <f ca="1">_xlfn.XLOOKUP(NewTrader!$V61,TabCalc[[#This Row],[Ticker]],TabCalc[[#This Row],[GL]])*(1-Commission)</f>
        <v>110454.95364302455</v>
      </c>
      <c r="BS61" s="259"/>
      <c r="BT61" s="1672" t="str">
        <f ca="1">Tab_NewTRADER[[#This Row],[Show]]&amp;": "&amp;_xlfn.XLOOKUP(Tab_NewTRADER[[#This Row],[Show]],TabCalc[Ticker],TabCalc[Pile?])</f>
        <v>MVEGLE: Pile</v>
      </c>
      <c r="BU61" s="1717" t="s">
        <v>1937</v>
      </c>
      <c r="BV61" s="1674" t="str" cm="1">
        <f t="array" aca="1" ref="BV61" ca="1">_xlfn.TEXTJOIN("",,INDEX({"M","A","Y"}, _xlfn.SORTBY({1,2,3}, -CHOOSE({1,2,3}, Tab_NewTRADER[[#This Row],[M]], Tab_NewTRADER[[#This Row],[A]], Tab_NewTRADER[[#This Row],[Y]]))))</f>
        <v>YMA</v>
      </c>
      <c r="BW61" s="1675"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
      </c>
      <c r="BX61" s="1676">
        <f ca="1">Tab_NewTRADER[[#This Row],[L_Sn]]*Tab_NewTRADER[[#This Row],[L_Sp]]+Tab_NewTRADER[[#This Row],[SellMore]]*Tab_NewTRADER[[#This Row],[M]]</f>
        <v>126080</v>
      </c>
      <c r="BY61" s="1676">
        <f ca="1">INDEX(
  INDEX(TabConsolid[], , _xlfn.XMATCH(Tab_NewTRADER[[#This Row],[ClickTick]]&amp;1, TabConsolid[#Headers])),
  MATCH(
    -Tab_NewTRADER[[#This Row],[M]],
    INDEX(TabConsolid[], , _xlfn.XMATCH(Tab_NewTRADER[[#This Row],[ClickTick]]&amp;2, TabConsolid[#Headers])),
    -1
  )
)</f>
        <v>1000</v>
      </c>
      <c r="BZ61" s="1676"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1000</v>
      </c>
      <c r="CA61" s="1677">
        <f ca="1">Tab_NewTRADER[[#This Row],[ReBuy]]/(Tab_NewTRADER[[#This Row],[L_Sn]]+Tab_NewTRADER[[#This Row],[SellMore]])</f>
        <v>63.04</v>
      </c>
      <c r="CB61" s="1678">
        <f ca="1">((_xlfn.XLOOKUP(Tab_NewTRADER[[#This Row],[Show]],TabCalc[Ticker],TabCalc[NAfter])+Tab_NewTRADER[[#This Row],[L_Sn]])*(Tab_NewTRADER[[#This Row],[Agiotage]]-Tab_NewTRADER[[#This Row],[M]]))/(Tab_NewTRADER[[#This Row],[L_Sn]]*_xlfn.XLOOKUP(Tab_NewTRADER[[#This Row],[Show]],TabCalc[Ticker],TabCalc[NAfter]))</f>
        <v>-9.4943383129050554E-2</v>
      </c>
      <c r="CC61" s="1677">
        <f ca="1">INDEX(Tab1Price[Price19], MATCH(Tab_NewTRADER[[#This Row],[Show]], Tab_NewTRADER[Show], 0))</f>
        <v>64.36</v>
      </c>
      <c r="CD61" s="1679">
        <f ca="1">_xlfn.XMATCH(Tab_NewTRADER[[#This Row],[Show]]&amp;1, TabConsolid[#Headers])</f>
        <v>179</v>
      </c>
      <c r="CE61" s="1678"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729" t="str" cm="1">
        <f t="array" aca="1" ref="CF61" ca="1">_xlfn.LET(
    _xlpm.FMT, _xlfn.LAMBDA(_xlpm.n, REPT(" ", 7 - LEN(TEXT(_xlpm.n,"0.00"))) &amp; TEXT(_xlpm.n,"0.00")),
    _xlpm.FMT(Tab_NewTRADER[[#This Row],[A]]) &amp; " -" &amp; _xlpm.FMT(Tab_NewTRADER[[#This Row],[M]]) &amp; " -" &amp; _xlpm.FMT(Tab_NewTRADER[[#This Row],[Y]])
)</f>
        <v xml:space="preserve">  56.70 -  64.36 -  66.03</v>
      </c>
      <c r="CG61" s="1730" t="str" cm="1">
        <f t="array" aca="1" ref="CG61" ca="1">_xlfn.LET(
    _xlpm.W, 7,
    _xlpm.FMT, _xlfn.LAMBDA(_xlpm.n, REPT(" ", _xlpm.W - LEN(TEXT(_xlpm.n,"0.00"))) &amp; TEXT(_xlpm.n,"0.00")),
    _xlpm.FMT(Tab_NewTRADER[[#This Row],[A]]) &amp; " * " &amp; _xlpm.FMT(Tab_NewTRADER[[#This Row],[M]]) &amp; " * " &amp; _xlpm.FMT(Tab_NewTRADER[[#This Row],[Y]])
)</f>
        <v xml:space="preserve">  56.70 *   64.36 *   66.03</v>
      </c>
      <c r="CH61" s="1843">
        <f>0</f>
        <v>0</v>
      </c>
      <c r="CI61" t="b">
        <f ca="1">IF(ABS(NewTrader!$Q61)&gt;=NewTrader!$Y61,"OK")</f>
        <v>0</v>
      </c>
    </row>
    <row r="62" spans="1:87" ht="23" hidden="1" thickBot="1">
      <c r="A62" s="1839">
        <f ca="1">IF(_xlfn.XLOOKUP(NewTrader!$V62,TabCalc[Ticker],TabCalc[Cur])="GBp",0.01,1)</f>
        <v>1</v>
      </c>
      <c r="B62" s="1681" t="str">
        <f ca="1">IFERROR(TRUNC(_xlfn.XLOOKUP(NewTrader!$V62,TabCalc[Ticker],ListLastBuyp),2)&amp;"x"&amp;_xlfn.XLOOKUP(NewTrader!$V62,TabCalc[Ticker],ListLastBuyn)&amp;"=    "&amp;IF(_xlfn.XLOOKUP(NewTrader!$V62,TabCalc[Ticker],ListReverseS)&gt;0,"+","")&amp;TEXT(_xlfn.XLOOKUP(NewTrader!$V62,TabCalc[Ticker],ListReverseS),"#,#0")&amp;" "&amp;#REF!,"")</f>
        <v/>
      </c>
      <c r="C62" s="1682" t="str">
        <f ca="1">_xlfn.XLOOKUP(NewTrader!$V62,TabCalc[Ticker],ListResale)&amp;" @ "&amp;TEXT((_xlfn.XLOOKUP(NewTrader!$V62,TabCalc[Ticker],TabCalc[L_Bp])+_xlfn.XLOOKUP(NewTrader!$V62,TabCalc[Ticker],TabCalc[M]))/_xlfn.XLOOKUP(NewTrader!$V62,TabCalc[Ticker],TabCalc[M]),"#0.0%")</f>
        <v>Sell @ -4.5%</v>
      </c>
      <c r="D62" s="1683"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84" t="str">
        <f ca="1">IF(      AND(NewTrader!$X62&lt;NewTrader!$Y62,    _xlfn.XLOOKUP(NewTrader!$V62,TabCalc[Ticker],TabCalc[L_Sp])&gt;NewTrader!$Y62),"BUY  "&amp;TEXT(DesiredBuyGain/NewTrader!$A62/(_xlfn.XLOOKUP(NewTrader!$V62,TabCalc[Ticker],TabCalc[L_Sp])-NewTrader!$Y62),"#,##0"),"")</f>
        <v>BUY  500,000</v>
      </c>
      <c r="F62" s="1681" t="str">
        <f ca="1">TRUNC(TabCalc[[#This Row],[L_B1p]],2)&amp;"x"&amp;TabCalc[[#This Row],[L_B1n]]&amp;"=   "&amp;TEXT(TabCalc[[#This Row],[ReverseS1]],"#,#0")&amp;"$"</f>
        <v>-13.19x6000=   3,270$</v>
      </c>
      <c r="G62" s="1685" t="str">
        <f ca="1">IFERROR(TRUNC(_xlfn.XLOOKUP(NewTrader!$V62,TabCalc[Ticker],ListLastSalep),2)&amp;"x"&amp;_xlfn.XLOOKUP(NewTrader!$V62,TabCalc[Ticker],ListLastSalen)&amp;"=   "&amp;TEXT(-_xlfn.XLOOKUP(NewTrader!$V62,TabCalc[Ticker],ListReverseB),"#,#0")&amp;"$","")</f>
        <v>13.74x1200=   -12$</v>
      </c>
      <c r="H62" s="1686"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0.1% = 500,000</v>
      </c>
      <c r="I62" s="1681" t="str">
        <f ca="1">IFERROR(TRUNC(TabCalc[[#This Row],[L_S1p]],2)&amp;"x"&amp;TabCalc[[#This Row],[L_S1n]]&amp;"=   "&amp;TEXT(TabCalc[[#This Row],[ReverseB1]],"#,#0"),"")</f>
        <v>13.93x2000=   390</v>
      </c>
      <c r="J62" s="1687">
        <f ca="1">_xlfn.XLOOKUP(NewTrader!$V62,TabCalc[Ticker],ListGravity)</f>
        <v>1.133215143793229</v>
      </c>
      <c r="K62" s="1688" cm="1">
        <f t="array" aca="1" ref="K62" ca="1">IF(_xlfn.XLOOKUP(NewTrader!$V62,NewTrader!$V$3:$V$96,ListExtra_n)&gt;0,_xlfn.XLOOKUP(NewTrader!$V62,NewTrader!$V$3:$V$96,ListExtra_n),"")</f>
        <v>12500</v>
      </c>
      <c r="L62" s="1689">
        <f ca="1">IF(_xlfn.XLOOKUP(NewTrader!$V62,TabCalc[Ticker],ListExtra_n)&gt;0,_xlfn.XLOOKUP(NewTrader!$V62,TabCalc[Ticker],ListExtra_n)*NewTrader!$Y62*_xlfn.XLOOKUP(NewTrader!$V62,TabCalc[Ticker],ListScale),"")</f>
        <v>171687.5</v>
      </c>
      <c r="M62" s="1690">
        <f ca="1">_xlfn.XLOOKUP(NewTrader!$V62,TabCalc[Ticker],TabCalc[Agiotage])</f>
        <v>0.67743021645652646</v>
      </c>
      <c r="N62" s="1691" cm="1">
        <f t="array" aca="1" ref="N62" ca="1">_xlfn.XLOOKUP(NewTrader!$V62,ListTickers,Tab2RSIConventional[RSIConv20])</f>
        <v>59</v>
      </c>
      <c r="O62" s="1631" t="str">
        <f ca="1">TEXT(_xlfn.XLOOKUP(NewTrader!$V62,TabCalc[Ticker],TabCalc[Nbegin]),"#,#0")&amp;": "&amp;_xlfn.XLOOKUP(NewTrader!$V62,TabCalc[Ticker],TabCalc[Pile?])</f>
        <v xml:space="preserve">7,300: </v>
      </c>
      <c r="P62" s="1691">
        <f ca="1">_xlfn.XLOOKUP(NewTrader!$V62,TabCalc[Ticker],TabCalc[L_Bn])</f>
        <v>3000</v>
      </c>
      <c r="Q62" s="1693">
        <f ca="1">_xlfn.XLOOKUP(NewTrader!$V62,TabCalc[Ticker],TabCalc[L_Bp])</f>
        <v>-14.35</v>
      </c>
      <c r="R62" s="1694">
        <f ca="1">(NewTrader!$Y62+NewTrader!$Q62)/ABS(NewTrader!$Q62)</f>
        <v>-4.2857142857142871E-2</v>
      </c>
      <c r="S62" s="262">
        <f ca="1">INT(_xlfn.XLOOKUP(NewTrader!$V62,TabCalc[Ticker],TabCalc[Rev(MinStock)])*Comm_Net)</f>
        <v>-1837</v>
      </c>
      <c r="T62" s="1635">
        <f ca="1">_xlfn.XLOOKUP(NewTrader!$V62,TabCalc[Ticker],TabCalc[Agiotage])</f>
        <v>0.67743021645652646</v>
      </c>
      <c r="U62" s="1695"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1,782/1,782=&gt;0.5% / 0.5%</v>
      </c>
      <c r="V62" s="1578" t="str">
        <f ca="1">SORTING!B62</f>
        <v>MVEORA</v>
      </c>
      <c r="W62" s="1637">
        <f ca="1">_xlfn.XLOOKUP(NewTrader!$V62,TabCalc[Ticker],TabCalc[Y])</f>
        <v>15.56471</v>
      </c>
      <c r="X62" s="1639">
        <f ca="1">-_xlfn.XLOOKUP(NewTrader!$V62&amp;2,Consolid!B$3:JZ$3,Consolid!B$4:JZ$4)</f>
        <v>12.14634709090909</v>
      </c>
      <c r="Y62" s="1639">
        <f ca="1">_xlfn.XLOOKUP(NewTrader!$V62,TabCalc[Ticker],TabCalc[M])</f>
        <v>13.734999999999999</v>
      </c>
      <c r="Z62" s="1640">
        <f ca="1">_xlfn.XLOOKUP(NewTrader!$V62,[1]!RTData[Ticker_Symbol],[1]!RTData[YTChange])</f>
        <v>4.9542144302090342E-2</v>
      </c>
      <c r="AA62" s="1640" cm="1">
        <f t="array" aca="1" ref="AA62" ca="1">_xlfn.XLOOKUP(NewTrader!$V62,ListTickers,Tab1ChangePercent[Change%19])</f>
        <v>5.1229999999999999E-3</v>
      </c>
      <c r="AB62" s="1641">
        <f ca="1">_xlfn.XLOOKUP(NewTrader!$V62,TabCalc[Ticker],TabCalc[NAfter])</f>
        <v>19800</v>
      </c>
      <c r="AC62" s="1641">
        <f ca="1">_xlfn.XLOOKUP(NewTrader!$V62,TabCalc[Ticker],TabCalc[Nbegin])</f>
        <v>7300</v>
      </c>
      <c r="AD62" s="1642" t="str">
        <f ca="1">_xlfn.LET(_xlpm.PILE,_xlfn.XLOOKUP(NewTrader!$V62,TabCalc[Ticker],TabCalc[Pile?]),                    _xlpm.GL,_xlfn.XLOOKUP(NewTrader!$V62,TabCalc[Ticker],TabCalc[GL]),                        _xlpm.GLK,_xlfn.XLOOKUP(NewTrader!$V62,TabCalc[Ticker],TabCalc[GL])/1000,                             _xlpm.MVal,_xlfn.XLOOKUP(NewTrader!$V62,TabCalc[Ticker],TabCalc[M_V])/1000,                   _xlpm.PILE&amp;" "&amp;IF(_xlpm.GL&lt;0,TEXT(_xlpm.GLK,"#,#0")&amp;"K /"&amp;TEXT(_xlpm.MVal,"#,#0")&amp;" K$","^"&amp;TEXT(_xlpm.GLK,"#,#0")&amp;"K / "&amp;TEXT(_xlpm.MVal,"#,#0")&amp;" K$"))</f>
        <v xml:space="preserve"> ^92K / 271 K$</v>
      </c>
      <c r="AE62" s="1643" t="str">
        <f ca="1">_xlfn.XLOOKUP(NewTrader!$V62,[1]!RTData[Ticker_Symbol],[1]!RTData[Currency])</f>
        <v>EUR</v>
      </c>
      <c r="AF62" s="1721"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Reverse Buy</v>
      </c>
      <c r="AG6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698" t="str" cm="1">
        <f t="array" aca="1" ref="AH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13.74 -  15.56</v>
      </c>
      <c r="AI6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2" s="1651" t="str" cm="1">
        <f t="array" aca="1" ref="AJ62" ca="1">_xlfn.IFS(Tab_NewTRADER[[#This Row],[State]]="Sell More",TEXT(MIN(Tab_NewTRADER[[#This Row],[N]],Tab_NewTRADER[[#This Row],[L_Bn]])*(Tab_NewTRADER[[#This Row],[M]]-Tab_NewTRADER[[#This Row],[L_Sp]])*Tab_NewTRADER[[#This Row],[Scale]]*ComFactor,"#,#0"), TRUE,"M= "&amp;TEXT(Tab_NewTRADER[[#This Row],[M]],"#,#0.00"))</f>
        <v>M= 13.74</v>
      </c>
      <c r="AK62" s="1699" t="str" cm="1">
        <f t="array" aca="1" ref="AK62" ca="1">_xlfn.IFS(Tab_NewTRADER[[#This Row],[Y]]&gt;Tab_NewTRADER[[#This Row],[A]],                 TEXT(MIN(Tab_NewTRADER[[#This Row],[L_Bn]],Tab_NewTRADER[[#This Row],[N]])*(Tab_NewTRADER[[#This Row],[M]]-Tab_NewTRADER[[#This Row],[A]])*Tab_NewTRADER[[#This Row],[Scale]]*ComFactor,"#,#0"), TRUE,0)</f>
        <v>4,754</v>
      </c>
      <c r="AL62" s="1700" cm="1">
        <f t="array" aca="1" ref="AL62" ca="1">_xlfn.IFS(Tab_NewTRADER[[#This Row],[M]]&gt;Tab_NewTRADER[[#This Row],[A]],                  Tab_NewTRADER[[#This Row],[N]]*(Tab_NewTRADER[[#This Row],[M]]-Tab_NewTRADER[[#This Row],[A]])*Tab_NewTRADER[[#This Row],[Scale]]*ComFactor, TRUE,0)</f>
        <v>31373.543748239994</v>
      </c>
      <c r="AM62" s="1592" t="str">
        <f ca="1">_xlfn.XLOOKUP(Tab_NewTRADER[[#This Row],[Show]],TabCalc[Ticker],TabCalc[Max_Bn])&amp;" x "&amp;TEXT(_xlfn.XLOOKUP(Tab_NewTRADER[[#This Row],[Show]],TabCalc[Ticker],TabCalc[Max_Bp]),"#,#0.00")</f>
        <v>3000 x 14.35</v>
      </c>
      <c r="AN62" s="1650" t="str">
        <f ca="1">NewTrader!$V62</f>
        <v>MVEORA</v>
      </c>
      <c r="AO62" s="1651" t="str">
        <f ca="1">TEXT(_xlfn.XLOOKUP(Tab_NewTRADER[[#This Row],[ClickTick]],TabCalc[Ticker],TabCalc[NAfter]),"#,#0")&amp;"x"&amp;_xlfn.XLOOKUP(Tab_NewTRADER[[#This Row],[ClickTick]],TabCalc[Ticker],TabCalc[M])&amp;"           (A: "&amp;TEXT(-_xlfn.XLOOKUP(Tab_NewTRADER[[#This Row],[ClickTick]]&amp;2,Consolid!B$3:JZ$3,Consolid!B$4:JZ$4),"#,??0.00")&amp;")"</f>
        <v>19,800x13.735           (A:  12.15)</v>
      </c>
      <c r="AP62" s="1592" t="str">
        <f ca="1">_xlfn.XLOOKUP(Tab_NewTRADER[[#This Row],[Show]],TabCalc[Ticker],TabCalc[Min_Sn])&amp;" x "&amp;TEXT(_xlfn.XLOOKUP(Tab_NewTRADER[[#This Row],[Show]],TabCalc[Ticker],TabCalc[Min_Sp]),"#,#0.00")</f>
        <v>500 x 9.71</v>
      </c>
      <c r="AQ6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702" t="str" cm="1">
        <f t="array" aca="1" ref="AR62" ca="1">_xlfn.IFS(Tab_NewTRADER[[#This Row],[State]]="Reverse Buy",TEXT(-Tab_NewTRADER[[#This Row],[Buy_Back]],"#,#0")&amp;" / "&amp;TEXT(Tab_NewTRADER[[#This Row],[Rev_Buy]],"#,#0.0%"),TRUE,Tab_NewTRADER[[#This Row],[AMY]])</f>
        <v>12 / 0.1%</v>
      </c>
      <c r="AS62" s="1651"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99"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99" t="str" cm="1">
        <f t="array" aca="1" ref="AU62" ca="1">_xlfn.IFS(Tab_NewTRADER[[#This Row],[M]]&lt;Tab_NewTRADER[[#This Row],[A]],TEXT(Tab_NewTRADER[[#This Row],[N]]*Tab_NewTRADER[[#This Row],[M]]*Tab_NewTRADER[[#This Row],[Scale]]*Comm_Net,"#,#0")&amp;" @ "&amp;TEXT(Tab_NewTRADER[[#This Row],[M]],"#,#0.#0"),TRUE,"M: "&amp; Tab_NewTRADER[[#This Row],[M]])</f>
        <v>M: 13.735</v>
      </c>
      <c r="AV62" s="1703" cm="1">
        <f t="array" aca="1" ref="AV62" ca="1">-_xlfn.XLOOKUP(
    Tab_NewTRADER[[#This Row],[Show]] &amp; 2,
    TabConsolid[#Headers],
    INDEX(TabConsolid[], 1, 0)
)</f>
        <v>12.14634709090909</v>
      </c>
      <c r="AW62" s="1704">
        <f ca="1">Tab_NewTRADER[[#This Row],[M]]*Tab_NewTRADER[[#This Row],[N]]*(1-Commission)*Tab_NewTRADER[[#This Row],[Scale]]</f>
        <v>271245.92219999997</v>
      </c>
      <c r="AX62" s="1705"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705"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706" t="str" cm="1">
        <f t="array" aca="1" ref="AZ62" ca="1">_xlfn.IFS(   Tab_NewTRADER[[#This Row],[State]]=SellMorePercentGain,                     MIN(Tab_NewTRADER[[#This Row],[L_Sn]],Tab_NewTRADER[[#This Row],[N]])*(Tab_NewTRADER[[#This Row],[M]]-Tab_NewTRADER[[#This Row],[L_Sp]])*(1-Commission)*Tab_NewTRADER[[#This Row],[Scale]],                    TRUE,"")</f>
        <v/>
      </c>
      <c r="BA62" s="1723">
        <f ca="1">_xlfn.XLOOKUP(NewTrader!$V62,TabCalc[Ticker],TabCalc[Ann%RevLB])</f>
        <v>-0.13075060532687657</v>
      </c>
      <c r="BB62" s="1724">
        <f ca="1">_xlfn.XLOOKUP(NewTrader!$V62,TabCalc[Ticker],TabCalc[Up20])</f>
        <v>0</v>
      </c>
      <c r="BC62" s="1747"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706" t="str" cm="1">
        <f t="array" aca="1" ref="BD62" ca="1">_xlfn.IFS(         NewTrader!$AF62=MDown,NewTrader!$P62*NewTrader!$Y62*(-(NewTrader!$Q62+NewTrader!$Y62)/NewTrader!$Y62)*(1-Commission)*NewTrader!$A62,                               TRUE,"")</f>
        <v/>
      </c>
      <c r="BE62" s="1705" t="str" cm="1">
        <f t="array" aca="1" ref="BE62" ca="1">_xlfn.IFS(   NewTrader!$AF62=MUp,NewTrader!$BP62-Commission,        NewTrader!$AF62=MDown,(NewTrader!$X62-NewTrader!$Y62)/NewTrader!$Y62-Commission,                              TRUE,"")</f>
        <v/>
      </c>
      <c r="BF62" s="1706"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710" t="str" cm="1">
        <f t="array" aca="1" ref="BG62" ca="1">_xlfn.LET(_xlpm.SumChTxt,TEXT(_xlfn.XLOOKUP(NewTrader!$V62,ListTickers,Tab2SumChangePercent[AVGChan20]),"#0.0%"),
      _xlfn.IFS(NewTrader!$AF62=NoStock,_xlpm.SumChTxt,
      TRUE, IF(NewTrader!$AF62=SellMorePercentGain,             "SumChange "&amp;_xlpm.SumChTxt,                         "&lt;"&amp;INT(_xlfn.XLOOKUP(NewTrader!$V62,ListTickers,Tab2ReverseGL[Rev_GL19]))&amp;    "&lt;"&amp;INT(_xlfn.XLOOKUP(NewTrader!$V62,ListTickers,Tab2ReverseGL[Rev_GL18]))&amp;":      "&amp;_xlpm.SumChTxt)))</f>
        <v>&lt;0&lt;0:      -0.2%</v>
      </c>
      <c r="BH62" s="1711"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M&lt;L_Sp</v>
      </c>
      <c r="BI62" s="1712" cm="1">
        <f t="array" aca="1" ref="BI62" ca="1">_xlfn.IFS(NewTrader!$AF62=Sale_Back,"",         NewTrader!$AF62=MDown, (NewTrader!$Y62-NewTrader!$X62)/NewTrader!$X62*ComFactor,             TRUE, IFERROR((NewTrader!$Y62-NewTrader!$X62)/NewTrader!$X62*ComFactor,""))</f>
        <v>0.13045258789889227</v>
      </c>
      <c r="BJ62" s="1664" cm="1">
        <f t="array" aca="1" ref="BJ62" ca="1">_xlfn.IFS(               NewTrader!$AF62=NoStock,(NewTrader!$BL62-NewTrader!$Y62)/NewTrader!$Y62-Commission,             NewTrader!$X62&lt;&gt;0,(NewTrader!$X62-NewTrader!$Y62)/NewTrader!$Y62-Commission)</f>
        <v>-0.11826457292252705</v>
      </c>
      <c r="BK62" s="1713">
        <f ca="1">_xlfn.XLOOKUP(NewTrader!$V62,TabCalc[Ticker],TabCalc[L_Sn])</f>
        <v>1200</v>
      </c>
      <c r="BL62" s="1693">
        <f ca="1">_xlfn.XLOOKUP(NewTrader!$V62,TabCalc[Ticker],TabCalc[L_Sp])</f>
        <v>13.744999999999999</v>
      </c>
      <c r="BM62" s="1694">
        <f ca="1">-IFERROR((Tab_NewTRADER[[#This Row],[M]]-Tab_NewTRADER[[#This Row],[L_Sp]])/Tab_NewTRADER[[#This Row],[L_Sp]],0)</f>
        <v>7.2753728628590665E-4</v>
      </c>
      <c r="BN62" s="1714">
        <f ca="1">MIN(Tab_NewTRADER[[#This Row],[L_Sn]],Tab_NewTRADER[[#This Row],[N]])*(Tab_NewTRADER[[#This Row],[M]]-Tab_NewTRADER[[#This Row],[L_Sp]])*Comm_Net*Tab_NewTRADER[[#This Row],[Scale]]</f>
        <v>-11.967599999999745</v>
      </c>
      <c r="BO62" s="1715">
        <f ca="1">Tab_NewTRADER[[#This Row],[L_Sn]]*(Tab_NewTRADER[[#This Row],[Agiotage]]-Tab_NewTRADER[[#This Row],[M]])/(Tab_NewTRADER[[#This Row],[L_Bn]]*Tab_NewTRADER[[#This Row],[M]])</f>
        <v>-0.38027141706715606</v>
      </c>
      <c r="BP62" s="1716">
        <f ca="1">IFERROR((Tab_NewTRADER[[#This Row],[M]]-Tab_NewTRADER[[#This Row],[A]])/Tab_NewTRADER[[#This Row],[A]],0)</f>
        <v>0.13079264878573518</v>
      </c>
      <c r="BQ62" s="1671" t="str">
        <f ca="1">TEXT(_xlfn.XLOOKUP(Tab_NewTRADER[[#This Row],[ClickTick]],TabCalc[Ticker],TabCalc[NAfter]),"#,#0")&amp;" : "&amp;TEXT(_xlfn.XLOOKUP(Tab_NewTRADER[[#This Row],[ClickTick]],TabCalc[Ticker],TabCalc[NAfter])*(Tab_NewTRADER[[#This Row],[M]]-Tab_NewTRADER[[#This Row],[A]])*(1-Commission)*Tab_NewTRADER[[#This Row],[Scale]],"#,#0$")</f>
        <v>19,800 : 31,374$</v>
      </c>
      <c r="BR62" s="262">
        <f ca="1">_xlfn.XLOOKUP(NewTrader!$V62,TabCalc[[#This Row],[Ticker]],TabCalc[[#This Row],[GL]])*(1-Commission)</f>
        <v>91438.478759855847</v>
      </c>
      <c r="BS62" s="262"/>
      <c r="BT62" s="1672" t="str">
        <f ca="1">Tab_NewTRADER[[#This Row],[Show]]&amp;": "&amp;_xlfn.XLOOKUP(Tab_NewTRADER[[#This Row],[Show]],TabCalc[Ticker],TabCalc[Pile?])</f>
        <v xml:space="preserve">MVEORA: </v>
      </c>
      <c r="BU62" s="1717" t="s">
        <v>1938</v>
      </c>
      <c r="BV62" s="1674" t="str" cm="1">
        <f t="array" aca="1" ref="BV62" ca="1">_xlfn.TEXTJOIN("",,INDEX({"M","A","Y"}, _xlfn.SORTBY({1,2,3}, -CHOOSE({1,2,3}, Tab_NewTRADER[[#This Row],[M]], Tab_NewTRADER[[#This Row],[A]], Tab_NewTRADER[[#This Row],[Y]]))))</f>
        <v>YMA</v>
      </c>
      <c r="BW62" s="1675"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76">
        <f ca="1">Tab_NewTRADER[[#This Row],[L_Sn]]*Tab_NewTRADER[[#This Row],[L_Sp]]+Tab_NewTRADER[[#This Row],[SellMore]]*Tab_NewTRADER[[#This Row],[M]]</f>
        <v>98904</v>
      </c>
      <c r="BY62" s="1676">
        <f ca="1">INDEX(
  INDEX(TabConsolid[], , _xlfn.XMATCH(Tab_NewTRADER[[#This Row],[ClickTick]]&amp;1, TabConsolid[#Headers])),
  MATCH(
    -Tab_NewTRADER[[#This Row],[M]],
    INDEX(TabConsolid[], , _xlfn.XMATCH(Tab_NewTRADER[[#This Row],[ClickTick]]&amp;2, TabConsolid[#Headers])),
    -1
  )
)</f>
        <v>6000</v>
      </c>
      <c r="BZ62" s="1676"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6000</v>
      </c>
      <c r="CA62" s="1677">
        <f ca="1">Tab_NewTRADER[[#This Row],[ReBuy]]/(Tab_NewTRADER[[#This Row],[L_Sn]]+Tab_NewTRADER[[#This Row],[SellMore]])</f>
        <v>13.736666666666666</v>
      </c>
      <c r="CB62" s="1678">
        <f ca="1">((_xlfn.XLOOKUP(Tab_NewTRADER[[#This Row],[Show]],TabCalc[Ticker],TabCalc[NAfter])+Tab_NewTRADER[[#This Row],[L_Sn]])*(Tab_NewTRADER[[#This Row],[Agiotage]]-Tab_NewTRADER[[#This Row],[M]]))/(Tab_NewTRADER[[#This Row],[L_Sn]]*_xlfn.XLOOKUP(Tab_NewTRADER[[#This Row],[Show]],TabCalc[Ticker],TabCalc[NAfter]))</f>
        <v>-1.1540781374343978E-2</v>
      </c>
      <c r="CC62" s="1677">
        <f ca="1">INDEX(Tab1Price[Price19], MATCH(Tab_NewTRADER[[#This Row],[Show]], Tab_NewTRADER[Show], 0))</f>
        <v>13.734999999999999</v>
      </c>
      <c r="CD62" s="1679">
        <f ca="1">_xlfn.XMATCH(Tab_NewTRADER[[#This Row],[Show]]&amp;1, TabConsolid[#Headers])</f>
        <v>182</v>
      </c>
      <c r="CE62" s="1678"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729" t="str" cm="1">
        <f t="array" aca="1" ref="CF62" ca="1">_xlfn.LET(
    _xlpm.FMT, _xlfn.LAMBDA(_xlpm.n, REPT(" ", 7 - LEN(TEXT(_xlpm.n,"0.00"))) &amp; TEXT(_xlpm.n,"0.00")),
    _xlpm.FMT(Tab_NewTRADER[[#This Row],[A]]) &amp; " -" &amp; _xlpm.FMT(Tab_NewTRADER[[#This Row],[M]]) &amp; " -" &amp; _xlpm.FMT(Tab_NewTRADER[[#This Row],[Y]])
)</f>
        <v xml:space="preserve">  12.15 -  13.74 -  15.56</v>
      </c>
      <c r="CG62" s="1730" t="str" cm="1">
        <f t="array" aca="1" ref="CG62" ca="1">_xlfn.LET(
    _xlpm.W, 7,
    _xlpm.FMT, _xlfn.LAMBDA(_xlpm.n, REPT(" ", _xlpm.W - LEN(TEXT(_xlpm.n,"0.00"))) &amp; TEXT(_xlpm.n,"0.00")),
    _xlpm.FMT(Tab_NewTRADER[[#This Row],[A]]) &amp; " * " &amp; _xlpm.FMT(Tab_NewTRADER[[#This Row],[M]]) &amp; " * " &amp; _xlpm.FMT(Tab_NewTRADER[[#This Row],[Y]])
)</f>
        <v xml:space="preserve">  12.15 *   13.74 *   15.56</v>
      </c>
      <c r="CH62" s="1843">
        <f>0</f>
        <v>0</v>
      </c>
      <c r="CI62" t="str">
        <f ca="1">IF(ABS(NewTrader!$Q62)&gt;=NewTrader!$Y62,"OK")</f>
        <v>OK</v>
      </c>
    </row>
    <row r="63" spans="1:87" ht="23" hidden="1" thickBot="1">
      <c r="A63" s="1838">
        <f ca="1">IF(_xlfn.XLOOKUP(NewTrader!$V63,TabCalc[Ticker],TabCalc[Cur])="GBp",0.01,1)</f>
        <v>1</v>
      </c>
      <c r="B63" s="1620" t="str">
        <f ca="1">IFERROR(TRUNC(_xlfn.XLOOKUP(NewTrader!$V63,TabCalc[Ticker],ListLastBuyp),2)&amp;"x"&amp;_xlfn.XLOOKUP(NewTrader!$V63,TabCalc[Ticker],ListLastBuyn)&amp;"=    "&amp;IF(_xlfn.XLOOKUP(NewTrader!$V63,TabCalc[Ticker],ListReverseS)&gt;0,"+","")&amp;TEXT(_xlfn.XLOOKUP(NewTrader!$V63,TabCalc[Ticker],ListReverseS),"#,#0")&amp;" "&amp;#REF!,"")</f>
        <v/>
      </c>
      <c r="C63" s="1621" t="str">
        <f ca="1">_xlfn.XLOOKUP(NewTrader!$V63,TabCalc[Ticker],ListResale)&amp;" @ "&amp;TEXT((_xlfn.XLOOKUP(NewTrader!$V63,TabCalc[Ticker],TabCalc[L_Bp])+_xlfn.XLOOKUP(NewTrader!$V63,TabCalc[Ticker],TabCalc[M]))/_xlfn.XLOOKUP(NewTrader!$V63,TabCalc[Ticker],TabCalc[M]),"#0.0%")</f>
        <v>Resell @ 23.6%</v>
      </c>
      <c r="D63" s="1622"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718" t="str">
        <f ca="1">IF(      AND(NewTrader!$X63&lt;NewTrader!$Y63,    _xlfn.XLOOKUP(NewTrader!$V63,TabCalc[Ticker],TabCalc[L_Sp])&gt;NewTrader!$Y63),"BUY  "&amp;TEXT(DesiredBuyGain/NewTrader!$A63/(_xlfn.XLOOKUP(NewTrader!$V63,TabCalc[Ticker],TabCalc[L_Sp])-NewTrader!$Y63),"#,##0"),"")</f>
        <v/>
      </c>
      <c r="F63" s="1620" t="str">
        <f ca="1">TRUNC(TabCalc[[#This Row],[L_B1p]],2)&amp;"x"&amp;TabCalc[[#This Row],[L_B1n]]&amp;"=   "&amp;TEXT(TabCalc[[#This Row],[ReverseS1]],"#,#0")&amp;"$"</f>
        <v>-28.21x4000=   15$</v>
      </c>
      <c r="G63" s="1624" t="str">
        <f ca="1">IFERROR(TRUNC(_xlfn.XLOOKUP(NewTrader!$V63,TabCalc[Ticker],ListLastSalep),2)&amp;"x"&amp;_xlfn.XLOOKUP(NewTrader!$V63,TabCalc[Ticker],ListLastSalen)&amp;"=   "&amp;TEXT(-_xlfn.XLOOKUP(NewTrader!$V63,TabCalc[Ticker],ListReverseB),"#,#0")&amp;"$","")</f>
        <v>33.36x3999=   39,710$</v>
      </c>
      <c r="H63" s="1625"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-22.9% = 0</v>
      </c>
      <c r="I63" s="1620" t="str">
        <f ca="1">IFERROR(TRUNC(TabCalc[[#This Row],[L_S1p]],2)&amp;"x"&amp;TabCalc[[#This Row],[L_S1n]]&amp;"=   "&amp;TEXT(TabCalc[[#This Row],[ReverseB1]],"#,#0"),"")</f>
        <v>29.29x4000=   -56,000</v>
      </c>
      <c r="J63" s="1626">
        <f ca="1">_xlfn.XLOOKUP(NewTrader!$V63,TabCalc[Ticker],ListGravity)</f>
        <v>1.1128775698775699</v>
      </c>
      <c r="K63" s="1627" t="str" cm="1">
        <f t="array" aca="1" ref="K63" ca="1">IF(_xlfn.XLOOKUP(NewTrader!$V63,NewTrader!$V$3:$V$96,ListExtra_n)&gt;0,_xlfn.XLOOKUP(NewTrader!$V63,NewTrader!$V$3:$V$96,ListExtra_n),"")</f>
        <v/>
      </c>
      <c r="L63" s="1628" t="str">
        <f ca="1">IF(_xlfn.XLOOKUP(NewTrader!$V63,TabCalc[Ticker],ListExtra_n)&gt;0,_xlfn.XLOOKUP(NewTrader!$V63,TabCalc[Ticker],ListExtra_n)*NewTrader!$Y63*_xlfn.XLOOKUP(NewTrader!$V63,TabCalc[Ticker],ListScale),"")</f>
        <v/>
      </c>
      <c r="M63" s="1629">
        <f ca="1">_xlfn.XLOOKUP(NewTrader!$V63,TabCalc[Ticker],TabCalc[Agiotage])</f>
        <v>3.1362675405888028E-3</v>
      </c>
      <c r="N63" s="1630" cm="1">
        <f t="array" aca="1" ref="N63" ca="1">_xlfn.XLOOKUP(NewTrader!$V63,ListTickers,Tab2RSIConventional[RSIConv20])</f>
        <v>59</v>
      </c>
      <c r="O63" s="1631" t="str">
        <f ca="1">TEXT(_xlfn.XLOOKUP(NewTrader!$V63,TabCalc[Ticker],TabCalc[Nbegin]),"#,#0")&amp;": "&amp;_xlfn.XLOOKUP(NewTrader!$V63,TabCalc[Ticker],TabCalc[Pile?])</f>
        <v>10,000: Pile</v>
      </c>
      <c r="P63" s="1632">
        <f ca="1">_xlfn.XLOOKUP(NewTrader!$V63,TabCalc[Ticker],TabCalc[L_Bn])</f>
        <v>3000</v>
      </c>
      <c r="Q63" s="1727">
        <f ca="1">_xlfn.XLOOKUP(NewTrader!$V63,TabCalc[Ticker],TabCalc[L_Bp])</f>
        <v>-33.094999999999999</v>
      </c>
      <c r="R63" s="1634">
        <f ca="1">(NewTrader!$Y63+NewTrader!$Q63)/ABS(NewTrader!$Q63)</f>
        <v>0.30805257591781238</v>
      </c>
      <c r="S63" s="259">
        <f ca="1">INT(_xlfn.XLOOKUP(NewTrader!$V63,TabCalc[Ticker],TabCalc[Rev(MinStock)])*Comm_Net)</f>
        <v>9</v>
      </c>
      <c r="T63" s="1635">
        <f ca="1">_xlfn.XLOOKUP(NewTrader!$V63,TabCalc[Ticker],TabCalc[Agiotage])</f>
        <v>3.1362675405888028E-3</v>
      </c>
      <c r="U63" s="1719"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0/0=&gt;-0.5% / -0.5%</v>
      </c>
      <c r="V63" s="1578" t="str">
        <f ca="1">SORTING!B63</f>
        <v>MVERWE</v>
      </c>
      <c r="W63" s="1637">
        <f ca="1">_xlfn.XLOOKUP(NewTrader!$V63,TabCalc[Ticker],TabCalc[Y])</f>
        <v>48.176470000000002</v>
      </c>
      <c r="X63" s="1639">
        <f ca="1">-_xlfn.XLOOKUP(NewTrader!$V63&amp;2,Consolid!B$3:JZ$3,Consolid!B$4:JZ$4)</f>
        <v>33.181047</v>
      </c>
      <c r="Y63" s="1639">
        <f ca="1">_xlfn.XLOOKUP(NewTrader!$V63,TabCalc[Ticker],TabCalc[M])</f>
        <v>43.29</v>
      </c>
      <c r="Z63" s="1640">
        <f ca="1">_xlfn.XLOOKUP(NewTrader!$V63,[1]!RTData[Ticker_Symbol],[1]!RTData[YTChange])</f>
        <v>8.5055630630630708E-2</v>
      </c>
      <c r="AA63" s="1640" cm="1">
        <f t="array" aca="1" ref="AA63" ca="1">_xlfn.XLOOKUP(NewTrader!$V63,ListTickers,Tab1ChangePercent[Change%19])</f>
        <v>-4.5989999999999998E-3</v>
      </c>
      <c r="AB63" s="1641">
        <f ca="1">_xlfn.XLOOKUP(NewTrader!$V63,TabCalc[Ticker],TabCalc[NAfter])</f>
        <v>1</v>
      </c>
      <c r="AC63" s="1641">
        <f ca="1">_xlfn.XLOOKUP(NewTrader!$V63,TabCalc[Ticker],TabCalc[Nbegin])</f>
        <v>10000</v>
      </c>
      <c r="AD63" s="1642" t="str">
        <f ca="1">_xlfn.LET(_xlpm.PILE,_xlfn.XLOOKUP(NewTrader!$V63,TabCalc[Ticker],TabCalc[Pile?]),                    _xlpm.GL,_xlfn.XLOOKUP(NewTrader!$V63,TabCalc[Ticker],TabCalc[GL]),                        _xlpm.GLK,_xlfn.XLOOKUP(NewTrader!$V63,TabCalc[Ticker],TabCalc[GL])/1000,                             _xlpm.MVal,_xlfn.XLOOKUP(NewTrader!$V63,TabCalc[Ticker],TabCalc[M_V])/1000,                   _xlpm.PILE&amp;" "&amp;IF(_xlpm.GL&lt;0,TEXT(_xlpm.GLK,"#,#0")&amp;"K /"&amp;TEXT(_xlpm.MVal,"#,#0")&amp;" K$","^"&amp;TEXT(_xlpm.GLK,"#,#0")&amp;"K / "&amp;TEXT(_xlpm.MVal,"#,#0")&amp;" K$"))</f>
        <v>Pile ^38K / 0 K$</v>
      </c>
      <c r="AE63" s="1643" t="str">
        <f ca="1">_xlfn.XLOOKUP(NewTrader!$V63,[1]!RTData[Ticker_Symbol],[1]!RTData[Currency])</f>
        <v>EUR</v>
      </c>
      <c r="AF63" s="1721"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698" t="str" cm="1">
        <f t="array" aca="1" ref="AH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43.29 -  48.18</v>
      </c>
      <c r="AI6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3" s="1651" t="str" cm="1">
        <f t="array" aca="1" ref="AJ63" ca="1">_xlfn.IFS(Tab_NewTRADER[[#This Row],[State]]="Sell More",TEXT(MIN(Tab_NewTRADER[[#This Row],[N]],Tab_NewTRADER[[#This Row],[L_Bn]])*(Tab_NewTRADER[[#This Row],[M]]-Tab_NewTRADER[[#This Row],[L_Sp]])*Tab_NewTRADER[[#This Row],[Scale]]*ComFactor,"#,#0"), TRUE,"M= "&amp;TEXT(Tab_NewTRADER[[#This Row],[M]],"#,#0.00"))</f>
        <v>10</v>
      </c>
      <c r="AK63" s="1699" t="str" cm="1">
        <f t="array" aca="1" ref="AK63" ca="1">_xlfn.IFS(Tab_NewTRADER[[#This Row],[Y]]&gt;Tab_NewTRADER[[#This Row],[A]],                 TEXT(MIN(Tab_NewTRADER[[#This Row],[L_Bn]],Tab_NewTRADER[[#This Row],[N]])*(Tab_NewTRADER[[#This Row],[M]]-Tab_NewTRADER[[#This Row],[A]])*Tab_NewTRADER[[#This Row],[Scale]]*ComFactor,"#,#0"), TRUE,0)</f>
        <v>10</v>
      </c>
      <c r="AL63" s="1700" cm="1">
        <f t="array" aca="1" ref="AL63" ca="1">_xlfn.IFS(Tab_NewTRADER[[#This Row],[M]]&gt;Tab_NewTRADER[[#This Row],[A]],                  Tab_NewTRADER[[#This Row],[N]]*(Tab_NewTRADER[[#This Row],[M]]-Tab_NewTRADER[[#This Row],[A]])*Tab_NewTRADER[[#This Row],[Scale]]*ComFactor, TRUE,0)</f>
        <v>10.082669722199999</v>
      </c>
      <c r="AM63" s="1592" t="str">
        <f ca="1">_xlfn.XLOOKUP(Tab_NewTRADER[[#This Row],[Show]],TabCalc[Ticker],TabCalc[Max_Bn])&amp;" x "&amp;TEXT(_xlfn.XLOOKUP(Tab_NewTRADER[[#This Row],[Show]],TabCalc[Ticker],TabCalc[Max_Bp]),"#,#0.00")</f>
        <v>1 x 33.18</v>
      </c>
      <c r="AN63" s="1650" t="str">
        <f ca="1">NewTrader!$V63</f>
        <v>MVERWE</v>
      </c>
      <c r="AO63" s="1651" t="str">
        <f ca="1">TEXT(_xlfn.XLOOKUP(Tab_NewTRADER[[#This Row],[ClickTick]],TabCalc[Ticker],TabCalc[NAfter]),"#,#0")&amp;"x"&amp;_xlfn.XLOOKUP(Tab_NewTRADER[[#This Row],[ClickTick]],TabCalc[Ticker],TabCalc[M])&amp;"           (A: "&amp;TEXT(-_xlfn.XLOOKUP(Tab_NewTRADER[[#This Row],[ClickTick]]&amp;2,Consolid!B$3:JZ$3,Consolid!B$4:JZ$4),"#,??0.00")&amp;")"</f>
        <v>1x43.29           (A:  33.18)</v>
      </c>
      <c r="AP63" s="1592" t="str">
        <f ca="1">_xlfn.XLOOKUP(Tab_NewTRADER[[#This Row],[Show]],TabCalc[Ticker],TabCalc[Min_Sn])&amp;" x "&amp;TEXT(_xlfn.XLOOKUP(Tab_NewTRADER[[#This Row],[Show]],TabCalc[Ticker],TabCalc[Min_Sp]),"#,#0.00")</f>
        <v>3999 x 29.29</v>
      </c>
      <c r="AQ6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702" t="str" cm="1">
        <f t="array" aca="1" ref="AR63" ca="1">_xlfn.IFS(Tab_NewTRADER[[#This Row],[State]]="Reverse Buy",TEXT(-Tab_NewTRADER[[#This Row],[Buy_Back]],"#,#0")&amp;" / "&amp;TEXT(Tab_NewTRADER[[#This Row],[Rev_Buy]],"#,#0.0%"),TRUE,Tab_NewTRADER[[#This Row],[AMY]])</f>
        <v xml:space="preserve">  33.18 -  43.29 -  48.18</v>
      </c>
      <c r="AS63" s="1651"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99"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99" t="str" cm="1">
        <f t="array" aca="1" ref="AU63" ca="1">_xlfn.IFS(Tab_NewTRADER[[#This Row],[M]]&lt;Tab_NewTRADER[[#This Row],[A]],TEXT(Tab_NewTRADER[[#This Row],[N]]*Tab_NewTRADER[[#This Row],[M]]*Tab_NewTRADER[[#This Row],[Scale]]*Comm_Net,"#,#0")&amp;" @ "&amp;TEXT(Tab_NewTRADER[[#This Row],[M]],"#,#0.#0"),TRUE,"M: "&amp; Tab_NewTRADER[[#This Row],[M]])</f>
        <v>M: 43.29</v>
      </c>
      <c r="AV63" s="1740" cm="1">
        <f t="array" aca="1" ref="AV63" ca="1">-_xlfn.XLOOKUP(
    Tab_NewTRADER[[#This Row],[Show]] &amp; 2,
    TabConsolid[#Headers],
    INDEX(TabConsolid[], 1, 0)
)</f>
        <v>33.181047</v>
      </c>
      <c r="AW63" s="1741">
        <f ca="1">Tab_NewTRADER[[#This Row],[M]]*Tab_NewTRADER[[#This Row],[N]]*(1-Commission)*Tab_NewTRADER[[#This Row],[Scale]]</f>
        <v>43.177445999999996</v>
      </c>
      <c r="AX63" s="1705"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705"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706" t="str" cm="1">
        <f t="array" aca="1" ref="AZ63" ca="1">_xlfn.IFS(   Tab_NewTRADER[[#This Row],[State]]=SellMorePercentGain,                     MIN(Tab_NewTRADER[[#This Row],[L_Sn]],Tab_NewTRADER[[#This Row],[N]])*(Tab_NewTRADER[[#This Row],[M]]-Tab_NewTRADER[[#This Row],[L_Sp]])*(1-Commission)*Tab_NewTRADER[[#This Row],[Scale]],                    TRUE,"")</f>
        <v/>
      </c>
      <c r="BA63" s="1723">
        <f ca="1">_xlfn.XLOOKUP(NewTrader!$V63,TabCalc[Ticker],TabCalc[Ann%RevLB])</f>
        <v>0.49730460686283612</v>
      </c>
      <c r="BB63" s="1724">
        <f ca="1">_xlfn.XLOOKUP(NewTrader!$V63,TabCalc[Ticker],TabCalc[Up20])</f>
        <v>0</v>
      </c>
      <c r="BC63" s="1742"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706" t="str" cm="1">
        <f t="array" aca="1" ref="BD63" ca="1">_xlfn.IFS(         NewTrader!$AF63=MDown,NewTrader!$P63*NewTrader!$Y63*(-(NewTrader!$Q63+NewTrader!$Y63)/NewTrader!$Y63)*(1-Commission)*NewTrader!$A63,                               TRUE,"")</f>
        <v/>
      </c>
      <c r="BE63" s="1705" t="str" cm="1">
        <f t="array" aca="1" ref="BE63" ca="1">_xlfn.IFS(   NewTrader!$AF63=MUp,NewTrader!$BP63-Commission,        NewTrader!$AF63=MDown,(NewTrader!$X63-NewTrader!$Y63)/NewTrader!$Y63-Commission,                              TRUE,"")</f>
        <v/>
      </c>
      <c r="BF63" s="1706"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710" t="str" cm="1">
        <f t="array" aca="1" ref="BG63" ca="1">_xlfn.LET(_xlpm.SumChTxt,TEXT(_xlfn.XLOOKUP(NewTrader!$V63,ListTickers,Tab2SumChangePercent[AVGChan20]),"#0.0%"),
      _xlfn.IFS(NewTrader!$AF63=NoStock,_xlpm.SumChTxt,
      TRUE, IF(NewTrader!$AF63=SellMorePercentGain,             "SumChange "&amp;_xlpm.SumChTxt,                         "&lt;"&amp;INT(_xlfn.XLOOKUP(NewTrader!$V63,ListTickers,Tab2ReverseGL[Rev_GL19]))&amp;    "&lt;"&amp;INT(_xlfn.XLOOKUP(NewTrader!$V63,ListTickers,Tab2ReverseGL[Rev_GL18]))&amp;":      "&amp;_xlpm.SumChTxt)))</f>
        <v>&lt;0&lt;0:      0.1%</v>
      </c>
      <c r="BH63" s="1711"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1x10.1</v>
      </c>
      <c r="BI63" s="1712" cm="1">
        <f t="array" aca="1" ref="BI63" ca="1">_xlfn.IFS(NewTrader!$AF63=Sale_Back,"",         NewTrader!$AF63=MDown, (NewTrader!$Y63-NewTrader!$X63)/NewTrader!$X63*ComFactor,             TRUE, IFERROR((NewTrader!$Y63-NewTrader!$X63)/NewTrader!$X63*ComFactor,""))</f>
        <v>0.30386834153244169</v>
      </c>
      <c r="BJ63" s="1664" cm="1">
        <f t="array" aca="1" ref="BJ63" ca="1">_xlfn.IFS(               NewTrader!$AF63=NoStock,(NewTrader!$BL63-NewTrader!$Y63)/NewTrader!$Y63-Commission,             NewTrader!$X63&lt;&gt;0,(NewTrader!$X63-NewTrader!$Y63)/NewTrader!$Y63-Commission)</f>
        <v>-0.23611704781704781</v>
      </c>
      <c r="BK63" s="1726">
        <f ca="1">_xlfn.XLOOKUP(NewTrader!$V63,TabCalc[Ticker],TabCalc[L_Sn])</f>
        <v>3999</v>
      </c>
      <c r="BL63" s="1727">
        <f ca="1">_xlfn.XLOOKUP(NewTrader!$V63,TabCalc[Ticker],TabCalc[L_Sp])</f>
        <v>33.36</v>
      </c>
      <c r="BM63" s="1634">
        <f ca="1">-IFERROR((Tab_NewTRADER[[#This Row],[M]]-Tab_NewTRADER[[#This Row],[L_Sp]])/Tab_NewTRADER[[#This Row],[L_Sp]],0)</f>
        <v>-0.2976618705035971</v>
      </c>
      <c r="BN63" s="1728">
        <f ca="1">MIN(Tab_NewTRADER[[#This Row],[L_Sn]],Tab_NewTRADER[[#This Row],[N]])*(Tab_NewTRADER[[#This Row],[M]]-Tab_NewTRADER[[#This Row],[L_Sp]])*Comm_Net*Tab_NewTRADER[[#This Row],[Scale]]</f>
        <v>9.9031889999999994</v>
      </c>
      <c r="BO63" s="1715">
        <f ca="1">Tab_NewTRADER[[#This Row],[L_Sn]]*(Tab_NewTRADER[[#This Row],[Agiotage]]-Tab_NewTRADER[[#This Row],[M]])/(Tab_NewTRADER[[#This Row],[L_Bn]]*Tab_NewTRADER[[#This Row],[M]])</f>
        <v>-1.3329034270124367</v>
      </c>
      <c r="BP63" s="1670">
        <f ca="1">IFERROR((Tab_NewTRADER[[#This Row],[M]]-Tab_NewTRADER[[#This Row],[A]])/Tab_NewTRADER[[#This Row],[A]],0)</f>
        <v>0.30466045872512704</v>
      </c>
      <c r="BQ63" s="1671" t="str">
        <f ca="1">TEXT(_xlfn.XLOOKUP(Tab_NewTRADER[[#This Row],[ClickTick]],TabCalc[Ticker],TabCalc[NAfter]),"#,#0")&amp;" : "&amp;TEXT(_xlfn.XLOOKUP(Tab_NewTRADER[[#This Row],[ClickTick]],TabCalc[Ticker],TabCalc[NAfter])*(Tab_NewTRADER[[#This Row],[M]]-Tab_NewTRADER[[#This Row],[A]])*(1-Commission)*Tab_NewTRADER[[#This Row],[Scale]],"#,#0$")</f>
        <v>1 : 10$</v>
      </c>
      <c r="BR63" s="259">
        <f ca="1">_xlfn.XLOOKUP(NewTrader!$V63,TabCalc[[#This Row],[Ticker]],TabCalc[[#This Row],[GL]])*(1-Commission)</f>
        <v>37557.835306295448</v>
      </c>
      <c r="BS63" s="259"/>
      <c r="BT63" s="1672" t="str">
        <f ca="1">Tab_NewTRADER[[#This Row],[Show]]&amp;": "&amp;_xlfn.XLOOKUP(Tab_NewTRADER[[#This Row],[Show]],TabCalc[Ticker],TabCalc[Pile?])</f>
        <v>MVERWE: Pile</v>
      </c>
      <c r="BU63" s="1717" t="s">
        <v>1939</v>
      </c>
      <c r="BV63" s="1674" t="str" cm="1">
        <f t="array" aca="1" ref="BV63" ca="1">_xlfn.TEXTJOIN("",,INDEX({"M","A","Y"}, _xlfn.SORTBY({1,2,3}, -CHOOSE({1,2,3}, Tab_NewTRADER[[#This Row],[M]], Tab_NewTRADER[[#This Row],[A]], Tab_NewTRADER[[#This Row],[Y]]))))</f>
        <v>YMA</v>
      </c>
      <c r="BW63" s="1675"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76">
        <f ca="1">Tab_NewTRADER[[#This Row],[L_Sn]]*Tab_NewTRADER[[#This Row],[L_Sp]]+Tab_NewTRADER[[#This Row],[SellMore]]*Tab_NewTRADER[[#This Row],[M]]</f>
        <v>133449.93</v>
      </c>
      <c r="BY63" s="1676">
        <f ca="1">INDEX(
  INDEX(TabConsolid[], , _xlfn.XMATCH(Tab_NewTRADER[[#This Row],[ClickTick]]&amp;1, TabConsolid[#Headers])),
  MATCH(
    -Tab_NewTRADER[[#This Row],[M]],
    INDEX(TabConsolid[], , _xlfn.XMATCH(Tab_NewTRADER[[#This Row],[ClickTick]]&amp;2, TabConsolid[#Headers])),
    -1
  )
)</f>
        <v>1</v>
      </c>
      <c r="BZ63" s="1676"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77">
        <f ca="1">Tab_NewTRADER[[#This Row],[ReBuy]]/(Tab_NewTRADER[[#This Row],[L_Sn]]+Tab_NewTRADER[[#This Row],[SellMore]])</f>
        <v>33.362482499999999</v>
      </c>
      <c r="CB63" s="1678">
        <f ca="1">((_xlfn.XLOOKUP(Tab_NewTRADER[[#This Row],[Show]],TabCalc[Ticker],TabCalc[NAfter])+Tab_NewTRADER[[#This Row],[L_Sn]])*(Tab_NewTRADER[[#This Row],[Agiotage]]-Tab_NewTRADER[[#This Row],[M]]))/(Tab_NewTRADER[[#This Row],[L_Sn]]*_xlfn.XLOOKUP(Tab_NewTRADER[[#This Row],[Show]],TabCalc[Ticker],TabCalc[NAfter]))</f>
        <v>-43.297688154498033</v>
      </c>
      <c r="CC63" s="1677">
        <f ca="1">INDEX(Tab1Price[Price19], MATCH(Tab_NewTRADER[[#This Row],[Show]], Tab_NewTRADER[Show], 0))</f>
        <v>43.29</v>
      </c>
      <c r="CD63" s="1679">
        <f ca="1">_xlfn.XMATCH(Tab_NewTRADER[[#This Row],[Show]]&amp;1, TabConsolid[#Headers])</f>
        <v>185</v>
      </c>
      <c r="CE63" s="1678"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729" t="str" cm="1">
        <f t="array" aca="1" ref="CF63" ca="1">_xlfn.LET(
    _xlpm.FMT, _xlfn.LAMBDA(_xlpm.n, REPT(" ", 7 - LEN(TEXT(_xlpm.n,"0.00"))) &amp; TEXT(_xlpm.n,"0.00")),
    _xlpm.FMT(Tab_NewTRADER[[#This Row],[A]]) &amp; " -" &amp; _xlpm.FMT(Tab_NewTRADER[[#This Row],[M]]) &amp; " -" &amp; _xlpm.FMT(Tab_NewTRADER[[#This Row],[Y]])
)</f>
        <v xml:space="preserve">  33.18 -  43.29 -  48.18</v>
      </c>
      <c r="CG63" s="1730" t="str" cm="1">
        <f t="array" aca="1" ref="CG63" ca="1">_xlfn.LET(
    _xlpm.W, 7,
    _xlpm.FMT, _xlfn.LAMBDA(_xlpm.n, REPT(" ", _xlpm.W - LEN(TEXT(_xlpm.n,"0.00"))) &amp; TEXT(_xlpm.n,"0.00")),
    _xlpm.FMT(Tab_NewTRADER[[#This Row],[A]]) &amp; " * " &amp; _xlpm.FMT(Tab_NewTRADER[[#This Row],[M]]) &amp; " * " &amp; _xlpm.FMT(Tab_NewTRADER[[#This Row],[Y]])
)</f>
        <v xml:space="preserve">  33.18 *   43.29 *   48.18</v>
      </c>
      <c r="CH63" s="1843">
        <f>0</f>
        <v>0</v>
      </c>
      <c r="CI63" t="b">
        <f ca="1">IF(ABS(NewTrader!$Q63)&gt;=NewTrader!$Y63,"OK")</f>
        <v>0</v>
      </c>
    </row>
    <row r="64" spans="1:87" ht="23" hidden="1" thickBot="1">
      <c r="A64" s="1839">
        <f ca="1">IF(_xlfn.XLOOKUP(NewTrader!$V64,TabCalc[Ticker],TabCalc[Cur])="GBp",0.01,1)</f>
        <v>1</v>
      </c>
      <c r="B64" s="1681" t="str">
        <f ca="1">IFERROR(TRUNC(_xlfn.XLOOKUP(NewTrader!$V64,TabCalc[Ticker],ListLastBuyp),2)&amp;"x"&amp;_xlfn.XLOOKUP(NewTrader!$V64,TabCalc[Ticker],ListLastBuyn)&amp;"=    "&amp;IF(_xlfn.XLOOKUP(NewTrader!$V64,TabCalc[Ticker],ListReverseS)&gt;0,"+","")&amp;TEXT(_xlfn.XLOOKUP(NewTrader!$V64,TabCalc[Ticker],ListReverseS),"#,#0")&amp;" "&amp;#REF!,"")</f>
        <v/>
      </c>
      <c r="C64" s="1682" t="str">
        <f ca="1">_xlfn.XLOOKUP(NewTrader!$V64,TabCalc[Ticker],ListResale)&amp;" @ "&amp;TEXT((_xlfn.XLOOKUP(NewTrader!$V64,TabCalc[Ticker],TabCalc[L_Bp])+_xlfn.XLOOKUP(NewTrader!$V64,TabCalc[Ticker],TabCalc[M]))/_xlfn.XLOOKUP(NewTrader!$V64,TabCalc[Ticker],TabCalc[M]),"#0.0%")</f>
        <v>Resell @ 1.4%</v>
      </c>
      <c r="D64" s="1683"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84" t="str">
        <f ca="1">IF(      AND(NewTrader!$X64&lt;NewTrader!$Y64,    _xlfn.XLOOKUP(NewTrader!$V64,TabCalc[Ticker],TabCalc[L_Sp])&gt;NewTrader!$Y64),"BUY  "&amp;TEXT(DesiredBuyGain/NewTrader!$A64/(_xlfn.XLOOKUP(NewTrader!$V64,TabCalc[Ticker],TabCalc[L_Sp])-NewTrader!$Y64),"#,##0"),"")</f>
        <v/>
      </c>
      <c r="F64" s="1681" t="str">
        <f ca="1">TRUNC(TabCalc[[#This Row],[L_B1p]],2)&amp;"x"&amp;TabCalc[[#This Row],[L_B1n]]&amp;"=   "&amp;TEXT(TabCalc[[#This Row],[ReverseS1]],"#,#0")&amp;"$"</f>
        <v>-250.9x200=   -8,320$</v>
      </c>
      <c r="G64" s="1685" t="str">
        <f ca="1">IFERROR(TRUNC(_xlfn.XLOOKUP(NewTrader!$V64,TabCalc[Ticker],ListLastSalep),2)&amp;"x"&amp;_xlfn.XLOOKUP(NewTrader!$V64,TabCalc[Ticker],ListLastSalen)&amp;"=   "&amp;TEXT(-_xlfn.XLOOKUP(NewTrader!$V64,TabCalc[Ticker],ListReverseB),"#,#0")&amp;"$","")</f>
        <v>267.48x500=   -29,090$</v>
      </c>
      <c r="H64" s="1686"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27.8% = 86</v>
      </c>
      <c r="I64" s="1681" t="str">
        <f ca="1">IFERROR(TRUNC(TabCalc[[#This Row],[L_S1p]],2)&amp;"x"&amp;TabCalc[[#This Row],[L_S1n]]&amp;"=   "&amp;TEXT(TabCalc[[#This Row],[ReverseB1]],"#,#0"),"")</f>
        <v>263.8x500=   27,250</v>
      </c>
      <c r="J64" s="1687">
        <f ca="1">_xlfn.XLOOKUP(NewTrader!$V64,TabCalc[Ticker],ListGravity)</f>
        <v>1.370043000477783</v>
      </c>
      <c r="K64" s="1688" t="str" cm="1">
        <f t="array" aca="1" ref="K64" ca="1">IF(_xlfn.XLOOKUP(NewTrader!$V64,NewTrader!$V$3:$V$96,ListExtra_n)&gt;0,_xlfn.XLOOKUP(NewTrader!$V64,NewTrader!$V$3:$V$96,ListExtra_n),"")</f>
        <v/>
      </c>
      <c r="L64" s="1689" t="str">
        <f ca="1">IF(_xlfn.XLOOKUP(NewTrader!$V64,TabCalc[Ticker],ListExtra_n)&gt;0,_xlfn.XLOOKUP(NewTrader!$V64,TabCalc[Ticker],ListExtra_n)*NewTrader!$Y64*_xlfn.XLOOKUP(NewTrader!$V64,TabCalc[Ticker],ListScale),"")</f>
        <v/>
      </c>
      <c r="M64" s="1690">
        <f ca="1">_xlfn.XLOOKUP(NewTrader!$V64,TabCalc[Ticker],TabCalc[Agiotage])</f>
        <v>1.6723113482056255</v>
      </c>
      <c r="N64" s="1691" cm="1">
        <f t="array" aca="1" ref="N64" ca="1">_xlfn.XLOOKUP(NewTrader!$V64,ListTickers,Tab2RSIConventional[RSIConv20])</f>
        <v>66</v>
      </c>
      <c r="O64" s="1631" t="str">
        <f ca="1">TEXT(_xlfn.XLOOKUP(NewTrader!$V64,TabCalc[Ticker],TabCalc[Nbegin]),"#,#0")&amp;": "&amp;_xlfn.XLOOKUP(NewTrader!$V64,TabCalc[Ticker],TabCalc[Pile?])</f>
        <v>1,000: Pile</v>
      </c>
      <c r="P64" s="1691">
        <f ca="1">_xlfn.XLOOKUP(NewTrader!$V64,TabCalc[Ticker],TabCalc[L_Bn])</f>
        <v>499</v>
      </c>
      <c r="Q64" s="1731">
        <f ca="1">_xlfn.XLOOKUP(NewTrader!$V64,TabCalc[Ticker],TabCalc[L_Bp])</f>
        <v>-206.43</v>
      </c>
      <c r="R64" s="1694">
        <f ca="1">(NewTrader!$Y64+NewTrader!$Q64)/ABS(NewTrader!$Q64)</f>
        <v>1.3903017972193985E-2</v>
      </c>
      <c r="S64" s="262">
        <f ca="1">INT(_xlfn.XLOOKUP(NewTrader!$V64,TabCalc[Ticker],TabCalc[Rev(MinStock)])*Comm_Net)</f>
        <v>1424</v>
      </c>
      <c r="T64" s="1635">
        <f ca="1">_xlfn.XLOOKUP(NewTrader!$V64,TabCalc[Ticker],TabCalc[Agiotage])</f>
        <v>1.6723113482056255</v>
      </c>
      <c r="U64" s="1695"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4,770/4,770=&gt;-0.8% / -0.8%</v>
      </c>
      <c r="V64" s="1578" t="str">
        <f ca="1">SORTING!B64</f>
        <v>MVESAP</v>
      </c>
      <c r="W64" s="1637">
        <f ca="1">_xlfn.XLOOKUP(NewTrader!$V64,TabCalc[Ticker],TabCalc[Y])</f>
        <v>286.75</v>
      </c>
      <c r="X64" s="1639">
        <f ca="1">-_xlfn.XLOOKUP(NewTrader!$V64&amp;2,Consolid!B$3:JZ$3,Consolid!B$4:JZ$4)</f>
        <v>228.78379529999998</v>
      </c>
      <c r="Y64" s="1639">
        <f ca="1">_xlfn.XLOOKUP(NewTrader!$V64,TabCalc[Ticker],TabCalc[M])</f>
        <v>209.3</v>
      </c>
      <c r="Z64" s="1640">
        <f ca="1">_xlfn.XLOOKUP(NewTrader!$V64,[1]!RTData[Ticker_Symbol],[1]!RTData[YTChange])</f>
        <v>-8.3045535942696425E-2</v>
      </c>
      <c r="AA64" s="1640" cm="1">
        <f t="array" aca="1" ref="AA64" ca="1">_xlfn.XLOOKUP(NewTrader!$V64,ListTickers,Tab1ChangePercent[Change%19])</f>
        <v>-7.8220000000000008E-3</v>
      </c>
      <c r="AB64" s="1641">
        <f ca="1">_xlfn.XLOOKUP(NewTrader!$V64,TabCalc[Ticker],TabCalc[NAfter])</f>
        <v>900</v>
      </c>
      <c r="AC64" s="1641">
        <f ca="1">_xlfn.XLOOKUP(NewTrader!$V64,TabCalc[Ticker],TabCalc[Nbegin])</f>
        <v>1000</v>
      </c>
      <c r="AD64" s="1642" t="str">
        <f ca="1">_xlfn.LET(_xlpm.PILE,_xlfn.XLOOKUP(NewTrader!$V64,TabCalc[Ticker],TabCalc[Pile?]),                    _xlpm.GL,_xlfn.XLOOKUP(NewTrader!$V64,TabCalc[Ticker],TabCalc[GL]),                        _xlpm.GLK,_xlfn.XLOOKUP(NewTrader!$V64,TabCalc[Ticker],TabCalc[GL])/1000,                             _xlpm.MVal,_xlfn.XLOOKUP(NewTrader!$V64,TabCalc[Ticker],TabCalc[M_V])/1000,                   _xlpm.PILE&amp;" "&amp;IF(_xlpm.GL&lt;0,TEXT(_xlpm.GLK,"#,#0")&amp;"K /"&amp;TEXT(_xlpm.MVal,"#,#0")&amp;" K$","^"&amp;TEXT(_xlpm.GLK,"#,#0")&amp;"K / "&amp;TEXT(_xlpm.MVal,"#,#0")&amp;" K$"))</f>
        <v>Pile ^48K / 188 K$</v>
      </c>
      <c r="AE64" s="1643" t="str">
        <f ca="1">_xlfn.XLOOKUP(NewTrader!$V64,[1]!RTData[Ticker_Symbol],[1]!RTData[Currency])</f>
        <v>EUR</v>
      </c>
      <c r="AF64" s="1721"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698" t="str" cm="1">
        <f t="array" aca="1" ref="AH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1,424 @ 209.30 : (1.4%, 62.6%)</v>
      </c>
      <c r="AI6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64" s="1651" t="str" cm="1">
        <f t="array" aca="1" ref="AJ64" ca="1">_xlfn.IFS(Tab_NewTRADER[[#This Row],[State]]="Sell More",TEXT(MIN(Tab_NewTRADER[[#This Row],[N]],Tab_NewTRADER[[#This Row],[L_Bn]])*(Tab_NewTRADER[[#This Row],[M]]-Tab_NewTRADER[[#This Row],[L_Sp]])*Tab_NewTRADER[[#This Row],[Scale]]*ComFactor,"#,#0"), TRUE,"M= "&amp;TEXT(Tab_NewTRADER[[#This Row],[M]],"#,#0.00"))</f>
        <v>M= 209.30</v>
      </c>
      <c r="AK64" s="1699" t="str" cm="1">
        <f t="array" aca="1" ref="AK64" ca="1">_xlfn.IFS(Tab_NewTRADER[[#This Row],[Y]]&gt;Tab_NewTRADER[[#This Row],[A]],                 TEXT(MIN(Tab_NewTRADER[[#This Row],[L_Bn]],Tab_NewTRADER[[#This Row],[N]])*(Tab_NewTRADER[[#This Row],[M]]-Tab_NewTRADER[[#This Row],[A]])*Tab_NewTRADER[[#This Row],[Scale]]*ComFactor,"#,#0"), TRUE,0)</f>
        <v>-9,697</v>
      </c>
      <c r="AL64" s="1700" cm="1">
        <f t="array" aca="1" ref="AL64" ca="1">_xlfn.IFS(Tab_NewTRADER[[#This Row],[M]]&gt;Tab_NewTRADER[[#This Row],[A]],                  Tab_NewTRADER[[#This Row],[N]]*(Tab_NewTRADER[[#This Row],[M]]-Tab_NewTRADER[[#This Row],[A]])*Tab_NewTRADER[[#This Row],[Scale]]*ComFactor, TRUE,0)</f>
        <v>0</v>
      </c>
      <c r="AM64" s="1592" t="str">
        <f ca="1">_xlfn.XLOOKUP(Tab_NewTRADER[[#This Row],[Show]],TabCalc[Ticker],TabCalc[Max_Bn])&amp;" x "&amp;TEXT(_xlfn.XLOOKUP(Tab_NewTRADER[[#This Row],[Show]],TabCalc[Ticker],TabCalc[Max_Bp]),"#,#0.00")</f>
        <v>1 x 262.88</v>
      </c>
      <c r="AN64" s="1650" t="str">
        <f ca="1">NewTrader!$V64</f>
        <v>MVESAP</v>
      </c>
      <c r="AO64" s="1651" t="str">
        <f ca="1">TEXT(_xlfn.XLOOKUP(Tab_NewTRADER[[#This Row],[ClickTick]],TabCalc[Ticker],TabCalc[NAfter]),"#,#0")&amp;"x"&amp;_xlfn.XLOOKUP(Tab_NewTRADER[[#This Row],[ClickTick]],TabCalc[Ticker],TabCalc[M])&amp;"           (A: "&amp;TEXT(-_xlfn.XLOOKUP(Tab_NewTRADER[[#This Row],[ClickTick]]&amp;2,Consolid!B$3:JZ$3,Consolid!B$4:JZ$4),"#,??0.00")&amp;")"</f>
        <v>900x209.3           (A: 228.78)</v>
      </c>
      <c r="AP64" s="1592" t="str">
        <f ca="1">_xlfn.XLOOKUP(Tab_NewTRADER[[#This Row],[Show]],TabCalc[Ticker],TabCalc[Min_Sn])&amp;" x "&amp;TEXT(_xlfn.XLOOKUP(Tab_NewTRADER[[#This Row],[Show]],TabCalc[Ticker],TabCalc[Min_Sp]),"#,#0.00")</f>
        <v>90 x 160.04</v>
      </c>
      <c r="AQ6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702" t="str" cm="1">
        <f t="array" aca="1" ref="AR64" ca="1">_xlfn.IFS(Tab_NewTRADER[[#This Row],[State]]="Reverse Buy",TEXT(-Tab_NewTRADER[[#This Row],[Buy_Back]],"#,#0")&amp;" / "&amp;TEXT(Tab_NewTRADER[[#This Row],[Rev_Buy]],"#,#0.0%"),TRUE,Tab_NewTRADER[[#This Row],[AMY]])</f>
        <v xml:space="preserve"> 228.78 - 209.30 - 286.75</v>
      </c>
      <c r="AS64" s="1651"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-2,576       / -01.4%</v>
      </c>
      <c r="AT64" s="1699"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-17,490   / -9.3%</v>
      </c>
      <c r="AU64" s="1699" t="str" cm="1">
        <f t="array" aca="1" ref="AU64" ca="1">_xlfn.IFS(Tab_NewTRADER[[#This Row],[M]]&lt;Tab_NewTRADER[[#This Row],[A]],TEXT(Tab_NewTRADER[[#This Row],[N]]*Tab_NewTRADER[[#This Row],[M]]*Tab_NewTRADER[[#This Row],[Scale]]*Comm_Net,"#,#0")&amp;" @ "&amp;TEXT(Tab_NewTRADER[[#This Row],[M]],"#,#0.#0"),TRUE,"M: "&amp; Tab_NewTRADER[[#This Row],[M]])</f>
        <v>187,861 @ 209.30</v>
      </c>
      <c r="AV64" s="1703" cm="1">
        <f t="array" aca="1" ref="AV64" ca="1">-_xlfn.XLOOKUP(
    Tab_NewTRADER[[#This Row],[Show]] &amp; 2,
    TabConsolid[#Headers],
    INDEX(TabConsolid[], 1, 0)
)</f>
        <v>228.78379529999998</v>
      </c>
      <c r="AW64" s="1704">
        <f ca="1">Tab_NewTRADER[[#This Row],[M]]*Tab_NewTRADER[[#This Row],[N]]*(1-Commission)*Tab_NewTRADER[[#This Row],[Scale]]</f>
        <v>187880.23799999998</v>
      </c>
      <c r="AX64" s="1705"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705"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706" t="str" cm="1">
        <f t="array" aca="1" ref="AZ64" ca="1">_xlfn.IFS(   Tab_NewTRADER[[#This Row],[State]]=SellMorePercentGain,                     MIN(Tab_NewTRADER[[#This Row],[L_Sn]],Tab_NewTRADER[[#This Row],[N]])*(Tab_NewTRADER[[#This Row],[M]]-Tab_NewTRADER[[#This Row],[L_Sp]])*(1-Commission)*Tab_NewTRADER[[#This Row],[Scale]],                    TRUE,"")</f>
        <v/>
      </c>
      <c r="BA64" s="1707">
        <f ca="1">_xlfn.XLOOKUP(NewTrader!$V64,TabCalc[Ticker],TabCalc[Ann%RevLB])</f>
        <v>0.62563580874872937</v>
      </c>
      <c r="BB64" s="1708" t="str">
        <f ca="1">_xlfn.XLOOKUP(NewTrader!$V64,TabCalc[Ticker],TabCalc[Up20])</f>
        <v>//56%</v>
      </c>
      <c r="BC64" s="1747"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706" t="str" cm="1">
        <f t="array" aca="1" ref="BD64" ca="1">_xlfn.IFS(         NewTrader!$AF64=MDown,NewTrader!$P64*NewTrader!$Y64*(-(NewTrader!$Q64+NewTrader!$Y64)/NewTrader!$Y64)*(1-Commission)*NewTrader!$A64,                               TRUE,"")</f>
        <v/>
      </c>
      <c r="BE64" s="1705" t="str" cm="1">
        <f t="array" aca="1" ref="BE64" ca="1">_xlfn.IFS(   NewTrader!$AF64=MUp,NewTrader!$BP64-Commission,        NewTrader!$AF64=MDown,(NewTrader!$X64-NewTrader!$Y64)/NewTrader!$Y64-Commission,                              TRUE,"")</f>
        <v/>
      </c>
      <c r="BF64" s="1706"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710" t="e" cm="1">
        <f t="array" aca="1" ref="BG64" ca="1">_xlfn.LET(_xlpm.SumChTxt,TEXT(_xlfn.XLOOKUP(NewTrader!$V64,ListTickers,Tab2SumChangePercent[AVGChan20]),"#0.0%"),
      _xlfn.IFS(NewTrader!$AF64=NoStock,_xlpm.SumChTxt,
      TRUE, IF(NewTrader!$AF64=SellMorePercentGain,             "SumChange "&amp;_xlpm.SumChTxt,                         "&lt;"&amp;INT(_xlfn.XLOOKUP(NewTrader!$V64,ListTickers,Tab2ReverseGL[Rev_GL19]))&amp;    "&lt;"&amp;INT(_xlfn.XLOOKUP(NewTrader!$V64,ListTickers,Tab2ReverseGL[Rev_GL18]))&amp;":      "&amp;_xlpm.SumChTxt)))</f>
        <v>#VALUE!</v>
      </c>
      <c r="BH64" s="1711"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712" cm="1">
        <f t="array" aca="1" ref="BI64" ca="1">_xlfn.IFS(NewTrader!$AF64=Sale_Back,"",         NewTrader!$AF64=MDown, (NewTrader!$Y64-NewTrader!$X64)/NewTrader!$X64*ComFactor,             TRUE, IFERROR((NewTrader!$Y64-NewTrader!$X64)/NewTrader!$X64*ComFactor,""))</f>
        <v>-8.4941057152835731E-2</v>
      </c>
      <c r="BJ64" s="1664" cm="1">
        <f t="array" aca="1" ref="BJ64" ca="1">_xlfn.IFS(               NewTrader!$AF64=NoStock,(NewTrader!$BL64-NewTrader!$Y64)/NewTrader!$Y64-Commission,             NewTrader!$X64&lt;&gt;0,(NewTrader!$X64-NewTrader!$Y64)/NewTrader!$Y64-Commission)</f>
        <v>9.0490278547539257E-2</v>
      </c>
      <c r="BK64" s="1713">
        <f ca="1">_xlfn.XLOOKUP(NewTrader!$V64,TabCalc[Ticker],TabCalc[L_Sn])</f>
        <v>500</v>
      </c>
      <c r="BL64" s="1693">
        <f ca="1">_xlfn.XLOOKUP(NewTrader!$V64,TabCalc[Ticker],TabCalc[L_Sp])</f>
        <v>267.48</v>
      </c>
      <c r="BM64" s="1694">
        <f ca="1">-IFERROR((Tab_NewTRADER[[#This Row],[M]]-Tab_NewTRADER[[#This Row],[L_Sp]])/Tab_NewTRADER[[#This Row],[L_Sp]],0)</f>
        <v>0.21751158965156275</v>
      </c>
      <c r="BN64" s="1714">
        <f ca="1">MIN(Tab_NewTRADER[[#This Row],[L_Sn]],Tab_NewTRADER[[#This Row],[N]])*(Tab_NewTRADER[[#This Row],[M]]-Tab_NewTRADER[[#This Row],[L_Sp]])*Comm_Net*Tab_NewTRADER[[#This Row],[Scale]]</f>
        <v>-29011.457000000002</v>
      </c>
      <c r="BO64" s="1715">
        <f ca="1">Tab_NewTRADER[[#This Row],[L_Sn]]*(Tab_NewTRADER[[#This Row],[Agiotage]]-Tab_NewTRADER[[#This Row],[M]])/(Tab_NewTRADER[[#This Row],[L_Bn]]*Tab_NewTRADER[[#This Row],[M]])</f>
        <v>-0.9939979751753597</v>
      </c>
      <c r="BP64" s="1716">
        <f ca="1">IFERROR((Tab_NewTRADER[[#This Row],[M]]-Tab_NewTRADER[[#This Row],[A]])/Tab_NewTRADER[[#This Row],[A]],0)</f>
        <v>-8.5162479599795199E-2</v>
      </c>
      <c r="BQ64" s="1671" t="str">
        <f ca="1">TEXT(_xlfn.XLOOKUP(Tab_NewTRADER[[#This Row],[ClickTick]],TabCalc[Ticker],TabCalc[NAfter]),"#,#0")&amp;" : "&amp;TEXT(_xlfn.XLOOKUP(Tab_NewTRADER[[#This Row],[ClickTick]],TabCalc[Ticker],TabCalc[NAfter])*(Tab_NewTRADER[[#This Row],[M]]-Tab_NewTRADER[[#This Row],[A]])*(1-Commission)*Tab_NewTRADER[[#This Row],[Scale]],"#,#0$")</f>
        <v>900 : -17,490$</v>
      </c>
      <c r="BR64" s="262">
        <f ca="1">_xlfn.XLOOKUP(NewTrader!$V64,TabCalc[[#This Row],[Ticker]],TabCalc[[#This Row],[GL]])*(1-Commission)</f>
        <v>47671.299754197738</v>
      </c>
      <c r="BS64" s="262"/>
      <c r="BT64" s="1672" t="str">
        <f ca="1">Tab_NewTRADER[[#This Row],[Show]]&amp;": "&amp;_xlfn.XLOOKUP(Tab_NewTRADER[[#This Row],[Show]],TabCalc[Ticker],TabCalc[Pile?])</f>
        <v>MVESAP: Pile</v>
      </c>
      <c r="BU64" s="1717" t="s">
        <v>1940</v>
      </c>
      <c r="BV64" s="1674" t="str" cm="1">
        <f t="array" aca="1" ref="BV64" ca="1">_xlfn.TEXTJOIN("",,INDEX({"M","A","Y"}, _xlfn.SORTBY({1,2,3}, -CHOOSE({1,2,3}, Tab_NewTRADER[[#This Row],[M]], Tab_NewTRADER[[#This Row],[A]], Tab_NewTRADER[[#This Row],[Y]]))))</f>
        <v>YAM</v>
      </c>
      <c r="BW64" s="1675"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76" t="e">
        <f ca="1">Tab_NewTRADER[[#This Row],[L_Sn]]*Tab_NewTRADER[[#This Row],[L_Sp]]+Tab_NewTRADER[[#This Row],[SellMore]]*Tab_NewTRADER[[#This Row],[M]]</f>
        <v>#N/A</v>
      </c>
      <c r="BY64" s="1676" t="e">
        <f ca="1">INDEX(
  INDEX(TabConsolid[], , _xlfn.XMATCH(Tab_NewTRADER[[#This Row],[ClickTick]]&amp;1, TabConsolid[#Headers])),
  MATCH(
    -Tab_NewTRADER[[#This Row],[M]],
    INDEX(TabConsolid[], , _xlfn.XMATCH(Tab_NewTRADER[[#This Row],[ClickTick]]&amp;2, TabConsolid[#Headers])),
    -1
  )
)</f>
        <v>#N/A</v>
      </c>
      <c r="BZ64" s="1676"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77" t="e">
        <f ca="1">Tab_NewTRADER[[#This Row],[ReBuy]]/(Tab_NewTRADER[[#This Row],[L_Sn]]+Tab_NewTRADER[[#This Row],[SellMore]])</f>
        <v>#N/A</v>
      </c>
      <c r="CB64" s="1678">
        <f ca="1">((_xlfn.XLOOKUP(Tab_NewTRADER[[#This Row],[Show]],TabCalc[Ticker],TabCalc[NAfter])+Tab_NewTRADER[[#This Row],[L_Sn]])*(Tab_NewTRADER[[#This Row],[Agiotage]]-Tab_NewTRADER[[#This Row],[M]]))/(Tab_NewTRADER[[#This Row],[L_Sn]]*_xlfn.XLOOKUP(Tab_NewTRADER[[#This Row],[Show]],TabCalc[Ticker],TabCalc[NAfter]))</f>
        <v>-0.64595280913891584</v>
      </c>
      <c r="CC64" s="1677">
        <f ca="1">INDEX(Tab1Price[Price19], MATCH(Tab_NewTRADER[[#This Row],[Show]], Tab_NewTRADER[Show], 0))</f>
        <v>209.3</v>
      </c>
      <c r="CD64" s="1679">
        <f ca="1">_xlfn.XMATCH(Tab_NewTRADER[[#This Row],[Show]]&amp;1, TabConsolid[#Headers])</f>
        <v>188</v>
      </c>
      <c r="CE64" s="1678"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729" t="str" cm="1">
        <f t="array" aca="1" ref="CF64" ca="1">_xlfn.LET(
    _xlpm.FMT, _xlfn.LAMBDA(_xlpm.n, REPT(" ", 7 - LEN(TEXT(_xlpm.n,"0.00"))) &amp; TEXT(_xlpm.n,"0.00")),
    _xlpm.FMT(Tab_NewTRADER[[#This Row],[A]]) &amp; " -" &amp; _xlpm.FMT(Tab_NewTRADER[[#This Row],[M]]) &amp; " -" &amp; _xlpm.FMT(Tab_NewTRADER[[#This Row],[Y]])
)</f>
        <v xml:space="preserve"> 228.78 - 209.30 - 286.75</v>
      </c>
      <c r="CG64" s="1730" t="str" cm="1">
        <f t="array" aca="1" ref="CG64" ca="1">_xlfn.LET(
    _xlpm.W, 7,
    _xlpm.FMT, _xlfn.LAMBDA(_xlpm.n, REPT(" ", _xlpm.W - LEN(TEXT(_xlpm.n,"0.00"))) &amp; TEXT(_xlpm.n,"0.00")),
    _xlpm.FMT(Tab_NewTRADER[[#This Row],[A]]) &amp; " * " &amp; _xlpm.FMT(Tab_NewTRADER[[#This Row],[M]]) &amp; " * " &amp; _xlpm.FMT(Tab_NewTRADER[[#This Row],[Y]])
)</f>
        <v xml:space="preserve"> 228.78 *  209.30 *  286.75</v>
      </c>
      <c r="CH64" s="1842">
        <f>0</f>
        <v>0</v>
      </c>
      <c r="CI64" t="b">
        <f ca="1">IF(ABS(NewTrader!$Q64)&gt;=NewTrader!$Y64,"OK")</f>
        <v>0</v>
      </c>
    </row>
    <row r="65" spans="1:87" ht="23" hidden="1" thickBot="1">
      <c r="A65" s="1838">
        <f ca="1">IF(_xlfn.XLOOKUP(NewTrader!$V65,TabCalc[Ticker],TabCalc[Cur])="GBp",0.01,1)</f>
        <v>1</v>
      </c>
      <c r="B65" s="1620" t="str">
        <f ca="1">IFERROR(TRUNC(_xlfn.XLOOKUP(NewTrader!$V65,TabCalc[Ticker],ListLastBuyp),2)&amp;"x"&amp;_xlfn.XLOOKUP(NewTrader!$V65,TabCalc[Ticker],ListLastBuyn)&amp;"=    "&amp;IF(_xlfn.XLOOKUP(NewTrader!$V65,TabCalc[Ticker],ListReverseS)&gt;0,"+","")&amp;TEXT(_xlfn.XLOOKUP(NewTrader!$V65,TabCalc[Ticker],ListReverseS),"#,#0")&amp;" "&amp;#REF!,"")</f>
        <v/>
      </c>
      <c r="C65" s="1621" t="str">
        <f ca="1">_xlfn.XLOOKUP(NewTrader!$V65,TabCalc[Ticker],ListResale)&amp;" @ "&amp;TEXT((_xlfn.XLOOKUP(NewTrader!$V65,TabCalc[Ticker],TabCalc[L_Bp])+_xlfn.XLOOKUP(NewTrader!$V65,TabCalc[Ticker],TabCalc[M]))/_xlfn.XLOOKUP(NewTrader!$V65,TabCalc[Ticker],TabCalc[M]),"#0.0%")</f>
        <v>Resell @ 0.9%</v>
      </c>
      <c r="D65" s="1622"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718" t="str">
        <f ca="1">IF(      AND(NewTrader!$X65&lt;NewTrader!$Y65,    _xlfn.XLOOKUP(NewTrader!$V65,TabCalc[Ticker],TabCalc[L_Sp])&gt;NewTrader!$Y65),"BUY  "&amp;TEXT(DesiredBuyGain/NewTrader!$A65/(_xlfn.XLOOKUP(NewTrader!$V65,TabCalc[Ticker],TabCalc[L_Sp])-NewTrader!$Y65),"#,##0"),"")</f>
        <v/>
      </c>
      <c r="F65" s="1620" t="str">
        <f ca="1">TRUNC(TabCalc[[#This Row],[L_B1p]],2)&amp;"x"&amp;TabCalc[[#This Row],[L_B1n]]&amp;"=   "&amp;TEXT(TabCalc[[#This Row],[ReverseS1]],"#,#0")&amp;"$"</f>
        <v>-37.9x9=   -1$</v>
      </c>
      <c r="G65" s="1624" t="str">
        <f ca="1">IFERROR(TRUNC(_xlfn.XLOOKUP(NewTrader!$V65,TabCalc[Ticker],ListLastSalep),2)&amp;"x"&amp;_xlfn.XLOOKUP(NewTrader!$V65,TabCalc[Ticker],ListLastSalen)&amp;"=   "&amp;TEXT(-_xlfn.XLOOKUP(NewTrader!$V65,TabCalc[Ticker],ListReverseB),"#,#0")&amp;"$","")</f>
        <v>45.93x488=   -3,992$</v>
      </c>
      <c r="H65" s="1625"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21.7% = 611</v>
      </c>
      <c r="I65" s="1620" t="str">
        <f ca="1">IFERROR(TRUNC(TabCalc[[#This Row],[L_S1p]],2)&amp;"x"&amp;TabCalc[[#This Row],[L_S1n]]&amp;"=   "&amp;TEXT(TabCalc[[#This Row],[ReverseB1]],"#,#0"),"")</f>
        <v>51.5x490=   6,738</v>
      </c>
      <c r="J65" s="1626">
        <f ca="1">_xlfn.XLOOKUP(NewTrader!$V65,TabCalc[Ticker],ListGravity)</f>
        <v>0</v>
      </c>
      <c r="K65" s="1627" cm="1">
        <f t="array" aca="1" ref="K65" ca="1">IF(_xlfn.XLOOKUP(NewTrader!$V65,NewTrader!$V$3:$V$96,ListExtra_n)&gt;0,_xlfn.XLOOKUP(NewTrader!$V65,NewTrader!$V$3:$V$96,ListExtra_n),"")</f>
        <v>515</v>
      </c>
      <c r="L65" s="1628">
        <f ca="1">IF(_xlfn.XLOOKUP(NewTrader!$V65,TabCalc[Ticker],ListExtra_n)&gt;0,_xlfn.XLOOKUP(NewTrader!$V65,TabCalc[Ticker],ListExtra_n)*NewTrader!$Y65*_xlfn.XLOOKUP(NewTrader!$V65,TabCalc[Ticker],ListScale),"")</f>
        <v>19441.25</v>
      </c>
      <c r="M65" s="1629">
        <f ca="1">_xlfn.XLOOKUP(NewTrader!$V65,TabCalc[Ticker],TabCalc[Agiotage])</f>
        <v>9.2452830188679246E-3</v>
      </c>
      <c r="N65" s="1630" cm="1">
        <f t="array" aca="1" ref="N65" ca="1">_xlfn.XLOOKUP(NewTrader!$V65,ListTickers,Tab2RSIConventional[RSIConv20])</f>
        <v>81</v>
      </c>
      <c r="O65" s="1631" t="str">
        <f ca="1">TEXT(_xlfn.XLOOKUP(NewTrader!$V65,TabCalc[Ticker],TabCalc[Nbegin]),"#,#0")&amp;": "&amp;_xlfn.XLOOKUP(NewTrader!$V65,TabCalc[Ticker],TabCalc[Pile?])</f>
        <v xml:space="preserve">45: </v>
      </c>
      <c r="P65" s="1632">
        <f ca="1">_xlfn.XLOOKUP(NewTrader!$V65,TabCalc[Ticker],TabCalc[L_Bn])</f>
        <v>39</v>
      </c>
      <c r="Q65" s="1727">
        <f ca="1">_xlfn.XLOOKUP(NewTrader!$V65,TabCalc[Ticker],TabCalc[L_Bp])</f>
        <v>-37.424999999999997</v>
      </c>
      <c r="R65" s="1634">
        <f ca="1">(NewTrader!$Y65+NewTrader!$Q65)/ABS(NewTrader!$Q65)</f>
        <v>8.6840347361390215E-3</v>
      </c>
      <c r="S65" s="259">
        <f ca="1">INT(_xlfn.XLOOKUP(NewTrader!$V65,TabCalc[Ticker],TabCalc[Rev(MinStock)])*Comm_Net)</f>
        <v>11</v>
      </c>
      <c r="T65" s="1635">
        <f ca="1">_xlfn.XLOOKUP(NewTrader!$V65,TabCalc[Ticker],TabCalc[Agiotage])</f>
        <v>9.2452830188679246E-3</v>
      </c>
      <c r="U65" s="1719"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-560/-560=&gt;-0.8% / -0.8%</v>
      </c>
      <c r="V65" s="1578" t="str">
        <f ca="1">SORTING!B65</f>
        <v>MVEUN0</v>
      </c>
      <c r="W65" s="1637">
        <f ca="1">_xlfn.XLOOKUP(NewTrader!$V65,TabCalc[Ticker],TabCalc[Y])</f>
        <v>0</v>
      </c>
      <c r="X65" s="1639">
        <f ca="1">-_xlfn.XLOOKUP(NewTrader!$V65&amp;2,Consolid!B$3:JZ$3,Consolid!B$4:JZ$4)</f>
        <v>42.049679576785714</v>
      </c>
      <c r="Y65" s="1639">
        <f ca="1">_xlfn.XLOOKUP(NewTrader!$V65,TabCalc[Ticker],TabCalc[M])</f>
        <v>37.75</v>
      </c>
      <c r="Z65" s="1640">
        <f ca="1">_xlfn.XLOOKUP(NewTrader!$V65,[1]!RTData[Ticker_Symbol],[1]!RTData[YTChange])</f>
        <v>0</v>
      </c>
      <c r="AA65" s="1640" cm="1">
        <f t="array" aca="1" ref="AA65" ca="1">_xlfn.XLOOKUP(NewTrader!$V65,ListTickers,Tab1ChangePercent[Change%19])</f>
        <v>-7.8840000000000004E-3</v>
      </c>
      <c r="AB65" s="1641">
        <f ca="1">_xlfn.XLOOKUP(NewTrader!$V65,TabCalc[Ticker],TabCalc[NAfter])</f>
        <v>560</v>
      </c>
      <c r="AC65" s="1641">
        <f ca="1">_xlfn.XLOOKUP(NewTrader!$V65,TabCalc[Ticker],TabCalc[Nbegin])</f>
        <v>45</v>
      </c>
      <c r="AD65" s="1642" t="str">
        <f ca="1">_xlfn.LET(_xlpm.PILE,_xlfn.XLOOKUP(NewTrader!$V65,TabCalc[Ticker],TabCalc[Pile?]),                    _xlpm.GL,_xlfn.XLOOKUP(NewTrader!$V65,TabCalc[Ticker],TabCalc[GL]),                        _xlpm.GLK,_xlfn.XLOOKUP(NewTrader!$V65,TabCalc[Ticker],TabCalc[GL])/1000,                             _xlpm.MVal,_xlfn.XLOOKUP(NewTrader!$V65,TabCalc[Ticker],TabCalc[M_V])/1000,                   _xlpm.PILE&amp;" "&amp;IF(_xlpm.GL&lt;0,TEXT(_xlpm.GLK,"#,#0")&amp;"K /"&amp;TEXT(_xlpm.MVal,"#,#0")&amp;" K$","^"&amp;TEXT(_xlpm.GLK,"#,#0")&amp;"K / "&amp;TEXT(_xlpm.MVal,"#,#0")&amp;" K$"))</f>
        <v xml:space="preserve"> ^4K / 21 K$</v>
      </c>
      <c r="AE65" s="1643" t="str">
        <f ca="1">_xlfn.XLOOKUP(NewTrader!$V65,[1]!RTData[Ticker_Symbol],[1]!RTData[Currency])</f>
        <v>EUR</v>
      </c>
      <c r="AF65" s="1696"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Reverse Sale</v>
      </c>
      <c r="AG6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698" t="str" cm="1">
        <f t="array" aca="1" ref="AH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 @ 37.75 : (0.9%, 2.1%)</v>
      </c>
      <c r="AI6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65" s="1651" t="str" cm="1">
        <f t="array" aca="1" ref="AJ65" ca="1">_xlfn.IFS(Tab_NewTRADER[[#This Row],[State]]="Sell More",TEXT(MIN(Tab_NewTRADER[[#This Row],[N]],Tab_NewTRADER[[#This Row],[L_Bn]])*(Tab_NewTRADER[[#This Row],[M]]-Tab_NewTRADER[[#This Row],[L_Sp]])*Tab_NewTRADER[[#This Row],[Scale]]*ComFactor,"#,#0"), TRUE,"M= "&amp;TEXT(Tab_NewTRADER[[#This Row],[M]],"#,#0.00"))</f>
        <v>M= 37.75</v>
      </c>
      <c r="AK65" s="1699" cm="1">
        <f t="array" aca="1" ref="AK65" ca="1">_xlfn.IFS(Tab_NewTRADER[[#This Row],[Y]]&gt;Tab_NewTRADER[[#This Row],[A]],                 TEXT(MIN(Tab_NewTRADER[[#This Row],[L_Bn]],Tab_NewTRADER[[#This Row],[N]])*(Tab_NewTRADER[[#This Row],[M]]-Tab_NewTRADER[[#This Row],[A]])*Tab_NewTRADER[[#This Row],[Scale]]*ComFactor,"#,#0"), TRUE,0)</f>
        <v>0</v>
      </c>
      <c r="AL65" s="1700" cm="1">
        <f t="array" aca="1" ref="AL65" ca="1">_xlfn.IFS(Tab_NewTRADER[[#This Row],[M]]&gt;Tab_NewTRADER[[#This Row],[A]],                  Tab_NewTRADER[[#This Row],[N]]*(Tab_NewTRADER[[#This Row],[M]]-Tab_NewTRADER[[#This Row],[A]])*Tab_NewTRADER[[#This Row],[Scale]]*ComFactor, TRUE,0)</f>
        <v>0</v>
      </c>
      <c r="AM65" s="1592" t="str">
        <f ca="1">_xlfn.XLOOKUP(Tab_NewTRADER[[#This Row],[Show]],TabCalc[Ticker],TabCalc[Max_Bn])&amp;" x "&amp;TEXT(_xlfn.XLOOKUP(Tab_NewTRADER[[#This Row],[Show]],TabCalc[Ticker],TabCalc[Max_Bp]),"#,#0.00")</f>
        <v>12 x 48.84</v>
      </c>
      <c r="AN65" s="1650" t="str">
        <f ca="1">NewTrader!$V65</f>
        <v>MVEUN0</v>
      </c>
      <c r="AO65" s="1651" t="str">
        <f ca="1">TEXT(_xlfn.XLOOKUP(Tab_NewTRADER[[#This Row],[ClickTick]],TabCalc[Ticker],TabCalc[NAfter]),"#,#0")&amp;"x"&amp;_xlfn.XLOOKUP(Tab_NewTRADER[[#This Row],[ClickTick]],TabCalc[Ticker],TabCalc[M])&amp;"           (A: "&amp;TEXT(-_xlfn.XLOOKUP(Tab_NewTRADER[[#This Row],[ClickTick]]&amp;2,Consolid!B$3:JZ$3,Consolid!B$4:JZ$4),"#,??0.00")&amp;")"</f>
        <v>560x37.75           (A:  42.05)</v>
      </c>
      <c r="AP65" s="1592" t="str">
        <f ca="1">_xlfn.XLOOKUP(Tab_NewTRADER[[#This Row],[Show]],TabCalc[Ticker],TabCalc[Min_Sn])&amp;" x "&amp;TEXT(_xlfn.XLOOKUP(Tab_NewTRADER[[#This Row],[Show]],TabCalc[Ticker],TabCalc[Min_Sp]),"#,#0.00")</f>
        <v>488 x 45.93</v>
      </c>
      <c r="AQ6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702" t="str" cm="1">
        <f t="array" aca="1" ref="AR65" ca="1">_xlfn.IFS(Tab_NewTRADER[[#This Row],[State]]="Reverse Buy",TEXT(-Tab_NewTRADER[[#This Row],[Buy_Back]],"#,#0")&amp;" / "&amp;TEXT(Tab_NewTRADER[[#This Row],[Rev_Buy]],"#,#0.0%"),TRUE,Tab_NewTRADER[[#This Row],[AMY]])</f>
        <v xml:space="preserve">  42.05 -  37.75 -   0.00</v>
      </c>
      <c r="AS65" s="1651"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-182       / -00.9%</v>
      </c>
      <c r="AT65" s="1699"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-2,402   / -11.4%</v>
      </c>
      <c r="AU65" s="1699" t="str" cm="1">
        <f t="array" aca="1" ref="AU65" ca="1">_xlfn.IFS(Tab_NewTRADER[[#This Row],[M]]&lt;Tab_NewTRADER[[#This Row],[A]],TEXT(Tab_NewTRADER[[#This Row],[N]]*Tab_NewTRADER[[#This Row],[M]]*Tab_NewTRADER[[#This Row],[Scale]]*Comm_Net,"#,#0")&amp;" @ "&amp;TEXT(Tab_NewTRADER[[#This Row],[M]],"#,#0.#0"),TRUE,"M: "&amp; Tab_NewTRADER[[#This Row],[M]])</f>
        <v>21,083 @ 37.75</v>
      </c>
      <c r="AV65" s="1740" cm="1">
        <f t="array" aca="1" ref="AV65" ca="1">-_xlfn.XLOOKUP(
    Tab_NewTRADER[[#This Row],[Show]] &amp; 2,
    TabConsolid[#Headers],
    INDEX(TabConsolid[], 1, 0)
)</f>
        <v>42.049679576785714</v>
      </c>
      <c r="AW65" s="1741">
        <f ca="1">Tab_NewTRADER[[#This Row],[M]]*Tab_NewTRADER[[#This Row],[N]]*(1-Commission)*Tab_NewTRADER[[#This Row],[Scale]]</f>
        <v>21085.036</v>
      </c>
      <c r="AX65" s="1705"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705"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706" t="str" cm="1">
        <f t="array" aca="1" ref="AZ65" ca="1">_xlfn.IFS(   Tab_NewTRADER[[#This Row],[State]]=SellMorePercentGain,                     MIN(Tab_NewTRADER[[#This Row],[L_Sn]],Tab_NewTRADER[[#This Row],[N]])*(Tab_NewTRADER[[#This Row],[M]]-Tab_NewTRADER[[#This Row],[L_Sp]])*(1-Commission)*Tab_NewTRADER[[#This Row],[Scale]],                    TRUE,"")</f>
        <v/>
      </c>
      <c r="BA65" s="1723">
        <f ca="1">_xlfn.XLOOKUP(NewTrader!$V65,TabCalc[Ticker],TabCalc[Ann%RevLB])</f>
        <v>2.141268839047978E-2</v>
      </c>
      <c r="BB65" s="1724">
        <f ca="1">_xlfn.XLOOKUP(NewTrader!$V65,TabCalc[Ticker],TabCalc[Up20])</f>
        <v>0</v>
      </c>
      <c r="BC65" s="1742"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706" t="str" cm="1">
        <f t="array" aca="1" ref="BD65" ca="1">_xlfn.IFS(         NewTrader!$AF65=MDown,NewTrader!$P65*NewTrader!$Y65*(-(NewTrader!$Q65+NewTrader!$Y65)/NewTrader!$Y65)*(1-Commission)*NewTrader!$A65,                               TRUE,"")</f>
        <v/>
      </c>
      <c r="BE65" s="1705" t="str" cm="1">
        <f t="array" aca="1" ref="BE65" ca="1">_xlfn.IFS(   NewTrader!$AF65=MUp,NewTrader!$BP65-Commission,        NewTrader!$AF65=MDown,(NewTrader!$X65-NewTrader!$Y65)/NewTrader!$Y65-Commission,                              TRUE,"")</f>
        <v/>
      </c>
      <c r="BF65" s="1706"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710" t="str" cm="1">
        <f t="array" aca="1" ref="BG65" ca="1">_xlfn.LET(_xlpm.SumChTxt,TEXT(_xlfn.XLOOKUP(NewTrader!$V65,ListTickers,Tab2SumChangePercent[AVGChan20]),"#0.0%"),
      _xlfn.IFS(NewTrader!$AF65=NoStock,_xlpm.SumChTxt,
      TRUE, IF(NewTrader!$AF65=SellMorePercentGain,             "SumChange "&amp;_xlpm.SumChTxt,                         "&lt;"&amp;INT(_xlfn.XLOOKUP(NewTrader!$V65,ListTickers,Tab2ReverseGL[Rev_GL19]))&amp;    "&lt;"&amp;INT(_xlfn.XLOOKUP(NewTrader!$V65,ListTickers,Tab2ReverseGL[Rev_GL18]))&amp;":      "&amp;_xlpm.SumChTxt)))</f>
        <v>&lt;-1&lt;-1:      0.5%</v>
      </c>
      <c r="BH65" s="1711" t="str"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M&gt;L_Bp</v>
      </c>
      <c r="BI65" s="1712" cm="1">
        <f t="array" aca="1" ref="BI65" ca="1">_xlfn.IFS(NewTrader!$AF65=Sale_Back,"",         NewTrader!$AF65=MDown, (NewTrader!$Y65-NewTrader!$X65)/NewTrader!$X65*ComFactor,             TRUE, IFERROR((NewTrader!$Y65-NewTrader!$X65)/NewTrader!$X65*ComFactor,""))</f>
        <v>-0.10198651816252162</v>
      </c>
      <c r="BJ65" s="1664" cm="1">
        <f t="array" aca="1" ref="BJ65" ca="1">_xlfn.IFS(               NewTrader!$AF65=NoStock,(NewTrader!$BL65-NewTrader!$Y65)/NewTrader!$Y65-Commission,             NewTrader!$X65&lt;&gt;0,(NewTrader!$X65-NewTrader!$Y65)/NewTrader!$Y65-Commission)</f>
        <v>0.1112987967360454</v>
      </c>
      <c r="BK65" s="1726">
        <f ca="1">_xlfn.XLOOKUP(NewTrader!$V65,TabCalc[Ticker],TabCalc[L_Sn])</f>
        <v>488</v>
      </c>
      <c r="BL65" s="1727">
        <f ca="1">_xlfn.XLOOKUP(NewTrader!$V65,TabCalc[Ticker],TabCalc[L_Sp])</f>
        <v>45.93</v>
      </c>
      <c r="BM65" s="1634">
        <f ca="1">-IFERROR((Tab_NewTRADER[[#This Row],[M]]-Tab_NewTRADER[[#This Row],[L_Sp]])/Tab_NewTRADER[[#This Row],[L_Sp]],0)</f>
        <v>0.17809710428913564</v>
      </c>
      <c r="BN65" s="1728">
        <f ca="1">MIN(Tab_NewTRADER[[#This Row],[L_Sn]],Tab_NewTRADER[[#This Row],[N]])*(Tab_NewTRADER[[#This Row],[M]]-Tab_NewTRADER[[#This Row],[L_Sp]])*Comm_Net*Tab_NewTRADER[[#This Row],[Scale]]</f>
        <v>-3981.0620319999994</v>
      </c>
      <c r="BO65" s="1715">
        <f ca="1">Tab_NewTRADER[[#This Row],[L_Sn]]*(Tab_NewTRADER[[#This Row],[Agiotage]]-Tab_NewTRADER[[#This Row],[M]])/(Tab_NewTRADER[[#This Row],[L_Bn]]*Tab_NewTRADER[[#This Row],[M]])</f>
        <v>-12.509756020979312</v>
      </c>
      <c r="BP65" s="1670">
        <f ca="1">IFERROR((Tab_NewTRADER[[#This Row],[M]]-Tab_NewTRADER[[#This Row],[A]])/Tab_NewTRADER[[#This Row],[A]],0)</f>
        <v>-0.10225237433579469</v>
      </c>
      <c r="BQ65" s="1671" t="str">
        <f ca="1">TEXT(_xlfn.XLOOKUP(Tab_NewTRADER[[#This Row],[ClickTick]],TabCalc[Ticker],TabCalc[NAfter]),"#,#0")&amp;" : "&amp;TEXT(_xlfn.XLOOKUP(Tab_NewTRADER[[#This Row],[ClickTick]],TabCalc[Ticker],TabCalc[NAfter])*(Tab_NewTRADER[[#This Row],[M]]-Tab_NewTRADER[[#This Row],[A]])*(1-Commission)*Tab_NewTRADER[[#This Row],[Scale]],"#,#0$")</f>
        <v>560 : -2,402$</v>
      </c>
      <c r="BR65" s="259">
        <f ca="1">_xlfn.XLOOKUP(NewTrader!$V65,TabCalc[[#This Row],[Ticker]],TabCalc[[#This Row],[GL]])*(1-Commission)</f>
        <v>4053.9562025912555</v>
      </c>
      <c r="BS65" s="259"/>
      <c r="BT65" s="1672" t="str">
        <f ca="1">Tab_NewTRADER[[#This Row],[Show]]&amp;": "&amp;_xlfn.XLOOKUP(Tab_NewTRADER[[#This Row],[Show]],TabCalc[Ticker],TabCalc[Pile?])</f>
        <v xml:space="preserve">MVEUN0: </v>
      </c>
      <c r="BU65" s="1717" t="s">
        <v>1941</v>
      </c>
      <c r="BV65" s="1674" t="str" cm="1">
        <f t="array" aca="1" ref="BV65" ca="1">_xlfn.TEXTJOIN("",,INDEX({"M","A","Y"}, _xlfn.SORTBY({1,2,3}, -CHOOSE({1,2,3}, Tab_NewTRADER[[#This Row],[M]], Tab_NewTRADER[[#This Row],[A]], Tab_NewTRADER[[#This Row],[Y]]))))</f>
        <v>AMY</v>
      </c>
      <c r="BW65" s="1675"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76" t="e">
        <f ca="1">Tab_NewTRADER[[#This Row],[L_Sn]]*Tab_NewTRADER[[#This Row],[L_Sp]]+Tab_NewTRADER[[#This Row],[SellMore]]*Tab_NewTRADER[[#This Row],[M]]</f>
        <v>#N/A</v>
      </c>
      <c r="BY65" s="1676" t="e">
        <f ca="1">INDEX(
  INDEX(TabConsolid[], , _xlfn.XMATCH(Tab_NewTRADER[[#This Row],[ClickTick]]&amp;1, TabConsolid[#Headers])),
  MATCH(
    -Tab_NewTRADER[[#This Row],[M]],
    INDEX(TabConsolid[], , _xlfn.XMATCH(Tab_NewTRADER[[#This Row],[ClickTick]]&amp;2, TabConsolid[#Headers])),
    -1
  )
)</f>
        <v>#N/A</v>
      </c>
      <c r="BZ65" s="1676"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9</v>
      </c>
      <c r="CA65" s="1677" t="e">
        <f ca="1">Tab_NewTRADER[[#This Row],[ReBuy]]/(Tab_NewTRADER[[#This Row],[L_Sn]]+Tab_NewTRADER[[#This Row],[SellMore]])</f>
        <v>#N/A</v>
      </c>
      <c r="CB65" s="1678">
        <f ca="1">((_xlfn.XLOOKUP(Tab_NewTRADER[[#This Row],[Show]],TabCalc[Ticker],TabCalc[NAfter])+Tab_NewTRADER[[#This Row],[L_Sn]])*(Tab_NewTRADER[[#This Row],[Agiotage]]-Tab_NewTRADER[[#This Row],[M]]))/(Tab_NewTRADER[[#This Row],[L_Sn]]*_xlfn.XLOOKUP(Tab_NewTRADER[[#This Row],[Show]],TabCalc[Ticker],TabCalc[NAfter]))</f>
        <v>-0.14473181697671333</v>
      </c>
      <c r="CC65" s="1677">
        <f ca="1">INDEX(Tab1Price[Price19], MATCH(Tab_NewTRADER[[#This Row],[Show]], Tab_NewTRADER[Show], 0))</f>
        <v>37.75</v>
      </c>
      <c r="CD65" s="1679">
        <f ca="1">_xlfn.XMATCH(Tab_NewTRADER[[#This Row],[Show]]&amp;1, TabConsolid[#Headers])</f>
        <v>191</v>
      </c>
      <c r="CE65" s="1678"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5" s="1729" t="str" cm="1">
        <f t="array" aca="1" ref="CF65" ca="1">_xlfn.LET(
    _xlpm.FMT, _xlfn.LAMBDA(_xlpm.n, REPT(" ", 7 - LEN(TEXT(_xlpm.n,"0.00"))) &amp; TEXT(_xlpm.n,"0.00")),
    _xlpm.FMT(Tab_NewTRADER[[#This Row],[A]]) &amp; " -" &amp; _xlpm.FMT(Tab_NewTRADER[[#This Row],[M]]) &amp; " -" &amp; _xlpm.FMT(Tab_NewTRADER[[#This Row],[Y]])
)</f>
        <v xml:space="preserve">  42.05 -  37.75 -   0.00</v>
      </c>
      <c r="CG65" s="1730" t="str" cm="1">
        <f t="array" aca="1" ref="CG65" ca="1">_xlfn.LET(
    _xlpm.W, 7,
    _xlpm.FMT, _xlfn.LAMBDA(_xlpm.n, REPT(" ", _xlpm.W - LEN(TEXT(_xlpm.n,"0.00"))) &amp; TEXT(_xlpm.n,"0.00")),
    _xlpm.FMT(Tab_NewTRADER[[#This Row],[A]]) &amp; " * " &amp; _xlpm.FMT(Tab_NewTRADER[[#This Row],[M]]) &amp; " * " &amp; _xlpm.FMT(Tab_NewTRADER[[#This Row],[Y]])
)</f>
        <v xml:space="preserve">  42.05 *   37.75 *    0.00</v>
      </c>
      <c r="CH65" s="1842">
        <f>0</f>
        <v>0</v>
      </c>
      <c r="CI65" t="b">
        <f ca="1">IF(ABS(NewTrader!$Q65)&gt;=NewTrader!$Y65,"OK")</f>
        <v>0</v>
      </c>
    </row>
    <row r="66" spans="1:87">
      <c r="A66" s="1839">
        <f ca="1">IF(_xlfn.XLOOKUP(NewTrader!$V66,TabCalc[Ticker],TabCalc[Cur])="GBp",0.01,1)</f>
        <v>1</v>
      </c>
      <c r="B66" s="1681" t="str">
        <f ca="1">IFERROR(TRUNC(_xlfn.XLOOKUP(NewTrader!$V66,TabCalc[Ticker],ListLastBuyp),2)&amp;"x"&amp;_xlfn.XLOOKUP(NewTrader!$V66,TabCalc[Ticker],ListLastBuyn)&amp;"=    "&amp;IF(_xlfn.XLOOKUP(NewTrader!$V66,TabCalc[Ticker],ListReverseS)&gt;0,"+","")&amp;TEXT(_xlfn.XLOOKUP(NewTrader!$V66,TabCalc[Ticker],ListReverseS),"#,#0")&amp;" "&amp;#REF!,"")</f>
        <v/>
      </c>
      <c r="C66" s="1682" t="str">
        <f ca="1">_xlfn.XLOOKUP(NewTrader!$V66,TabCalc[Ticker],ListResale)&amp;" @ "&amp;TEXT((_xlfn.XLOOKUP(NewTrader!$V66,TabCalc[Ticker],TabCalc[L_Bp])+_xlfn.XLOOKUP(NewTrader!$V66,TabCalc[Ticker],TabCalc[M]))/_xlfn.XLOOKUP(NewTrader!$V66,TabCalc[Ticker],TabCalc[M]),"#0.0%")</f>
        <v>Resell @ 28.5%</v>
      </c>
      <c r="D66" s="1683"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63/350=17,546</v>
      </c>
      <c r="E66" s="1684" t="str">
        <f ca="1">IF(      AND(NewTrader!$X66&lt;NewTrader!$Y66,    _xlfn.XLOOKUP(NewTrader!$V66,TabCalc[Ticker],TabCalc[L_Sp])&gt;NewTrader!$Y66),"BUY  "&amp;TEXT(DesiredBuyGain/NewTrader!$A66/(_xlfn.XLOOKUP(NewTrader!$V66,TabCalc[Ticker],TabCalc[L_Sp])-NewTrader!$Y66),"#,##0"),"")</f>
        <v/>
      </c>
      <c r="F66" s="1681" t="str">
        <f ca="1">TRUNC(TabCalc[[#This Row],[L_B1p]],2)&amp;"x"&amp;TabCalc[[#This Row],[L_B1n]]&amp;"=   "&amp;TEXT(TabCalc[[#This Row],[ReverseS1]],"#,#0")&amp;"$"</f>
        <v>-204.94x500=   25,578$</v>
      </c>
      <c r="G66" s="1685" t="str">
        <f ca="1">IFERROR(TRUNC(_xlfn.XLOOKUP(NewTrader!$V66,TabCalc[Ticker],ListLastSalep),2)&amp;"x"&amp;_xlfn.XLOOKUP(NewTrader!$V66,TabCalc[Ticker],ListLastSalen)&amp;"=   "&amp;TEXT(-_xlfn.XLOOKUP(NewTrader!$V66,TabCalc[Ticker],ListReverseB),"#,#0")&amp;"$","")</f>
        <v>260x150=   2,705$</v>
      </c>
      <c r="H66" s="1686"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-6.5% = 0</v>
      </c>
      <c r="I66" s="1681" t="str">
        <f ca="1">IFERROR(TRUNC(TabCalc[[#This Row],[L_S1p]],2)&amp;"x"&amp;TabCalc[[#This Row],[L_S1n]]&amp;"=   "&amp;TEXT(TabCalc[[#This Row],[ReverseB1]],"#,#0"),"")</f>
        <v>230.21x300=   -14,346</v>
      </c>
      <c r="J66" s="1687">
        <f ca="1">_xlfn.XLOOKUP(NewTrader!$V66,TabCalc[Ticker],ListGravity)</f>
        <v>1.0199522713376257</v>
      </c>
      <c r="K66" s="1688" t="str" cm="1">
        <f t="array" aca="1" ref="K66" ca="1">IF(_xlfn.XLOOKUP(NewTrader!$V66,NewTrader!$V$3:$V$96,ListExtra_n)&gt;0,_xlfn.XLOOKUP(NewTrader!$V66,NewTrader!$V$3:$V$96,ListExtra_n),"")</f>
        <v/>
      </c>
      <c r="L66" s="1689" t="str">
        <f ca="1">IF(_xlfn.XLOOKUP(NewTrader!$V66,TabCalc[Ticker],ListExtra_n)&gt;0,_xlfn.XLOOKUP(NewTrader!$V66,TabCalc[Ticker],ListExtra_n)*NewTrader!$Y66*_xlfn.XLOOKUP(NewTrader!$V66,TabCalc[Ticker],ListScale),"")</f>
        <v/>
      </c>
      <c r="M66" s="1690">
        <f ca="1">_xlfn.XLOOKUP(NewTrader!$V66,TabCalc[Ticker],TabCalc[Agiotage])</f>
        <v>0.70047433150034832</v>
      </c>
      <c r="N66" s="1691" cm="1">
        <f t="array" aca="1" ref="N66" ca="1">_xlfn.XLOOKUP(NewTrader!$V66,ListTickers,Tab2RSIConventional[RSIConv20])</f>
        <v>59</v>
      </c>
      <c r="O66" s="1631" t="str">
        <f ca="1">TEXT(_xlfn.XLOOKUP(NewTrader!$V66,TabCalc[Ticker],TabCalc[Nbegin]),"#,#0")&amp;": "&amp;_xlfn.XLOOKUP(NewTrader!$V66,TabCalc[Ticker],TabCalc[Pile?])</f>
        <v xml:space="preserve">500: </v>
      </c>
      <c r="P66" s="1691">
        <f ca="1">_xlfn.XLOOKUP(NewTrader!$V66,TabCalc[Ticker],TabCalc[L_Bn])</f>
        <v>290</v>
      </c>
      <c r="Q66" s="1731">
        <f ca="1">_xlfn.XLOOKUP(NewTrader!$V66,TabCalc[Ticker],TabCalc[L_Bp])</f>
        <v>-198.8</v>
      </c>
      <c r="R66" s="1694">
        <f ca="1">(NewTrader!$Y66+NewTrader!$Q66)/ABS(NewTrader!$Q66)</f>
        <v>0.39854124748490927</v>
      </c>
      <c r="S66" s="262">
        <f ca="1">INT(_xlfn.XLOOKUP(NewTrader!$V66,TabCalc[Ticker],TabCalc[Rev(MinStock)])*Comm_Net)</f>
        <v>22852</v>
      </c>
      <c r="T66" s="1635">
        <f ca="1">_xlfn.XLOOKUP(NewTrader!$V66,TabCalc[Ticker],TabCalc[Agiotage])</f>
        <v>0.70047433150034832</v>
      </c>
      <c r="U66" s="1695"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-336/-336=&gt;-0.3% / -0.3%</v>
      </c>
      <c r="V66" s="1578" t="str">
        <f ca="1">SORTING!B66</f>
        <v>SAFAAPL</v>
      </c>
      <c r="W66" s="1637">
        <f ca="1">_xlfn.XLOOKUP(NewTrader!$V66,TabCalc[Ticker],TabCalc[Y])</f>
        <v>283.57733000000002</v>
      </c>
      <c r="X66" s="1639">
        <f ca="1">-_xlfn.XLOOKUP(NewTrader!$V66&amp;2,Consolid!B$3:JZ$3,Consolid!B$4:JZ$4)</f>
        <v>200.37378998262852</v>
      </c>
      <c r="Y66" s="1639">
        <f ca="1">_xlfn.XLOOKUP(NewTrader!$V66,TabCalc[Ticker],TabCalc[M])</f>
        <v>278.02999999999997</v>
      </c>
      <c r="Z66" s="1640">
        <f ca="1">_xlfn.XLOOKUP(NewTrader!$V66,[1]!RTData[Ticker_Symbol],[1]!RTData[YTChange])</f>
        <v>0.36611104152615859</v>
      </c>
      <c r="AA66" s="1640" cm="1">
        <f t="array" aca="1" ref="AA66" ca="1">_xlfn.XLOOKUP(NewTrader!$V66,ListTickers,Tab1ChangePercent[Change%19])</f>
        <v>-2.6900000000000001E-3</v>
      </c>
      <c r="AB66" s="1641">
        <f ca="1">_xlfn.XLOOKUP(NewTrader!$V66,TabCalc[Ticker],TabCalc[NAfter])</f>
        <v>350</v>
      </c>
      <c r="AC66" s="1641">
        <f ca="1">_xlfn.XLOOKUP(NewTrader!$V66,TabCalc[Ticker],TabCalc[Nbegin])</f>
        <v>500</v>
      </c>
      <c r="AD66" s="1642" t="str">
        <f ca="1">_xlfn.LET(_xlpm.PILE,_xlfn.XLOOKUP(NewTrader!$V66,TabCalc[Ticker],TabCalc[Pile?]),                    _xlpm.GL,_xlfn.XLOOKUP(NewTrader!$V66,TabCalc[Ticker],TabCalc[GL]),                        _xlpm.GLK,_xlfn.XLOOKUP(NewTrader!$V66,TabCalc[Ticker],TabCalc[GL])/1000,                             _xlpm.MVal,_xlfn.XLOOKUP(NewTrader!$V66,TabCalc[Ticker],TabCalc[M_V])/1000,                   _xlpm.PILE&amp;" "&amp;IF(_xlpm.GL&lt;0,TEXT(_xlpm.GLK,"#,#0")&amp;"K /"&amp;TEXT(_xlpm.MVal,"#,#0")&amp;" K$","^"&amp;TEXT(_xlpm.GLK,"#,#0")&amp;"K / "&amp;TEXT(_xlpm.MVal,"#,#0")&amp;" K$"))</f>
        <v xml:space="preserve"> ^129K / 97 K$</v>
      </c>
      <c r="AE66" s="1720" t="str">
        <f ca="1">_xlfn.XLOOKUP(NewTrader!$V66,[1]!RTData[Ticker_Symbol],[1]!RTData[Currency])</f>
        <v>USD</v>
      </c>
      <c r="AF66" s="1721"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698" t="str" cm="1">
        <f t="array" aca="1" ref="AH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200.37 - 278.03 - 283.58</v>
      </c>
      <c r="AI6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6" s="1699" t="str" cm="1">
        <f t="array" aca="1" ref="AJ66" ca="1">_xlfn.IFS(Tab_NewTRADER[[#This Row],[State]]="Sell More",TEXT(MIN(Tab_NewTRADER[[#This Row],[N]],Tab_NewTRADER[[#This Row],[L_Bn]])*(Tab_NewTRADER[[#This Row],[M]]-Tab_NewTRADER[[#This Row],[L_Sp]])*Tab_NewTRADER[[#This Row],[Scale]]*ComFactor,"#,#0"), TRUE,"M= "&amp;TEXT(Tab_NewTRADER[[#This Row],[M]],"#,#0.00"))</f>
        <v>5,215</v>
      </c>
      <c r="AK66" s="1699" t="str" cm="1">
        <f t="array" aca="1" ref="AK66" ca="1">_xlfn.IFS(Tab_NewTRADER[[#This Row],[Y]]&gt;Tab_NewTRADER[[#This Row],[A]],                 TEXT(MIN(Tab_NewTRADER[[#This Row],[L_Bn]],Tab_NewTRADER[[#This Row],[N]])*(Tab_NewTRADER[[#This Row],[M]]-Tab_NewTRADER[[#This Row],[A]])*Tab_NewTRADER[[#This Row],[Scale]]*ComFactor,"#,#0"), TRUE,0)</f>
        <v>22,462</v>
      </c>
      <c r="AL66" s="1700" cm="1">
        <f t="array" aca="1" ref="AL66" ca="1">_xlfn.IFS(Tab_NewTRADER[[#This Row],[M]]&gt;Tab_NewTRADER[[#This Row],[A]],                  Tab_NewTRADER[[#This Row],[N]]*(Tab_NewTRADER[[#This Row],[M]]-Tab_NewTRADER[[#This Row],[A]])*Tab_NewTRADER[[#This Row],[Scale]]*ComFactor, TRUE,0)</f>
        <v>27109.006354964196</v>
      </c>
      <c r="AM66" s="1592" t="str">
        <f ca="1">_xlfn.XLOOKUP(Tab_NewTRADER[[#This Row],[Show]],TabCalc[Ticker],TabCalc[Max_Bn])&amp;" x "&amp;TEXT(_xlfn.XLOOKUP(Tab_NewTRADER[[#This Row],[Show]],TabCalc[Ticker],TabCalc[Max_Bp]),"#,#0.00")</f>
        <v>60 x 204.95</v>
      </c>
      <c r="AN66" s="1650" t="str">
        <f ca="1">NewTrader!$V66</f>
        <v>SAFAAPL</v>
      </c>
      <c r="AO66" s="1651" t="str">
        <f ca="1">TEXT(_xlfn.XLOOKUP(Tab_NewTRADER[[#This Row],[ClickTick]],TabCalc[Ticker],TabCalc[NAfter]),"#,#0")&amp;"x"&amp;_xlfn.XLOOKUP(Tab_NewTRADER[[#This Row],[ClickTick]],TabCalc[Ticker],TabCalc[M])&amp;"           (A: "&amp;TEXT(-_xlfn.XLOOKUP(Tab_NewTRADER[[#This Row],[ClickTick]]&amp;2,Consolid!B$3:JZ$3,Consolid!B$4:JZ$4),"#,??0.00")&amp;")"</f>
        <v>350x278.03           (A: 200.37)</v>
      </c>
      <c r="AP66" s="1592" t="str">
        <f ca="1">_xlfn.XLOOKUP(Tab_NewTRADER[[#This Row],[Show]],TabCalc[Ticker],TabCalc[Min_Sn])&amp;" x "&amp;TEXT(_xlfn.XLOOKUP(Tab_NewTRADER[[#This Row],[Show]],TabCalc[Ticker],TabCalc[Min_Sp]),"#,#0.00")</f>
        <v>150 x 170.71</v>
      </c>
      <c r="AQ6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702" t="str" cm="1">
        <f t="array" aca="1" ref="AR66" ca="1">_xlfn.IFS(Tab_NewTRADER[[#This Row],[State]]="Reverse Buy",TEXT(-Tab_NewTRADER[[#This Row],[Buy_Back]],"#,#0")&amp;" / "&amp;TEXT(Tab_NewTRADER[[#This Row],[Rev_Buy]],"#,#0.0%"),TRUE,Tab_NewTRADER[[#This Row],[AMY]])</f>
        <v xml:space="preserve"> 200.37 - 278.03 - 283.58</v>
      </c>
      <c r="AS66" s="1651"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99"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99" t="str" cm="1">
        <f t="array" aca="1" ref="AU66" ca="1">_xlfn.IFS(Tab_NewTRADER[[#This Row],[M]]&lt;Tab_NewTRADER[[#This Row],[A]],TEXT(Tab_NewTRADER[[#This Row],[N]]*Tab_NewTRADER[[#This Row],[M]]*Tab_NewTRADER[[#This Row],[Scale]]*Comm_Net,"#,#0")&amp;" @ "&amp;TEXT(Tab_NewTRADER[[#This Row],[M]],"#,#0.#0"),TRUE,"M: "&amp; Tab_NewTRADER[[#This Row],[M]])</f>
        <v>M: 278.03</v>
      </c>
      <c r="AV66" s="1703" cm="1">
        <f t="array" aca="1" ref="AV66" ca="1">-_xlfn.XLOOKUP(
    Tab_NewTRADER[[#This Row],[Show]] &amp; 2,
    TabConsolid[#Headers],
    INDEX(TabConsolid[], 1, 0)
)</f>
        <v>200.37378998262852</v>
      </c>
      <c r="AW66" s="1704">
        <f ca="1">Tab_NewTRADER[[#This Row],[M]]*Tab_NewTRADER[[#This Row],[N]]*(1-Commission)*Tab_NewTRADER[[#This Row],[Scale]]</f>
        <v>97057.492699999988</v>
      </c>
      <c r="AX66" s="1705"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705"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706" t="str" cm="1">
        <f t="array" aca="1" ref="AZ66" ca="1">_xlfn.IFS(   Tab_NewTRADER[[#This Row],[State]]=SellMorePercentGain,                     MIN(Tab_NewTRADER[[#This Row],[L_Sn]],Tab_NewTRADER[[#This Row],[N]])*(Tab_NewTRADER[[#This Row],[M]]-Tab_NewTRADER[[#This Row],[L_Sp]])*(1-Commission)*Tab_NewTRADER[[#This Row],[Scale]],                    TRUE,"")</f>
        <v/>
      </c>
      <c r="BA66" s="1707">
        <f ca="1">_xlfn.XLOOKUP(NewTrader!$V66,TabCalc[Ticker],TabCalc[Ann%RevLB])</f>
        <v>0.78401556882277235</v>
      </c>
      <c r="BB66" s="1708">
        <f ca="1">_xlfn.XLOOKUP(NewTrader!$V66,TabCalc[Ticker],TabCalc[Up20])</f>
        <v>0</v>
      </c>
      <c r="BC66" s="1747"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706" t="str" cm="1">
        <f t="array" aca="1" ref="BD66" ca="1">_xlfn.IFS(         NewTrader!$AF66=MDown,NewTrader!$P66*NewTrader!$Y66*(-(NewTrader!$Q66+NewTrader!$Y66)/NewTrader!$Y66)*(1-Commission)*NewTrader!$A66,                               TRUE,"")</f>
        <v/>
      </c>
      <c r="BE66" s="1705" t="str" cm="1">
        <f t="array" aca="1" ref="BE66" ca="1">_xlfn.IFS(   NewTrader!$AF66=MUp,NewTrader!$BP66-Commission,        NewTrader!$AF66=MDown,(NewTrader!$X66-NewTrader!$Y66)/NewTrader!$Y66-Commission,                              TRUE,"")</f>
        <v/>
      </c>
      <c r="BF66" s="1706"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710" t="str" cm="1">
        <f t="array" aca="1" ref="BG66" ca="1">_xlfn.LET(_xlpm.SumChTxt,TEXT(_xlfn.XLOOKUP(NewTrader!$V66,ListTickers,Tab2SumChangePercent[AVGChan20]),"#0.0%"),
      _xlfn.IFS(NewTrader!$AF66=NoStock,_xlpm.SumChTxt,
      TRUE, IF(NewTrader!$AF66=SellMorePercentGain,             "SumChange "&amp;_xlpm.SumChTxt,                         "&lt;"&amp;INT(_xlfn.XLOOKUP(NewTrader!$V66,ListTickers,Tab2ReverseGL[Rev_GL19]))&amp;    "&lt;"&amp;INT(_xlfn.XLOOKUP(NewTrader!$V66,ListTickers,Tab2ReverseGL[Rev_GL18]))&amp;":      "&amp;_xlpm.SumChTxt)))</f>
        <v>&lt;-1&lt;-1:      -0.4%</v>
      </c>
      <c r="BH66" s="1711"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290x77.65</v>
      </c>
      <c r="BI66" s="1712" cm="1">
        <f t="array" aca="1" ref="BI66" ca="1">_xlfn.IFS(NewTrader!$AF66=Sale_Back,"",         NewTrader!$AF66=MDown, (NewTrader!$Y66-NewTrader!$X66)/NewTrader!$X66*ComFactor,             TRUE, IFERROR((NewTrader!$Y66-NewTrader!$X66)/NewTrader!$X66*ComFactor,""))</f>
        <v>0.38654907848996223</v>
      </c>
      <c r="BJ66" s="1664" cm="1">
        <f t="array" aca="1" ref="BJ66" ca="1">_xlfn.IFS(               NewTrader!$AF66=NoStock,(NewTrader!$BL66-NewTrader!$Y66)/NewTrader!$Y66-Commission,             NewTrader!$X66&lt;&gt;0,(NewTrader!$X66-NewTrader!$Y66)/NewTrader!$Y66-Commission)</f>
        <v>-0.28190874372323654</v>
      </c>
      <c r="BK66" s="1713">
        <f ca="1">_xlfn.XLOOKUP(NewTrader!$V66,TabCalc[Ticker],TabCalc[L_Sn])</f>
        <v>150</v>
      </c>
      <c r="BL66" s="1693">
        <f ca="1">_xlfn.XLOOKUP(NewTrader!$V66,TabCalc[Ticker],TabCalc[L_Sp])</f>
        <v>260</v>
      </c>
      <c r="BM66" s="1694">
        <f ca="1">-IFERROR((Tab_NewTRADER[[#This Row],[M]]-Tab_NewTRADER[[#This Row],[L_Sp]])/Tab_NewTRADER[[#This Row],[L_Sp]],0)</f>
        <v>-6.9346153846153738E-2</v>
      </c>
      <c r="BN66" s="1714">
        <f ca="1">MIN(Tab_NewTRADER[[#This Row],[L_Sn]],Tab_NewTRADER[[#This Row],[N]])*(Tab_NewTRADER[[#This Row],[M]]-Tab_NewTRADER[[#This Row],[L_Sp]])*Comm_Net*Tab_NewTRADER[[#This Row],[Scale]]</f>
        <v>2697.1978499999959</v>
      </c>
      <c r="BO66" s="1715">
        <f ca="1">Tab_NewTRADER[[#This Row],[L_Sn]]*(Tab_NewTRADER[[#This Row],[Agiotage]]-Tab_NewTRADER[[#This Row],[M]])/(Tab_NewTRADER[[#This Row],[L_Bn]]*Tab_NewTRADER[[#This Row],[M]])</f>
        <v>-0.51593823105513226</v>
      </c>
      <c r="BP66" s="1716">
        <f ca="1">IFERROR((Tab_NewTRADER[[#This Row],[M]]-Tab_NewTRADER[[#This Row],[A]])/Tab_NewTRADER[[#This Row],[A]],0)</f>
        <v>0.38755672597750374</v>
      </c>
      <c r="BQ66" s="1671" t="str">
        <f ca="1">TEXT(_xlfn.XLOOKUP(Tab_NewTRADER[[#This Row],[ClickTick]],TabCalc[Ticker],TabCalc[NAfter]),"#,#0")&amp;" : "&amp;TEXT(_xlfn.XLOOKUP(Tab_NewTRADER[[#This Row],[ClickTick]],TabCalc[Ticker],TabCalc[NAfter])*(Tab_NewTRADER[[#This Row],[M]]-Tab_NewTRADER[[#This Row],[A]])*(1-Commission)*Tab_NewTRADER[[#This Row],[Scale]],"#,#0$")</f>
        <v>350 : 27,109$</v>
      </c>
      <c r="BR66" s="262">
        <f ca="1">_xlfn.XLOOKUP(NewTrader!$V66,TabCalc[[#This Row],[Ticker]],TabCalc[[#This Row],[GL]])*(1-Commission)</f>
        <v>129098.38926157031</v>
      </c>
      <c r="BS66" s="262"/>
      <c r="BT66" s="1672" t="str">
        <f ca="1">Tab_NewTRADER[[#This Row],[Show]]&amp;": "&amp;_xlfn.XLOOKUP(Tab_NewTRADER[[#This Row],[Show]],TabCalc[Ticker],TabCalc[Pile?])</f>
        <v xml:space="preserve">SAFAAPL: </v>
      </c>
      <c r="BU66" s="1717" t="s">
        <v>1942</v>
      </c>
      <c r="BV66" s="1674" t="str" cm="1">
        <f t="array" aca="1" ref="BV66" ca="1">_xlfn.TEXTJOIN("",,INDEX({"M","A","Y"}, _xlfn.SORTBY({1,2,3}, -CHOOSE({1,2,3}, Tab_NewTRADER[[#This Row],[M]], Tab_NewTRADER[[#This Row],[A]], Tab_NewTRADER[[#This Row],[Y]]))))</f>
        <v>YMA</v>
      </c>
      <c r="BW66" s="1675"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76">
        <f ca="1">Tab_NewTRADER[[#This Row],[L_Sn]]*Tab_NewTRADER[[#This Row],[L_Sp]]+Tab_NewTRADER[[#This Row],[SellMore]]*Tab_NewTRADER[[#This Row],[M]]</f>
        <v>55681.8</v>
      </c>
      <c r="BY66" s="1676">
        <f ca="1">INDEX(
  INDEX(TabConsolid[], , _xlfn.XMATCH(Tab_NewTRADER[[#This Row],[ClickTick]]&amp;1, TabConsolid[#Headers])),
  MATCH(
    -Tab_NewTRADER[[#This Row],[M]],
    INDEX(TabConsolid[], , _xlfn.XMATCH(Tab_NewTRADER[[#This Row],[ClickTick]]&amp;2, TabConsolid[#Headers])),
    -1
  )
)</f>
        <v>60</v>
      </c>
      <c r="BZ66" s="1676"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77">
        <f ca="1">Tab_NewTRADER[[#This Row],[ReBuy]]/(Tab_NewTRADER[[#This Row],[L_Sn]]+Tab_NewTRADER[[#This Row],[SellMore]])</f>
        <v>265.1514285714286</v>
      </c>
      <c r="CB66" s="1678">
        <f ca="1">((_xlfn.XLOOKUP(Tab_NewTRADER[[#This Row],[Show]],TabCalc[Ticker],TabCalc[NAfter])+Tab_NewTRADER[[#This Row],[L_Sn]])*(Tab_NewTRADER[[#This Row],[Agiotage]]-Tab_NewTRADER[[#This Row],[M]]))/(Tab_NewTRADER[[#This Row],[L_Sn]]*_xlfn.XLOOKUP(Tab_NewTRADER[[#This Row],[Show]],TabCalc[Ticker],TabCalc[NAfter]))</f>
        <v>-2.6412335777952345</v>
      </c>
      <c r="CC66" s="1677">
        <f ca="1">INDEX(Tab1Price[Price19], MATCH(Tab_NewTRADER[[#This Row],[Show]], Tab_NewTRADER[Show], 0))</f>
        <v>278.02999999999997</v>
      </c>
      <c r="CD66" s="1679">
        <f ca="1">_xlfn.XMATCH(Tab_NewTRADER[[#This Row],[Show]]&amp;1, TabConsolid[#Headers])</f>
        <v>194</v>
      </c>
      <c r="CE66" s="1678"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729" t="str" cm="1">
        <f t="array" aca="1" ref="CF66" ca="1">_xlfn.LET(
    _xlpm.FMT, _xlfn.LAMBDA(_xlpm.n, REPT(" ", 7 - LEN(TEXT(_xlpm.n,"0.00"))) &amp; TEXT(_xlpm.n,"0.00")),
    _xlpm.FMT(Tab_NewTRADER[[#This Row],[A]]) &amp; " -" &amp; _xlpm.FMT(Tab_NewTRADER[[#This Row],[M]]) &amp; " -" &amp; _xlpm.FMT(Tab_NewTRADER[[#This Row],[Y]])
)</f>
        <v xml:space="preserve"> 200.37 - 278.03 - 283.58</v>
      </c>
      <c r="CG66" s="1730" t="str" cm="1">
        <f t="array" aca="1" ref="CG66" ca="1">_xlfn.LET(
    _xlpm.W, 7,
    _xlpm.FMT, _xlfn.LAMBDA(_xlpm.n, REPT(" ", _xlpm.W - LEN(TEXT(_xlpm.n,"0.00"))) &amp; TEXT(_xlpm.n,"0.00")),
    _xlpm.FMT(Tab_NewTRADER[[#This Row],[A]]) &amp; " * " &amp; _xlpm.FMT(Tab_NewTRADER[[#This Row],[M]]) &amp; " * " &amp; _xlpm.FMT(Tab_NewTRADER[[#This Row],[Y]])
)</f>
        <v xml:space="preserve"> 200.37 *  278.03 *  283.58</v>
      </c>
      <c r="CH66" s="1842">
        <f>0</f>
        <v>0</v>
      </c>
      <c r="CI66" t="b">
        <f ca="1">IF(ABS(NewTrader!$Q66)&gt;=NewTrader!$Y66,"OK")</f>
        <v>0</v>
      </c>
    </row>
    <row r="67" spans="1:87" ht="23" thickBot="1">
      <c r="A67" s="1838">
        <f ca="1">IF(_xlfn.XLOOKUP(NewTrader!$V67,TabCalc[Ticker],TabCalc[Cur])="GBp",0.01,1)</f>
        <v>1</v>
      </c>
      <c r="B67" s="1620" t="str">
        <f ca="1">IFERROR(TRUNC(_xlfn.XLOOKUP(NewTrader!$V67,TabCalc[Ticker],ListLastBuyp),2)&amp;"x"&amp;_xlfn.XLOOKUP(NewTrader!$V67,TabCalc[Ticker],ListLastBuyn)&amp;"=    "&amp;IF(_xlfn.XLOOKUP(NewTrader!$V67,TabCalc[Ticker],ListReverseS)&gt;0,"+","")&amp;TEXT(_xlfn.XLOOKUP(NewTrader!$V67,TabCalc[Ticker],ListReverseS),"#,#0")&amp;" "&amp;#REF!,"")</f>
        <v/>
      </c>
      <c r="C67" s="1621" t="str">
        <f ca="1">_xlfn.XLOOKUP(NewTrader!$V67,TabCalc[Ticker],ListResale)&amp;" @ "&amp;TEXT((_xlfn.XLOOKUP(NewTrader!$V67,TabCalc[Ticker],TabCalc[L_Bp])+_xlfn.XLOOKUP(NewTrader!$V67,TabCalc[Ticker],TabCalc[M]))/_xlfn.XLOOKUP(NewTrader!$V67,TabCalc[Ticker],TabCalc[M]),"#0.0%")</f>
        <v>Sell @ 7.4%</v>
      </c>
      <c r="D67" s="1622"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294/1,500=67,610</v>
      </c>
      <c r="E67" s="1718" t="str">
        <f ca="1">IF(      AND(NewTrader!$X67&lt;NewTrader!$Y67,    _xlfn.XLOOKUP(NewTrader!$V67,TabCalc[Ticker],TabCalc[L_Sp])&gt;NewTrader!$Y67),"BUY  "&amp;TEXT(DesiredBuyGain/NewTrader!$A67/(_xlfn.XLOOKUP(NewTrader!$V67,TabCalc[Ticker],TabCalc[L_Sp])-NewTrader!$Y67),"#,##0"),"")</f>
        <v/>
      </c>
      <c r="F67" s="1620" t="str">
        <f ca="1">TRUNC(TabCalc[[#This Row],[L_B1p]],2)&amp;"x"&amp;TabCalc[[#This Row],[L_B1n]]&amp;"=   "&amp;TEXT(TabCalc[[#This Row],[ReverseS1]],"#,#0")&amp;"$"</f>
        <v>-193.49x250=   9,198$</v>
      </c>
      <c r="G67" s="1624" t="str">
        <f ca="1">IFERROR(TRUNC(_xlfn.XLOOKUP(NewTrader!$V67,TabCalc[Ticker],ListLastSalep),2)&amp;"x"&amp;_xlfn.XLOOKUP(NewTrader!$V67,TabCalc[Ticker],ListLastSalen)&amp;"=   "&amp;TEXT(-_xlfn.XLOOKUP(NewTrader!$V67,TabCalc[Ticker],ListReverseB),"#,#0")&amp;"$","")</f>
        <v>221.65x500=   4,315$</v>
      </c>
      <c r="H67" s="1625"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-3.7% = 0</v>
      </c>
      <c r="I67" s="1620" t="str">
        <f ca="1">IFERROR(TRUNC(TabCalc[[#This Row],[L_S1p]],2)&amp;"x"&amp;TabCalc[[#This Row],[L_S1n]]&amp;"=   "&amp;TEXT(TabCalc[[#This Row],[ReverseB1]],"#,#0"),"")</f>
        <v>232.72x500=   1,220</v>
      </c>
      <c r="J67" s="1626">
        <f ca="1">_xlfn.XLOOKUP(NewTrader!$V67,TabCalc[Ticker],ListGravity)</f>
        <v>1.2811867291992356</v>
      </c>
      <c r="K67" s="1627" t="str" cm="1">
        <f t="array" aca="1" ref="K67" ca="1">IF(_xlfn.XLOOKUP(NewTrader!$V67,NewTrader!$V$3:$V$96,ListExtra_n)&gt;0,_xlfn.XLOOKUP(NewTrader!$V67,NewTrader!$V$3:$V$96,ListExtra_n),"")</f>
        <v/>
      </c>
      <c r="L67" s="1628" t="str">
        <f ca="1">IF(_xlfn.XLOOKUP(NewTrader!$V67,TabCalc[Ticker],ListExtra_n)&gt;0,_xlfn.XLOOKUP(NewTrader!$V67,TabCalc[Ticker],ListExtra_n)*NewTrader!$Y67*_xlfn.XLOOKUP(NewTrader!$V67,TabCalc[Ticker],ListScale),"")</f>
        <v/>
      </c>
      <c r="M67" s="1629">
        <f ca="1">_xlfn.XLOOKUP(NewTrader!$V67,TabCalc[Ticker],TabCalc[Agiotage])</f>
        <v>0.6326482224746578</v>
      </c>
      <c r="N67" s="1630" cm="1">
        <f t="array" aca="1" ref="N67" ca="1">_xlfn.XLOOKUP(NewTrader!$V67,ListTickers,Tab2RSIConventional[RSIConv20])</f>
        <v>49</v>
      </c>
      <c r="O67" s="1631" t="str">
        <f ca="1">TEXT(_xlfn.XLOOKUP(NewTrader!$V67,TabCalc[Ticker],TabCalc[Nbegin]),"#,#0")&amp;": "&amp;_xlfn.XLOOKUP(NewTrader!$V67,TabCalc[Ticker],TabCalc[Pile?])</f>
        <v xml:space="preserve">2,000: </v>
      </c>
      <c r="P67" s="1630">
        <f ca="1">_xlfn.XLOOKUP(NewTrader!$V67,TabCalc[Ticker],TabCalc[L_Bn])</f>
        <v>500</v>
      </c>
      <c r="Q67" s="1633">
        <f ca="1">_xlfn.XLOOKUP(NewTrader!$V67,TabCalc[Ticker],TabCalc[L_Bp])</f>
        <v>-213.25</v>
      </c>
      <c r="R67" s="1634">
        <f ca="1">(NewTrader!$Y67+NewTrader!$Q67)/ABS(NewTrader!$Q67)</f>
        <v>7.985932004689332E-2</v>
      </c>
      <c r="S67" s="259">
        <f ca="1">INT(_xlfn.XLOOKUP(NewTrader!$V67,TabCalc[Ticker],TabCalc[Rev(MinStock)])*Comm_Net)</f>
        <v>8469</v>
      </c>
      <c r="T67" s="1635">
        <f ca="1">_xlfn.XLOOKUP(NewTrader!$V67,TabCalc[Ticker],TabCalc[Agiotage])</f>
        <v>0.6326482224746578</v>
      </c>
      <c r="U67" s="1719"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-1,005/-1,005=&gt;-0.6% / -0.6%</v>
      </c>
      <c r="V67" s="1578" t="str">
        <f ca="1">SORTING!B67</f>
        <v>SAFAMZN</v>
      </c>
      <c r="W67" s="1637">
        <f ca="1">_xlfn.XLOOKUP(NewTrader!$V67,TabCalc[Ticker],TabCalc[Y])</f>
        <v>295.03167999999999</v>
      </c>
      <c r="X67" s="1639">
        <f ca="1">-_xlfn.XLOOKUP(NewTrader!$V67&amp;2,Consolid!B$3:JZ$3,Consolid!B$4:JZ$4)</f>
        <v>205.23221999999998</v>
      </c>
      <c r="Y67" s="1639">
        <f ca="1">_xlfn.XLOOKUP(NewTrader!$V67,TabCalc[Ticker],TabCalc[M])</f>
        <v>230.28</v>
      </c>
      <c r="Z67" s="1640">
        <f ca="1">_xlfn.XLOOKUP(NewTrader!$V67,[1]!RTData[Ticker_Symbol],[1]!RTData[YTChange])</f>
        <v>0.29912672831351828</v>
      </c>
      <c r="AA67" s="1640" cm="1">
        <f t="array" aca="1" ref="AA67" ca="1">_xlfn.XLOOKUP(NewTrader!$V67,ListTickers,Tab1ChangePercent[Change%19])</f>
        <v>-6.4720000000000003E-3</v>
      </c>
      <c r="AB67" s="1641">
        <f ca="1">_xlfn.XLOOKUP(NewTrader!$V67,TabCalc[Ticker],TabCalc[NAfter])</f>
        <v>1500</v>
      </c>
      <c r="AC67" s="1641">
        <f ca="1">_xlfn.XLOOKUP(NewTrader!$V67,TabCalc[Ticker],TabCalc[Nbegin])</f>
        <v>2000</v>
      </c>
      <c r="AD67" s="1642" t="str">
        <f ca="1">_xlfn.LET(_xlpm.PILE,_xlfn.XLOOKUP(NewTrader!$V67,TabCalc[Ticker],TabCalc[Pile?]),                    _xlpm.GL,_xlfn.XLOOKUP(NewTrader!$V67,TabCalc[Ticker],TabCalc[GL]),                        _xlpm.GLK,_xlfn.XLOOKUP(NewTrader!$V67,TabCalc[Ticker],TabCalc[GL])/1000,                             _xlpm.MVal,_xlfn.XLOOKUP(NewTrader!$V67,TabCalc[Ticker],TabCalc[M_V])/1000,                   _xlpm.PILE&amp;" "&amp;IF(_xlpm.GL&lt;0,TEXT(_xlpm.GLK,"#,#0")&amp;"K /"&amp;TEXT(_xlpm.MVal,"#,#0")&amp;" K$","^"&amp;TEXT(_xlpm.GLK,"#,#0")&amp;"K / "&amp;TEXT(_xlpm.MVal,"#,#0")&amp;" K$"))</f>
        <v xml:space="preserve"> ^171K / 344 K$</v>
      </c>
      <c r="AE67" s="1643" t="str">
        <f ca="1">_xlfn.XLOOKUP(NewTrader!$V67,[1]!RTData[Ticker_Symbol],[1]!RTData[Currency])</f>
        <v>USD</v>
      </c>
      <c r="AF67" s="1721"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698" t="str" cm="1">
        <f t="array" aca="1" ref="AH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205.23 - 230.28 - 295.03</v>
      </c>
      <c r="AI67"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7" s="1699" t="str" cm="1">
        <f t="array" aca="1" ref="AJ67" ca="1">_xlfn.IFS(Tab_NewTRADER[[#This Row],[State]]="Sell More",TEXT(MIN(Tab_NewTRADER[[#This Row],[N]],Tab_NewTRADER[[#This Row],[L_Bn]])*(Tab_NewTRADER[[#This Row],[M]]-Tab_NewTRADER[[#This Row],[L_Sp]])*Tab_NewTRADER[[#This Row],[Scale]]*ComFactor,"#,#0"), TRUE,"M= "&amp;TEXT(Tab_NewTRADER[[#This Row],[M]],"#,#0.00"))</f>
        <v>4,304</v>
      </c>
      <c r="AK67" s="1699" t="str" cm="1">
        <f t="array" aca="1" ref="AK67" ca="1">_xlfn.IFS(Tab_NewTRADER[[#This Row],[Y]]&gt;Tab_NewTRADER[[#This Row],[A]],                 TEXT(MIN(Tab_NewTRADER[[#This Row],[L_Bn]],Tab_NewTRADER[[#This Row],[N]])*(Tab_NewTRADER[[#This Row],[M]]-Tab_NewTRADER[[#This Row],[A]])*Tab_NewTRADER[[#This Row],[Scale]]*ComFactor,"#,#0"), TRUE,0)</f>
        <v>12,491</v>
      </c>
      <c r="AL67" s="1700" cm="1">
        <f t="array" aca="1" ref="AL67" ca="1">_xlfn.IFS(Tab_NewTRADER[[#This Row],[M]]&gt;Tab_NewTRADER[[#This Row],[A]],                  Tab_NewTRADER[[#This Row],[N]]*(Tab_NewTRADER[[#This Row],[M]]-Tab_NewTRADER[[#This Row],[A]])*Tab_NewTRADER[[#This Row],[Scale]]*ComFactor, TRUE,0)</f>
        <v>37473.983658000026</v>
      </c>
      <c r="AM67" s="1592" t="str">
        <f ca="1">_xlfn.XLOOKUP(Tab_NewTRADER[[#This Row],[Show]],TabCalc[Ticker],TabCalc[Max_Bn])&amp;" x "&amp;TEXT(_xlfn.XLOOKUP(Tab_NewTRADER[[#This Row],[Show]],TabCalc[Ticker],TabCalc[Max_Bp]),"#,#0.00")</f>
        <v>250 x 236.91</v>
      </c>
      <c r="AN67" s="1650" t="str">
        <f ca="1">NewTrader!$V67</f>
        <v>SAFAMZN</v>
      </c>
      <c r="AO67" s="1651" t="str">
        <f ca="1">TEXT(_xlfn.XLOOKUP(Tab_NewTRADER[[#This Row],[ClickTick]],TabCalc[Ticker],TabCalc[NAfter]),"#,#0")&amp;"x"&amp;_xlfn.XLOOKUP(Tab_NewTRADER[[#This Row],[ClickTick]],TabCalc[Ticker],TabCalc[M])&amp;"           (A: "&amp;TEXT(-_xlfn.XLOOKUP(Tab_NewTRADER[[#This Row],[ClickTick]]&amp;2,Consolid!B$3:JZ$3,Consolid!B$4:JZ$4),"#,??0.00")&amp;")"</f>
        <v>1,500x230.28           (A: 205.23)</v>
      </c>
      <c r="AP67" s="1592" t="str">
        <f ca="1">_xlfn.XLOOKUP(Tab_NewTRADER[[#This Row],[Show]],TabCalc[Ticker],TabCalc[Min_Sn])&amp;" x "&amp;TEXT(_xlfn.XLOOKUP(Tab_NewTRADER[[#This Row],[Show]],TabCalc[Ticker],TabCalc[Min_Sp]),"#,#0.00")</f>
        <v>300 x 175.36</v>
      </c>
      <c r="AQ6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702" t="str" cm="1">
        <f t="array" aca="1" ref="AR67" ca="1">_xlfn.IFS(Tab_NewTRADER[[#This Row],[State]]="Reverse Buy",TEXT(-Tab_NewTRADER[[#This Row],[Buy_Back]],"#,#0")&amp;" / "&amp;TEXT(Tab_NewTRADER[[#This Row],[Rev_Buy]],"#,#0.0%"),TRUE,Tab_NewTRADER[[#This Row],[AMY]])</f>
        <v xml:space="preserve"> 205.23 - 230.28 - 295.03</v>
      </c>
      <c r="AS67" s="1651"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99"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99" t="str" cm="1">
        <f t="array" aca="1" ref="AU67" ca="1">_xlfn.IFS(Tab_NewTRADER[[#This Row],[M]]&lt;Tab_NewTRADER[[#This Row],[A]],TEXT(Tab_NewTRADER[[#This Row],[N]]*Tab_NewTRADER[[#This Row],[M]]*Tab_NewTRADER[[#This Row],[Scale]]*Comm_Net,"#,#0")&amp;" @ "&amp;TEXT(Tab_NewTRADER[[#This Row],[M]],"#,#0.#0"),TRUE,"M: "&amp; Tab_NewTRADER[[#This Row],[M]])</f>
        <v>M: 230.28</v>
      </c>
      <c r="AV67" s="1740" cm="1">
        <f t="array" aca="1" ref="AV67" ca="1">-_xlfn.XLOOKUP(
    Tab_NewTRADER[[#This Row],[Show]] &amp; 2,
    TabConsolid[#Headers],
    INDEX(TabConsolid[], 1, 0)
)</f>
        <v>205.23221999999998</v>
      </c>
      <c r="AW67" s="1741">
        <f ca="1">Tab_NewTRADER[[#This Row],[M]]*Tab_NewTRADER[[#This Row],[N]]*(1-Commission)*Tab_NewTRADER[[#This Row],[Scale]]</f>
        <v>344521.908</v>
      </c>
      <c r="AX67" s="1705"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705"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706" t="str" cm="1">
        <f t="array" aca="1" ref="AZ67" ca="1">_xlfn.IFS(   Tab_NewTRADER[[#This Row],[State]]=SellMorePercentGain,                     MIN(Tab_NewTRADER[[#This Row],[L_Sn]],Tab_NewTRADER[[#This Row],[N]])*(Tab_NewTRADER[[#This Row],[M]]-Tab_NewTRADER[[#This Row],[L_Sp]])*(1-Commission)*Tab_NewTRADER[[#This Row],[Scale]],                    TRUE,"")</f>
        <v/>
      </c>
      <c r="BA67" s="1707">
        <f ca="1">_xlfn.XLOOKUP(NewTrader!$V67,TabCalc[Ticker],TabCalc[Ann%RevLB])</f>
        <v>0.15710030173159342</v>
      </c>
      <c r="BB67" s="1708">
        <f ca="1">_xlfn.XLOOKUP(NewTrader!$V67,TabCalc[Ticker],TabCalc[Up20])</f>
        <v>0</v>
      </c>
      <c r="BC67" s="1742"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706" t="str" cm="1">
        <f t="array" aca="1" ref="BD67" ca="1">_xlfn.IFS(         NewTrader!$AF67=MDown,NewTrader!$P67*NewTrader!$Y67*(-(NewTrader!$Q67+NewTrader!$Y67)/NewTrader!$Y67)*(1-Commission)*NewTrader!$A67,                               TRUE,"")</f>
        <v/>
      </c>
      <c r="BE67" s="1705" t="str" cm="1">
        <f t="array" aca="1" ref="BE67" ca="1">_xlfn.IFS(   NewTrader!$AF67=MUp,NewTrader!$BP67-Commission,        NewTrader!$AF67=MDown,(NewTrader!$X67-NewTrader!$Y67)/NewTrader!$Y67-Commission,                              TRUE,"")</f>
        <v/>
      </c>
      <c r="BF67" s="1706"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710" t="str" cm="1">
        <f t="array" aca="1" ref="BG67" ca="1">_xlfn.LET(_xlpm.SumChTxt,TEXT(_xlfn.XLOOKUP(NewTrader!$V67,ListTickers,Tab2SumChangePercent[AVGChan20]),"#0.0%"),
      _xlfn.IFS(NewTrader!$AF67=NoStock,_xlpm.SumChTxt,
      TRUE, IF(NewTrader!$AF67=SellMorePercentGain,             "SumChange "&amp;_xlpm.SumChTxt,                         "&lt;"&amp;INT(_xlfn.XLOOKUP(NewTrader!$V67,ListTickers,Tab2ReverseGL[Rev_GL19]))&amp;    "&lt;"&amp;INT(_xlfn.XLOOKUP(NewTrader!$V67,ListTickers,Tab2ReverseGL[Rev_GL18]))&amp;":      "&amp;_xlpm.SumChTxt)))</f>
        <v>&lt;-1&lt;-1:      0.0%</v>
      </c>
      <c r="BH67" s="1711"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500x25.04</v>
      </c>
      <c r="BI67" s="1712" cm="1">
        <f t="array" aca="1" ref="BI67" ca="1">_xlfn.IFS(NewTrader!$AF67=Sale_Back,"",         NewTrader!$AF67=MDown, (NewTrader!$Y67-NewTrader!$X67)/NewTrader!$X67*ComFactor,             TRUE, IFERROR((NewTrader!$Y67-NewTrader!$X67)/NewTrader!$X67*ComFactor,""))</f>
        <v>0.1217287216013159</v>
      </c>
      <c r="BJ67" s="1664" cm="1">
        <f t="array" aca="1" ref="BJ67" ca="1">_xlfn.IFS(               NewTrader!$AF67=NoStock,(NewTrader!$BL67-NewTrader!$Y67)/NewTrader!$Y67-Commission,             NewTrader!$X67&lt;&gt;0,(NewTrader!$X67-NewTrader!$Y67)/NewTrader!$Y67-Commission)</f>
        <v>-0.11137097446586772</v>
      </c>
      <c r="BK67" s="1726">
        <f ca="1">_xlfn.XLOOKUP(NewTrader!$V67,TabCalc[Ticker],TabCalc[L_Sn])</f>
        <v>500</v>
      </c>
      <c r="BL67" s="1727">
        <f ca="1">_xlfn.XLOOKUP(NewTrader!$V67,TabCalc[Ticker],TabCalc[L_Sp])</f>
        <v>221.65</v>
      </c>
      <c r="BM67" s="1634">
        <f ca="1">-IFERROR((Tab_NewTRADER[[#This Row],[M]]-Tab_NewTRADER[[#This Row],[L_Sp]])/Tab_NewTRADER[[#This Row],[L_Sp]],0)</f>
        <v>-3.8935258290096982E-2</v>
      </c>
      <c r="BN67" s="1728">
        <f ca="1">MIN(Tab_NewTRADER[[#This Row],[L_Sn]],Tab_NewTRADER[[#This Row],[N]])*(Tab_NewTRADER[[#This Row],[M]]-Tab_NewTRADER[[#This Row],[L_Sp]])*Comm_Net*Tab_NewTRADER[[#This Row],[Scale]]</f>
        <v>4303.3494999999984</v>
      </c>
      <c r="BO67" s="1715">
        <f ca="1">Tab_NewTRADER[[#This Row],[L_Sn]]*(Tab_NewTRADER[[#This Row],[Agiotage]]-Tab_NewTRADER[[#This Row],[M]])/(Tab_NewTRADER[[#This Row],[L_Bn]]*Tab_NewTRADER[[#This Row],[M]])</f>
        <v>-0.99725270009347455</v>
      </c>
      <c r="BP67" s="1670">
        <f ca="1">IFERROR((Tab_NewTRADER[[#This Row],[M]]-Tab_NewTRADER[[#This Row],[A]])/Tab_NewTRADER[[#This Row],[A]],0)</f>
        <v>0.12204604130871857</v>
      </c>
      <c r="BQ67" s="1671" t="str">
        <f ca="1">TEXT(_xlfn.XLOOKUP(Tab_NewTRADER[[#This Row],[ClickTick]],TabCalc[Ticker],TabCalc[NAfter]),"#,#0")&amp;" : "&amp;TEXT(_xlfn.XLOOKUP(Tab_NewTRADER[[#This Row],[ClickTick]],TabCalc[Ticker],TabCalc[NAfter])*(Tab_NewTRADER[[#This Row],[M]]-Tab_NewTRADER[[#This Row],[A]])*(1-Commission)*Tab_NewTRADER[[#This Row],[Scale]],"#,#0$")</f>
        <v>1,500 : 37,474$</v>
      </c>
      <c r="BR67" s="259">
        <f ca="1">_xlfn.XLOOKUP(NewTrader!$V67,TabCalc[[#This Row],[Ticker]],TabCalc[[#This Row],[GL]])*(1-Commission)</f>
        <v>171048.36179322898</v>
      </c>
      <c r="BS67" s="259"/>
      <c r="BT67" s="1672" t="str">
        <f ca="1">Tab_NewTRADER[[#This Row],[Show]]&amp;": "&amp;_xlfn.XLOOKUP(Tab_NewTRADER[[#This Row],[Show]],TabCalc[Ticker],TabCalc[Pile?])</f>
        <v xml:space="preserve">SAFAMZN: </v>
      </c>
      <c r="BU67" s="1717" t="s">
        <v>1943</v>
      </c>
      <c r="BV67" s="1674" t="str" cm="1">
        <f t="array" aca="1" ref="BV67" ca="1">_xlfn.TEXTJOIN("",,INDEX({"M","A","Y"}, _xlfn.SORTBY({1,2,3}, -CHOOSE({1,2,3}, Tab_NewTRADER[[#This Row],[M]], Tab_NewTRADER[[#This Row],[A]], Tab_NewTRADER[[#This Row],[Y]]))))</f>
        <v>YMA</v>
      </c>
      <c r="BW67" s="1675"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76">
        <f ca="1">Tab_NewTRADER[[#This Row],[L_Sn]]*Tab_NewTRADER[[#This Row],[L_Sp]]+Tab_NewTRADER[[#This Row],[SellMore]]*Tab_NewTRADER[[#This Row],[M]]</f>
        <v>225965</v>
      </c>
      <c r="BY67" s="1676">
        <f ca="1">INDEX(
  INDEX(TabConsolid[], , _xlfn.XMATCH(Tab_NewTRADER[[#This Row],[ClickTick]]&amp;1, TabConsolid[#Headers])),
  MATCH(
    -Tab_NewTRADER[[#This Row],[M]],
    INDEX(TabConsolid[], , _xlfn.XMATCH(Tab_NewTRADER[[#This Row],[ClickTick]]&amp;2, TabConsolid[#Headers])),
    -1
  )
)</f>
        <v>500</v>
      </c>
      <c r="BZ67" s="1676"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77">
        <f ca="1">Tab_NewTRADER[[#This Row],[ReBuy]]/(Tab_NewTRADER[[#This Row],[L_Sn]]+Tab_NewTRADER[[#This Row],[SellMore]])</f>
        <v>225.965</v>
      </c>
      <c r="CB67" s="1678">
        <f ca="1">((_xlfn.XLOOKUP(Tab_NewTRADER[[#This Row],[Show]],TabCalc[Ticker],TabCalc[NAfter])+Tab_NewTRADER[[#This Row],[L_Sn]])*(Tab_NewTRADER[[#This Row],[Agiotage]]-Tab_NewTRADER[[#This Row],[M]]))/(Tab_NewTRADER[[#This Row],[L_Sn]]*_xlfn.XLOOKUP(Tab_NewTRADER[[#This Row],[Show]],TabCalc[Ticker],TabCalc[NAfter]))</f>
        <v>-0.61239293807340089</v>
      </c>
      <c r="CC67" s="1677">
        <f ca="1">INDEX(Tab1Price[Price19], MATCH(Tab_NewTRADER[[#This Row],[Show]], Tab_NewTRADER[Show], 0))</f>
        <v>230.28</v>
      </c>
      <c r="CD67" s="1679">
        <f ca="1">_xlfn.XMATCH(Tab_NewTRADER[[#This Row],[Show]]&amp;1, TabConsolid[#Headers])</f>
        <v>197</v>
      </c>
      <c r="CE67" s="1678"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729" t="str" cm="1">
        <f t="array" aca="1" ref="CF67" ca="1">_xlfn.LET(
    _xlpm.FMT, _xlfn.LAMBDA(_xlpm.n, REPT(" ", 7 - LEN(TEXT(_xlpm.n,"0.00"))) &amp; TEXT(_xlpm.n,"0.00")),
    _xlpm.FMT(Tab_NewTRADER[[#This Row],[A]]) &amp; " -" &amp; _xlpm.FMT(Tab_NewTRADER[[#This Row],[M]]) &amp; " -" &amp; _xlpm.FMT(Tab_NewTRADER[[#This Row],[Y]])
)</f>
        <v xml:space="preserve"> 205.23 - 230.28 - 295.03</v>
      </c>
      <c r="CG67" s="1730" t="str" cm="1">
        <f t="array" aca="1" ref="CG67" ca="1">_xlfn.LET(
    _xlpm.W, 7,
    _xlpm.FMT, _xlfn.LAMBDA(_xlpm.n, REPT(" ", _xlpm.W - LEN(TEXT(_xlpm.n,"0.00"))) &amp; TEXT(_xlpm.n,"0.00")),
    _xlpm.FMT(Tab_NewTRADER[[#This Row],[A]]) &amp; " * " &amp; _xlpm.FMT(Tab_NewTRADER[[#This Row],[M]]) &amp; " * " &amp; _xlpm.FMT(Tab_NewTRADER[[#This Row],[Y]])
)</f>
        <v xml:space="preserve"> 205.23 *  230.28 *  295.03</v>
      </c>
      <c r="CH67" s="1842">
        <f>0</f>
        <v>0</v>
      </c>
      <c r="CI67" t="b">
        <f ca="1">IF(ABS(NewTrader!$Q67)&gt;=NewTrader!$Y67,"OK")</f>
        <v>0</v>
      </c>
    </row>
    <row r="68" spans="1:87" ht="23" hidden="1" thickBot="1">
      <c r="A68" s="1839">
        <f ca="1">IF(_xlfn.XLOOKUP(NewTrader!$V68,TabCalc[Ticker],TabCalc[Cur])="GBp",0.01,1)</f>
        <v>1</v>
      </c>
      <c r="B68" s="1681" t="str">
        <f ca="1">IFERROR(TRUNC(_xlfn.XLOOKUP(NewTrader!$V68,TabCalc[Ticker],ListLastBuyp),2)&amp;"x"&amp;_xlfn.XLOOKUP(NewTrader!$V68,TabCalc[Ticker],ListLastBuyn)&amp;"=    "&amp;IF(_xlfn.XLOOKUP(NewTrader!$V68,TabCalc[Ticker],ListReverseS)&gt;0,"+","")&amp;TEXT(_xlfn.XLOOKUP(NewTrader!$V68,TabCalc[Ticker],ListReverseS),"#,#0")&amp;" "&amp;#REF!,"")</f>
        <v/>
      </c>
      <c r="C68" s="1682" t="str">
        <f ca="1">_xlfn.XLOOKUP(NewTrader!$V68,TabCalc[Ticker],ListResale)&amp;" @ "&amp;TEXT((_xlfn.XLOOKUP(NewTrader!$V68,TabCalc[Ticker],TabCalc[L_Bp])+_xlfn.XLOOKUP(NewTrader!$V68,TabCalc[Ticker],TabCalc[M]))/_xlfn.XLOOKUP(NewTrader!$V68,TabCalc[Ticker],TabCalc[M]),"#0.0%")</f>
        <v>Resell @ 36.8%</v>
      </c>
      <c r="D68" s="1683"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84" t="str">
        <f ca="1">IF(      AND(NewTrader!$X68&lt;NewTrader!$Y68,    _xlfn.XLOOKUP(NewTrader!$V68,TabCalc[Ticker],TabCalc[L_Sp])&gt;NewTrader!$Y68),"BUY  "&amp;TEXT(DesiredBuyGain/NewTrader!$A68/(_xlfn.XLOOKUP(NewTrader!$V68,TabCalc[Ticker],TabCalc[L_Sp])-NewTrader!$Y68),"#,##0"),"")</f>
        <v>BUY  226</v>
      </c>
      <c r="F68" s="1681" t="str">
        <f ca="1">TRUNC(TabCalc[[#This Row],[L_B1p]],2)&amp;"x"&amp;TabCalc[[#This Row],[L_B1n]]&amp;"=   "&amp;TEXT(TabCalc[[#This Row],[ReverseS1]],"#,#0")&amp;"$"</f>
        <v>-661.5x50=   0$</v>
      </c>
      <c r="G68" s="1685" t="str">
        <f ca="1">IFERROR(TRUNC(_xlfn.XLOOKUP(NewTrader!$V68,TabCalc[Ticker],ListLastSalep),2)&amp;"x"&amp;_xlfn.XLOOKUP(NewTrader!$V68,TabCalc[Ticker],ListLastSalen)&amp;"=   "&amp;TEXT(-_xlfn.XLOOKUP(NewTrader!$V68,TabCalc[Ticker],ListReverseB),"#,#0")&amp;"$","")</f>
        <v>963.04x250=   -5,535$</v>
      </c>
      <c r="H68" s="1686"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2.4% = 226</v>
      </c>
      <c r="I68" s="1681" t="str">
        <f ca="1">IFERROR(TRUNC(TabCalc[[#This Row],[L_S1p]],2)&amp;"x"&amp;TabCalc[[#This Row],[L_S1n]]&amp;"=   "&amp;TEXT(TabCalc[[#This Row],[ReverseB1]],"#,#0"),"")</f>
        <v>660.2x54=   -15,158</v>
      </c>
      <c r="J68" s="1687">
        <f ca="1">_xlfn.XLOOKUP(NewTrader!$V68,TabCalc[Ticker],ListGravity)</f>
        <v>1.0451901371027739</v>
      </c>
      <c r="K68" s="1688" t="str" cm="1">
        <f t="array" aca="1" ref="K68" ca="1">IF(_xlfn.XLOOKUP(NewTrader!$V68,NewTrader!$V$3:$V$96,ListExtra_n)&gt;0,_xlfn.XLOOKUP(NewTrader!$V68,NewTrader!$V$3:$V$96,ListExtra_n),"")</f>
        <v/>
      </c>
      <c r="L68" s="1689" t="str">
        <f ca="1">IF(_xlfn.XLOOKUP(NewTrader!$V68,TabCalc[Ticker],ListExtra_n)&gt;0,_xlfn.XLOOKUP(NewTrader!$V68,TabCalc[Ticker],ListExtra_n)*NewTrader!$Y68*_xlfn.XLOOKUP(NewTrader!$V68,TabCalc[Ticker],ListScale),"")</f>
        <v/>
      </c>
      <c r="M68" s="1690">
        <f ca="1">_xlfn.XLOOKUP(NewTrader!$V68,TabCalc[Ticker],TabCalc[Agiotage])</f>
        <v>0.96938852069526071</v>
      </c>
      <c r="N68" s="1691" cm="1">
        <f t="array" aca="1" ref="N68" ca="1">_xlfn.XLOOKUP(NewTrader!$V68,ListTickers,Tab2RSIConventional[RSIConv20])</f>
        <v>57</v>
      </c>
      <c r="O68" s="1631" t="str">
        <f ca="1">TEXT(_xlfn.XLOOKUP(NewTrader!$V68,TabCalc[Ticker],TabCalc[Nbegin]),"#,#0")&amp;": "&amp;_xlfn.XLOOKUP(NewTrader!$V68,TabCalc[Ticker],TabCalc[Pile?])</f>
        <v xml:space="preserve">160: </v>
      </c>
      <c r="P68" s="1692">
        <f ca="1">_xlfn.XLOOKUP(NewTrader!$V68,TabCalc[Ticker],TabCalc[L_Bn])</f>
        <v>70</v>
      </c>
      <c r="Q68" s="1693">
        <f ca="1">_xlfn.XLOOKUP(NewTrader!$V68,TabCalc[Ticker],TabCalc[L_Bp])</f>
        <v>-595.11</v>
      </c>
      <c r="R68" s="1694">
        <f ca="1">(NewTrader!$Y68+NewTrader!$Q68)/ABS(NewTrader!$Q68)</f>
        <v>0.58105224244257359</v>
      </c>
      <c r="S68" s="262">
        <f ca="1">INT(_xlfn.XLOOKUP(NewTrader!$V68,TabCalc[Ticker],TabCalc[Rev(MinStock)])*Comm_Net)</f>
        <v>0</v>
      </c>
      <c r="T68" s="1635">
        <f ca="1">_xlfn.XLOOKUP(NewTrader!$V68,TabCalc[Ticker],TabCalc[Agiotage])</f>
        <v>0.96938852069526071</v>
      </c>
      <c r="U68" s="1695"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0/0=&gt;-0.5% / -0.5%</v>
      </c>
      <c r="V68" s="1578" t="str">
        <f ca="1">SORTING!B68</f>
        <v>SAFASML</v>
      </c>
      <c r="W68" s="1637">
        <f ca="1">_xlfn.XLOOKUP(NewTrader!$V68,TabCalc[Ticker],TabCalc[Y])</f>
        <v>983.4194</v>
      </c>
      <c r="X68" s="1639">
        <f ca="1">-_xlfn.XLOOKUP(NewTrader!$V68&amp;2,Consolid!B$3:JZ$3,Consolid!B$4:JZ$4)</f>
        <v>0</v>
      </c>
      <c r="Y68" s="1639">
        <f ca="1">_xlfn.XLOOKUP(NewTrader!$V68,TabCalc[Ticker],TabCalc[M])</f>
        <v>940.9</v>
      </c>
      <c r="Z68" s="1640">
        <f ca="1">_xlfn.XLOOKUP(NewTrader!$V68,[1]!RTData[Ticker_Symbol],[1]!RTData[YTChange])</f>
        <v>0.16026734939474735</v>
      </c>
      <c r="AA68" s="1770" cm="1">
        <f t="array" aca="1" ref="AA68" ca="1">_xlfn.XLOOKUP(NewTrader!$V68,ListTickers,Tab1ChangePercent[Change%19])</f>
        <v>-5.391E-3</v>
      </c>
      <c r="AB68" s="1641">
        <f ca="1">_xlfn.XLOOKUP(NewTrader!$V68,TabCalc[Ticker],TabCalc[NAfter])</f>
        <v>0</v>
      </c>
      <c r="AC68" s="1641">
        <f ca="1">_xlfn.XLOOKUP(NewTrader!$V68,TabCalc[Ticker],TabCalc[Nbegin])</f>
        <v>160</v>
      </c>
      <c r="AD68" s="1642" t="str">
        <f ca="1">_xlfn.LET(_xlpm.PILE,_xlfn.XLOOKUP(NewTrader!$V68,TabCalc[Ticker],TabCalc[Pile?]),                    _xlpm.GL,_xlfn.XLOOKUP(NewTrader!$V68,TabCalc[Ticker],TabCalc[GL]),                        _xlpm.GLK,_xlfn.XLOOKUP(NewTrader!$V68,TabCalc[Ticker],TabCalc[GL])/1000,                             _xlpm.MVal,_xlfn.XLOOKUP(NewTrader!$V68,TabCalc[Ticker],TabCalc[M_V])/1000,                   _xlpm.PILE&amp;" "&amp;IF(_xlpm.GL&lt;0,TEXT(_xlpm.GLK,"#,#0")&amp;"K /"&amp;TEXT(_xlpm.MVal,"#,#0")&amp;" K$","^"&amp;TEXT(_xlpm.GLK,"#,#0")&amp;"K / "&amp;TEXT(_xlpm.MVal,"#,#0")&amp;" K$"))</f>
        <v xml:space="preserve"> ^200K / 0 K$</v>
      </c>
      <c r="AE68" s="1720" t="str">
        <f ca="1">_xlfn.XLOOKUP(NewTrader!$V68,[1]!RTData[Ticker_Symbol],[1]!RTData[Currency])</f>
        <v>EUR</v>
      </c>
      <c r="AF68" s="1721"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698" t="str" cm="1">
        <f t="array" aca="1" ref="AH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0.00 - 940.90 - 983.42</v>
      </c>
      <c r="AI6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8" s="1651" t="str" cm="1">
        <f t="array" aca="1" ref="AJ68" ca="1">_xlfn.IFS(Tab_NewTRADER[[#This Row],[State]]="Sell More",TEXT(MIN(Tab_NewTRADER[[#This Row],[N]],Tab_NewTRADER[[#This Row],[L_Bn]])*(Tab_NewTRADER[[#This Row],[M]]-Tab_NewTRADER[[#This Row],[L_Sp]])*Tab_NewTRADER[[#This Row],[Scale]]*ComFactor,"#,#0"), TRUE,"M= "&amp;TEXT(Tab_NewTRADER[[#This Row],[M]],"#,#0.00"))</f>
        <v>M= 940.90</v>
      </c>
      <c r="AK68" s="1699" t="str" cm="1">
        <f t="array" aca="1" ref="AK68" ca="1">_xlfn.IFS(Tab_NewTRADER[[#This Row],[Y]]&gt;Tab_NewTRADER[[#This Row],[A]],                 TEXT(MIN(Tab_NewTRADER[[#This Row],[L_Bn]],Tab_NewTRADER[[#This Row],[N]])*(Tab_NewTRADER[[#This Row],[M]]-Tab_NewTRADER[[#This Row],[A]])*Tab_NewTRADER[[#This Row],[Scale]]*ComFactor,"#,#0"), TRUE,0)</f>
        <v>0</v>
      </c>
      <c r="AL68" s="1700" cm="1">
        <f t="array" aca="1" ref="AL68" ca="1">_xlfn.IFS(Tab_NewTRADER[[#This Row],[M]]&gt;Tab_NewTRADER[[#This Row],[A]],                  Tab_NewTRADER[[#This Row],[N]]*(Tab_NewTRADER[[#This Row],[M]]-Tab_NewTRADER[[#This Row],[A]])*Tab_NewTRADER[[#This Row],[Scale]]*ComFactor, TRUE,0)</f>
        <v>0</v>
      </c>
      <c r="AM68" s="1592" t="e">
        <f ca="1">_xlfn.XLOOKUP(Tab_NewTRADER[[#This Row],[Show]],TabCalc[Ticker],TabCalc[Max_Bn])&amp;" x "&amp;TEXT(_xlfn.XLOOKUP(Tab_NewTRADER[[#This Row],[Show]],TabCalc[Ticker],TabCalc[Max_Bp]),"#,#0.00")</f>
        <v>#N/A</v>
      </c>
      <c r="AN68" s="1650" t="str">
        <f ca="1">NewTrader!$V68</f>
        <v>SAFASML</v>
      </c>
      <c r="AO68" s="1651" t="str">
        <f ca="1">TEXT(_xlfn.XLOOKUP(Tab_NewTRADER[[#This Row],[ClickTick]],TabCalc[Ticker],TabCalc[NAfter]),"#,#0")&amp;"x"&amp;_xlfn.XLOOKUP(Tab_NewTRADER[[#This Row],[ClickTick]],TabCalc[Ticker],TabCalc[M])&amp;"           (A: "&amp;TEXT(-_xlfn.XLOOKUP(Tab_NewTRADER[[#This Row],[ClickTick]]&amp;2,Consolid!B$3:JZ$3,Consolid!B$4:JZ$4),"#,??0.00")&amp;")"</f>
        <v>0x940.9           (A:   0.00)</v>
      </c>
      <c r="AP68" s="1592" t="str">
        <f ca="1">_xlfn.XLOOKUP(Tab_NewTRADER[[#This Row],[Show]],TabCalc[Ticker],TabCalc[Min_Sn])&amp;" x "&amp;TEXT(_xlfn.XLOOKUP(Tab_NewTRADER[[#This Row],[Show]],TabCalc[Ticker],TabCalc[Min_Sp]),"#,#0.00")</f>
        <v>10 x 606.66</v>
      </c>
      <c r="AQ6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702" t="str" cm="1">
        <f t="array" aca="1" ref="AR68" ca="1">_xlfn.IFS(Tab_NewTRADER[[#This Row],[State]]="Reverse Buy",TEXT(-Tab_NewTRADER[[#This Row],[Buy_Back]],"#,#0")&amp;" / "&amp;TEXT(Tab_NewTRADER[[#This Row],[Rev_Buy]],"#,#0.0%"),TRUE,Tab_NewTRADER[[#This Row],[AMY]])</f>
        <v xml:space="preserve">   0.00 - 940.90 - 983.42</v>
      </c>
      <c r="AS68" s="1651"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99"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99" t="str" cm="1">
        <f t="array" aca="1" ref="AU68" ca="1">_xlfn.IFS(Tab_NewTRADER[[#This Row],[M]]&lt;Tab_NewTRADER[[#This Row],[A]],TEXT(Tab_NewTRADER[[#This Row],[N]]*Tab_NewTRADER[[#This Row],[M]]*Tab_NewTRADER[[#This Row],[Scale]]*Comm_Net,"#,#0")&amp;" @ "&amp;TEXT(Tab_NewTRADER[[#This Row],[M]],"#,#0.#0"),TRUE,"M: "&amp; Tab_NewTRADER[[#This Row],[M]])</f>
        <v>M: 940.9</v>
      </c>
      <c r="AV68" s="1703" cm="1">
        <f t="array" aca="1" ref="AV68" ca="1">-_xlfn.XLOOKUP(
    Tab_NewTRADER[[#This Row],[Show]] &amp; 2,
    TabConsolid[#Headers],
    INDEX(TabConsolid[], 1, 0)
)</f>
        <v>0</v>
      </c>
      <c r="AW68" s="1704">
        <f ca="1">Tab_NewTRADER[[#This Row],[M]]*Tab_NewTRADER[[#This Row],[N]]*(1-Commission)*Tab_NewTRADER[[#This Row],[Scale]]</f>
        <v>0</v>
      </c>
      <c r="AX68" s="1705"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705"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706" t="str" cm="1">
        <f t="array" aca="1" ref="AZ68" ca="1">_xlfn.IFS(   Tab_NewTRADER[[#This Row],[State]]=SellMorePercentGain,                     MIN(Tab_NewTRADER[[#This Row],[L_Sn]],Tab_NewTRADER[[#This Row],[N]])*(Tab_NewTRADER[[#This Row],[M]]-Tab_NewTRADER[[#This Row],[L_Sp]])*(1-Commission)*Tab_NewTRADER[[#This Row],[Scale]],                    TRUE,"")</f>
        <v/>
      </c>
      <c r="BA68" s="1771">
        <f ca="1">_xlfn.XLOOKUP(NewTrader!$V68,TabCalc[Ticker],TabCalc[Ann%RevLB])</f>
        <v>1.6470772226718622</v>
      </c>
      <c r="BB68" s="1724">
        <f ca="1">_xlfn.XLOOKUP(NewTrader!$V68,TabCalc[Ticker],TabCalc[Up20])</f>
        <v>0</v>
      </c>
      <c r="BC68" s="1709"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706" t="str" cm="1">
        <f t="array" aca="1" ref="BD68" ca="1">_xlfn.IFS(         NewTrader!$AF68=MDown,NewTrader!$P68*NewTrader!$Y68*(-(NewTrader!$Q68+NewTrader!$Y68)/NewTrader!$Y68)*(1-Commission)*NewTrader!$A68,                               TRUE,"")</f>
        <v/>
      </c>
      <c r="BE68" s="1705" t="str" cm="1">
        <f t="array" aca="1" ref="BE68" ca="1">_xlfn.IFS(   NewTrader!$AF68=MUp,NewTrader!$BP68-Commission,        NewTrader!$AF68=MDown,(NewTrader!$X68-NewTrader!$Y68)/NewTrader!$Y68-Commission,                              TRUE,"")</f>
        <v/>
      </c>
      <c r="BF68" s="1706"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710" t="str" cm="1">
        <f t="array" aca="1" ref="BG68" ca="1">_xlfn.LET(_xlpm.SumChTxt,TEXT(_xlfn.XLOOKUP(NewTrader!$V68,ListTickers,Tab2SumChangePercent[AVGChan20]),"#0.0%"),
      _xlfn.IFS(NewTrader!$AF68=NoStock,_xlpm.SumChTxt,
      TRUE, IF(NewTrader!$AF68=SellMorePercentGain,             "SumChange "&amp;_xlpm.SumChTxt,                         "&lt;"&amp;INT(_xlfn.XLOOKUP(NewTrader!$V68,ListTickers,Tab2ReverseGL[Rev_GL19]))&amp;    "&lt;"&amp;INT(_xlfn.XLOOKUP(NewTrader!$V68,ListTickers,Tab2ReverseGL[Rev_GL18]))&amp;":      "&amp;_xlpm.SumChTxt)))</f>
        <v>0.1%</v>
      </c>
      <c r="BH68" s="1711"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712" t="str" cm="1">
        <f t="array" aca="1" ref="BI68" ca="1">_xlfn.IFS(NewTrader!$AF68=Sale_Back,"",         NewTrader!$AF68=MDown, (NewTrader!$Y68-NewTrader!$X68)/NewTrader!$X68*ComFactor,             TRUE, IFERROR((NewTrader!$Y68-NewTrader!$X68)/NewTrader!$X68*ComFactor,""))</f>
        <v/>
      </c>
      <c r="BJ68" s="1664" cm="1">
        <f t="array" aca="1" ref="BJ68" ca="1">_xlfn.IFS(               NewTrader!$AF68=NoStock,(NewTrader!$BL68-NewTrader!$Y68)/NewTrader!$Y68-Commission,             NewTrader!$X68&lt;&gt;0,(NewTrader!$X68-NewTrader!$Y68)/NewTrader!$Y68-Commission)</f>
        <v>2.093066213200126E-2</v>
      </c>
      <c r="BK68" s="1713">
        <f ca="1">_xlfn.XLOOKUP(NewTrader!$V68,TabCalc[Ticker],TabCalc[L_Sn])</f>
        <v>250</v>
      </c>
      <c r="BL68" s="1693">
        <f ca="1">_xlfn.XLOOKUP(NewTrader!$V68,TabCalc[Ticker],TabCalc[L_Sp])</f>
        <v>963.04</v>
      </c>
      <c r="BM68" s="1694">
        <f ca="1">-IFERROR((Tab_NewTRADER[[#This Row],[M]]-Tab_NewTRADER[[#This Row],[L_Sp]])/Tab_NewTRADER[[#This Row],[L_Sp]],0)</f>
        <v>2.2989699285595602E-2</v>
      </c>
      <c r="BN68" s="1714">
        <f ca="1">MIN(Tab_NewTRADER[[#This Row],[L_Sn]],Tab_NewTRADER[[#This Row],[N]])*(Tab_NewTRADER[[#This Row],[M]]-Tab_NewTRADER[[#This Row],[L_Sp]])*Comm_Net*Tab_NewTRADER[[#This Row],[Scale]]</f>
        <v>0</v>
      </c>
      <c r="BO68" s="1715">
        <f ca="1">Tab_NewTRADER[[#This Row],[L_Sn]]*(Tab_NewTRADER[[#This Row],[Agiotage]]-Tab_NewTRADER[[#This Row],[M]])/(Tab_NewTRADER[[#This Row],[L_Bn]]*Tab_NewTRADER[[#This Row],[M]])</f>
        <v>-3.5677490073307649</v>
      </c>
      <c r="BP68" s="1716">
        <f ca="1">IFERROR((Tab_NewTRADER[[#This Row],[M]]-Tab_NewTRADER[[#This Row],[A]])/Tab_NewTRADER[[#This Row],[A]],0)</f>
        <v>0</v>
      </c>
      <c r="BQ68" s="1671"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Row],[GL]])*(1-Commission)</f>
        <v>199314.21062682793</v>
      </c>
      <c r="BS68" s="262"/>
      <c r="BT68" s="1672" t="str">
        <f ca="1">Tab_NewTRADER[[#This Row],[Show]]&amp;": "&amp;_xlfn.XLOOKUP(Tab_NewTRADER[[#This Row],[Show]],TabCalc[Ticker],TabCalc[Pile?])</f>
        <v xml:space="preserve">SAFASML: </v>
      </c>
      <c r="BU68" s="1717" t="s">
        <v>1977</v>
      </c>
      <c r="BV68" s="1674" t="str" cm="1">
        <f t="array" aca="1" ref="BV68" ca="1">_xlfn.TEXTJOIN("",,INDEX({"M","A","Y"}, _xlfn.SORTBY({1,2,3}, -CHOOSE({1,2,3}, Tab_NewTRADER[[#This Row],[M]], Tab_NewTRADER[[#This Row],[A]], Tab_NewTRADER[[#This Row],[Y]]))))</f>
        <v>YMA</v>
      </c>
      <c r="BW68" s="1675"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76" t="e">
        <f ca="1">Tab_NewTRADER[[#This Row],[L_Sn]]*Tab_NewTRADER[[#This Row],[L_Sp]]+Tab_NewTRADER[[#This Row],[SellMore]]*Tab_NewTRADER[[#This Row],[M]]</f>
        <v>#N/A</v>
      </c>
      <c r="BY68" s="1676" t="e">
        <f ca="1">INDEX(
  INDEX(TabConsolid[], , _xlfn.XMATCH(Tab_NewTRADER[[#This Row],[ClickTick]]&amp;1, TabConsolid[#Headers])),
  MATCH(
    -Tab_NewTRADER[[#This Row],[M]],
    INDEX(TabConsolid[], , _xlfn.XMATCH(Tab_NewTRADER[[#This Row],[ClickTick]]&amp;2, TabConsolid[#Headers])),
    -1
  )
)</f>
        <v>#N/A</v>
      </c>
      <c r="BZ68" s="1676"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77" t="e">
        <f ca="1">Tab_NewTRADER[[#This Row],[ReBuy]]/(Tab_NewTRADER[[#This Row],[L_Sn]]+Tab_NewTRADER[[#This Row],[SellMore]])</f>
        <v>#N/A</v>
      </c>
      <c r="CB68" s="1678" t="e">
        <f ca="1">((_xlfn.XLOOKUP(Tab_NewTRADER[[#This Row],[Show]],TabCalc[Ticker],TabCalc[NAfter])+Tab_NewTRADER[[#This Row],[L_Sn]])*(Tab_NewTRADER[[#This Row],[Agiotage]]-Tab_NewTRADER[[#This Row],[M]]))/(Tab_NewTRADER[[#This Row],[L_Sn]]*_xlfn.XLOOKUP(Tab_NewTRADER[[#This Row],[Show]],TabCalc[Ticker],TabCalc[NAfter]))</f>
        <v>#DIV/0!</v>
      </c>
      <c r="CC68" s="1677">
        <f ca="1">INDEX(Tab1Price[Price19], MATCH(Tab_NewTRADER[[#This Row],[Show]], Tab_NewTRADER[Show], 0))</f>
        <v>940.9</v>
      </c>
      <c r="CD68" s="1679">
        <f ca="1">_xlfn.XMATCH(Tab_NewTRADER[[#This Row],[Show]]&amp;1, TabConsolid[#Headers])</f>
        <v>200</v>
      </c>
      <c r="CE68" s="1678"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729" t="str" cm="1">
        <f t="array" aca="1" ref="CF68" ca="1">_xlfn.LET(
    _xlpm.FMT, _xlfn.LAMBDA(_xlpm.n, REPT(" ", 7 - LEN(TEXT(_xlpm.n,"0.00"))) &amp; TEXT(_xlpm.n,"0.00")),
    _xlpm.FMT(Tab_NewTRADER[[#This Row],[A]]) &amp; " -" &amp; _xlpm.FMT(Tab_NewTRADER[[#This Row],[M]]) &amp; " -" &amp; _xlpm.FMT(Tab_NewTRADER[[#This Row],[Y]])
)</f>
        <v xml:space="preserve">   0.00 - 940.90 - 983.42</v>
      </c>
      <c r="CG68" s="1730" t="str" cm="1">
        <f t="array" aca="1" ref="CG68" ca="1">_xlfn.LET(
    _xlpm.W, 7,
    _xlpm.FMT, _xlfn.LAMBDA(_xlpm.n, REPT(" ", _xlpm.W - LEN(TEXT(_xlpm.n,"0.00"))) &amp; TEXT(_xlpm.n,"0.00")),
    _xlpm.FMT(Tab_NewTRADER[[#This Row],[A]]) &amp; " * " &amp; _xlpm.FMT(Tab_NewTRADER[[#This Row],[M]]) &amp; " * " &amp; _xlpm.FMT(Tab_NewTRADER[[#This Row],[Y]])
)</f>
        <v xml:space="preserve">   0.00 *  940.90 *  983.42</v>
      </c>
      <c r="CH68" s="1842">
        <f>0</f>
        <v>0</v>
      </c>
      <c r="CI68" t="b">
        <f ca="1">IF(ABS(NewTrader!$Q68)&gt;=NewTrader!$Y68,"OK")</f>
        <v>0</v>
      </c>
    </row>
    <row r="69" spans="1:87" ht="23" hidden="1" thickBot="1">
      <c r="A69" s="1838">
        <f ca="1">IF(_xlfn.XLOOKUP(NewTrader!$V69,TabCalc[Ticker],TabCalc[Cur])="GBp",0.01,1)</f>
        <v>1</v>
      </c>
      <c r="B69" s="1620" t="str">
        <f ca="1">IFERROR(TRUNC(_xlfn.XLOOKUP(NewTrader!$V69,TabCalc[Ticker],ListLastBuyp),2)&amp;"x"&amp;_xlfn.XLOOKUP(NewTrader!$V69,TabCalc[Ticker],ListLastBuyn)&amp;"=    "&amp;IF(_xlfn.XLOOKUP(NewTrader!$V69,TabCalc[Ticker],ListReverseS)&gt;0,"+","")&amp;TEXT(_xlfn.XLOOKUP(NewTrader!$V69,TabCalc[Ticker],ListReverseS),"#,#0")&amp;" "&amp;#REF!,"")</f>
        <v/>
      </c>
      <c r="C69" s="1621" t="str">
        <f ca="1">_xlfn.XLOOKUP(NewTrader!$V69,TabCalc[Ticker],ListResale)&amp;" @ "&amp;TEXT((_xlfn.XLOOKUP(NewTrader!$V69,TabCalc[Ticker],TabCalc[L_Bp])+_xlfn.XLOOKUP(NewTrader!$V69,TabCalc[Ticker],TabCalc[M]))/_xlfn.XLOOKUP(NewTrader!$V69,TabCalc[Ticker],TabCalc[M]),"#0.0%")</f>
        <v>Resell @ 1.8%</v>
      </c>
      <c r="D69" s="1622"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718" t="str">
        <f ca="1">IF(      AND(NewTrader!$X69&lt;NewTrader!$Y69,    _xlfn.XLOOKUP(NewTrader!$V69,TabCalc[Ticker],TabCalc[L_Sp])&gt;NewTrader!$Y69),"BUY  "&amp;TEXT(DesiredBuyGain/NewTrader!$A69/(_xlfn.XLOOKUP(NewTrader!$V69,TabCalc[Ticker],TabCalc[L_Sp])-NewTrader!$Y69),"#,##0"),"")</f>
        <v/>
      </c>
      <c r="F69" s="1620" t="str">
        <f ca="1">TRUNC(TabCalc[[#This Row],[L_B1p]],2)&amp;"x"&amp;TabCalc[[#This Row],[L_B1n]]&amp;"=   "&amp;TEXT(TabCalc[[#This Row],[ReverseS1]],"#,#0")&amp;"$"</f>
        <v>-2.69x25000=   -18,158$</v>
      </c>
      <c r="G69" s="1624" t="str">
        <f ca="1">IFERROR(TRUNC(_xlfn.XLOOKUP(NewTrader!$V69,TabCalc[Ticker],ListLastSalep),2)&amp;"x"&amp;_xlfn.XLOOKUP(NewTrader!$V69,TabCalc[Ticker],ListLastSalen)&amp;"=   "&amp;TEXT(-_xlfn.XLOOKUP(NewTrader!$V69,TabCalc[Ticker],ListReverseB),"#,#0")&amp;"$","")</f>
        <v>3.16x11000=   -13,145$</v>
      </c>
      <c r="H69" s="1625"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60.8% = 4,184</v>
      </c>
      <c r="I69" s="1620" t="str">
        <f ca="1">IFERROR(TRUNC(TabCalc[[#This Row],[L_S1p]],2)&amp;"x"&amp;TabCalc[[#This Row],[L_S1n]]&amp;"=   "&amp;TEXT(TabCalc[[#This Row],[ReverseB1]],"#,#0"),"")</f>
        <v>4.48x5000=   12,580</v>
      </c>
      <c r="J69" s="1626">
        <f ca="1">_xlfn.XLOOKUP(NewTrader!$V69,TabCalc[Ticker],ListGravity)</f>
        <v>1.8447837150127226</v>
      </c>
      <c r="K69" s="1627" cm="1">
        <f t="array" aca="1" ref="K69" ca="1">IF(_xlfn.XLOOKUP(NewTrader!$V69,NewTrader!$V$3:$V$96,ListExtra_n)&gt;0,_xlfn.XLOOKUP(NewTrader!$V69,NewTrader!$V$3:$V$96,ListExtra_n),"")</f>
        <v>109150</v>
      </c>
      <c r="L69" s="1628">
        <f ca="1">IF(_xlfn.XLOOKUP(NewTrader!$V69,TabCalc[Ticker],ListExtra_n)&gt;0,_xlfn.XLOOKUP(NewTrader!$V69,TabCalc[Ticker],ListExtra_n)*NewTrader!$Y69*_xlfn.XLOOKUP(NewTrader!$V69,TabCalc[Ticker],ListScale),"")</f>
        <v>214479.75</v>
      </c>
      <c r="M69" s="1629">
        <f ca="1">_xlfn.XLOOKUP(NewTrader!$V69,TabCalc[Ticker],TabCalc[Agiotage])</f>
        <v>1.5342978323128995</v>
      </c>
      <c r="N69" s="1630" cm="1">
        <f t="array" aca="1" ref="N69" ca="1">_xlfn.XLOOKUP(NewTrader!$V69,ListTickers,Tab2RSIConventional[RSIConv20])</f>
        <v>49</v>
      </c>
      <c r="O69" s="1631" t="str">
        <f ca="1">TEXT(_xlfn.XLOOKUP(NewTrader!$V69,TabCalc[Ticker],TabCalc[Nbegin]),"#,#0")&amp;": "&amp;_xlfn.XLOOKUP(NewTrader!$V69,TabCalc[Ticker],TabCalc[Pile?])</f>
        <v>850: Pile</v>
      </c>
      <c r="P69" s="1632">
        <f ca="1">_xlfn.XLOOKUP(NewTrader!$V69,TabCalc[Ticker],TabCalc[L_Bn])</f>
        <v>21000</v>
      </c>
      <c r="Q69" s="1727">
        <f ca="1">_xlfn.XLOOKUP(NewTrader!$V69,TabCalc[Ticker],TabCalc[L_Bp])</f>
        <v>-1.929</v>
      </c>
      <c r="R69" s="1634">
        <f ca="1">(NewTrader!$Y69+NewTrader!$Q69)/ABS(NewTrader!$Q69)</f>
        <v>1.8662519440124432E-2</v>
      </c>
      <c r="S69" s="259">
        <f ca="1">INT(_xlfn.XLOOKUP(NewTrader!$V69,TabCalc[Ticker],TabCalc[Rev(MinStock)])*Comm_Net)</f>
        <v>750</v>
      </c>
      <c r="T69" s="1635">
        <f ca="1">_xlfn.XLOOKUP(NewTrader!$V69,TabCalc[Ticker],TabCalc[Agiotage])</f>
        <v>1.5342978323128995</v>
      </c>
      <c r="U69" s="1719"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19,250/19,250=&gt;11.0% / 11.0%</v>
      </c>
      <c r="V69" s="1578" t="str">
        <f ca="1">SORTING!B69</f>
        <v>SAFDDD</v>
      </c>
      <c r="W69" s="1637">
        <f ca="1">_xlfn.XLOOKUP(NewTrader!$V69,TabCalc[Ticker],TabCalc[Y])</f>
        <v>3.625</v>
      </c>
      <c r="X69" s="1639">
        <f ca="1">-_xlfn.XLOOKUP(NewTrader!$V69&amp;2,Consolid!B$3:JZ$3,Consolid!B$4:JZ$4)</f>
        <v>3.2917317627272729</v>
      </c>
      <c r="Y69" s="1639">
        <f ca="1">_xlfn.XLOOKUP(NewTrader!$V69,TabCalc[Ticker],TabCalc[M])</f>
        <v>1.9650000000000001</v>
      </c>
      <c r="Z69" s="1640">
        <f ca="1">_xlfn.XLOOKUP(NewTrader!$V69,[1]!RTData[Ticker_Symbol],[1]!RTData[YTChange])</f>
        <v>-0.33486238532110096</v>
      </c>
      <c r="AA69" s="1640" cm="1">
        <f t="array" aca="1" ref="AA69" ca="1">_xlfn.XLOOKUP(NewTrader!$V69,ListTickers,Tab1ChangePercent[Change%19])</f>
        <v>0.110169</v>
      </c>
      <c r="AB69" s="1641">
        <f ca="1">_xlfn.XLOOKUP(NewTrader!$V69,TabCalc[Ticker],TabCalc[NAfter])</f>
        <v>110000</v>
      </c>
      <c r="AC69" s="1641">
        <f ca="1">_xlfn.XLOOKUP(NewTrader!$V69,TabCalc[Ticker],TabCalc[Nbegin])</f>
        <v>850</v>
      </c>
      <c r="AD69" s="1642" t="str">
        <f ca="1">_xlfn.LET(_xlpm.PILE,_xlfn.XLOOKUP(NewTrader!$V69,TabCalc[Ticker],TabCalc[Pile?]),                    _xlpm.GL,_xlfn.XLOOKUP(NewTrader!$V69,TabCalc[Ticker],TabCalc[GL]),                        _xlpm.GLK,_xlfn.XLOOKUP(NewTrader!$V69,TabCalc[Ticker],TabCalc[GL])/1000,                             _xlpm.MVal,_xlfn.XLOOKUP(NewTrader!$V69,TabCalc[Ticker],TabCalc[M_V])/1000,                   _xlpm.PILE&amp;" "&amp;IF(_xlpm.GL&lt;0,TEXT(_xlpm.GLK,"#,#0")&amp;"K /"&amp;TEXT(_xlpm.MVal,"#,#0")&amp;" K$","^"&amp;TEXT(_xlpm.GLK,"#,#0")&amp;"K / "&amp;TEXT(_xlpm.MVal,"#,#0")&amp;" K$"))</f>
        <v>Pile -168K /216 K$</v>
      </c>
      <c r="AE69" s="1720" t="str">
        <f ca="1">_xlfn.XLOOKUP(NewTrader!$V69,[1]!RTData[Ticker_Symbol],[1]!RTData[Currency])</f>
        <v>USD</v>
      </c>
      <c r="AF69" s="1721"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698" t="str" cm="1">
        <f t="array" aca="1" ref="AH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1.97 -   3.63</v>
      </c>
      <c r="AI6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11.0%</v>
      </c>
      <c r="AJ69" s="1651" t="str" cm="1">
        <f t="array" aca="1" ref="AJ69" ca="1">_xlfn.IFS(Tab_NewTRADER[[#This Row],[State]]="Sell More",TEXT(MIN(Tab_NewTRADER[[#This Row],[N]],Tab_NewTRADER[[#This Row],[L_Bn]])*(Tab_NewTRADER[[#This Row],[M]]-Tab_NewTRADER[[#This Row],[L_Sp]])*Tab_NewTRADER[[#This Row],[Scale]]*ComFactor,"#,#0"), TRUE,"M= "&amp;TEXT(Tab_NewTRADER[[#This Row],[M]],"#,#0.00"))</f>
        <v>M= 1.97</v>
      </c>
      <c r="AK69" s="1699" t="str" cm="1">
        <f t="array" aca="1" ref="AK69" ca="1">_xlfn.IFS(Tab_NewTRADER[[#This Row],[Y]]&gt;Tab_NewTRADER[[#This Row],[A]],                 TEXT(MIN(Tab_NewTRADER[[#This Row],[L_Bn]],Tab_NewTRADER[[#This Row],[N]])*(Tab_NewTRADER[[#This Row],[M]]-Tab_NewTRADER[[#This Row],[A]])*Tab_NewTRADER[[#This Row],[Scale]]*ComFactor,"#,#0"), TRUE,0)</f>
        <v>-27,789</v>
      </c>
      <c r="AL69" s="1700" cm="1">
        <f t="array" aca="1" ref="AL69" ca="1">_xlfn.IFS(Tab_NewTRADER[[#This Row],[M]]&gt;Tab_NewTRADER[[#This Row],[A]],                  Tab_NewTRADER[[#This Row],[N]]*(Tab_NewTRADER[[#This Row],[M]]-Tab_NewTRADER[[#This Row],[A]])*Tab_NewTRADER[[#This Row],[Scale]]*ComFactor, TRUE,0)</f>
        <v>0</v>
      </c>
      <c r="AM69" s="1592" t="str">
        <f ca="1">_xlfn.XLOOKUP(Tab_NewTRADER[[#This Row],[Show]],TabCalc[Ticker],TabCalc[Max_Bn])&amp;" x "&amp;TEXT(_xlfn.XLOOKUP(Tab_NewTRADER[[#This Row],[Show]],TabCalc[Ticker],TabCalc[Max_Bp]),"#,#0.00")</f>
        <v>10000 x 4.14</v>
      </c>
      <c r="AN69" s="1650" t="str">
        <f ca="1">NewTrader!$V69</f>
        <v>SAFDDD</v>
      </c>
      <c r="AO69" s="1651" t="str">
        <f ca="1">TEXT(_xlfn.XLOOKUP(Tab_NewTRADER[[#This Row],[ClickTick]],TabCalc[Ticker],TabCalc[NAfter]),"#,#0")&amp;"x"&amp;_xlfn.XLOOKUP(Tab_NewTRADER[[#This Row],[ClickTick]],TabCalc[Ticker],TabCalc[M])&amp;"           (A: "&amp;TEXT(-_xlfn.XLOOKUP(Tab_NewTRADER[[#This Row],[ClickTick]]&amp;2,Consolid!B$3:JZ$3,Consolid!B$4:JZ$4),"#,??0.00")&amp;")"</f>
        <v>110,000x1.965           (A:   3.29)</v>
      </c>
      <c r="AP69" s="1592" t="str">
        <f ca="1">_xlfn.XLOOKUP(Tab_NewTRADER[[#This Row],[Show]],TabCalc[Ticker],TabCalc[Min_Sn])&amp;" x "&amp;TEXT(_xlfn.XLOOKUP(Tab_NewTRADER[[#This Row],[Show]],TabCalc[Ticker],TabCalc[Min_Sp]),"#,#0.00")</f>
        <v>5000 x 3.16</v>
      </c>
      <c r="AQ6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702" t="str" cm="1">
        <f t="array" aca="1" ref="AR69" ca="1">_xlfn.IFS(Tab_NewTRADER[[#This Row],[State]]="Reverse Buy",TEXT(-Tab_NewTRADER[[#This Row],[Buy_Back]],"#,#0")&amp;" / "&amp;TEXT(Tab_NewTRADER[[#This Row],[Rev_Buy]],"#,#0.0%"),TRUE,Tab_NewTRADER[[#This Row],[AMY]])</f>
        <v>13,110 / 37.8%</v>
      </c>
      <c r="AS69" s="1651"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-3,950       / -01.8%</v>
      </c>
      <c r="AT69" s="1699"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-145,561   / -67.5%</v>
      </c>
      <c r="AU69" s="1699" t="str" cm="1">
        <f t="array" aca="1" ref="AU69" ca="1">_xlfn.IFS(Tab_NewTRADER[[#This Row],[M]]&lt;Tab_NewTRADER[[#This Row],[A]],TEXT(Tab_NewTRADER[[#This Row],[N]]*Tab_NewTRADER[[#This Row],[M]]*Tab_NewTRADER[[#This Row],[Scale]]*Comm_Net,"#,#0")&amp;" @ "&amp;TEXT(Tab_NewTRADER[[#This Row],[M]],"#,#0.#0"),TRUE,"M: "&amp; Tab_NewTRADER[[#This Row],[M]])</f>
        <v>215,566 @ 1.97</v>
      </c>
      <c r="AV69" s="1740" cm="1">
        <f t="array" aca="1" ref="AV69" ca="1">-_xlfn.XLOOKUP(
    Tab_NewTRADER[[#This Row],[Show]] &amp; 2,
    TabConsolid[#Headers],
    INDEX(TabConsolid[], 1, 0)
)</f>
        <v>3.2917317627272729</v>
      </c>
      <c r="AW69" s="1741">
        <f ca="1">Tab_NewTRADER[[#This Row],[M]]*Tab_NewTRADER[[#This Row],[N]]*(1-Commission)*Tab_NewTRADER[[#This Row],[Scale]]</f>
        <v>215588.00999999998</v>
      </c>
      <c r="AX69" s="1705"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705"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706" t="str" cm="1">
        <f t="array" aca="1" ref="AZ69" ca="1">_xlfn.IFS(   Tab_NewTRADER[[#This Row],[State]]=SellMorePercentGain,                     MIN(Tab_NewTRADER[[#This Row],[L_Sn]],Tab_NewTRADER[[#This Row],[N]])*(Tab_NewTRADER[[#This Row],[M]]-Tab_NewTRADER[[#This Row],[L_Sp]])*(1-Commission)*Tab_NewTRADER[[#This Row],[Scale]],                    TRUE,"")</f>
        <v/>
      </c>
      <c r="BA69" s="1707">
        <f ca="1">_xlfn.XLOOKUP(NewTrader!$V69,TabCalc[Ticker],TabCalc[Ann%RevLB])</f>
        <v>3.169107074738111E-2</v>
      </c>
      <c r="BB69" s="1708">
        <f ca="1">_xlfn.XLOOKUP(NewTrader!$V69,TabCalc[Ticker],TabCalc[Up20])</f>
        <v>0</v>
      </c>
      <c r="BC69" s="1725"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706" t="str" cm="1">
        <f t="array" aca="1" ref="BD69" ca="1">_xlfn.IFS(         NewTrader!$AF69=MDown,NewTrader!$P69*NewTrader!$Y69*(-(NewTrader!$Q69+NewTrader!$Y69)/NewTrader!$Y69)*(1-Commission)*NewTrader!$A69,                               TRUE,"")</f>
        <v/>
      </c>
      <c r="BE69" s="1705" t="str" cm="1">
        <f t="array" aca="1" ref="BE69" ca="1">_xlfn.IFS(   NewTrader!$AF69=MUp,NewTrader!$BP69-Commission,        NewTrader!$AF69=MDown,(NewTrader!$X69-NewTrader!$Y69)/NewTrader!$Y69-Commission,                              TRUE,"")</f>
        <v/>
      </c>
      <c r="BF69" s="1706"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710" t="str" cm="1">
        <f t="array" aca="1" ref="BG69" ca="1">_xlfn.LET(_xlpm.SumChTxt,TEXT(_xlfn.XLOOKUP(NewTrader!$V69,ListTickers,Tab2SumChangePercent[AVGChan20]),"#0.0%"),
      _xlfn.IFS(NewTrader!$AF69=NoStock,_xlpm.SumChTxt,
      TRUE, IF(NewTrader!$AF69=SellMorePercentGain,             "SumChange "&amp;_xlpm.SumChTxt,                         "&lt;"&amp;INT(_xlfn.XLOOKUP(NewTrader!$V69,ListTickers,Tab2ReverseGL[Rev_GL19]))&amp;    "&lt;"&amp;INT(_xlfn.XLOOKUP(NewTrader!$V69,ListTickers,Tab2ReverseGL[Rev_GL18]))&amp;":      "&amp;_xlpm.SumChTxt)))</f>
        <v>&lt;-1&lt;-1:      1.5%</v>
      </c>
      <c r="BH69" s="1711"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712" cm="1">
        <f t="array" aca="1" ref="BI69" ca="1">_xlfn.IFS(NewTrader!$AF69=Sale_Back,"",         NewTrader!$AF69=MDown, (NewTrader!$Y69-NewTrader!$X69)/NewTrader!$X69*ComFactor,             TRUE, IFERROR((NewTrader!$Y69-NewTrader!$X69)/NewTrader!$X69*ComFactor,""))</f>
        <v>-0.40200185055413296</v>
      </c>
      <c r="BJ69" s="1664" cm="1">
        <f t="array" aca="1" ref="BJ69" ca="1">_xlfn.IFS(               NewTrader!$AF69=NoStock,(NewTrader!$BL69-NewTrader!$Y69)/NewTrader!$Y69-Commission,             NewTrader!$X69&lt;&gt;0,(NewTrader!$X69-NewTrader!$Y69)/NewTrader!$Y69-Commission)</f>
        <v>0.67258155863983338</v>
      </c>
      <c r="BK69" s="1726">
        <f ca="1">_xlfn.XLOOKUP(NewTrader!$V69,TabCalc[Ticker],TabCalc[L_Sn])</f>
        <v>11000</v>
      </c>
      <c r="BL69" s="1727">
        <f ca="1">_xlfn.XLOOKUP(NewTrader!$V69,TabCalc[Ticker],TabCalc[L_Sp])</f>
        <v>3.16</v>
      </c>
      <c r="BM69" s="1634">
        <f ca="1">-IFERROR((Tab_NewTRADER[[#This Row],[M]]-Tab_NewTRADER[[#This Row],[L_Sp]])/Tab_NewTRADER[[#This Row],[L_Sp]],0)</f>
        <v>0.37816455696202533</v>
      </c>
      <c r="BN69" s="1728">
        <f ca="1">MIN(Tab_NewTRADER[[#This Row],[L_Sn]],Tab_NewTRADER[[#This Row],[N]])*(Tab_NewTRADER[[#This Row],[M]]-Tab_NewTRADER[[#This Row],[L_Sp]])*Comm_Net*Tab_NewTRADER[[#This Row],[Scale]]</f>
        <v>-13109.5085</v>
      </c>
      <c r="BO69" s="1715">
        <f ca="1">Tab_NewTRADER[[#This Row],[L_Sn]]*(Tab_NewTRADER[[#This Row],[Agiotage]]-Tab_NewTRADER[[#This Row],[M]])/(Tab_NewTRADER[[#This Row],[L_Bn]]*Tab_NewTRADER[[#This Row],[M]])</f>
        <v>-0.11481216150631543</v>
      </c>
      <c r="BP69" s="1670">
        <f ca="1">IFERROR((Tab_NewTRADER[[#This Row],[M]]-Tab_NewTRADER[[#This Row],[A]])/Tab_NewTRADER[[#This Row],[A]],0)</f>
        <v>-0.40304977998208641</v>
      </c>
      <c r="BQ69" s="1671" t="str">
        <f ca="1">TEXT(_xlfn.XLOOKUP(Tab_NewTRADER[[#This Row],[ClickTick]],TabCalc[Ticker],TabCalc[NAfter]),"#,#0")&amp;" : "&amp;TEXT(_xlfn.XLOOKUP(Tab_NewTRADER[[#This Row],[ClickTick]],TabCalc[Ticker],TabCalc[NAfter])*(Tab_NewTRADER[[#This Row],[M]]-Tab_NewTRADER[[#This Row],[A]])*(1-Commission)*Tab_NewTRADER[[#This Row],[Scale]],"#,#0$")</f>
        <v>110,000 : -145,561$</v>
      </c>
      <c r="BR69" s="259">
        <f ca="1">_xlfn.XLOOKUP(NewTrader!$V69,TabCalc[[#This Row],[Ticker]],TabCalc[[#This Row],[GL]])*(1-Commission)</f>
        <v>-167628.43017843057</v>
      </c>
      <c r="BS69" s="259"/>
      <c r="BT69" s="1672" t="str">
        <f ca="1">Tab_NewTRADER[[#This Row],[Show]]&amp;": "&amp;_xlfn.XLOOKUP(Tab_NewTRADER[[#This Row],[Show]],TabCalc[Ticker],TabCalc[Pile?])</f>
        <v>SAFDDD: Pile</v>
      </c>
      <c r="BU69" s="1717" t="s">
        <v>1978</v>
      </c>
      <c r="BV69" s="1674" t="str" cm="1">
        <f t="array" aca="1" ref="BV69" ca="1">_xlfn.TEXTJOIN("",,INDEX({"M","A","Y"}, _xlfn.SORTBY({1,2,3}, -CHOOSE({1,2,3}, Tab_NewTRADER[[#This Row],[M]], Tab_NewTRADER[[#This Row],[A]], Tab_NewTRADER[[#This Row],[Y]]))))</f>
        <v>YAM</v>
      </c>
      <c r="BW69" s="1675"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76" t="e">
        <f ca="1">Tab_NewTRADER[[#This Row],[L_Sn]]*Tab_NewTRADER[[#This Row],[L_Sp]]+Tab_NewTRADER[[#This Row],[SellMore]]*Tab_NewTRADER[[#This Row],[M]]</f>
        <v>#N/A</v>
      </c>
      <c r="BY69" s="1676" t="e">
        <f ca="1">INDEX(
  INDEX(TabConsolid[], , _xlfn.XMATCH(Tab_NewTRADER[[#This Row],[ClickTick]]&amp;1, TabConsolid[#Headers])),
  MATCH(
    -Tab_NewTRADER[[#This Row],[M]],
    INDEX(TabConsolid[], , _xlfn.XMATCH(Tab_NewTRADER[[#This Row],[ClickTick]]&amp;2, TabConsolid[#Headers])),
    -1
  )
)</f>
        <v>#N/A</v>
      </c>
      <c r="BZ69" s="1676"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77" t="e">
        <f ca="1">Tab_NewTRADER[[#This Row],[ReBuy]]/(Tab_NewTRADER[[#This Row],[L_Sn]]+Tab_NewTRADER[[#This Row],[SellMore]])</f>
        <v>#N/A</v>
      </c>
      <c r="CB69" s="1678">
        <f ca="1">((_xlfn.XLOOKUP(Tab_NewTRADER[[#This Row],[Show]],TabCalc[Ticker],TabCalc[NAfter])+Tab_NewTRADER[[#This Row],[L_Sn]])*(Tab_NewTRADER[[#This Row],[Agiotage]]-Tab_NewTRADER[[#This Row],[M]]))/(Tab_NewTRADER[[#This Row],[L_Sn]]*_xlfn.XLOOKUP(Tab_NewTRADER[[#This Row],[Show]],TabCalc[Ticker],TabCalc[NAfter]))</f>
        <v>-4.3070216768710057E-5</v>
      </c>
      <c r="CC69" s="1677">
        <f ca="1">INDEX(Tab1Price[Price19], MATCH(Tab_NewTRADER[[#This Row],[Show]], Tab_NewTRADER[Show], 0))</f>
        <v>1.9650000000000001</v>
      </c>
      <c r="CD69" s="1679">
        <f ca="1">_xlfn.XMATCH(Tab_NewTRADER[[#This Row],[Show]]&amp;1, TabConsolid[#Headers])</f>
        <v>203</v>
      </c>
      <c r="CE69" s="1678"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729" t="str" cm="1">
        <f t="array" aca="1" ref="CF69" ca="1">_xlfn.LET(
    _xlpm.FMT, _xlfn.LAMBDA(_xlpm.n, REPT(" ", 7 - LEN(TEXT(_xlpm.n,"0.00"))) &amp; TEXT(_xlpm.n,"0.00")),
    _xlpm.FMT(Tab_NewTRADER[[#This Row],[A]]) &amp; " -" &amp; _xlpm.FMT(Tab_NewTRADER[[#This Row],[M]]) &amp; " -" &amp; _xlpm.FMT(Tab_NewTRADER[[#This Row],[Y]])
)</f>
        <v xml:space="preserve">   3.29 -   1.97 -   3.63</v>
      </c>
      <c r="CG69" s="1730" t="str" cm="1">
        <f t="array" aca="1" ref="CG69" ca="1">_xlfn.LET(
    _xlpm.W, 7,
    _xlpm.FMT, _xlfn.LAMBDA(_xlpm.n, REPT(" ", _xlpm.W - LEN(TEXT(_xlpm.n,"0.00"))) &amp; TEXT(_xlpm.n,"0.00")),
    _xlpm.FMT(Tab_NewTRADER[[#This Row],[A]]) &amp; " * " &amp; _xlpm.FMT(Tab_NewTRADER[[#This Row],[M]]) &amp; " * " &amp; _xlpm.FMT(Tab_NewTRADER[[#This Row],[Y]])
)</f>
        <v xml:space="preserve">   3.29 *    1.97 *    3.63</v>
      </c>
      <c r="CH69" s="1842">
        <f>0</f>
        <v>0</v>
      </c>
      <c r="CI69" t="b">
        <f ca="1">IF(ABS(NewTrader!$Q69)&gt;=NewTrader!$Y69,"OK")</f>
        <v>0</v>
      </c>
    </row>
    <row r="70" spans="1:87" ht="23" hidden="1" thickBot="1">
      <c r="A70" s="1839">
        <f ca="1">IF(_xlfn.XLOOKUP(NewTrader!$V70,TabCalc[Ticker],TabCalc[Cur])="GBp",0.01,1)</f>
        <v>1</v>
      </c>
      <c r="B70" s="1681" t="str">
        <f ca="1">IFERROR(TRUNC(_xlfn.XLOOKUP(NewTrader!$V70,TabCalc[Ticker],ListLastBuyp),2)&amp;"x"&amp;_xlfn.XLOOKUP(NewTrader!$V70,TabCalc[Ticker],ListLastBuyn)&amp;"=    "&amp;IF(_xlfn.XLOOKUP(NewTrader!$V70,TabCalc[Ticker],ListReverseS)&gt;0,"+","")&amp;TEXT(_xlfn.XLOOKUP(NewTrader!$V70,TabCalc[Ticker],ListReverseS),"#,#0")&amp;" "&amp;#REF!,"")</f>
        <v/>
      </c>
      <c r="C70" s="1682" t="str">
        <f ca="1">_xlfn.XLOOKUP(NewTrader!$V70,TabCalc[Ticker],ListResale)&amp;" @ "&amp;TEXT((_xlfn.XLOOKUP(NewTrader!$V70,TabCalc[Ticker],TabCalc[L_Bp])+_xlfn.XLOOKUP(NewTrader!$V70,TabCalc[Ticker],TabCalc[M]))/_xlfn.XLOOKUP(NewTrader!$V70,TabCalc[Ticker],TabCalc[M]),"#0.0%")</f>
        <v>Sell @ -1.3%</v>
      </c>
      <c r="D70" s="1683"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84" t="str">
        <f ca="1">IF(      AND(NewTrader!$X70&lt;NewTrader!$Y70,    _xlfn.XLOOKUP(NewTrader!$V70,TabCalc[Ticker],TabCalc[L_Sp])&gt;NewTrader!$Y70),"BUY  "&amp;TEXT(DesiredBuyGain/NewTrader!$A70/(_xlfn.XLOOKUP(NewTrader!$V70,TabCalc[Ticker],TabCalc[L_Sp])-NewTrader!$Y70),"#,##0"),"")</f>
        <v>BUY  435</v>
      </c>
      <c r="F70" s="1681" t="str">
        <f ca="1">TRUNC(TabCalc[[#This Row],[L_B1p]],2)&amp;"x"&amp;TabCalc[[#This Row],[L_B1n]]&amp;"=   "&amp;TEXT(TabCalc[[#This Row],[ReverseS1]],"#,#0")&amp;"$"</f>
        <v>-108.61x700=   2,009$</v>
      </c>
      <c r="G70" s="1685" t="str">
        <f ca="1">IFERROR(TRUNC(_xlfn.XLOOKUP(NewTrader!$V70,TabCalc[Ticker],ListLastSalep),2)&amp;"x"&amp;_xlfn.XLOOKUP(NewTrader!$V70,TabCalc[Ticker],ListLastSalen)&amp;"=   "&amp;TEXT(-_xlfn.XLOOKUP(NewTrader!$V70,TabCalc[Ticker],ListReverseB),"#,#0")&amp;"$","")</f>
        <v>122.97x330=   -3,792$</v>
      </c>
      <c r="H70" s="1686"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10.3% = 435</v>
      </c>
      <c r="I70" s="1681" t="str">
        <f ca="1">IFERROR(TRUNC(TabCalc[[#This Row],[L_S1p]],2)&amp;"x"&amp;TabCalc[[#This Row],[L_S1n]]&amp;"=   "&amp;TEXT(TabCalc[[#This Row],[ReverseB1]],"#,#0"),"")</f>
        <v>119.32x800=   6,272</v>
      </c>
      <c r="J70" s="1687">
        <f ca="1">_xlfn.XLOOKUP(NewTrader!$V70,TabCalc[Ticker],ListGravity)</f>
        <v>1.1885860243989952</v>
      </c>
      <c r="K70" s="1688" t="str" cm="1">
        <f t="array" aca="1" ref="K70" ca="1">IF(_xlfn.XLOOKUP(NewTrader!$V70,NewTrader!$V$3:$V$96,ListExtra_n)&gt;0,_xlfn.XLOOKUP(NewTrader!$V70,NewTrader!$V$3:$V$96,ListExtra_n),"")</f>
        <v/>
      </c>
      <c r="L70" s="1689" t="str">
        <f ca="1">IF(_xlfn.XLOOKUP(NewTrader!$V70,TabCalc[Ticker],ListExtra_n)&gt;0,_xlfn.XLOOKUP(NewTrader!$V70,TabCalc[Ticker],ListExtra_n)*NewTrader!$Y70*_xlfn.XLOOKUP(NewTrader!$V70,TabCalc[Ticker],ListScale),"")</f>
        <v/>
      </c>
      <c r="M70" s="1690">
        <f ca="1">_xlfn.XLOOKUP(NewTrader!$V70,TabCalc[Ticker],TabCalc[Agiotage])</f>
        <v>0.95490146509038409</v>
      </c>
      <c r="N70" s="1691" cm="1">
        <f t="array" aca="1" ref="N70" ca="1">_xlfn.XLOOKUP(NewTrader!$V70,ListTickers,Tab2RSIConventional[RSIConv20])</f>
        <v>65</v>
      </c>
      <c r="O70" s="1631" t="str">
        <f ca="1">TEXT(_xlfn.XLOOKUP(NewTrader!$V70,TabCalc[Ticker],TabCalc[Nbegin]),"#,#0")&amp;": "&amp;_xlfn.XLOOKUP(NewTrader!$V70,TabCalc[Ticker],TabCalc[Pile?])</f>
        <v xml:space="preserve">1,790: </v>
      </c>
      <c r="P70" s="1692">
        <f ca="1">_xlfn.XLOOKUP(NewTrader!$V70,TabCalc[Ticker],TabCalc[L_Bn])</f>
        <v>530</v>
      </c>
      <c r="Q70" s="1731">
        <f ca="1">_xlfn.XLOOKUP(NewTrader!$V70,TabCalc[Ticker],TabCalc[L_Bp])</f>
        <v>-112.98</v>
      </c>
      <c r="R70" s="1694">
        <f ca="1">(NewTrader!$Y70+NewTrader!$Q70)/ABS(NewTrader!$Q70)</f>
        <v>-1.327668613913967E-2</v>
      </c>
      <c r="S70" s="262">
        <f ca="1">INT(_xlfn.XLOOKUP(NewTrader!$V70,TabCalc[Ticker],TabCalc[Rev(MinStock)])*Comm_Net)</f>
        <v>-791</v>
      </c>
      <c r="T70" s="1635">
        <f ca="1">_xlfn.XLOOKUP(NewTrader!$V70,TabCalc[Ticker],TabCalc[Agiotage])</f>
        <v>0.95490146509038409</v>
      </c>
      <c r="U70" s="1695"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2,832/2,832=&gt;2.4% / 2.4%</v>
      </c>
      <c r="V70" s="1578" t="str">
        <f ca="1">SORTING!B70</f>
        <v>SAFDIS</v>
      </c>
      <c r="W70" s="1637">
        <f ca="1">_xlfn.XLOOKUP(NewTrader!$V70,TabCalc[Ticker],TabCalc[Y])</f>
        <v>132.50357</v>
      </c>
      <c r="X70" s="1639">
        <f ca="1">-_xlfn.XLOOKUP(NewTrader!$V70&amp;2,Consolid!B$3:JZ$3,Consolid!B$4:JZ$4)</f>
        <v>110.82748755</v>
      </c>
      <c r="Y70" s="1639">
        <f ca="1">_xlfn.XLOOKUP(NewTrader!$V70,TabCalc[Ticker],TabCalc[M])</f>
        <v>111.48</v>
      </c>
      <c r="Z70" s="1640">
        <f ca="1">_xlfn.XLOOKUP(NewTrader!$V70,[1]!RTData[Ticker_Symbol],[1]!RTData[YTChange])</f>
        <v>6.2152865731462899E-2</v>
      </c>
      <c r="AA70" s="1640" cm="1">
        <f t="array" aca="1" ref="AA70" ca="1">_xlfn.XLOOKUP(NewTrader!$V70,ListTickers,Tab1ChangePercent[Change%19])</f>
        <v>2.435E-2</v>
      </c>
      <c r="AB70" s="1641">
        <f ca="1">_xlfn.XLOOKUP(NewTrader!$V70,TabCalc[Ticker],TabCalc[NAfter])</f>
        <v>1200</v>
      </c>
      <c r="AC70" s="1641">
        <f ca="1">_xlfn.XLOOKUP(NewTrader!$V70,TabCalc[Ticker],TabCalc[Nbegin])</f>
        <v>1790</v>
      </c>
      <c r="AD70" s="1642" t="str">
        <f ca="1">_xlfn.LET(_xlpm.PILE,_xlfn.XLOOKUP(NewTrader!$V70,TabCalc[Ticker],TabCalc[Pile?]),                    _xlpm.GL,_xlfn.XLOOKUP(NewTrader!$V70,TabCalc[Ticker],TabCalc[GL]),                        _xlpm.GLK,_xlfn.XLOOKUP(NewTrader!$V70,TabCalc[Ticker],TabCalc[GL])/1000,                             _xlpm.MVal,_xlfn.XLOOKUP(NewTrader!$V70,TabCalc[Ticker],TabCalc[M_V])/1000,                   _xlpm.PILE&amp;" "&amp;IF(_xlpm.GL&lt;0,TEXT(_xlpm.GLK,"#,#0")&amp;"K /"&amp;TEXT(_xlpm.MVal,"#,#0")&amp;" K$","^"&amp;TEXT(_xlpm.GLK,"#,#0")&amp;"K / "&amp;TEXT(_xlpm.MVal,"#,#0")&amp;" K$"))</f>
        <v xml:space="preserve"> ^36K / 133 K$</v>
      </c>
      <c r="AE70" s="1643" t="str">
        <f ca="1">_xlfn.XLOOKUP(NewTrader!$V70,[1]!RTData[Ticker_Symbol],[1]!RTData[Currency])</f>
        <v>USD</v>
      </c>
      <c r="AF70" s="1721"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698" t="str" cm="1">
        <f t="array" aca="1" ref="AH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110.83 - 111.48 - 132.50</v>
      </c>
      <c r="AI7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70" s="1651" t="str" cm="1">
        <f t="array" aca="1" ref="AJ70" ca="1">_xlfn.IFS(Tab_NewTRADER[[#This Row],[State]]="Sell More",TEXT(MIN(Tab_NewTRADER[[#This Row],[N]],Tab_NewTRADER[[#This Row],[L_Bn]])*(Tab_NewTRADER[[#This Row],[M]]-Tab_NewTRADER[[#This Row],[L_Sp]])*Tab_NewTRADER[[#This Row],[Scale]]*ComFactor,"#,#0"), TRUE,"M= "&amp;TEXT(Tab_NewTRADER[[#This Row],[M]],"#,#0.00"))</f>
        <v>M= 111.48</v>
      </c>
      <c r="AK70" s="1699" t="str" cm="1">
        <f t="array" aca="1" ref="AK70" ca="1">_xlfn.IFS(Tab_NewTRADER[[#This Row],[Y]]&gt;Tab_NewTRADER[[#This Row],[A]],                 TEXT(MIN(Tab_NewTRADER[[#This Row],[L_Bn]],Tab_NewTRADER[[#This Row],[N]])*(Tab_NewTRADER[[#This Row],[M]]-Tab_NewTRADER[[#This Row],[A]])*Tab_NewTRADER[[#This Row],[Scale]]*ComFactor,"#,#0"), TRUE,0)</f>
        <v>345</v>
      </c>
      <c r="AL70" s="1700" cm="1">
        <f t="array" aca="1" ref="AL70" ca="1">_xlfn.IFS(Tab_NewTRADER[[#This Row],[M]]&gt;Tab_NewTRADER[[#This Row],[A]],                  Tab_NewTRADER[[#This Row],[N]]*(Tab_NewTRADER[[#This Row],[M]]-Tab_NewTRADER[[#This Row],[A]])*Tab_NewTRADER[[#This Row],[Scale]]*ComFactor, TRUE,0)</f>
        <v>780.97910115600382</v>
      </c>
      <c r="AM70" s="1592" t="str">
        <f ca="1">_xlfn.XLOOKUP(Tab_NewTRADER[[#This Row],[Show]],TabCalc[Ticker],TabCalc[Max_Bn])&amp;" x "&amp;TEXT(_xlfn.XLOOKUP(Tab_NewTRADER[[#This Row],[Show]],TabCalc[Ticker],TabCalc[Max_Bp]),"#,#0.00")</f>
        <v>530 x 112.98</v>
      </c>
      <c r="AN70" s="1650" t="str">
        <f ca="1">NewTrader!$V70</f>
        <v>SAFDIS</v>
      </c>
      <c r="AO70" s="1651" t="str">
        <f ca="1">TEXT(_xlfn.XLOOKUP(Tab_NewTRADER[[#This Row],[ClickTick]],TabCalc[Ticker],TabCalc[NAfter]),"#,#0")&amp;"x"&amp;_xlfn.XLOOKUP(Tab_NewTRADER[[#This Row],[ClickTick]],TabCalc[Ticker],TabCalc[M])&amp;"           (A: "&amp;TEXT(-_xlfn.XLOOKUP(Tab_NewTRADER[[#This Row],[ClickTick]]&amp;2,Consolid!B$3:JZ$3,Consolid!B$4:JZ$4),"#,??0.00")&amp;")"</f>
        <v>1,200x111.48           (A: 110.83)</v>
      </c>
      <c r="AP70" s="1592" t="str">
        <f ca="1">_xlfn.XLOOKUP(Tab_NewTRADER[[#This Row],[Show]],TabCalc[Ticker],TabCalc[Min_Sn])&amp;" x "&amp;TEXT(_xlfn.XLOOKUP(Tab_NewTRADER[[#This Row],[Show]],TabCalc[Ticker],TabCalc[Min_Sp]),"#,#0.00")</f>
        <v>330 x 98.98</v>
      </c>
      <c r="AQ7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702" t="str" cm="1">
        <f t="array" aca="1" ref="AR70" ca="1">_xlfn.IFS(Tab_NewTRADER[[#This Row],[State]]="Reverse Buy",TEXT(-Tab_NewTRADER[[#This Row],[Buy_Back]],"#,#0")&amp;" / "&amp;TEXT(Tab_NewTRADER[[#This Row],[Rev_Buy]],"#,#0.0%"),TRUE,Tab_NewTRADER[[#This Row],[AMY]])</f>
        <v xml:space="preserve"> 110.83 - 111.48 - 132.50</v>
      </c>
      <c r="AS70" s="1651"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99"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99" t="str" cm="1">
        <f t="array" aca="1" ref="AU70" ca="1">_xlfn.IFS(Tab_NewTRADER[[#This Row],[M]]&lt;Tab_NewTRADER[[#This Row],[A]],TEXT(Tab_NewTRADER[[#This Row],[N]]*Tab_NewTRADER[[#This Row],[M]]*Tab_NewTRADER[[#This Row],[Scale]]*Comm_Net,"#,#0")&amp;" @ "&amp;TEXT(Tab_NewTRADER[[#This Row],[M]],"#,#0.#0"),TRUE,"M: "&amp; Tab_NewTRADER[[#This Row],[M]])</f>
        <v>M: 111.48</v>
      </c>
      <c r="AV70" s="1703" cm="1">
        <f t="array" aca="1" ref="AV70" ca="1">-_xlfn.XLOOKUP(
    Tab_NewTRADER[[#This Row],[Show]] &amp; 2,
    TabConsolid[#Headers],
    INDEX(TabConsolid[], 1, 0)
)</f>
        <v>110.82748755</v>
      </c>
      <c r="AW70" s="1704">
        <f ca="1">Tab_NewTRADER[[#This Row],[M]]*Tab_NewTRADER[[#This Row],[N]]*(1-Commission)*Tab_NewTRADER[[#This Row],[Scale]]</f>
        <v>133428.18239999999</v>
      </c>
      <c r="AX70" s="1705"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705"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706" t="str" cm="1">
        <f t="array" aca="1" ref="AZ70" ca="1">_xlfn.IFS(   Tab_NewTRADER[[#This Row],[State]]=SellMorePercentGain,                     MIN(Tab_NewTRADER[[#This Row],[L_Sn]],Tab_NewTRADER[[#This Row],[N]])*(Tab_NewTRADER[[#This Row],[M]]-Tab_NewTRADER[[#This Row],[L_Sp]])*(1-Commission)*Tab_NewTRADER[[#This Row],[Scale]],                    TRUE,"")</f>
        <v/>
      </c>
      <c r="BA70" s="1723">
        <f ca="1">_xlfn.XLOOKUP(NewTrader!$V70,TabCalc[Ticker],TabCalc[Ann%RevLB])</f>
        <v>-7.2418288031670927E-2</v>
      </c>
      <c r="BB70" s="1724">
        <f ca="1">_xlfn.XLOOKUP(NewTrader!$V70,TabCalc[Ticker],TabCalc[Up20])</f>
        <v>0</v>
      </c>
      <c r="BC70" s="1709"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706" t="str" cm="1">
        <f t="array" aca="1" ref="BD70" ca="1">_xlfn.IFS(         NewTrader!$AF70=MDown,NewTrader!$P70*NewTrader!$Y70*(-(NewTrader!$Q70+NewTrader!$Y70)/NewTrader!$Y70)*(1-Commission)*NewTrader!$A70,                               TRUE,"")</f>
        <v/>
      </c>
      <c r="BE70" s="1705" t="str" cm="1">
        <f t="array" aca="1" ref="BE70" ca="1">_xlfn.IFS(   NewTrader!$AF70=MUp,NewTrader!$BP70-Commission,        NewTrader!$AF70=MDown,(NewTrader!$X70-NewTrader!$Y70)/NewTrader!$Y70-Commission,                              TRUE,"")</f>
        <v/>
      </c>
      <c r="BF70" s="1710"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710" t="str" cm="1">
        <f t="array" aca="1" ref="BG70" ca="1">_xlfn.LET(_xlpm.SumChTxt,TEXT(_xlfn.XLOOKUP(NewTrader!$V70,ListTickers,Tab2SumChangePercent[AVGChan20]),"#0.0%"),
      _xlfn.IFS(NewTrader!$AF70=NoStock,_xlpm.SumChTxt,
      TRUE, IF(NewTrader!$AF70=SellMorePercentGain,             "SumChange "&amp;_xlpm.SumChTxt,                         "&lt;"&amp;INT(_xlfn.XLOOKUP(NewTrader!$V70,ListTickers,Tab2ReverseGL[Rev_GL19]))&amp;    "&lt;"&amp;INT(_xlfn.XLOOKUP(NewTrader!$V70,ListTickers,Tab2ReverseGL[Rev_GL18]))&amp;":      "&amp;_xlpm.SumChTxt)))</f>
        <v>&lt;-1&lt;-1:      0.5%</v>
      </c>
      <c r="BH70" s="1711"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-1.5</v>
      </c>
      <c r="BI70" s="1712" cm="1">
        <f t="array" aca="1" ref="BI70" ca="1">_xlfn.IFS(NewTrader!$AF70=Sale_Back,"",         NewTrader!$AF70=MDown, (NewTrader!$Y70-NewTrader!$X70)/NewTrader!$X70*ComFactor,             TRUE, IFERROR((NewTrader!$Y70-NewTrader!$X70)/NewTrader!$X70*ComFactor,""))</f>
        <v>5.8723330467668191E-3</v>
      </c>
      <c r="BJ70" s="1664" cm="1">
        <f t="array" aca="1" ref="BJ70" ca="1">_xlfn.IFS(               NewTrader!$AF70=NoStock,(NewTrader!$BL70-NewTrader!$Y70)/NewTrader!$Y70-Commission,             NewTrader!$X70&lt;&gt;0,(NewTrader!$X70-NewTrader!$Y70)/NewTrader!$Y70-Commission)</f>
        <v>-8.4531794940796851E-3</v>
      </c>
      <c r="BK70" s="1713">
        <f ca="1">_xlfn.XLOOKUP(NewTrader!$V70,TabCalc[Ticker],TabCalc[L_Sn])</f>
        <v>330</v>
      </c>
      <c r="BL70" s="1693">
        <f ca="1">_xlfn.XLOOKUP(NewTrader!$V70,TabCalc[Ticker],TabCalc[L_Sp])</f>
        <v>122.97</v>
      </c>
      <c r="BM70" s="1694">
        <f ca="1">-IFERROR((Tab_NewTRADER[[#This Row],[M]]-Tab_NewTRADER[[#This Row],[L_Sp]])/Tab_NewTRADER[[#This Row],[L_Sp]],0)</f>
        <v>9.343742376189311E-2</v>
      </c>
      <c r="BN70" s="1714">
        <f ca="1">MIN(Tab_NewTRADER[[#This Row],[L_Sn]],Tab_NewTRADER[[#This Row],[N]])*(Tab_NewTRADER[[#This Row],[M]]-Tab_NewTRADER[[#This Row],[L_Sp]])*Comm_Net*Tab_NewTRADER[[#This Row],[Scale]]</f>
        <v>-3781.4624099999983</v>
      </c>
      <c r="BO70" s="1715">
        <f ca="1">Tab_NewTRADER[[#This Row],[L_Sn]]*(Tab_NewTRADER[[#This Row],[Agiotage]]-Tab_NewTRADER[[#This Row],[M]])/(Tab_NewTRADER[[#This Row],[L_Bn]]*Tab_NewTRADER[[#This Row],[M]])</f>
        <v>-0.61730816453277293</v>
      </c>
      <c r="BP70" s="1716">
        <f ca="1">IFERROR((Tab_NewTRADER[[#This Row],[M]]-Tab_NewTRADER[[#This Row],[A]])/Tab_NewTRADER[[#This Row],[A]],0)</f>
        <v>5.887640913140986E-3</v>
      </c>
      <c r="BQ70" s="1671" t="str">
        <f ca="1">TEXT(_xlfn.XLOOKUP(Tab_NewTRADER[[#This Row],[ClickTick]],TabCalc[Ticker],TabCalc[NAfter]),"#,#0")&amp;" : "&amp;TEXT(_xlfn.XLOOKUP(Tab_NewTRADER[[#This Row],[ClickTick]],TabCalc[Ticker],TabCalc[NAfter])*(Tab_NewTRADER[[#This Row],[M]]-Tab_NewTRADER[[#This Row],[A]])*(1-Commission)*Tab_NewTRADER[[#This Row],[Scale]],"#,#0$")</f>
        <v>1,200 : 781$</v>
      </c>
      <c r="BR70" s="262">
        <f ca="1">_xlfn.XLOOKUP(NewTrader!$V70,TabCalc[[#This Row],[Ticker]],TabCalc[[#This Row],[GL]])*(1-Commission)</f>
        <v>35952.723863509214</v>
      </c>
      <c r="BS70" s="262"/>
      <c r="BT70" s="1672" t="str">
        <f ca="1">Tab_NewTRADER[[#This Row],[Show]]&amp;": "&amp;_xlfn.XLOOKUP(Tab_NewTRADER[[#This Row],[Show]],TabCalc[Ticker],TabCalc[Pile?])</f>
        <v xml:space="preserve">SAFDIS: </v>
      </c>
      <c r="BU70" s="1717" t="s">
        <v>1979</v>
      </c>
      <c r="BV70" s="1674" t="str" cm="1">
        <f t="array" aca="1" ref="BV70" ca="1">_xlfn.TEXTJOIN("",,INDEX({"M","A","Y"}, _xlfn.SORTBY({1,2,3}, -CHOOSE({1,2,3}, Tab_NewTRADER[[#This Row],[M]], Tab_NewTRADER[[#This Row],[A]], Tab_NewTRADER[[#This Row],[Y]]))))</f>
        <v>YMA</v>
      </c>
      <c r="BW70" s="1675"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76">
        <f ca="1">Tab_NewTRADER[[#This Row],[L_Sn]]*Tab_NewTRADER[[#This Row],[L_Sp]]+Tab_NewTRADER[[#This Row],[SellMore]]*Tab_NewTRADER[[#This Row],[M]]</f>
        <v>115271.70000000001</v>
      </c>
      <c r="BY70" s="1676">
        <f ca="1">INDEX(
  INDEX(TabConsolid[], , _xlfn.XMATCH(Tab_NewTRADER[[#This Row],[ClickTick]]&amp;1, TabConsolid[#Headers])),
  MATCH(
    -Tab_NewTRADER[[#This Row],[M]],
    INDEX(TabConsolid[], , _xlfn.XMATCH(Tab_NewTRADER[[#This Row],[ClickTick]]&amp;2, TabConsolid[#Headers])),
    -1
  )
)</f>
        <v>670</v>
      </c>
      <c r="BZ70" s="1676"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9.9999999999999995E-7</v>
      </c>
      <c r="CA70" s="1677">
        <f ca="1">Tab_NewTRADER[[#This Row],[ReBuy]]/(Tab_NewTRADER[[#This Row],[L_Sn]]+Tab_NewTRADER[[#This Row],[SellMore]])</f>
        <v>115.27170000000001</v>
      </c>
      <c r="CB70" s="1678">
        <f ca="1">((_xlfn.XLOOKUP(Tab_NewTRADER[[#This Row],[Show]],TabCalc[Ticker],TabCalc[NAfter])+Tab_NewTRADER[[#This Row],[L_Sn]])*(Tab_NewTRADER[[#This Row],[Agiotage]]-Tab_NewTRADER[[#This Row],[M]]))/(Tab_NewTRADER[[#This Row],[L_Sn]]*_xlfn.XLOOKUP(Tab_NewTRADER[[#This Row],[Show]],TabCalc[Ticker],TabCalc[NAfter]))</f>
        <v>-0.42702878979396897</v>
      </c>
      <c r="CC70" s="1677">
        <f ca="1">INDEX(Tab1Price[Price19], MATCH(Tab_NewTRADER[[#This Row],[Show]], Tab_NewTRADER[Show], 0))</f>
        <v>111.48</v>
      </c>
      <c r="CD70" s="1679">
        <f ca="1">_xlfn.XMATCH(Tab_NewTRADER[[#This Row],[Show]]&amp;1, TabConsolid[#Headers])</f>
        <v>206</v>
      </c>
      <c r="CE70" s="1678"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729" t="str" cm="1">
        <f t="array" aca="1" ref="CF70" ca="1">_xlfn.LET(
    _xlpm.FMT, _xlfn.LAMBDA(_xlpm.n, REPT(" ", 7 - LEN(TEXT(_xlpm.n,"0.00"))) &amp; TEXT(_xlpm.n,"0.00")),
    _xlpm.FMT(Tab_NewTRADER[[#This Row],[A]]) &amp; " -" &amp; _xlpm.FMT(Tab_NewTRADER[[#This Row],[M]]) &amp; " -" &amp; _xlpm.FMT(Tab_NewTRADER[[#This Row],[Y]])
)</f>
        <v xml:space="preserve"> 110.83 - 111.48 - 132.50</v>
      </c>
      <c r="CG70" s="1730" t="str" cm="1">
        <f t="array" aca="1" ref="CG70" ca="1">_xlfn.LET(
    _xlpm.W, 7,
    _xlpm.FMT, _xlfn.LAMBDA(_xlpm.n, REPT(" ", _xlpm.W - LEN(TEXT(_xlpm.n,"0.00"))) &amp; TEXT(_xlpm.n,"0.00")),
    _xlpm.FMT(Tab_NewTRADER[[#This Row],[A]]) &amp; " * " &amp; _xlpm.FMT(Tab_NewTRADER[[#This Row],[M]]) &amp; " * " &amp; _xlpm.FMT(Tab_NewTRADER[[#This Row],[Y]])
)</f>
        <v xml:space="preserve"> 110.83 *  111.48 *  132.50</v>
      </c>
      <c r="CH70" s="1842">
        <f>0</f>
        <v>0</v>
      </c>
      <c r="CI70" t="str">
        <f ca="1">IF(ABS(NewTrader!$Q70)&gt;=NewTrader!$Y70,"OK")</f>
        <v>OK</v>
      </c>
    </row>
    <row r="71" spans="1:87" ht="23" hidden="1" thickBot="1">
      <c r="A71" s="1838">
        <f ca="1">IF(_xlfn.XLOOKUP(NewTrader!$V71,TabCalc[Ticker],TabCalc[Cur])="GBp",0.01,1)</f>
        <v>1</v>
      </c>
      <c r="B71" s="1620" t="str">
        <f ca="1">IFERROR(TRUNC(_xlfn.XLOOKUP(NewTrader!$V71,TabCalc[Ticker],ListLastBuyp),2)&amp;"x"&amp;_xlfn.XLOOKUP(NewTrader!$V71,TabCalc[Ticker],ListLastBuyn)&amp;"=    "&amp;IF(_xlfn.XLOOKUP(NewTrader!$V71,TabCalc[Ticker],ListReverseS)&gt;0,"+","")&amp;TEXT(_xlfn.XLOOKUP(NewTrader!$V71,TabCalc[Ticker],ListReverseS),"#,#0")&amp;" "&amp;#REF!,"")</f>
        <v/>
      </c>
      <c r="C71" s="1621" t="str">
        <f ca="1">_xlfn.XLOOKUP(NewTrader!$V71,TabCalc[Ticker],ListResale)&amp;" @ "&amp;TEXT((_xlfn.XLOOKUP(NewTrader!$V71,TabCalc[Ticker],TabCalc[L_Bp])+_xlfn.XLOOKUP(NewTrader!$V71,TabCalc[Ticker],TabCalc[M]))/_xlfn.XLOOKUP(NewTrader!$V71,TabCalc[Ticker],TabCalc[M]),"#0.0%")</f>
        <v>Sell @ 44.8%</v>
      </c>
      <c r="D71" s="1622"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718" t="str">
        <f ca="1">IF(      AND(NewTrader!$X71&lt;NewTrader!$Y71,    _xlfn.XLOOKUP(NewTrader!$V71,TabCalc[Ticker],TabCalc[L_Sp])&gt;NewTrader!$Y71),"BUY  "&amp;TEXT(DesiredBuyGain/NewTrader!$A71/(_xlfn.XLOOKUP(NewTrader!$V71,TabCalc[Ticker],TabCalc[L_Sp])-NewTrader!$Y71),"#,##0"),"")</f>
        <v/>
      </c>
      <c r="F71" s="1620" t="str">
        <f ca="1">TRUNC(TabCalc[[#This Row],[L_B1p]],2)&amp;"x"&amp;TabCalc[[#This Row],[L_B1n]]&amp;"=   "&amp;TEXT(TabCalc[[#This Row],[ReverseS1]],"#,#0")&amp;"$"</f>
        <v>-46.31x1250=   0$</v>
      </c>
      <c r="G71" s="1624" t="str">
        <f ca="1">IFERROR(TRUNC(_xlfn.XLOOKUP(NewTrader!$V71,TabCalc[Ticker],ListLastSalep),2)&amp;"x"&amp;_xlfn.XLOOKUP(NewTrader!$V71,TabCalc[Ticker],ListLastSalen)&amp;"=   "&amp;TEXT(-_xlfn.XLOOKUP(NewTrader!$V71,TabCalc[Ticker],ListReverseB),"#,#0")&amp;"$","")</f>
        <v>48.63x2000=   64,423$</v>
      </c>
      <c r="H71" s="1625"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-39.8% = 0</v>
      </c>
      <c r="I71" s="1620" t="str">
        <f ca="1">IFERROR(TRUNC(TabCalc[[#This Row],[L_S1p]],2)&amp;"x"&amp;TabCalc[[#This Row],[L_S1n]]&amp;"=   "&amp;TEXT(TabCalc[[#This Row],[ReverseB1]],"#,#0"),"")</f>
        <v>48.66x4000=   -128,739</v>
      </c>
      <c r="J71" s="1626">
        <f ca="1">_xlfn.XLOOKUP(NewTrader!$V71,TabCalc[Ticker],ListGravity)</f>
        <v>0.91866200754530269</v>
      </c>
      <c r="K71" s="1627" t="str" cm="1">
        <f t="array" aca="1" ref="K71" ca="1">IF(_xlfn.XLOOKUP(NewTrader!$V71,NewTrader!$V$3:$V$96,ListExtra_n)&gt;0,_xlfn.XLOOKUP(NewTrader!$V71,NewTrader!$V$3:$V$96,ListExtra_n),"")</f>
        <v/>
      </c>
      <c r="L71" s="1628" t="str">
        <f ca="1">IF(_xlfn.XLOOKUP(NewTrader!$V71,TabCalc[Ticker],ListExtra_n)&gt;0,_xlfn.XLOOKUP(NewTrader!$V71,TabCalc[Ticker],ListExtra_n)*NewTrader!$Y71*_xlfn.XLOOKUP(NewTrader!$V71,TabCalc[Ticker],ListScale),"")</f>
        <v/>
      </c>
      <c r="M71" s="1629">
        <f ca="1">_xlfn.XLOOKUP(NewTrader!$V71,TabCalc[Ticker],TabCalc[Agiotage])</f>
        <v>1.0689103082554057</v>
      </c>
      <c r="N71" s="1630" cm="1">
        <f t="array" aca="1" ref="N71" ca="1">_xlfn.XLOOKUP(NewTrader!$V71,ListTickers,Tab2RSIConventional[RSIConv20])</f>
        <v>98</v>
      </c>
      <c r="O71" s="1631" t="str">
        <f ca="1">TEXT(_xlfn.XLOOKUP(NewTrader!$V71,TabCalc[Ticker],TabCalc[Nbegin]),"#,#0")&amp;": "&amp;_xlfn.XLOOKUP(NewTrader!$V71,TabCalc[Ticker],TabCalc[Pile?])</f>
        <v>3,900: Pile</v>
      </c>
      <c r="P71" s="1632">
        <f ca="1">_xlfn.XLOOKUP(NewTrader!$V71,TabCalc[Ticker],TabCalc[L_Bn])</f>
        <v>2000</v>
      </c>
      <c r="Q71" s="1633">
        <f ca="1">_xlfn.XLOOKUP(NewTrader!$V71,TabCalc[Ticker],TabCalc[L_Bp])</f>
        <v>-44.62</v>
      </c>
      <c r="R71" s="1634">
        <f ca="1">(NewTrader!$Y71+NewTrader!$Q71)/ABS(NewTrader!$Q71)</f>
        <v>0.8118556701030929</v>
      </c>
      <c r="S71" s="259">
        <f ca="1">INT(_xlfn.XLOOKUP(NewTrader!$V71,TabCalc[Ticker],TabCalc[Rev(MinStock)])*Comm_Net)</f>
        <v>0</v>
      </c>
      <c r="T71" s="1635">
        <f ca="1">_xlfn.XLOOKUP(NewTrader!$V71,TabCalc[Ticker],TabCalc[Agiotage])</f>
        <v>1.0689103082554057</v>
      </c>
      <c r="U71" s="1719"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0/0=&gt;0.1% / 0.1%</v>
      </c>
      <c r="V71" s="1578" t="str">
        <f ca="1">SORTING!B71</f>
        <v>SAFGM</v>
      </c>
      <c r="W71" s="1637">
        <f ca="1">_xlfn.XLOOKUP(NewTrader!$V71,TabCalc[Ticker],TabCalc[Y])</f>
        <v>74.269229999999993</v>
      </c>
      <c r="X71" s="1639">
        <f ca="1">-_xlfn.XLOOKUP(NewTrader!$V71&amp;2,Consolid!B$3:JZ$3,Consolid!B$4:JZ$4)</f>
        <v>0</v>
      </c>
      <c r="Y71" s="1639">
        <f ca="1">_xlfn.XLOOKUP(NewTrader!$V71,TabCalc[Ticker],TabCalc[M])</f>
        <v>80.844999999999999</v>
      </c>
      <c r="Z71" s="1640">
        <f ca="1">_xlfn.XLOOKUP(NewTrader!$V71,[1]!RTData[Ticker_Symbol],[1]!RTData[YTChange])</f>
        <v>0.37382963374028838</v>
      </c>
      <c r="AA71" s="1640" cm="1">
        <f t="array" aca="1" ref="AA71" ca="1">_xlfn.XLOOKUP(NewTrader!$V71,ListTickers,Tab1ChangePercent[Change%19])</f>
        <v>5.5690000000000004E-4</v>
      </c>
      <c r="AB71" s="1641">
        <f ca="1">_xlfn.XLOOKUP(NewTrader!$V71,TabCalc[Ticker],TabCalc[NAfter])</f>
        <v>0</v>
      </c>
      <c r="AC71" s="1641">
        <f ca="1">_xlfn.XLOOKUP(NewTrader!$V71,TabCalc[Ticker],TabCalc[Nbegin])</f>
        <v>3900</v>
      </c>
      <c r="AD71" s="1642" t="str">
        <f ca="1">_xlfn.LET(_xlpm.PILE,_xlfn.XLOOKUP(NewTrader!$V71,TabCalc[Ticker],TabCalc[Pile?]),                    _xlpm.GL,_xlfn.XLOOKUP(NewTrader!$V71,TabCalc[Ticker],TabCalc[GL]),                        _xlpm.GLK,_xlfn.XLOOKUP(NewTrader!$V71,TabCalc[Ticker],TabCalc[GL])/1000,                             _xlpm.MVal,_xlfn.XLOOKUP(NewTrader!$V71,TabCalc[Ticker],TabCalc[M_V])/1000,                   _xlpm.PILE&amp;" "&amp;IF(_xlpm.GL&lt;0,TEXT(_xlpm.GLK,"#,#0")&amp;"K /"&amp;TEXT(_xlpm.MVal,"#,#0")&amp;" K$","^"&amp;TEXT(_xlpm.GLK,"#,#0")&amp;"K / "&amp;TEXT(_xlpm.MVal,"#,#0")&amp;" K$"))</f>
        <v>Pile ^63K / 0 K$</v>
      </c>
      <c r="AE71" s="1643" t="str">
        <f ca="1">_xlfn.XLOOKUP(NewTrader!$V71,[1]!RTData[Ticker_Symbol],[1]!RTData[Currency])</f>
        <v>USD</v>
      </c>
      <c r="AF71" s="1721"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698" t="str" cm="1">
        <f t="array" aca="1" ref="AH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80.85 -  74.27</v>
      </c>
      <c r="AI7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1" s="1651" t="str" cm="1">
        <f t="array" aca="1" ref="AJ71" ca="1">_xlfn.IFS(Tab_NewTRADER[[#This Row],[State]]="Sell More",TEXT(MIN(Tab_NewTRADER[[#This Row],[N]],Tab_NewTRADER[[#This Row],[L_Bn]])*(Tab_NewTRADER[[#This Row],[M]]-Tab_NewTRADER[[#This Row],[L_Sp]])*Tab_NewTRADER[[#This Row],[Scale]]*ComFactor,"#,#0"), TRUE,"M= "&amp;TEXT(Tab_NewTRADER[[#This Row],[M]],"#,#0.00"))</f>
        <v>M= 80.85</v>
      </c>
      <c r="AK71" s="1699" t="str" cm="1">
        <f t="array" aca="1" ref="AK71" ca="1">_xlfn.IFS(Tab_NewTRADER[[#This Row],[Y]]&gt;Tab_NewTRADER[[#This Row],[A]],                 TEXT(MIN(Tab_NewTRADER[[#This Row],[L_Bn]],Tab_NewTRADER[[#This Row],[N]])*(Tab_NewTRADER[[#This Row],[M]]-Tab_NewTRADER[[#This Row],[A]])*Tab_NewTRADER[[#This Row],[Scale]]*ComFactor,"#,#0"), TRUE,0)</f>
        <v>0</v>
      </c>
      <c r="AL71" s="1700" cm="1">
        <f t="array" aca="1" ref="AL71" ca="1">_xlfn.IFS(Tab_NewTRADER[[#This Row],[M]]&gt;Tab_NewTRADER[[#This Row],[A]],                  Tab_NewTRADER[[#This Row],[N]]*(Tab_NewTRADER[[#This Row],[M]]-Tab_NewTRADER[[#This Row],[A]])*Tab_NewTRADER[[#This Row],[Scale]]*ComFactor, TRUE,0)</f>
        <v>0</v>
      </c>
      <c r="AM71" s="1592" t="e">
        <f ca="1">_xlfn.XLOOKUP(Tab_NewTRADER[[#This Row],[Show]],TabCalc[Ticker],TabCalc[Max_Bn])&amp;" x "&amp;TEXT(_xlfn.XLOOKUP(Tab_NewTRADER[[#This Row],[Show]],TabCalc[Ticker],TabCalc[Max_Bp]),"#,#0.00")</f>
        <v>#N/A</v>
      </c>
      <c r="AN71" s="1650" t="str">
        <f ca="1">NewTrader!$V71</f>
        <v>SAFGM</v>
      </c>
      <c r="AO71" s="1651" t="str">
        <f ca="1">TEXT(_xlfn.XLOOKUP(Tab_NewTRADER[[#This Row],[ClickTick]],TabCalc[Ticker],TabCalc[NAfter]),"#,#0")&amp;"x"&amp;_xlfn.XLOOKUP(Tab_NewTRADER[[#This Row],[ClickTick]],TabCalc[Ticker],TabCalc[M])&amp;"           (A: "&amp;TEXT(-_xlfn.XLOOKUP(Tab_NewTRADER[[#This Row],[ClickTick]]&amp;2,Consolid!B$3:JZ$3,Consolid!B$4:JZ$4),"#,??0.00")&amp;")"</f>
        <v>0x80.845           (A:   0.00)</v>
      </c>
      <c r="AP71" s="1592" t="str">
        <f ca="1">_xlfn.XLOOKUP(Tab_NewTRADER[[#This Row],[Show]],TabCalc[Ticker],TabCalc[Min_Sn])&amp;" x "&amp;TEXT(_xlfn.XLOOKUP(Tab_NewTRADER[[#This Row],[Show]],TabCalc[Ticker],TabCalc[Min_Sp]),"#,#0.00")</f>
        <v>1000 x 40.11</v>
      </c>
      <c r="AQ7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702" t="str" cm="1">
        <f t="array" aca="1" ref="AR71" ca="1">_xlfn.IFS(Tab_NewTRADER[[#This Row],[State]]="Reverse Buy",TEXT(-Tab_NewTRADER[[#This Row],[Buy_Back]],"#,#0")&amp;" / "&amp;TEXT(Tab_NewTRADER[[#This Row],[Rev_Buy]],"#,#0.0%"),TRUE,Tab_NewTRADER[[#This Row],[AMY]])</f>
        <v xml:space="preserve">   0.00 -  80.85 -  74.27</v>
      </c>
      <c r="AS71" s="1651"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99"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99" t="str" cm="1">
        <f t="array" aca="1" ref="AU71" ca="1">_xlfn.IFS(Tab_NewTRADER[[#This Row],[M]]&lt;Tab_NewTRADER[[#This Row],[A]],TEXT(Tab_NewTRADER[[#This Row],[N]]*Tab_NewTRADER[[#This Row],[M]]*Tab_NewTRADER[[#This Row],[Scale]]*Comm_Net,"#,#0")&amp;" @ "&amp;TEXT(Tab_NewTRADER[[#This Row],[M]],"#,#0.#0"),TRUE,"M: "&amp; Tab_NewTRADER[[#This Row],[M]])</f>
        <v>M: 80.845</v>
      </c>
      <c r="AV71" s="1740" cm="1">
        <f t="array" aca="1" ref="AV71" ca="1">-_xlfn.XLOOKUP(
    Tab_NewTRADER[[#This Row],[Show]] &amp; 2,
    TabConsolid[#Headers],
    INDEX(TabConsolid[], 1, 0)
)</f>
        <v>0</v>
      </c>
      <c r="AW71" s="1741">
        <f ca="1">Tab_NewTRADER[[#This Row],[M]]*Tab_NewTRADER[[#This Row],[N]]*(1-Commission)*Tab_NewTRADER[[#This Row],[Scale]]</f>
        <v>0</v>
      </c>
      <c r="AX71" s="1705"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705"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706" t="str" cm="1">
        <f t="array" aca="1" ref="AZ71" ca="1">_xlfn.IFS(   Tab_NewTRADER[[#This Row],[State]]=SellMorePercentGain,                     MIN(Tab_NewTRADER[[#This Row],[L_Sn]],Tab_NewTRADER[[#This Row],[N]])*(Tab_NewTRADER[[#This Row],[M]]-Tab_NewTRADER[[#This Row],[L_Sp]])*(1-Commission)*Tab_NewTRADER[[#This Row],[Scale]],                    TRUE,"")</f>
        <v/>
      </c>
      <c r="BA71" s="1772">
        <f ca="1">_xlfn.XLOOKUP(NewTrader!$V71,TabCalc[Ticker],TabCalc[Ann%RevLB])</f>
        <v>0.58570749746916517</v>
      </c>
      <c r="BB71" s="1724">
        <f ca="1">_xlfn.XLOOKUP(NewTrader!$V71,TabCalc[Ticker],TabCalc[Up20])</f>
        <v>0.55555555555555558</v>
      </c>
      <c r="BC71" s="1725"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706" t="str" cm="1">
        <f t="array" aca="1" ref="BD71" ca="1">_xlfn.IFS(         NewTrader!$AF71=MDown,NewTrader!$P71*NewTrader!$Y71*(-(NewTrader!$Q71+NewTrader!$Y71)/NewTrader!$Y71)*(1-Commission)*NewTrader!$A71,                               TRUE,"")</f>
        <v/>
      </c>
      <c r="BE71" s="1705" t="str" cm="1">
        <f t="array" aca="1" ref="BE71" ca="1">_xlfn.IFS(   NewTrader!$AF71=MUp,NewTrader!$BP71-Commission,        NewTrader!$AF71=MDown,(NewTrader!$X71-NewTrader!$Y71)/NewTrader!$Y71-Commission,                              TRUE,"")</f>
        <v/>
      </c>
      <c r="BF71" s="1706"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710" t="str" cm="1">
        <f t="array" aca="1" ref="BG71" ca="1">_xlfn.LET(_xlpm.SumChTxt,TEXT(_xlfn.XLOOKUP(NewTrader!$V71,ListTickers,Tab2SumChangePercent[AVGChan20]),"#0.0%"),
      _xlfn.IFS(NewTrader!$AF71=NoStock,_xlpm.SumChTxt,
      TRUE, IF(NewTrader!$AF71=SellMorePercentGain,             "SumChange "&amp;_xlpm.SumChTxt,                         "&lt;"&amp;INT(_xlfn.XLOOKUP(NewTrader!$V71,ListTickers,Tab2ReverseGL[Rev_GL19]))&amp;    "&lt;"&amp;INT(_xlfn.XLOOKUP(NewTrader!$V71,ListTickers,Tab2ReverseGL[Rev_GL18]))&amp;":      "&amp;_xlpm.SumChTxt)))</f>
        <v>0.4%</v>
      </c>
      <c r="BH71" s="1711"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0x80.84</v>
      </c>
      <c r="BI71" s="1712" t="str" cm="1">
        <f t="array" aca="1" ref="BI71" ca="1">_xlfn.IFS(NewTrader!$AF71=Sale_Back,"",         NewTrader!$AF71=MDown, (NewTrader!$Y71-NewTrader!$X71)/NewTrader!$X71*ComFactor,             TRUE, IFERROR((NewTrader!$Y71-NewTrader!$X71)/NewTrader!$X71*ComFactor,""))</f>
        <v/>
      </c>
      <c r="BJ71" s="1664" cm="1">
        <f t="array" aca="1" ref="BJ71" ca="1">_xlfn.IFS(               NewTrader!$AF71=NoStock,(NewTrader!$BL71-NewTrader!$Y71)/NewTrader!$Y71-Commission,             NewTrader!$X71&lt;&gt;0,(NewTrader!$X71-NewTrader!$Y71)/NewTrader!$Y71-Commission)</f>
        <v>-0.40103651431752113</v>
      </c>
      <c r="BK71" s="1726">
        <f ca="1">_xlfn.XLOOKUP(NewTrader!$V71,TabCalc[Ticker],TabCalc[L_Sn])</f>
        <v>2000</v>
      </c>
      <c r="BL71" s="1727">
        <f ca="1">_xlfn.XLOOKUP(NewTrader!$V71,TabCalc[Ticker],TabCalc[L_Sp])</f>
        <v>48.633400000000002</v>
      </c>
      <c r="BM71" s="1634">
        <f ca="1">-IFERROR((Tab_NewTRADER[[#This Row],[M]]-Tab_NewTRADER[[#This Row],[L_Sp]])/Tab_NewTRADER[[#This Row],[L_Sp]],0)</f>
        <v>-0.66233493854018011</v>
      </c>
      <c r="BN71" s="1728">
        <f ca="1">MIN(Tab_NewTRADER[[#This Row],[L_Sn]],Tab_NewTRADER[[#This Row],[N]])*(Tab_NewTRADER[[#This Row],[M]]-Tab_NewTRADER[[#This Row],[L_Sp]])*Comm_Net*Tab_NewTRADER[[#This Row],[Scale]]</f>
        <v>0</v>
      </c>
      <c r="BO71" s="1715">
        <f ca="1">Tab_NewTRADER[[#This Row],[L_Sn]]*(Tab_NewTRADER[[#This Row],[Agiotage]]-Tab_NewTRADER[[#This Row],[M]])/(Tab_NewTRADER[[#This Row],[L_Bn]]*Tab_NewTRADER[[#This Row],[M]])</f>
        <v>-0.98677827561066966</v>
      </c>
      <c r="BP71" s="1670">
        <f ca="1">IFERROR((Tab_NewTRADER[[#This Row],[M]]-Tab_NewTRADER[[#This Row],[A]])/Tab_NewTRADER[[#This Row],[A]],0)</f>
        <v>0</v>
      </c>
      <c r="BQ71" s="1671"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Row],[GL]])*(1-Commission)</f>
        <v>62341.663567505399</v>
      </c>
      <c r="BS71" s="259"/>
      <c r="BT71" s="1672" t="str">
        <f ca="1">Tab_NewTRADER[[#This Row],[Show]]&amp;": "&amp;_xlfn.XLOOKUP(Tab_NewTRADER[[#This Row],[Show]],TabCalc[Ticker],TabCalc[Pile?])</f>
        <v>SAFGM: Pile</v>
      </c>
      <c r="BU71" s="1717" t="s">
        <v>1980</v>
      </c>
      <c r="BV71" s="1674" t="str" cm="1">
        <f t="array" aca="1" ref="BV71" ca="1">_xlfn.TEXTJOIN("",,INDEX({"M","A","Y"}, _xlfn.SORTBY({1,2,3}, -CHOOSE({1,2,3}, Tab_NewTRADER[[#This Row],[M]], Tab_NewTRADER[[#This Row],[A]], Tab_NewTRADER[[#This Row],[Y]]))))</f>
        <v>MYA</v>
      </c>
      <c r="BW71" s="1675"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76" t="e">
        <f ca="1">Tab_NewTRADER[[#This Row],[L_Sn]]*Tab_NewTRADER[[#This Row],[L_Sp]]+Tab_NewTRADER[[#This Row],[SellMore]]*Tab_NewTRADER[[#This Row],[M]]</f>
        <v>#N/A</v>
      </c>
      <c r="BY71" s="1676" t="e">
        <f ca="1">INDEX(
  INDEX(TabConsolid[], , _xlfn.XMATCH(Tab_NewTRADER[[#This Row],[ClickTick]]&amp;1, TabConsolid[#Headers])),
  MATCH(
    -Tab_NewTRADER[[#This Row],[M]],
    INDEX(TabConsolid[], , _xlfn.XMATCH(Tab_NewTRADER[[#This Row],[ClickTick]]&amp;2, TabConsolid[#Headers])),
    -1
  )
)</f>
        <v>#N/A</v>
      </c>
      <c r="BZ71" s="1676"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77" t="e">
        <f ca="1">Tab_NewTRADER[[#This Row],[ReBuy]]/(Tab_NewTRADER[[#This Row],[L_Sn]]+Tab_NewTRADER[[#This Row],[SellMore]])</f>
        <v>#N/A</v>
      </c>
      <c r="CB71" s="1678" t="e">
        <f ca="1">((_xlfn.XLOOKUP(Tab_NewTRADER[[#This Row],[Show]],TabCalc[Ticker],TabCalc[NAfter])+Tab_NewTRADER[[#This Row],[L_Sn]])*(Tab_NewTRADER[[#This Row],[Agiotage]]-Tab_NewTRADER[[#This Row],[M]]))/(Tab_NewTRADER[[#This Row],[L_Sn]]*_xlfn.XLOOKUP(Tab_NewTRADER[[#This Row],[Show]],TabCalc[Ticker],TabCalc[NAfter]))</f>
        <v>#DIV/0!</v>
      </c>
      <c r="CC71" s="1677">
        <f ca="1">INDEX(Tab1Price[Price19], MATCH(Tab_NewTRADER[[#This Row],[Show]], Tab_NewTRADER[Show], 0))</f>
        <v>80.844999999999999</v>
      </c>
      <c r="CD71" s="1679">
        <f ca="1">_xlfn.XMATCH(Tab_NewTRADER[[#This Row],[Show]]&amp;1, TabConsolid[#Headers])</f>
        <v>209</v>
      </c>
      <c r="CE71" s="1678"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729" t="str" cm="1">
        <f t="array" aca="1" ref="CF71" ca="1">_xlfn.LET(
    _xlpm.FMT, _xlfn.LAMBDA(_xlpm.n, REPT(" ", 7 - LEN(TEXT(_xlpm.n,"0.00"))) &amp; TEXT(_xlpm.n,"0.00")),
    _xlpm.FMT(Tab_NewTRADER[[#This Row],[A]]) &amp; " -" &amp; _xlpm.FMT(Tab_NewTRADER[[#This Row],[M]]) &amp; " -" &amp; _xlpm.FMT(Tab_NewTRADER[[#This Row],[Y]])
)</f>
        <v xml:space="preserve">   0.00 -  80.85 -  74.27</v>
      </c>
      <c r="CG71" s="1730" t="str" cm="1">
        <f t="array" aca="1" ref="CG71" ca="1">_xlfn.LET(
    _xlpm.W, 7,
    _xlpm.FMT, _xlfn.LAMBDA(_xlpm.n, REPT(" ", _xlpm.W - LEN(TEXT(_xlpm.n,"0.00"))) &amp; TEXT(_xlpm.n,"0.00")),
    _xlpm.FMT(Tab_NewTRADER[[#This Row],[A]]) &amp; " * " &amp; _xlpm.FMT(Tab_NewTRADER[[#This Row],[M]]) &amp; " * " &amp; _xlpm.FMT(Tab_NewTRADER[[#This Row],[Y]])
)</f>
        <v xml:space="preserve">   0.00 *   80.85 *   74.27</v>
      </c>
      <c r="CH71" s="1842">
        <f>0</f>
        <v>0</v>
      </c>
      <c r="CI71" t="b">
        <f ca="1">IF(ABS(NewTrader!$Q71)&gt;=NewTrader!$Y71,"OK")</f>
        <v>0</v>
      </c>
    </row>
    <row r="72" spans="1:87" ht="23" hidden="1" thickBot="1">
      <c r="A72" s="1839">
        <f ca="1">IF(_xlfn.XLOOKUP(NewTrader!$V72,TabCalc[Ticker],TabCalc[Cur])="GBp",0.01,1)</f>
        <v>0.01</v>
      </c>
      <c r="B72" s="1681" t="str">
        <f ca="1">IFERROR(TRUNC(_xlfn.XLOOKUP(NewTrader!$V72,TabCalc[Ticker],ListLastBuyp),2)&amp;"x"&amp;_xlfn.XLOOKUP(NewTrader!$V72,TabCalc[Ticker],ListLastBuyn)&amp;"=    "&amp;IF(_xlfn.XLOOKUP(NewTrader!$V72,TabCalc[Ticker],ListReverseS)&gt;0,"+","")&amp;TEXT(_xlfn.XLOOKUP(NewTrader!$V72,TabCalc[Ticker],ListReverseS),"#,#0")&amp;" "&amp;#REF!,"")</f>
        <v/>
      </c>
      <c r="C72" s="1682" t="str">
        <f ca="1">_xlfn.XLOOKUP(NewTrader!$V72,TabCalc[Ticker],ListResale)&amp;" @ "&amp;TEXT((_xlfn.XLOOKUP(NewTrader!$V72,TabCalc[Ticker],TabCalc[L_Bp])+_xlfn.XLOOKUP(NewTrader!$V72,TabCalc[Ticker],TabCalc[M]))/_xlfn.XLOOKUP(NewTrader!$V72,TabCalc[Ticker],TabCalc[M]),"#0.0%")</f>
        <v>Sell @ 50.2%</v>
      </c>
      <c r="D72" s="1683"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84" t="str">
        <f ca="1">IF(      AND(NewTrader!$X72&lt;NewTrader!$Y72,    _xlfn.XLOOKUP(NewTrader!$V72,TabCalc[Ticker],TabCalc[L_Sp])&gt;NewTrader!$Y72),"BUY  "&amp;TEXT(DesiredBuyGain/NewTrader!$A72/(_xlfn.XLOOKUP(NewTrader!$V72,TabCalc[Ticker],TabCalc[L_Sp])-NewTrader!$Y72),"#,##0"),"")</f>
        <v/>
      </c>
      <c r="F72" s="1681" t="str">
        <f ca="1">TRUNC(TabCalc[[#This Row],[L_B1p]],2)&amp;"x"&amp;TabCalc[[#This Row],[L_B1n]]&amp;"=   "&amp;TEXT(TabCalc[[#This Row],[ReverseS1]],"#,#0")&amp;"$"</f>
        <v>-164.36x50000=   0$</v>
      </c>
      <c r="G72" s="1685" t="str">
        <f ca="1">IFERROR(TRUNC(_xlfn.XLOOKUP(NewTrader!$V72,TabCalc[Ticker],ListLastSalep),2)&amp;"x"&amp;_xlfn.XLOOKUP(NewTrader!$V72,TabCalc[Ticker],ListLastSalen)&amp;"=   "&amp;TEXT(-_xlfn.XLOOKUP(NewTrader!$V72,TabCalc[Ticker],ListReverseB),"#,#0")&amp;"$","")</f>
        <v>301.92x100000=   95,680$</v>
      </c>
      <c r="H72" s="1686"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-24.1% = 0</v>
      </c>
      <c r="I72" s="1681" t="str">
        <f ca="1">IFERROR(TRUNC(TabCalc[[#This Row],[L_S1p]],2)&amp;"x"&amp;TabCalc[[#This Row],[L_S1n]]&amp;"=   "&amp;TEXT(TabCalc[[#This Row],[ReverseB1]],"#,#0"),"")</f>
        <v>212.3x25000=   -46,325</v>
      </c>
      <c r="J72" s="1687">
        <f ca="1">_xlfn.XLOOKUP(NewTrader!$V72,TabCalc[Ticker],ListGravity)</f>
        <v>1.160889134808853</v>
      </c>
      <c r="K72" s="1688" t="str" cm="1">
        <f t="array" aca="1" ref="K72" ca="1">IF(_xlfn.XLOOKUP(NewTrader!$V72,NewTrader!$V$3:$V$96,ListExtra_n)&gt;0,_xlfn.XLOOKUP(NewTrader!$V72,NewTrader!$V$3:$V$96,ListExtra_n),"")</f>
        <v/>
      </c>
      <c r="L72" s="1689" t="str">
        <f ca="1">IF(_xlfn.XLOOKUP(NewTrader!$V72,TabCalc[Ticker],ListExtra_n)&gt;0,_xlfn.XLOOKUP(NewTrader!$V72,TabCalc[Ticker],ListExtra_n)*NewTrader!$Y72*_xlfn.XLOOKUP(NewTrader!$V72,TabCalc[Ticker],ListScale),"")</f>
        <v/>
      </c>
      <c r="M72" s="1690">
        <f ca="1">_xlfn.XLOOKUP(NewTrader!$V72,TabCalc[Ticker],TabCalc[Agiotage])</f>
        <v>0.83897669667496144</v>
      </c>
      <c r="N72" s="1691" cm="1">
        <f t="array" aca="1" ref="N72" ca="1">_xlfn.XLOOKUP(NewTrader!$V72,ListTickers,Tab2RSIConventional[RSIConv20])</f>
        <v>55</v>
      </c>
      <c r="O72" s="1631" t="str">
        <f ca="1">TEXT(_xlfn.XLOOKUP(NewTrader!$V72,TabCalc[Ticker],TabCalc[Nbegin]),"#,#0")&amp;": "&amp;_xlfn.XLOOKUP(NewTrader!$V72,TabCalc[Ticker],TabCalc[Pile?])</f>
        <v>200,000: Pile</v>
      </c>
      <c r="P72" s="1692">
        <f ca="1">_xlfn.XLOOKUP(NewTrader!$V72,TabCalc[Ticker],TabCalc[L_Bn])</f>
        <v>25000</v>
      </c>
      <c r="Q72" s="1731">
        <f ca="1">_xlfn.XLOOKUP(NewTrader!$V72,TabCalc[Ticker],TabCalc[L_Bp])</f>
        <v>-198.16</v>
      </c>
      <c r="R72" s="1694">
        <f ca="1">(NewTrader!$Y72+NewTrader!$Q72)/ABS(NewTrader!$Q72)</f>
        <v>1.0064594267258782</v>
      </c>
      <c r="S72" s="262">
        <f ca="1">INT(_xlfn.XLOOKUP(NewTrader!$V72,TabCalc[Ticker],TabCalc[Rev(MinStock)])*Comm_Net)</f>
        <v>0</v>
      </c>
      <c r="T72" s="1635">
        <f ca="1">_xlfn.XLOOKUP(NewTrader!$V72,TabCalc[Ticker],TabCalc[Agiotage])</f>
        <v>0.83897669667496144</v>
      </c>
      <c r="U72" s="1695"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0/0=&gt;3.1% / 3.1%</v>
      </c>
      <c r="V72" s="1578" t="str">
        <f ca="1">SORTING!B72</f>
        <v>SAFIAG</v>
      </c>
      <c r="W72" s="1637">
        <f ca="1">_xlfn.XLOOKUP(NewTrader!$V72,TabCalc[Ticker],TabCalc[Y])</f>
        <v>461.56952000000001</v>
      </c>
      <c r="X72" s="1639">
        <f ca="1">-_xlfn.XLOOKUP(NewTrader!$V72&amp;2,Consolid!B$3:JZ$3,Consolid!B$4:JZ$4)</f>
        <v>0</v>
      </c>
      <c r="Y72" s="1639">
        <f ca="1">_xlfn.XLOOKUP(NewTrader!$V72,TabCalc[Ticker],TabCalc[M])</f>
        <v>397.6</v>
      </c>
      <c r="Z72" s="1640">
        <f ca="1">_xlfn.XLOOKUP(NewTrader!$V72,[1]!RTData[Ticker_Symbol],[1]!RTData[YTChange])</f>
        <v>0.57130049361702129</v>
      </c>
      <c r="AA72" s="1640" cm="1">
        <f t="array" aca="1" ref="AA72" ca="1">_xlfn.XLOOKUP(NewTrader!$V72,ListTickers,Tab1ChangePercent[Change%19])</f>
        <v>3.1120000000000002E-2</v>
      </c>
      <c r="AB72" s="1641">
        <f ca="1">_xlfn.XLOOKUP(NewTrader!$V72,TabCalc[Ticker],TabCalc[NAfter])</f>
        <v>0</v>
      </c>
      <c r="AC72" s="1641">
        <f ca="1">_xlfn.XLOOKUP(NewTrader!$V72,TabCalc[Ticker],TabCalc[Nbegin])</f>
        <v>200000</v>
      </c>
      <c r="AD72" s="1642" t="str">
        <f ca="1">_xlfn.LET(_xlpm.PILE,_xlfn.XLOOKUP(NewTrader!$V72,TabCalc[Ticker],TabCalc[Pile?]),                    _xlpm.GL,_xlfn.XLOOKUP(NewTrader!$V72,TabCalc[Ticker],TabCalc[GL]),                        _xlpm.GLK,_xlfn.XLOOKUP(NewTrader!$V72,TabCalc[Ticker],TabCalc[GL])/1000,                             _xlpm.MVal,_xlfn.XLOOKUP(NewTrader!$V72,TabCalc[Ticker],TabCalc[M_V])/1000,                   _xlpm.PILE&amp;" "&amp;IF(_xlpm.GL&lt;0,TEXT(_xlpm.GLK,"#,#0")&amp;"K /"&amp;TEXT(_xlpm.MVal,"#,#0")&amp;" K$","^"&amp;TEXT(_xlpm.GLK,"#,#0")&amp;"K / "&amp;TEXT(_xlpm.MVal,"#,#0")&amp;" K$"))</f>
        <v>Pile ^178K / 0 K$</v>
      </c>
      <c r="AE72" s="1720" t="str">
        <f ca="1">_xlfn.XLOOKUP(NewTrader!$V72,[1]!RTData[Ticker_Symbol],[1]!RTData[Currency])</f>
        <v>GBp</v>
      </c>
      <c r="AF72" s="1721"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698" t="str" cm="1">
        <f t="array" aca="1" ref="AH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0.00 - 397.60 - 461.57</v>
      </c>
      <c r="AI7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72" s="1651" t="str" cm="1">
        <f t="array" aca="1" ref="AJ72" ca="1">_xlfn.IFS(Tab_NewTRADER[[#This Row],[State]]="Sell More",TEXT(MIN(Tab_NewTRADER[[#This Row],[N]],Tab_NewTRADER[[#This Row],[L_Bn]])*(Tab_NewTRADER[[#This Row],[M]]-Tab_NewTRADER[[#This Row],[L_Sp]])*Tab_NewTRADER[[#This Row],[Scale]]*ComFactor,"#,#0"), TRUE,"M= "&amp;TEXT(Tab_NewTRADER[[#This Row],[M]],"#,#0.00"))</f>
        <v>M= 397.60</v>
      </c>
      <c r="AK72" s="1699" t="str" cm="1">
        <f t="array" aca="1" ref="AK72" ca="1">_xlfn.IFS(Tab_NewTRADER[[#This Row],[Y]]&gt;Tab_NewTRADER[[#This Row],[A]],                 TEXT(MIN(Tab_NewTRADER[[#This Row],[L_Bn]],Tab_NewTRADER[[#This Row],[N]])*(Tab_NewTRADER[[#This Row],[M]]-Tab_NewTRADER[[#This Row],[A]])*Tab_NewTRADER[[#This Row],[Scale]]*ComFactor,"#,#0"), TRUE,0)</f>
        <v>0</v>
      </c>
      <c r="AL72" s="1700" cm="1">
        <f t="array" aca="1" ref="AL72" ca="1">_xlfn.IFS(Tab_NewTRADER[[#This Row],[M]]&gt;Tab_NewTRADER[[#This Row],[A]],                  Tab_NewTRADER[[#This Row],[N]]*(Tab_NewTRADER[[#This Row],[M]]-Tab_NewTRADER[[#This Row],[A]])*Tab_NewTRADER[[#This Row],[Scale]]*ComFactor, TRUE,0)</f>
        <v>0</v>
      </c>
      <c r="AM72" s="1592" t="e">
        <f ca="1">_xlfn.XLOOKUP(Tab_NewTRADER[[#This Row],[Show]],TabCalc[Ticker],TabCalc[Max_Bn])&amp;" x "&amp;TEXT(_xlfn.XLOOKUP(Tab_NewTRADER[[#This Row],[Show]],TabCalc[Ticker],TabCalc[Max_Bp]),"#,#0.00")</f>
        <v>#N/A</v>
      </c>
      <c r="AN72" s="1650" t="str">
        <f ca="1">NewTrader!$V72</f>
        <v>SAFIAG</v>
      </c>
      <c r="AO72" s="1651" t="str">
        <f ca="1">TEXT(_xlfn.XLOOKUP(Tab_NewTRADER[[#This Row],[ClickTick]],TabCalc[Ticker],TabCalc[NAfter]),"#,#0")&amp;"x"&amp;_xlfn.XLOOKUP(Tab_NewTRADER[[#This Row],[ClickTick]],TabCalc[Ticker],TabCalc[M])&amp;"           (A: "&amp;TEXT(-_xlfn.XLOOKUP(Tab_NewTRADER[[#This Row],[ClickTick]]&amp;2,Consolid!B$3:JZ$3,Consolid!B$4:JZ$4),"#,??0.00")&amp;")"</f>
        <v>0x397.6           (A:   0.00)</v>
      </c>
      <c r="AP72" s="1592" t="str">
        <f ca="1">_xlfn.XLOOKUP(Tab_NewTRADER[[#This Row],[Show]],TabCalc[Ticker],TabCalc[Min_Sn])&amp;" x "&amp;TEXT(_xlfn.XLOOKUP(Tab_NewTRADER[[#This Row],[Show]],TabCalc[Ticker],TabCalc[Min_Sp]),"#,#0.00")</f>
        <v>25000 x 171.30</v>
      </c>
      <c r="AQ7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702" t="str" cm="1">
        <f t="array" aca="1" ref="AR72" ca="1">_xlfn.IFS(Tab_NewTRADER[[#This Row],[State]]="Reverse Buy",TEXT(-Tab_NewTRADER[[#This Row],[Buy_Back]],"#,#0")&amp;" / "&amp;TEXT(Tab_NewTRADER[[#This Row],[Rev_Buy]],"#,#0.0%"),TRUE,Tab_NewTRADER[[#This Row],[AMY]])</f>
        <v xml:space="preserve">   0.00 - 397.60 - 461.57</v>
      </c>
      <c r="AS72" s="1651"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99"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99" t="str" cm="1">
        <f t="array" aca="1" ref="AU72" ca="1">_xlfn.IFS(Tab_NewTRADER[[#This Row],[M]]&lt;Tab_NewTRADER[[#This Row],[A]],TEXT(Tab_NewTRADER[[#This Row],[N]]*Tab_NewTRADER[[#This Row],[M]]*Tab_NewTRADER[[#This Row],[Scale]]*Comm_Net,"#,#0")&amp;" @ "&amp;TEXT(Tab_NewTRADER[[#This Row],[M]],"#,#0.#0"),TRUE,"M: "&amp; Tab_NewTRADER[[#This Row],[M]])</f>
        <v>M: 397.6</v>
      </c>
      <c r="AV72" s="1703" cm="1">
        <f t="array" aca="1" ref="AV72" ca="1">-_xlfn.XLOOKUP(
    Tab_NewTRADER[[#This Row],[Show]] &amp; 2,
    TabConsolid[#Headers],
    INDEX(TabConsolid[], 1, 0)
)</f>
        <v>0</v>
      </c>
      <c r="AW72" s="1704">
        <f ca="1">Tab_NewTRADER[[#This Row],[M]]*Tab_NewTRADER[[#This Row],[N]]*(1-Commission)*Tab_NewTRADER[[#This Row],[Scale]]</f>
        <v>0</v>
      </c>
      <c r="AX72" s="1705"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705"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706" t="str" cm="1">
        <f t="array" aca="1" ref="AZ72" ca="1">_xlfn.IFS(   Tab_NewTRADER[[#This Row],[State]]=SellMorePercentGain,                     MIN(Tab_NewTRADER[[#This Row],[L_Sn]],Tab_NewTRADER[[#This Row],[N]])*(Tab_NewTRADER[[#This Row],[M]]-Tab_NewTRADER[[#This Row],[L_Sp]])*(1-Commission)*Tab_NewTRADER[[#This Row],[Scale]],                    TRUE,"")</f>
        <v/>
      </c>
      <c r="BA72" s="1707">
        <f ca="1">_xlfn.XLOOKUP(NewTrader!$V72,TabCalc[Ticker],TabCalc[Ann%RevLB])</f>
        <v>0.85052909300778445</v>
      </c>
      <c r="BB72" s="1708">
        <f ca="1">_xlfn.XLOOKUP(NewTrader!$V72,TabCalc[Ticker],TabCalc[Up20])</f>
        <v>0.42857142857142855</v>
      </c>
      <c r="BC72" s="1709"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706" t="str" cm="1">
        <f t="array" aca="1" ref="BD72" ca="1">_xlfn.IFS(         NewTrader!$AF72=MDown,NewTrader!$P72*NewTrader!$Y72*(-(NewTrader!$Q72+NewTrader!$Y72)/NewTrader!$Y72)*(1-Commission)*NewTrader!$A72,                               TRUE,"")</f>
        <v/>
      </c>
      <c r="BE72" s="1705" t="str" cm="1">
        <f t="array" aca="1" ref="BE72" ca="1">_xlfn.IFS(   NewTrader!$AF72=MUp,NewTrader!$BP72-Commission,        NewTrader!$AF72=MDown,(NewTrader!$X72-NewTrader!$Y72)/NewTrader!$Y72-Commission,                              TRUE,"")</f>
        <v/>
      </c>
      <c r="BF72" s="1706"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710" t="str" cm="1">
        <f t="array" aca="1" ref="BG72" ca="1">_xlfn.LET(_xlpm.SumChTxt,TEXT(_xlfn.XLOOKUP(NewTrader!$V72,ListTickers,Tab2SumChangePercent[AVGChan20]),"#0.0%"),
      _xlfn.IFS(NewTrader!$AF72=NoStock,_xlpm.SumChTxt,
      TRUE, IF(NewTrader!$AF72=SellMorePercentGain,             "SumChange "&amp;_xlpm.SumChTxt,                         "&lt;"&amp;INT(_xlfn.XLOOKUP(NewTrader!$V72,ListTickers,Tab2ReverseGL[Rev_GL19]))&amp;    "&lt;"&amp;INT(_xlfn.XLOOKUP(NewTrader!$V72,ListTickers,Tab2ReverseGL[Rev_GL18]))&amp;":      "&amp;_xlpm.SumChTxt)))</f>
        <v>1.0%</v>
      </c>
      <c r="BH72" s="1711"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0x3.976</v>
      </c>
      <c r="BI72" s="1712" t="str" cm="1">
        <f t="array" aca="1" ref="BI72" ca="1">_xlfn.IFS(NewTrader!$AF72=Sale_Back,"",         NewTrader!$AF72=MDown, (NewTrader!$Y72-NewTrader!$X72)/NewTrader!$X72*ComFactor,             TRUE, IFERROR((NewTrader!$Y72-NewTrader!$X72)/NewTrader!$X72*ComFactor,""))</f>
        <v/>
      </c>
      <c r="BJ72" s="1664" cm="1">
        <f t="array" aca="1" ref="BJ72" ca="1">_xlfn.IFS(               NewTrader!$AF72=NoStock,(NewTrader!$BL72-NewTrader!$Y72)/NewTrader!$Y72-Commission,             NewTrader!$X72&lt;&gt;0,(NewTrader!$X72-NewTrader!$Y72)/NewTrader!$Y72-Commission)</f>
        <v>-0.24324386317907445</v>
      </c>
      <c r="BK72" s="1713">
        <f ca="1">_xlfn.XLOOKUP(NewTrader!$V72,TabCalc[Ticker],TabCalc[L_Sn])</f>
        <v>100000</v>
      </c>
      <c r="BL72" s="1693">
        <f ca="1">_xlfn.XLOOKUP(NewTrader!$V72,TabCalc[Ticker],TabCalc[L_Sp])</f>
        <v>301.92</v>
      </c>
      <c r="BM72" s="1694">
        <f ca="1">-IFERROR((Tab_NewTRADER[[#This Row],[M]]-Tab_NewTRADER[[#This Row],[L_Sp]])/Tab_NewTRADER[[#This Row],[L_Sp]],0)</f>
        <v>-0.3169051404345522</v>
      </c>
      <c r="BN72" s="1714">
        <f ca="1">MIN(Tab_NewTRADER[[#This Row],[L_Sn]],Tab_NewTRADER[[#This Row],[N]])*(Tab_NewTRADER[[#This Row],[M]]-Tab_NewTRADER[[#This Row],[L_Sp]])*Comm_Net*Tab_NewTRADER[[#This Row],[Scale]]</f>
        <v>0</v>
      </c>
      <c r="BO72" s="1715">
        <f ca="1">Tab_NewTRADER[[#This Row],[L_Sn]]*(Tab_NewTRADER[[#This Row],[Agiotage]]-Tab_NewTRADER[[#This Row],[M]])/(Tab_NewTRADER[[#This Row],[L_Bn]]*Tab_NewTRADER[[#This Row],[M]])</f>
        <v>-3.9915595905767112</v>
      </c>
      <c r="BP72" s="1716">
        <f ca="1">IFERROR((Tab_NewTRADER[[#This Row],[M]]-Tab_NewTRADER[[#This Row],[A]])/Tab_NewTRADER[[#This Row],[A]],0)</f>
        <v>0</v>
      </c>
      <c r="BQ72" s="1671"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Row],[GL]])*(1-Commission)</f>
        <v>177513.79999859998</v>
      </c>
      <c r="BS72" s="262"/>
      <c r="BT72" s="1672" t="str">
        <f ca="1">Tab_NewTRADER[[#This Row],[Show]]&amp;": "&amp;_xlfn.XLOOKUP(Tab_NewTRADER[[#This Row],[Show]],TabCalc[Ticker],TabCalc[Pile?])</f>
        <v>SAFIAG: Pile</v>
      </c>
      <c r="BU72" s="1717" t="s">
        <v>1981</v>
      </c>
      <c r="BV72" s="1674" t="str" cm="1">
        <f t="array" aca="1" ref="BV72" ca="1">_xlfn.TEXTJOIN("",,INDEX({"M","A","Y"}, _xlfn.SORTBY({1,2,3}, -CHOOSE({1,2,3}, Tab_NewTRADER[[#This Row],[M]], Tab_NewTRADER[[#This Row],[A]], Tab_NewTRADER[[#This Row],[Y]]))))</f>
        <v>YMA</v>
      </c>
      <c r="BW72" s="1675"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76" t="e">
        <f ca="1">Tab_NewTRADER[[#This Row],[L_Sn]]*Tab_NewTRADER[[#This Row],[L_Sp]]+Tab_NewTRADER[[#This Row],[SellMore]]*Tab_NewTRADER[[#This Row],[M]]</f>
        <v>#N/A</v>
      </c>
      <c r="BY72" s="1676" t="e">
        <f ca="1">INDEX(
  INDEX(TabConsolid[], , _xlfn.XMATCH(Tab_NewTRADER[[#This Row],[ClickTick]]&amp;1, TabConsolid[#Headers])),
  MATCH(
    -Tab_NewTRADER[[#This Row],[M]],
    INDEX(TabConsolid[], , _xlfn.XMATCH(Tab_NewTRADER[[#This Row],[ClickTick]]&amp;2, TabConsolid[#Headers])),
    -1
  )
)</f>
        <v>#N/A</v>
      </c>
      <c r="BZ72" s="1676"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77" t="e">
        <f ca="1">Tab_NewTRADER[[#This Row],[ReBuy]]/(Tab_NewTRADER[[#This Row],[L_Sn]]+Tab_NewTRADER[[#This Row],[SellMore]])</f>
        <v>#N/A</v>
      </c>
      <c r="CB72" s="1678" t="e">
        <f ca="1">((_xlfn.XLOOKUP(Tab_NewTRADER[[#This Row],[Show]],TabCalc[Ticker],TabCalc[NAfter])+Tab_NewTRADER[[#This Row],[L_Sn]])*(Tab_NewTRADER[[#This Row],[Agiotage]]-Tab_NewTRADER[[#This Row],[M]]))/(Tab_NewTRADER[[#This Row],[L_Sn]]*_xlfn.XLOOKUP(Tab_NewTRADER[[#This Row],[Show]],TabCalc[Ticker],TabCalc[NAfter]))</f>
        <v>#DIV/0!</v>
      </c>
      <c r="CC72" s="1677">
        <f ca="1">INDEX(Tab1Price[Price19], MATCH(Tab_NewTRADER[[#This Row],[Show]], Tab_NewTRADER[Show], 0))</f>
        <v>397.6</v>
      </c>
      <c r="CD72" s="1679">
        <f ca="1">_xlfn.XMATCH(Tab_NewTRADER[[#This Row],[Show]]&amp;1, TabConsolid[#Headers])</f>
        <v>212</v>
      </c>
      <c r="CE72" s="1678"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729" t="str" cm="1">
        <f t="array" aca="1" ref="CF72" ca="1">_xlfn.LET(
    _xlpm.FMT, _xlfn.LAMBDA(_xlpm.n, REPT(" ", 7 - LEN(TEXT(_xlpm.n,"0.00"))) &amp; TEXT(_xlpm.n,"0.00")),
    _xlpm.FMT(Tab_NewTRADER[[#This Row],[A]]) &amp; " -" &amp; _xlpm.FMT(Tab_NewTRADER[[#This Row],[M]]) &amp; " -" &amp; _xlpm.FMT(Tab_NewTRADER[[#This Row],[Y]])
)</f>
        <v xml:space="preserve">   0.00 - 397.60 - 461.57</v>
      </c>
      <c r="CG72" s="1730" t="str" cm="1">
        <f t="array" aca="1" ref="CG72" ca="1">_xlfn.LET(
    _xlpm.W, 7,
    _xlpm.FMT, _xlfn.LAMBDA(_xlpm.n, REPT(" ", _xlpm.W - LEN(TEXT(_xlpm.n,"0.00"))) &amp; TEXT(_xlpm.n,"0.00")),
    _xlpm.FMT(Tab_NewTRADER[[#This Row],[A]]) &amp; " * " &amp; _xlpm.FMT(Tab_NewTRADER[[#This Row],[M]]) &amp; " * " &amp; _xlpm.FMT(Tab_NewTRADER[[#This Row],[Y]])
)</f>
        <v xml:space="preserve">   0.00 *  397.60 *  461.57</v>
      </c>
      <c r="CH72" s="1842">
        <f>0</f>
        <v>0</v>
      </c>
      <c r="CI72" t="b">
        <f ca="1">IF(ABS(NewTrader!$Q72)&gt;=NewTrader!$Y72,"OK")</f>
        <v>0</v>
      </c>
    </row>
    <row r="73" spans="1:87" ht="23" hidden="1" thickBot="1">
      <c r="A73" s="1838">
        <f ca="1">IF(_xlfn.XLOOKUP(NewTrader!$V73,TabCalc[Ticker],TabCalc[Cur])="GBp",0.01,1)</f>
        <v>1</v>
      </c>
      <c r="B73" s="1620" t="str">
        <f ca="1">IFERROR(TRUNC(_xlfn.XLOOKUP(NewTrader!$V73,TabCalc[Ticker],ListLastBuyp),2)&amp;"x"&amp;_xlfn.XLOOKUP(NewTrader!$V73,TabCalc[Ticker],ListLastBuyn)&amp;"=    "&amp;IF(_xlfn.XLOOKUP(NewTrader!$V73,TabCalc[Ticker],ListReverseS)&gt;0,"+","")&amp;TEXT(_xlfn.XLOOKUP(NewTrader!$V73,TabCalc[Ticker],ListReverseS),"#,#0")&amp;" "&amp;#REF!,"")</f>
        <v/>
      </c>
      <c r="C73" s="1621" t="str">
        <f ca="1">_xlfn.XLOOKUP(NewTrader!$V73,TabCalc[Ticker],ListResale)&amp;" @ "&amp;TEXT((_xlfn.XLOOKUP(NewTrader!$V73,TabCalc[Ticker],TabCalc[L_Bp])+_xlfn.XLOOKUP(NewTrader!$V73,TabCalc[Ticker],TabCalc[M]))/_xlfn.XLOOKUP(NewTrader!$V73,TabCalc[Ticker],TabCalc[M]),"#0.0%")</f>
        <v>B_more @ -31.0%</v>
      </c>
      <c r="D73" s="1622"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718" t="str">
        <f ca="1">IF(      AND(NewTrader!$X73&lt;NewTrader!$Y73,    _xlfn.XLOOKUP(NewTrader!$V73,TabCalc[Ticker],TabCalc[L_Sp])&gt;NewTrader!$Y73),"BUY  "&amp;TEXT(DesiredBuyGain/NewTrader!$A73/(_xlfn.XLOOKUP(NewTrader!$V73,TabCalc[Ticker],TabCalc[L_Sp])-NewTrader!$Y73),"#,##0"),"")</f>
        <v/>
      </c>
      <c r="F73" s="1620" t="str">
        <f ca="1">TRUNC(TabCalc[[#This Row],[L_B1p]],2)&amp;"x"&amp;TabCalc[[#This Row],[L_B1n]]&amp;"=   "&amp;TEXT(TabCalc[[#This Row],[ReverseS1]],"#,#0")&amp;"$"</f>
        <v>-72.54x1000=   -42,912$</v>
      </c>
      <c r="G73" s="1624" t="str">
        <f ca="1">IFERROR(TRUNC(_xlfn.XLOOKUP(NewTrader!$V73,TabCalc[Ticker],ListLastSalep),2)&amp;"x"&amp;_xlfn.XLOOKUP(NewTrader!$V73,TabCalc[Ticker],ListLastSalen)&amp;"=   "&amp;TEXT(-_xlfn.XLOOKUP(NewTrader!$V73,TabCalc[Ticker],ListReverseB),"#,#0")&amp;"$","")</f>
        <v>124.1x200=   -18,894$</v>
      </c>
      <c r="H73" s="1625"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318.8% = 53</v>
      </c>
      <c r="I73" s="1620" t="str">
        <f ca="1">IFERROR(TRUNC(TabCalc[[#This Row],[L_S1p]],2)&amp;"x"&amp;TabCalc[[#This Row],[L_S1n]]&amp;"=   "&amp;TEXT(TabCalc[[#This Row],[ReverseB1]],"#,#0"),"")</f>
        <v>126.78x299=   29,048</v>
      </c>
      <c r="J73" s="1626">
        <f ca="1">_xlfn.XLOOKUP(NewTrader!$V73,TabCalc[Ticker],ListGravity)</f>
        <v>1.207484981437732</v>
      </c>
      <c r="K73" s="1627" cm="1">
        <f t="array" aca="1" ref="K73" ca="1">IF(_xlfn.XLOOKUP(NewTrader!$V73,NewTrader!$V$3:$V$96,ListExtra_n)&gt;0,_xlfn.XLOOKUP(NewTrader!$V73,NewTrader!$V$3:$V$96,ListExtra_n),"")</f>
        <v>4500</v>
      </c>
      <c r="L73" s="1628">
        <f ca="1">IF(_xlfn.XLOOKUP(NewTrader!$V73,TabCalc[Ticker],ListExtra_n)&gt;0,_xlfn.XLOOKUP(NewTrader!$V73,TabCalc[Ticker],ListExtra_n)*NewTrader!$Y73*_xlfn.XLOOKUP(NewTrader!$V73,TabCalc[Ticker],ListScale),"")</f>
        <v>133335</v>
      </c>
      <c r="M73" s="1629">
        <f ca="1">_xlfn.XLOOKUP(NewTrader!$V73,TabCalc[Ticker],TabCalc[Agiotage])</f>
        <v>0.78849697446149747</v>
      </c>
      <c r="N73" s="1630" cm="1">
        <f t="array" aca="1" ref="N73" ca="1">_xlfn.XLOOKUP(NewTrader!$V73,ListTickers,Tab2RSIConventional[RSIConv20])</f>
        <v>74</v>
      </c>
      <c r="O73" s="1631" t="str">
        <f ca="1">TEXT(_xlfn.XLOOKUP(NewTrader!$V73,TabCalc[Ticker],TabCalc[Nbegin]),"#,#0")&amp;": "&amp;_xlfn.XLOOKUP(NewTrader!$V73,TabCalc[Ticker],TabCalc[Pile?])</f>
        <v>500: Pile</v>
      </c>
      <c r="P73" s="1632">
        <f ca="1">_xlfn.XLOOKUP(NewTrader!$V73,TabCalc[Ticker],TabCalc[L_Bn])</f>
        <v>3000</v>
      </c>
      <c r="Q73" s="1727">
        <f ca="1">_xlfn.XLOOKUP(NewTrader!$V73,TabCalc[Ticker],TabCalc[L_Bp])</f>
        <v>-38.812600000000003</v>
      </c>
      <c r="R73" s="1634">
        <f ca="1">(NewTrader!$Y73+NewTrader!$Q73)/ABS(NewTrader!$Q73)</f>
        <v>-0.23658811829148274</v>
      </c>
      <c r="S73" s="259">
        <f ca="1">INT(_xlfn.XLOOKUP(NewTrader!$V73,TabCalc[Ticker],TabCalc[Rev(MinStock)])*Comm_Net)</f>
        <v>-27400</v>
      </c>
      <c r="T73" s="1635">
        <f ca="1">_xlfn.XLOOKUP(NewTrader!$V73,TabCalc[Ticker],TabCalc[Agiotage])</f>
        <v>0.78849697446149747</v>
      </c>
      <c r="U73" s="1719"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3,150/3,150=&gt;2.1% / 2.1%</v>
      </c>
      <c r="V73" s="1578" t="str">
        <f ca="1">SORTING!B73</f>
        <v>SAFMRNA</v>
      </c>
      <c r="W73" s="1637">
        <f ca="1">_xlfn.XLOOKUP(NewTrader!$V73,TabCalc[Ticker],TabCalc[Y])</f>
        <v>35.77778</v>
      </c>
      <c r="X73" s="1639">
        <f ca="1">-_xlfn.XLOOKUP(NewTrader!$V73&amp;2,Consolid!B$3:JZ$3,Consolid!B$4:JZ$4)</f>
        <v>61.89462379926001</v>
      </c>
      <c r="Y73" s="1639">
        <f ca="1">_xlfn.XLOOKUP(NewTrader!$V73,TabCalc[Ticker],TabCalc[M])</f>
        <v>29.63</v>
      </c>
      <c r="Z73" s="1640">
        <f ca="1">_xlfn.XLOOKUP(NewTrader!$V73,[1]!RTData[Ticker_Symbol],[1]!RTData[YTChange])</f>
        <v>-0.6416129420014024</v>
      </c>
      <c r="AA73" s="1640" cm="1">
        <f t="array" aca="1" ref="AA73" ca="1">_xlfn.XLOOKUP(NewTrader!$V73,ListTickers,Tab1ChangePercent[Change%19])</f>
        <v>2.0668000000000002E-2</v>
      </c>
      <c r="AB73" s="1641">
        <f ca="1">_xlfn.XLOOKUP(NewTrader!$V73,TabCalc[Ticker],TabCalc[NAfter])</f>
        <v>5000</v>
      </c>
      <c r="AC73" s="1641">
        <f ca="1">_xlfn.XLOOKUP(NewTrader!$V73,TabCalc[Ticker],TabCalc[Nbegin])</f>
        <v>500</v>
      </c>
      <c r="AD73" s="1642" t="str">
        <f ca="1">_xlfn.LET(_xlpm.PILE,_xlfn.XLOOKUP(NewTrader!$V73,TabCalc[Ticker],TabCalc[Pile?]),                    _xlpm.GL,_xlfn.XLOOKUP(NewTrader!$V73,TabCalc[Ticker],TabCalc[GL]),                        _xlpm.GLK,_xlfn.XLOOKUP(NewTrader!$V73,TabCalc[Ticker],TabCalc[GL])/1000,                             _xlpm.MVal,_xlfn.XLOOKUP(NewTrader!$V73,TabCalc[Ticker],TabCalc[M_V])/1000,                   _xlpm.PILE&amp;" "&amp;IF(_xlpm.GL&lt;0,TEXT(_xlpm.GLK,"#,#0")&amp;"K /"&amp;TEXT(_xlpm.MVal,"#,#0")&amp;" K$","^"&amp;TEXT(_xlpm.GLK,"#,#0")&amp;"K / "&amp;TEXT(_xlpm.MVal,"#,#0")&amp;" K$"))</f>
        <v>Pile -152K /148 K$</v>
      </c>
      <c r="AE73" s="1720" t="str">
        <f ca="1">_xlfn.XLOOKUP(NewTrader!$V73,[1]!RTData[Ticker_Symbol],[1]!RTData[Currency])</f>
        <v>USD</v>
      </c>
      <c r="AF73" s="1696"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698" t="str" cm="1">
        <f t="array" aca="1" ref="AH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29.63 -  35.78</v>
      </c>
      <c r="AI7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73" s="1651" t="str" cm="1">
        <f t="array" aca="1" ref="AJ73" ca="1">_xlfn.IFS(Tab_NewTRADER[[#This Row],[State]]="Sell More",TEXT(MIN(Tab_NewTRADER[[#This Row],[N]],Tab_NewTRADER[[#This Row],[L_Bn]])*(Tab_NewTRADER[[#This Row],[M]]-Tab_NewTRADER[[#This Row],[L_Sp]])*Tab_NewTRADER[[#This Row],[Scale]]*ComFactor,"#,#0"), TRUE,"M= "&amp;TEXT(Tab_NewTRADER[[#This Row],[M]],"#,#0.00"))</f>
        <v>M= 29.63</v>
      </c>
      <c r="AK73" s="1699" cm="1">
        <f t="array" aca="1" ref="AK73" ca="1">_xlfn.IFS(Tab_NewTRADER[[#This Row],[Y]]&gt;Tab_NewTRADER[[#This Row],[A]],                 TEXT(MIN(Tab_NewTRADER[[#This Row],[L_Bn]],Tab_NewTRADER[[#This Row],[N]])*(Tab_NewTRADER[[#This Row],[M]]-Tab_NewTRADER[[#This Row],[A]])*Tab_NewTRADER[[#This Row],[Scale]]*ComFactor,"#,#0"), TRUE,0)</f>
        <v>0</v>
      </c>
      <c r="AL73" s="1700" cm="1">
        <f t="array" aca="1" ref="AL73" ca="1">_xlfn.IFS(Tab_NewTRADER[[#This Row],[M]]&gt;Tab_NewTRADER[[#This Row],[A]],                  Tab_NewTRADER[[#This Row],[N]]*(Tab_NewTRADER[[#This Row],[M]]-Tab_NewTRADER[[#This Row],[A]])*Tab_NewTRADER[[#This Row],[Scale]]*ComFactor, TRUE,0)</f>
        <v>0</v>
      </c>
      <c r="AM73" s="1592" t="str">
        <f ca="1">_xlfn.XLOOKUP(Tab_NewTRADER[[#This Row],[Show]],TabCalc[Ticker],TabCalc[Max_Bn])&amp;" x "&amp;TEXT(_xlfn.XLOOKUP(Tab_NewTRADER[[#This Row],[Show]],TabCalc[Ticker],TabCalc[Max_Bp]),"#,#0.00")</f>
        <v>500 x 121.66</v>
      </c>
      <c r="AN73" s="1650" t="str">
        <f ca="1">NewTrader!$V73</f>
        <v>SAFMRNA</v>
      </c>
      <c r="AO73" s="1651" t="str">
        <f ca="1">TEXT(_xlfn.XLOOKUP(Tab_NewTRADER[[#This Row],[ClickTick]],TabCalc[Ticker],TabCalc[NAfter]),"#,#0")&amp;"x"&amp;_xlfn.XLOOKUP(Tab_NewTRADER[[#This Row],[ClickTick]],TabCalc[Ticker],TabCalc[M])&amp;"           (A: "&amp;TEXT(-_xlfn.XLOOKUP(Tab_NewTRADER[[#This Row],[ClickTick]]&amp;2,Consolid!B$3:JZ$3,Consolid!B$4:JZ$4),"#,??0.00")&amp;")"</f>
        <v>5,000x29.63           (A:  61.89)</v>
      </c>
      <c r="AP73" s="1592" t="str">
        <f ca="1">_xlfn.XLOOKUP(Tab_NewTRADER[[#This Row],[Show]],TabCalc[Ticker],TabCalc[Min_Sn])&amp;" x "&amp;TEXT(_xlfn.XLOOKUP(Tab_NewTRADER[[#This Row],[Show]],TabCalc[Ticker],TabCalc[Min_Sp]),"#,#0.00")</f>
        <v>200 x 96.67</v>
      </c>
      <c r="AQ7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702" t="str" cm="1">
        <f t="array" aca="1" ref="AR73" ca="1">_xlfn.IFS(Tab_NewTRADER[[#This Row],[State]]="Reverse Buy",TEXT(-Tab_NewTRADER[[#This Row],[Buy_Back]],"#,#0")&amp;" / "&amp;TEXT(Tab_NewTRADER[[#This Row],[Rev_Buy]],"#,#0.0%"),TRUE,Tab_NewTRADER[[#This Row],[AMY]])</f>
        <v xml:space="preserve">  61.89 -  29.63 -  35.78</v>
      </c>
      <c r="AS73" s="1651"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45,794       / 31.0%</v>
      </c>
      <c r="AT73" s="1699"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-160,904   / -108.9%</v>
      </c>
      <c r="AU73" s="1699" t="str" cm="1">
        <f t="array" aca="1" ref="AU73" ca="1">_xlfn.IFS(Tab_NewTRADER[[#This Row],[M]]&lt;Tab_NewTRADER[[#This Row],[A]],TEXT(Tab_NewTRADER[[#This Row],[N]]*Tab_NewTRADER[[#This Row],[M]]*Tab_NewTRADER[[#This Row],[Scale]]*Comm_Net,"#,#0")&amp;" @ "&amp;TEXT(Tab_NewTRADER[[#This Row],[M]],"#,#0.#0"),TRUE,"M: "&amp; Tab_NewTRADER[[#This Row],[M]])</f>
        <v>147,750 @ 29.63</v>
      </c>
      <c r="AV73" s="1740" cm="1">
        <f t="array" aca="1" ref="AV73" ca="1">-_xlfn.XLOOKUP(
    Tab_NewTRADER[[#This Row],[Show]] &amp; 2,
    TabConsolid[#Headers],
    INDEX(TabConsolid[], 1, 0)
)</f>
        <v>61.89462379926001</v>
      </c>
      <c r="AW73" s="1741">
        <f ca="1">Tab_NewTRADER[[#This Row],[M]]*Tab_NewTRADER[[#This Row],[N]]*(1-Commission)*Tab_NewTRADER[[#This Row],[Scale]]</f>
        <v>147764.81</v>
      </c>
      <c r="AX73" s="1705"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705"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706" t="str" cm="1">
        <f t="array" aca="1" ref="AZ73" ca="1">_xlfn.IFS(   Tab_NewTRADER[[#This Row],[State]]=SellMorePercentGain,                     MIN(Tab_NewTRADER[[#This Row],[L_Sn]],Tab_NewTRADER[[#This Row],[N]])*(Tab_NewTRADER[[#This Row],[M]]-Tab_NewTRADER[[#This Row],[L_Sp]])*(1-Commission)*Tab_NewTRADER[[#This Row],[Scale]],                    TRUE,"")</f>
        <v/>
      </c>
      <c r="BA73" s="1707">
        <f ca="1">_xlfn.XLOOKUP(NewTrader!$V73,TabCalc[Ticker],TabCalc[Ann%RevLB])</f>
        <v>-0.26368954360660612</v>
      </c>
      <c r="BB73" s="1708">
        <f ca="1">_xlfn.XLOOKUP(NewTrader!$V73,TabCalc[Ticker],TabCalc[Up20])</f>
        <v>0</v>
      </c>
      <c r="BC73" s="1725"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706" t="str" cm="1">
        <f t="array" aca="1" ref="BD73" ca="1">_xlfn.IFS(         NewTrader!$AF73=MDown,NewTrader!$P73*NewTrader!$Y73*(-(NewTrader!$Q73+NewTrader!$Y73)/NewTrader!$Y73)*(1-Commission)*NewTrader!$A73,                               TRUE,"")</f>
        <v/>
      </c>
      <c r="BE73" s="1705" t="str" cm="1">
        <f t="array" aca="1" ref="BE73" ca="1">_xlfn.IFS(   NewTrader!$AF73=MUp,NewTrader!$BP73-Commission,        NewTrader!$AF73=MDown,(NewTrader!$X73-NewTrader!$Y73)/NewTrader!$Y73-Commission,                              TRUE,"")</f>
        <v/>
      </c>
      <c r="BF73" s="1706"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710" t="str" cm="1">
        <f t="array" aca="1" ref="BG73" ca="1">_xlfn.LET(_xlpm.SumChTxt,TEXT(_xlfn.XLOOKUP(NewTrader!$V73,ListTickers,Tab2SumChangePercent[AVGChan20]),"#0.0%"),
      _xlfn.IFS(NewTrader!$AF73=NoStock,_xlpm.SumChTxt,
      TRUE, IF(NewTrader!$AF73=SellMorePercentGain,             "SumChange "&amp;_xlpm.SumChTxt,                         "&lt;"&amp;INT(_xlfn.XLOOKUP(NewTrader!$V73,ListTickers,Tab2ReverseGL[Rev_GL19]))&amp;    "&lt;"&amp;INT(_xlfn.XLOOKUP(NewTrader!$V73,ListTickers,Tab2ReverseGL[Rev_GL18]))&amp;":      "&amp;_xlpm.SumChTxt)))</f>
        <v>&lt;-1&lt;-1:      2.1%</v>
      </c>
      <c r="BH73" s="1711"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-9.18</v>
      </c>
      <c r="BI73" s="1712" cm="1">
        <f t="array" aca="1" ref="BI73" ca="1">_xlfn.IFS(NewTrader!$AF73=Sale_Back,"",         NewTrader!$AF73=MDown, (NewTrader!$Y73-NewTrader!$X73)/NewTrader!$X73*ComFactor,             TRUE, IFERROR((NewTrader!$Y73-NewTrader!$X73)/NewTrader!$X73*ComFactor,""))</f>
        <v>-0.51992780312797815</v>
      </c>
      <c r="BJ73" s="1664" cm="1">
        <f t="array" aca="1" ref="BJ73" ca="1">_xlfn.IFS(               NewTrader!$AF73=NoStock,(NewTrader!$BL73-NewTrader!$Y73)/NewTrader!$Y73-Commission,             NewTrader!$X73&lt;&gt;0,(NewTrader!$X73-NewTrader!$Y73)/NewTrader!$Y73-Commission)</f>
        <v>1.0863174417570034</v>
      </c>
      <c r="BK73" s="1726">
        <f ca="1">_xlfn.XLOOKUP(NewTrader!$V73,TabCalc[Ticker],TabCalc[L_Sn])</f>
        <v>200</v>
      </c>
      <c r="BL73" s="1727">
        <f ca="1">_xlfn.XLOOKUP(NewTrader!$V73,TabCalc[Ticker],TabCalc[L_Sp])</f>
        <v>124.1</v>
      </c>
      <c r="BM73" s="1634">
        <f ca="1">-IFERROR((Tab_NewTRADER[[#This Row],[M]]-Tab_NewTRADER[[#This Row],[L_Sp]])/Tab_NewTRADER[[#This Row],[L_Sp]],0)</f>
        <v>0.76124093473005638</v>
      </c>
      <c r="BN73" s="1728">
        <f ca="1">MIN(Tab_NewTRADER[[#This Row],[L_Sn]],Tab_NewTRADER[[#This Row],[N]])*(Tab_NewTRADER[[#This Row],[M]]-Tab_NewTRADER[[#This Row],[L_Sp]])*Comm_Net*Tab_NewTRADER[[#This Row],[Scale]]</f>
        <v>-18842.986199999999</v>
      </c>
      <c r="BO73" s="1715">
        <f ca="1">Tab_NewTRADER[[#This Row],[L_Sn]]*(Tab_NewTRADER[[#This Row],[Agiotage]]-Tab_NewTRADER[[#This Row],[M]])/(Tab_NewTRADER[[#This Row],[L_Bn]]*Tab_NewTRADER[[#This Row],[M]])</f>
        <v>-6.4892570650328496E-2</v>
      </c>
      <c r="BP73" s="1670">
        <f ca="1">IFERROR((Tab_NewTRADER[[#This Row],[M]]-Tab_NewTRADER[[#This Row],[A]])/Tab_NewTRADER[[#This Row],[A]],0)</f>
        <v>-0.52128313929013248</v>
      </c>
      <c r="BQ73" s="1671" t="str">
        <f ca="1">TEXT(_xlfn.XLOOKUP(Tab_NewTRADER[[#This Row],[ClickTick]],TabCalc[Ticker],TabCalc[NAfter]),"#,#0")&amp;" : "&amp;TEXT(_xlfn.XLOOKUP(Tab_NewTRADER[[#This Row],[ClickTick]],TabCalc[Ticker],TabCalc[NAfter])*(Tab_NewTRADER[[#This Row],[M]]-Tab_NewTRADER[[#This Row],[A]])*(1-Commission)*Tab_NewTRADER[[#This Row],[Scale]],"#,#0$")</f>
        <v>5,000 : -160,904$</v>
      </c>
      <c r="BR73" s="259">
        <f ca="1">_xlfn.XLOOKUP(NewTrader!$V73,TabCalc[[#This Row],[Ticker]],TabCalc[[#This Row],[GL]])*(1-Commission)</f>
        <v>-151432.28488514083</v>
      </c>
      <c r="BS73" s="259"/>
      <c r="BT73" s="1672" t="str">
        <f ca="1">Tab_NewTRADER[[#This Row],[Show]]&amp;": "&amp;_xlfn.XLOOKUP(Tab_NewTRADER[[#This Row],[Show]],TabCalc[Ticker],TabCalc[Pile?])</f>
        <v>SAFMRNA: Pile</v>
      </c>
      <c r="BU73" s="1717" t="s">
        <v>1982</v>
      </c>
      <c r="BV73" s="1674" t="str" cm="1">
        <f t="array" aca="1" ref="BV73" ca="1">_xlfn.TEXTJOIN("",,INDEX({"M","A","Y"}, _xlfn.SORTBY({1,2,3}, -CHOOSE({1,2,3}, Tab_NewTRADER[[#This Row],[M]], Tab_NewTRADER[[#This Row],[A]], Tab_NewTRADER[[#This Row],[Y]]))))</f>
        <v>AYM</v>
      </c>
      <c r="BW73" s="1675"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76" t="e">
        <f ca="1">Tab_NewTRADER[[#This Row],[L_Sn]]*Tab_NewTRADER[[#This Row],[L_Sp]]+Tab_NewTRADER[[#This Row],[SellMore]]*Tab_NewTRADER[[#This Row],[M]]</f>
        <v>#N/A</v>
      </c>
      <c r="BY73" s="1676" t="e">
        <f ca="1">INDEX(
  INDEX(TabConsolid[], , _xlfn.XMATCH(Tab_NewTRADER[[#This Row],[ClickTick]]&amp;1, TabConsolid[#Headers])),
  MATCH(
    -Tab_NewTRADER[[#This Row],[M]],
    INDEX(TabConsolid[], , _xlfn.XMATCH(Tab_NewTRADER[[#This Row],[ClickTick]]&amp;2, TabConsolid[#Headers])),
    -1
  )
)</f>
        <v>#N/A</v>
      </c>
      <c r="BZ73" s="1676"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77" t="e">
        <f ca="1">Tab_NewTRADER[[#This Row],[ReBuy]]/(Tab_NewTRADER[[#This Row],[L_Sn]]+Tab_NewTRADER[[#This Row],[SellMore]])</f>
        <v>#N/A</v>
      </c>
      <c r="CB73" s="1678">
        <f ca="1">((_xlfn.XLOOKUP(Tab_NewTRADER[[#This Row],[Show]],TabCalc[Ticker],TabCalc[NAfter])+Tab_NewTRADER[[#This Row],[L_Sn]])*(Tab_NewTRADER[[#This Row],[Agiotage]]-Tab_NewTRADER[[#This Row],[M]]))/(Tab_NewTRADER[[#This Row],[L_Sn]]*_xlfn.XLOOKUP(Tab_NewTRADER[[#This Row],[Show]],TabCalc[Ticker],TabCalc[NAfter]))</f>
        <v>-0.14997581573280019</v>
      </c>
      <c r="CC73" s="1677">
        <f ca="1">INDEX(Tab1Price[Price19], MATCH(Tab_NewTRADER[[#This Row],[Show]], Tab_NewTRADER[Show], 0))</f>
        <v>29.63</v>
      </c>
      <c r="CD73" s="1679">
        <f ca="1">_xlfn.XMATCH(Tab_NewTRADER[[#This Row],[Show]]&amp;1, TabConsolid[#Headers])</f>
        <v>215</v>
      </c>
      <c r="CE73" s="1678"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729" t="str" cm="1">
        <f t="array" aca="1" ref="CF73" ca="1">_xlfn.LET(
    _xlpm.FMT, _xlfn.LAMBDA(_xlpm.n, REPT(" ", 7 - LEN(TEXT(_xlpm.n,"0.00"))) &amp; TEXT(_xlpm.n,"0.00")),
    _xlpm.FMT(Tab_NewTRADER[[#This Row],[A]]) &amp; " -" &amp; _xlpm.FMT(Tab_NewTRADER[[#This Row],[M]]) &amp; " -" &amp; _xlpm.FMT(Tab_NewTRADER[[#This Row],[Y]])
)</f>
        <v xml:space="preserve">  61.89 -  29.63 -  35.78</v>
      </c>
      <c r="CG73" s="1730" t="str" cm="1">
        <f t="array" aca="1" ref="CG73" ca="1">_xlfn.LET(
    _xlpm.W, 7,
    _xlpm.FMT, _xlfn.LAMBDA(_xlpm.n, REPT(" ", _xlpm.W - LEN(TEXT(_xlpm.n,"0.00"))) &amp; TEXT(_xlpm.n,"0.00")),
    _xlpm.FMT(Tab_NewTRADER[[#This Row],[A]]) &amp; " * " &amp; _xlpm.FMT(Tab_NewTRADER[[#This Row],[M]]) &amp; " * " &amp; _xlpm.FMT(Tab_NewTRADER[[#This Row],[Y]])
)</f>
        <v xml:space="preserve">  61.89 *   29.63 *   35.78</v>
      </c>
      <c r="CH73" s="1842">
        <f>0</f>
        <v>0</v>
      </c>
      <c r="CI73" t="str">
        <f ca="1">IF(ABS(NewTrader!$Q73)&gt;=NewTrader!$Y73,"OK")</f>
        <v>OK</v>
      </c>
    </row>
    <row r="74" spans="1:87" ht="23" hidden="1" thickBot="1">
      <c r="A74" s="1839">
        <f ca="1">IF(_xlfn.XLOOKUP(NewTrader!$V74,TabCalc[Ticker],TabCalc[Cur])="GBp",0.01,1)</f>
        <v>1</v>
      </c>
      <c r="B74" s="1681" t="str">
        <f ca="1">IFERROR(TRUNC(_xlfn.XLOOKUP(NewTrader!$V74,TabCalc[Ticker],ListLastBuyp),2)&amp;"x"&amp;_xlfn.XLOOKUP(NewTrader!$V74,TabCalc[Ticker],ListLastBuyn)&amp;"=    "&amp;IF(_xlfn.XLOOKUP(NewTrader!$V74,TabCalc[Ticker],ListReverseS)&gt;0,"+","")&amp;TEXT(_xlfn.XLOOKUP(NewTrader!$V74,TabCalc[Ticker],ListReverseS),"#,#0")&amp;" "&amp;#REF!,"")</f>
        <v/>
      </c>
      <c r="C74" s="1682" t="str">
        <f ca="1">_xlfn.XLOOKUP(NewTrader!$V74,TabCalc[Ticker],ListResale)&amp;" @ "&amp;TEXT((_xlfn.XLOOKUP(NewTrader!$V74,TabCalc[Ticker],TabCalc[L_Bp])+_xlfn.XLOOKUP(NewTrader!$V74,TabCalc[Ticker],TabCalc[M]))/_xlfn.XLOOKUP(NewTrader!$V74,TabCalc[Ticker],TabCalc[M]),"#0.0%")</f>
        <v>B_more @ -14.2%</v>
      </c>
      <c r="D74" s="1683"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84" t="str">
        <f ca="1">IF(      AND(NewTrader!$X74&lt;NewTrader!$Y74,    _xlfn.XLOOKUP(NewTrader!$V74,TabCalc[Ticker],TabCalc[L_Sp])&gt;NewTrader!$Y74),"BUY  "&amp;TEXT(DesiredBuyGain/NewTrader!$A74/(_xlfn.XLOOKUP(NewTrader!$V74,TabCalc[Ticker],TabCalc[L_Sp])-NewTrader!$Y74),"#,##0"),"")</f>
        <v/>
      </c>
      <c r="F74" s="1681" t="str">
        <f ca="1">TRUNC(TabCalc[[#This Row],[L_B1p]],2)&amp;"x"&amp;TabCalc[[#This Row],[L_B1n]]&amp;"=   "&amp;TEXT(TabCalc[[#This Row],[ReverseS1]],"#,#0")&amp;"$"</f>
        <v>-1.94x20000=   -21,084$</v>
      </c>
      <c r="G74" s="1685" t="str">
        <f ca="1">IFERROR(TRUNC(_xlfn.XLOOKUP(NewTrader!$V74,TabCalc[Ticker],ListLastSalep),2)&amp;"x"&amp;_xlfn.XLOOKUP(NewTrader!$V74,TabCalc[Ticker],ListLastSalen)&amp;"=   "&amp;TEXT(-_xlfn.XLOOKUP(NewTrader!$V74,TabCalc[Ticker],ListReverseB),"#,#0")&amp;"$","")</f>
        <v>1.91x12000=   -12,290$</v>
      </c>
      <c r="H74" s="1686"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115.6% = 4,882</v>
      </c>
      <c r="I74" s="1681" t="str">
        <f ca="1">IFERROR(TRUNC(TabCalc[[#This Row],[L_S1p]],2)&amp;"x"&amp;TabCalc[[#This Row],[L_S1n]]&amp;"=   "&amp;TEXT(TabCalc[[#This Row],[ReverseB1]],"#,#0"),"")</f>
        <v>1.52x28000=   17,758</v>
      </c>
      <c r="J74" s="1687">
        <f ca="1">_xlfn.XLOOKUP(NewTrader!$V74,TabCalc[Ticker],ListGravity)</f>
        <v>2.7094152178821402</v>
      </c>
      <c r="K74" s="1688" cm="1">
        <f t="array" aca="1" ref="K74" ca="1">IF(_xlfn.XLOOKUP(NewTrader!$V74,NewTrader!$V$3:$V$96,ListExtra_n)&gt;0,_xlfn.XLOOKUP(NewTrader!$V74,NewTrader!$V$3:$V$96,ListExtra_n),"")</f>
        <v>90000</v>
      </c>
      <c r="L74" s="1689">
        <f ca="1">IF(_xlfn.XLOOKUP(NewTrader!$V74,TabCalc[Ticker],ListExtra_n)&gt;0,_xlfn.XLOOKUP(NewTrader!$V74,TabCalc[Ticker],ListExtra_n)*NewTrader!$Y74*_xlfn.XLOOKUP(NewTrader!$V74,TabCalc[Ticker],ListScale),"")</f>
        <v>79722</v>
      </c>
      <c r="M74" s="1690">
        <f ca="1">_xlfn.XLOOKUP(NewTrader!$V74,TabCalc[Ticker],TabCalc[Agiotage])</f>
        <v>4.923244086017772</v>
      </c>
      <c r="N74" s="1691" cm="1">
        <f t="array" aca="1" ref="N74" ca="1">_xlfn.XLOOKUP(NewTrader!$V74,ListTickers,Tab2RSIConventional[RSIConv20])</f>
        <v>28</v>
      </c>
      <c r="O74" s="1631" t="str">
        <f ca="1">TEXT(_xlfn.XLOOKUP(NewTrader!$V74,TabCalc[Ticker],TabCalc[Nbegin]),"#,#0")&amp;": "&amp;_xlfn.XLOOKUP(NewTrader!$V74,TabCalc[Ticker],TabCalc[Pile?])</f>
        <v>30,000: Pile</v>
      </c>
      <c r="P74" s="1692">
        <f ca="1">_xlfn.XLOOKUP(NewTrader!$V74,TabCalc[Ticker],TabCalc[L_Bn])</f>
        <v>40000</v>
      </c>
      <c r="Q74" s="1731">
        <f ca="1">_xlfn.XLOOKUP(NewTrader!$V74,TabCalc[Ticker],TabCalc[L_Bp])</f>
        <v>-1.012</v>
      </c>
      <c r="R74" s="1694">
        <f ca="1">(NewTrader!$Y74+NewTrader!$Q74)/ABS(NewTrader!$Q74)</f>
        <v>-0.12470355731225294</v>
      </c>
      <c r="S74" s="262">
        <f ca="1">INT(_xlfn.XLOOKUP(NewTrader!$V74,TabCalc[Ticker],TabCalc[Rev(MinStock)])*Comm_Net)</f>
        <v>-5022</v>
      </c>
      <c r="T74" s="1635">
        <f ca="1">_xlfn.XLOOKUP(NewTrader!$V74,TabCalc[Ticker],TabCalc[Agiotage])</f>
        <v>4.923244086017772</v>
      </c>
      <c r="U74" s="1695"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-1,164/-1,164=&gt;-6.1% / -6.1%</v>
      </c>
      <c r="V74" s="1578" t="str">
        <f ca="1">SORTING!B74</f>
        <v>BLNK</v>
      </c>
      <c r="W74" s="1637">
        <f ca="1">_xlfn.XLOOKUP(NewTrader!$V74,TabCalc[Ticker],TabCalc[Y])</f>
        <v>2.4</v>
      </c>
      <c r="X74" s="1639">
        <f ca="1">-_xlfn.XLOOKUP(NewTrader!$V74&amp;2,Consolid!B$3:JZ$3,Consolid!B$4:JZ$4)</f>
        <v>2.2024949699999996</v>
      </c>
      <c r="Y74" s="1639">
        <f ca="1">_xlfn.XLOOKUP(NewTrader!$V74,TabCalc[Ticker],TabCalc[M])</f>
        <v>0.88580000000000003</v>
      </c>
      <c r="Z74" s="1640">
        <f ca="1">_xlfn.XLOOKUP(NewTrader!$V74,[1]!RTData[Ticker_Symbol],[1]!RTData[YTChange])</f>
        <v>6.6666666666666624E-2</v>
      </c>
      <c r="AA74" s="1640" cm="1">
        <f t="array" aca="1" ref="AA74" ca="1">_xlfn.XLOOKUP(NewTrader!$V74,ListTickers,Tab1ChangePercent[Change%19])</f>
        <v>-6.1454000000000002E-2</v>
      </c>
      <c r="AB74" s="1641">
        <f ca="1">_xlfn.XLOOKUP(NewTrader!$V74,TabCalc[Ticker],TabCalc[NAfter])</f>
        <v>120000</v>
      </c>
      <c r="AC74" s="1641">
        <f ca="1">_xlfn.XLOOKUP(NewTrader!$V74,TabCalc[Ticker],TabCalc[Nbegin])</f>
        <v>30000</v>
      </c>
      <c r="AD74" s="1642" t="str">
        <f ca="1">_xlfn.LET(_xlpm.PILE,_xlfn.XLOOKUP(NewTrader!$V74,TabCalc[Ticker],TabCalc[Pile?]),                    _xlpm.GL,_xlfn.XLOOKUP(NewTrader!$V74,TabCalc[Ticker],TabCalc[GL]),                        _xlpm.GLK,_xlfn.XLOOKUP(NewTrader!$V74,TabCalc[Ticker],TabCalc[GL])/1000,                             _xlpm.MVal,_xlfn.XLOOKUP(NewTrader!$V74,TabCalc[Ticker],TabCalc[M_V])/1000,                   _xlpm.PILE&amp;" "&amp;IF(_xlpm.GL&lt;0,TEXT(_xlpm.GLK,"#,#0")&amp;"K /"&amp;TEXT(_xlpm.MVal,"#,#0")&amp;" K$","^"&amp;TEXT(_xlpm.GLK,"#,#0")&amp;"K / "&amp;TEXT(_xlpm.MVal,"#,#0")&amp;" K$"))</f>
        <v>Pile -339K /106 K$</v>
      </c>
      <c r="AE74" s="1643" t="str">
        <f ca="1">_xlfn.XLOOKUP(NewTrader!$V74,[1]!RTData[Ticker_Symbol],[1]!RTData[Currency])</f>
        <v>USD</v>
      </c>
      <c r="AF74" s="1721"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698" t="str" cm="1">
        <f t="array" aca="1" ref="AH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0.89 -   2.40</v>
      </c>
      <c r="AI7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-6.1%</v>
      </c>
      <c r="AJ74" s="1651" t="str" cm="1">
        <f t="array" aca="1" ref="AJ74" ca="1">_xlfn.IFS(Tab_NewTRADER[[#This Row],[State]]="Sell More",TEXT(MIN(Tab_NewTRADER[[#This Row],[N]],Tab_NewTRADER[[#This Row],[L_Bn]])*(Tab_NewTRADER[[#This Row],[M]]-Tab_NewTRADER[[#This Row],[L_Sp]])*Tab_NewTRADER[[#This Row],[Scale]]*ComFactor,"#,#0"), TRUE,"M= "&amp;TEXT(Tab_NewTRADER[[#This Row],[M]],"#,#0.00"))</f>
        <v>M= 0.89</v>
      </c>
      <c r="AK74" s="1699" t="str" cm="1">
        <f t="array" aca="1" ref="AK74" ca="1">_xlfn.IFS(Tab_NewTRADER[[#This Row],[Y]]&gt;Tab_NewTRADER[[#This Row],[A]],                 TEXT(MIN(Tab_NewTRADER[[#This Row],[L_Bn]],Tab_NewTRADER[[#This Row],[N]])*(Tab_NewTRADER[[#This Row],[M]]-Tab_NewTRADER[[#This Row],[A]])*Tab_NewTRADER[[#This Row],[Scale]]*ComFactor,"#,#0"), TRUE,0)</f>
        <v>-52,531</v>
      </c>
      <c r="AL74" s="1700" cm="1">
        <f t="array" aca="1" ref="AL74" ca="1">_xlfn.IFS(Tab_NewTRADER[[#This Row],[M]]&gt;Tab_NewTRADER[[#This Row],[A]],                  Tab_NewTRADER[[#This Row],[N]]*(Tab_NewTRADER[[#This Row],[M]]-Tab_NewTRADER[[#This Row],[A]])*Tab_NewTRADER[[#This Row],[Scale]]*ComFactor, TRUE,0)</f>
        <v>0</v>
      </c>
      <c r="AM74" s="1592" t="str">
        <f ca="1">_xlfn.XLOOKUP(Tab_NewTRADER[[#This Row],[Show]],TabCalc[Ticker],TabCalc[Max_Bn])&amp;" x "&amp;TEXT(_xlfn.XLOOKUP(Tab_NewTRADER[[#This Row],[Show]],TabCalc[Ticker],TabCalc[Max_Bp]),"#,#0.00")</f>
        <v>20000 x 3.25</v>
      </c>
      <c r="AN74" s="1650" t="str">
        <f ca="1">NewTrader!$V74</f>
        <v>BLNK</v>
      </c>
      <c r="AO74" s="1651" t="str">
        <f ca="1">TEXT(_xlfn.XLOOKUP(Tab_NewTRADER[[#This Row],[ClickTick]],TabCalc[Ticker],TabCalc[NAfter]),"#,#0")&amp;"x"&amp;_xlfn.XLOOKUP(Tab_NewTRADER[[#This Row],[ClickTick]],TabCalc[Ticker],TabCalc[M])&amp;"           (A: "&amp;TEXT(-_xlfn.XLOOKUP(Tab_NewTRADER[[#This Row],[ClickTick]]&amp;2,Consolid!B$3:JZ$3,Consolid!B$4:JZ$4),"#,??0.00")&amp;")"</f>
        <v>120,000x0.8858           (A:   2.20)</v>
      </c>
      <c r="AP74" s="1592" t="str">
        <f ca="1">_xlfn.XLOOKUP(Tab_NewTRADER[[#This Row],[Show]],TabCalc[Ticker],TabCalc[Min_Sn])&amp;" x "&amp;TEXT(_xlfn.XLOOKUP(Tab_NewTRADER[[#This Row],[Show]],TabCalc[Ticker],TabCalc[Min_Sp]),"#,#0.00")</f>
        <v>12000 x 1.52</v>
      </c>
      <c r="AQ7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702" t="str" cm="1">
        <f t="array" aca="1" ref="AR74" ca="1">_xlfn.IFS(Tab_NewTRADER[[#This Row],[State]]="Reverse Buy",TEXT(-Tab_NewTRADER[[#This Row],[Buy_Back]],"#,#0")&amp;" / "&amp;TEXT(Tab_NewTRADER[[#This Row],[Rev_Buy]],"#,#0.0%"),TRUE,Tab_NewTRADER[[#This Row],[AMY]])</f>
        <v>12,257 / 53.6%</v>
      </c>
      <c r="AS74" s="1651"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15,105       / 14.2%</v>
      </c>
      <c r="AT74" s="1699"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-157,593   / -148.6%</v>
      </c>
      <c r="AU74" s="1699" t="str" cm="1">
        <f t="array" aca="1" ref="AU74" ca="1">_xlfn.IFS(Tab_NewTRADER[[#This Row],[M]]&lt;Tab_NewTRADER[[#This Row],[A]],TEXT(Tab_NewTRADER[[#This Row],[N]]*Tab_NewTRADER[[#This Row],[M]]*Tab_NewTRADER[[#This Row],[Scale]]*Comm_Net,"#,#0")&amp;" @ "&amp;TEXT(Tab_NewTRADER[[#This Row],[M]],"#,#0.#0"),TRUE,"M: "&amp; Tab_NewTRADER[[#This Row],[M]])</f>
        <v>106,009 @ 0.89</v>
      </c>
      <c r="AV74" s="1703" cm="1">
        <f t="array" aca="1" ref="AV74" ca="1">-_xlfn.XLOOKUP(
    Tab_NewTRADER[[#This Row],[Show]] &amp; 2,
    TabConsolid[#Headers],
    INDEX(TabConsolid[], 1, 0)
)</f>
        <v>2.2024949699999996</v>
      </c>
      <c r="AW74" s="1704">
        <f ca="1">Tab_NewTRADER[[#This Row],[M]]*Tab_NewTRADER[[#This Row],[N]]*(1-Commission)*Tab_NewTRADER[[#This Row],[Scale]]</f>
        <v>106019.63039999999</v>
      </c>
      <c r="AX74" s="1705"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705"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706" t="str" cm="1">
        <f t="array" aca="1" ref="AZ74" ca="1">_xlfn.IFS(   Tab_NewTRADER[[#This Row],[State]]=SellMorePercentGain,                     MIN(Tab_NewTRADER[[#This Row],[L_Sn]],Tab_NewTRADER[[#This Row],[N]])*(Tab_NewTRADER[[#This Row],[M]]-Tab_NewTRADER[[#This Row],[L_Sp]])*(1-Commission)*Tab_NewTRADER[[#This Row],[Scale]],                    TRUE,"")</f>
        <v/>
      </c>
      <c r="BA74" s="1707">
        <f ca="1">_xlfn.XLOOKUP(NewTrader!$V74,TabCalc[Ticker],TabCalc[Ann%RevLB])</f>
        <v>-0.26722190852625627</v>
      </c>
      <c r="BB74" s="1708" t="str">
        <f ca="1">_xlfn.XLOOKUP(NewTrader!$V74,TabCalc[Ticker],TabCalc[Up20])</f>
        <v>/29/94%</v>
      </c>
      <c r="BC74" s="1709"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706" t="str" cm="1">
        <f t="array" aca="1" ref="BD74" ca="1">_xlfn.IFS(         NewTrader!$AF74=MDown,NewTrader!$P74*NewTrader!$Y74*(-(NewTrader!$Q74+NewTrader!$Y74)/NewTrader!$Y74)*(1-Commission)*NewTrader!$A74,                               TRUE,"")</f>
        <v/>
      </c>
      <c r="BE74" s="1705" t="str" cm="1">
        <f t="array" aca="1" ref="BE74" ca="1">_xlfn.IFS(   NewTrader!$AF74=MUp,NewTrader!$BP74-Commission,        NewTrader!$AF74=MDown,(NewTrader!$X74-NewTrader!$Y74)/NewTrader!$Y74-Commission,                              TRUE,"")</f>
        <v/>
      </c>
      <c r="BF74" s="1706"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710" t="e" cm="1">
        <f t="array" aca="1" ref="BG74" ca="1">_xlfn.LET(_xlpm.SumChTxt,TEXT(_xlfn.XLOOKUP(NewTrader!$V74,ListTickers,Tab2SumChangePercent[AVGChan20]),"#0.0%"),
      _xlfn.IFS(NewTrader!$AF74=NoStock,_xlpm.SumChTxt,
      TRUE, IF(NewTrader!$AF74=SellMorePercentGain,             "SumChange "&amp;_xlpm.SumChTxt,                         "&lt;"&amp;INT(_xlfn.XLOOKUP(NewTrader!$V74,ListTickers,Tab2ReverseGL[Rev_GL19]))&amp;    "&lt;"&amp;INT(_xlfn.XLOOKUP(NewTrader!$V74,ListTickers,Tab2ReverseGL[Rev_GL18]))&amp;":      "&amp;_xlpm.SumChTxt)))</f>
        <v>#VALUE!</v>
      </c>
      <c r="BH74" s="1711"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712" cm="1">
        <f t="array" aca="1" ref="BI74" ca="1">_xlfn.IFS(NewTrader!$AF74=Sale_Back,"",         NewTrader!$AF74=MDown, (NewTrader!$Y74-NewTrader!$X74)/NewTrader!$X74*ComFactor,             TRUE, IFERROR((NewTrader!$Y74-NewTrader!$X74)/NewTrader!$X74*ComFactor,""))</f>
        <v>-0.5962654085325787</v>
      </c>
      <c r="BJ74" s="1664" cm="1">
        <f t="array" aca="1" ref="BJ74" ca="1">_xlfn.IFS(               NewTrader!$AF74=NoStock,(NewTrader!$BL74-NewTrader!$Y74)/NewTrader!$Y74-Commission,             NewTrader!$X74&lt;&gt;0,(NewTrader!$X74-NewTrader!$Y74)/NewTrader!$Y74-Commission)</f>
        <v>1.4838472454278613</v>
      </c>
      <c r="BK74" s="1713">
        <f ca="1">_xlfn.XLOOKUP(NewTrader!$V74,TabCalc[Ticker],TabCalc[L_Sn])</f>
        <v>12000</v>
      </c>
      <c r="BL74" s="1693">
        <f ca="1">_xlfn.XLOOKUP(NewTrader!$V74,TabCalc[Ticker],TabCalc[L_Sp])</f>
        <v>1.91</v>
      </c>
      <c r="BM74" s="1694">
        <f ca="1">-IFERROR((Tab_NewTRADER[[#This Row],[M]]-Tab_NewTRADER[[#This Row],[L_Sp]])/Tab_NewTRADER[[#This Row],[L_Sp]],0)</f>
        <v>0.53623036649214662</v>
      </c>
      <c r="BN74" s="1714">
        <f ca="1">MIN(Tab_NewTRADER[[#This Row],[L_Sn]],Tab_NewTRADER[[#This Row],[N]])*(Tab_NewTRADER[[#This Row],[M]]-Tab_NewTRADER[[#This Row],[L_Sp]])*Comm_Net*Tab_NewTRADER[[#This Row],[Scale]]</f>
        <v>-12257.215919999999</v>
      </c>
      <c r="BO74" s="1715">
        <f ca="1">Tab_NewTRADER[[#This Row],[L_Sn]]*(Tab_NewTRADER[[#This Row],[Agiotage]]-Tab_NewTRADER[[#This Row],[M]])/(Tab_NewTRADER[[#This Row],[L_Bn]]*Tab_NewTRADER[[#This Row],[M]])</f>
        <v>1.3673890560006001</v>
      </c>
      <c r="BP74" s="1716">
        <f ca="1">IFERROR((Tab_NewTRADER[[#This Row],[M]]-Tab_NewTRADER[[#This Row],[A]])/Tab_NewTRADER[[#This Row],[A]],0)</f>
        <v>-0.59781973985620485</v>
      </c>
      <c r="BQ74" s="1671" t="str">
        <f ca="1">TEXT(_xlfn.XLOOKUP(Tab_NewTRADER[[#This Row],[ClickTick]],TabCalc[Ticker],TabCalc[NAfter]),"#,#0")&amp;" : "&amp;TEXT(_xlfn.XLOOKUP(Tab_NewTRADER[[#This Row],[ClickTick]],TabCalc[Ticker],TabCalc[NAfter])*(Tab_NewTRADER[[#This Row],[M]]-Tab_NewTRADER[[#This Row],[A]])*(1-Commission)*Tab_NewTRADER[[#This Row],[Scale]],"#,#0$")</f>
        <v>120,000 : -157,593$</v>
      </c>
      <c r="BR74" s="262">
        <f ca="1">_xlfn.XLOOKUP(NewTrader!$V74,TabCalc[[#This Row],[Ticker]],TabCalc[[#This Row],[GL]])*(1-Commission)</f>
        <v>-338329.41935689817</v>
      </c>
      <c r="BS74" s="262"/>
      <c r="BT74" s="1672" t="str">
        <f ca="1">Tab_NewTRADER[[#This Row],[Show]]&amp;": "&amp;_xlfn.XLOOKUP(Tab_NewTRADER[[#This Row],[Show]],TabCalc[Ticker],TabCalc[Pile?])</f>
        <v>BLNK: Pile</v>
      </c>
      <c r="BU74" s="1717" t="s">
        <v>1983</v>
      </c>
      <c r="BV74" s="1674" t="str" cm="1">
        <f t="array" aca="1" ref="BV74" ca="1">_xlfn.TEXTJOIN("",,INDEX({"M","A","Y"}, _xlfn.SORTBY({1,2,3}, -CHOOSE({1,2,3}, Tab_NewTRADER[[#This Row],[M]], Tab_NewTRADER[[#This Row],[A]], Tab_NewTRADER[[#This Row],[Y]]))))</f>
        <v>YAM</v>
      </c>
      <c r="BW74" s="1675"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76" t="e">
        <f ca="1">Tab_NewTRADER[[#This Row],[L_Sn]]*Tab_NewTRADER[[#This Row],[L_Sp]]+Tab_NewTRADER[[#This Row],[SellMore]]*Tab_NewTRADER[[#This Row],[M]]</f>
        <v>#N/A</v>
      </c>
      <c r="BY74" s="1676" t="e">
        <f ca="1">INDEX(
  INDEX(TabConsolid[], , _xlfn.XMATCH(Tab_NewTRADER[[#This Row],[ClickTick]]&amp;1, TabConsolid[#Headers])),
  MATCH(
    -Tab_NewTRADER[[#This Row],[M]],
    INDEX(TabConsolid[], , _xlfn.XMATCH(Tab_NewTRADER[[#This Row],[ClickTick]]&amp;2, TabConsolid[#Headers])),
    -1
  )
)</f>
        <v>#N/A</v>
      </c>
      <c r="BZ74" s="1676"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77" t="e">
        <f ca="1">Tab_NewTRADER[[#This Row],[ReBuy]]/(Tab_NewTRADER[[#This Row],[L_Sn]]+Tab_NewTRADER[[#This Row],[SellMore]])</f>
        <v>#N/A</v>
      </c>
      <c r="CB74" s="1678">
        <f ca="1">((_xlfn.XLOOKUP(Tab_NewTRADER[[#This Row],[Show]],TabCalc[Ticker],TabCalc[NAfter])+Tab_NewTRADER[[#This Row],[L_Sn]])*(Tab_NewTRADER[[#This Row],[Agiotage]]-Tab_NewTRADER[[#This Row],[M]]))/(Tab_NewTRADER[[#This Row],[L_Sn]]*_xlfn.XLOOKUP(Tab_NewTRADER[[#This Row],[Show]],TabCalc[Ticker],TabCalc[NAfter]))</f>
        <v>3.7009904121829579E-4</v>
      </c>
      <c r="CC74" s="1677">
        <f ca="1">INDEX(Tab1Price[Price19], MATCH(Tab_NewTRADER[[#This Row],[Show]], Tab_NewTRADER[Show], 0))</f>
        <v>0.88580000000000003</v>
      </c>
      <c r="CD74" s="1679">
        <f ca="1">_xlfn.XMATCH(Tab_NewTRADER[[#This Row],[Show]]&amp;1, TabConsolid[#Headers])</f>
        <v>218</v>
      </c>
      <c r="CE74" s="1678"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729" t="str" cm="1">
        <f t="array" aca="1" ref="CF74" ca="1">_xlfn.LET(
    _xlpm.FMT, _xlfn.LAMBDA(_xlpm.n, REPT(" ", 7 - LEN(TEXT(_xlpm.n,"0.00"))) &amp; TEXT(_xlpm.n,"0.00")),
    _xlpm.FMT(Tab_NewTRADER[[#This Row],[A]]) &amp; " -" &amp; _xlpm.FMT(Tab_NewTRADER[[#This Row],[M]]) &amp; " -" &amp; _xlpm.FMT(Tab_NewTRADER[[#This Row],[Y]])
)</f>
        <v xml:space="preserve">   2.20 -   0.89 -   2.40</v>
      </c>
      <c r="CG74" s="1730" t="str" cm="1">
        <f t="array" aca="1" ref="CG74" ca="1">_xlfn.LET(
    _xlpm.W, 7,
    _xlpm.FMT, _xlfn.LAMBDA(_xlpm.n, REPT(" ", _xlpm.W - LEN(TEXT(_xlpm.n,"0.00"))) &amp; TEXT(_xlpm.n,"0.00")),
    _xlpm.FMT(Tab_NewTRADER[[#This Row],[A]]) &amp; " * " &amp; _xlpm.FMT(Tab_NewTRADER[[#This Row],[M]]) &amp; " * " &amp; _xlpm.FMT(Tab_NewTRADER[[#This Row],[Y]])
)</f>
        <v xml:space="preserve">   2.20 *    0.89 *    2.40</v>
      </c>
      <c r="CH74" s="1842">
        <f>0</f>
        <v>0</v>
      </c>
      <c r="CI74" t="str">
        <f ca="1">IF(ABS(NewTrader!$Q74)&gt;=NewTrader!$Y74,"OK")</f>
        <v>OK</v>
      </c>
    </row>
    <row r="75" spans="1:87" ht="23" hidden="1" thickBot="1">
      <c r="A75" s="1838">
        <f ca="1">IF(_xlfn.XLOOKUP(NewTrader!$V75,TabCalc[Ticker],TabCalc[Cur])="GBp",0.01,1)</f>
        <v>1</v>
      </c>
      <c r="B75" s="1620" t="str">
        <f ca="1">IFERROR(TRUNC(_xlfn.XLOOKUP(NewTrader!$V75,TabCalc[Ticker],ListLastBuyp),2)&amp;"x"&amp;_xlfn.XLOOKUP(NewTrader!$V75,TabCalc[Ticker],ListLastBuyn)&amp;"=    "&amp;IF(_xlfn.XLOOKUP(NewTrader!$V75,TabCalc[Ticker],ListReverseS)&gt;0,"+","")&amp;TEXT(_xlfn.XLOOKUP(NewTrader!$V75,TabCalc[Ticker],ListReverseS),"#,#0")&amp;" "&amp;#REF!,"")</f>
        <v/>
      </c>
      <c r="C75" s="1621" t="str">
        <f ca="1">_xlfn.XLOOKUP(NewTrader!$V75,TabCalc[Ticker],ListResale)&amp;" @ "&amp;TEXT((_xlfn.XLOOKUP(NewTrader!$V75,TabCalc[Ticker],TabCalc[L_Bp])+_xlfn.XLOOKUP(NewTrader!$V75,TabCalc[Ticker],TabCalc[M]))/_xlfn.XLOOKUP(NewTrader!$V75,TabCalc[Ticker],TabCalc[M]),"#0.0%")</f>
        <v>Resell @ 6.5%</v>
      </c>
      <c r="D75" s="1622"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4,836/10,000=76,905</v>
      </c>
      <c r="E75" s="1718" t="str">
        <f ca="1">IF(      AND(NewTrader!$X75&lt;NewTrader!$Y75,    _xlfn.XLOOKUP(NewTrader!$V75,TabCalc[Ticker],TabCalc[L_Sp])&gt;NewTrader!$Y75),"BUY  "&amp;TEXT(DesiredBuyGain/NewTrader!$A75/(_xlfn.XLOOKUP(NewTrader!$V75,TabCalc[Ticker],TabCalc[L_Sp])-NewTrader!$Y75),"#,##0"),"")</f>
        <v>BUY  11,211</v>
      </c>
      <c r="F75" s="1620" t="str">
        <f ca="1">TRUNC(TabCalc[[#This Row],[L_B1p]],2)&amp;"x"&amp;TabCalc[[#This Row],[L_B1n]]&amp;"=   "&amp;TEXT(TabCalc[[#This Row],[ReverseS1]],"#,#0")&amp;"$"</f>
        <v>-14.92x9990=   9,830$</v>
      </c>
      <c r="G75" s="1624" t="str">
        <f ca="1">IFERROR(TRUNC(_xlfn.XLOOKUP(NewTrader!$V75,TabCalc[Ticker],ListLastSalep),2)&amp;"x"&amp;_xlfn.XLOOKUP(NewTrader!$V75,TabCalc[Ticker],ListLastSalen)&amp;"=   "&amp;TEXT(-_xlfn.XLOOKUP(NewTrader!$V75,TabCalc[Ticker],ListReverseB),"#,#0")&amp;"$","")</f>
        <v>16.35x5000=   -2,230$</v>
      </c>
      <c r="H75" s="1625"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2.8% = 11,211</v>
      </c>
      <c r="I75" s="1620" t="str">
        <f ca="1">IFERROR(TRUNC(TabCalc[[#This Row],[L_S1p]],2)&amp;"x"&amp;TabCalc[[#This Row],[L_S1n]]&amp;"=   "&amp;TEXT(TabCalc[[#This Row],[ReverseB1]],"#,#0"),"")</f>
        <v>15.8x2000=   -208</v>
      </c>
      <c r="J75" s="1626">
        <f ca="1">_xlfn.XLOOKUP(NewTrader!$V75,TabCalc[Ticker],ListGravity)</f>
        <v>1.0311871227364184</v>
      </c>
      <c r="K75" s="1627" cm="1">
        <f t="array" aca="1" ref="K75" ca="1">IF(_xlfn.XLOOKUP(NewTrader!$V75,NewTrader!$V$3:$V$96,ListExtra_n)&gt;0,_xlfn.XLOOKUP(NewTrader!$V75,NewTrader!$V$3:$V$96,ListExtra_n),"")</f>
        <v>2700</v>
      </c>
      <c r="L75" s="1628">
        <f ca="1">IF(_xlfn.XLOOKUP(NewTrader!$V75,TabCalc[Ticker],ListExtra_n)&gt;0,_xlfn.XLOOKUP(NewTrader!$V75,TabCalc[Ticker],ListExtra_n)*NewTrader!$Y75*_xlfn.XLOOKUP(NewTrader!$V75,TabCalc[Ticker],ListScale),"")</f>
        <v>42940.800000000003</v>
      </c>
      <c r="M75" s="1629">
        <f ca="1">_xlfn.XLOOKUP(NewTrader!$V75,TabCalc[Ticker],TabCalc[Agiotage])</f>
        <v>1.121580663028575</v>
      </c>
      <c r="N75" s="1630" cm="1">
        <f t="array" aca="1" ref="N75" ca="1">_xlfn.XLOOKUP(NewTrader!$V75,ListTickers,Tab2RSIConventional[RSIConv20])</f>
        <v>57</v>
      </c>
      <c r="O75" s="1631" t="str">
        <f ca="1">TEXT(_xlfn.XLOOKUP(NewTrader!$V75,TabCalc[Ticker],TabCalc[Nbegin]),"#,#0")&amp;": "&amp;_xlfn.XLOOKUP(NewTrader!$V75,TabCalc[Ticker],TabCalc[Pile?])</f>
        <v xml:space="preserve">7,300: </v>
      </c>
      <c r="P75" s="1632">
        <f ca="1">_xlfn.XLOOKUP(NewTrader!$V75,TabCalc[Ticker],TabCalc[L_Bn])</f>
        <v>10010</v>
      </c>
      <c r="Q75" s="1727">
        <f ca="1">_xlfn.XLOOKUP(NewTrader!$V75,TabCalc[Ticker],TabCalc[L_Bp])</f>
        <v>-14.87</v>
      </c>
      <c r="R75" s="1634">
        <f ca="1">(NewTrader!$Y75+NewTrader!$Q75)/ABS(NewTrader!$Q75)</f>
        <v>6.9535978480161451E-2</v>
      </c>
      <c r="S75" s="259">
        <f ca="1">INT(_xlfn.XLOOKUP(NewTrader!$V75,TabCalc[Ticker],TabCalc[Rev(MinStock)])*Comm_Net)</f>
        <v>10284</v>
      </c>
      <c r="T75" s="1635">
        <f ca="1">_xlfn.XLOOKUP(NewTrader!$V75,TabCalc[Ticker],TabCalc[Agiotage])</f>
        <v>1.121580663028575</v>
      </c>
      <c r="U75" s="1719"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-960/-960=&gt;-0.7% / -0.7%</v>
      </c>
      <c r="V75" s="1578" t="str">
        <f ca="1">SORTING!B75</f>
        <v>ENI</v>
      </c>
      <c r="W75" s="1637">
        <f ca="1">_xlfn.XLOOKUP(NewTrader!$V75,TabCalc[Ticker],TabCalc[Y])</f>
        <v>16.399999999999999</v>
      </c>
      <c r="X75" s="1639">
        <f ca="1">-_xlfn.XLOOKUP(NewTrader!$V75&amp;2,Consolid!B$3:JZ$3,Consolid!B$4:JZ$4)</f>
        <v>14.908662</v>
      </c>
      <c r="Y75" s="1639">
        <f ca="1">_xlfn.XLOOKUP(NewTrader!$V75,TabCalc[Ticker],TabCalc[M])</f>
        <v>15.904</v>
      </c>
      <c r="Z75" s="1640">
        <f ca="1">_xlfn.XLOOKUP(NewTrader!$V75,[1]!RTData[Ticker_Symbol],[1]!RTData[YTChange])</f>
        <v>0.11488783140720582</v>
      </c>
      <c r="AA75" s="1640" cm="1">
        <f t="array" aca="1" ref="AA75" ca="1">_xlfn.XLOOKUP(NewTrader!$V75,ListTickers,Tab1ChangePercent[Change%19])</f>
        <v>-6.8689999999999992E-3</v>
      </c>
      <c r="AB75" s="1641">
        <f ca="1">_xlfn.XLOOKUP(NewTrader!$V75,TabCalc[Ticker],TabCalc[NAfter])</f>
        <v>10000</v>
      </c>
      <c r="AC75" s="1641">
        <f ca="1">_xlfn.XLOOKUP(NewTrader!$V75,TabCalc[Ticker],TabCalc[Nbegin])</f>
        <v>7300</v>
      </c>
      <c r="AD75" s="1642" t="str">
        <f ca="1">_xlfn.LET(_xlpm.PILE,_xlfn.XLOOKUP(NewTrader!$V75,TabCalc[Ticker],TabCalc[Pile?]),                    _xlpm.GL,_xlfn.XLOOKUP(NewTrader!$V75,TabCalc[Ticker],TabCalc[GL]),                        _xlpm.GLK,_xlfn.XLOOKUP(NewTrader!$V75,TabCalc[Ticker],TabCalc[GL])/1000,                             _xlpm.MVal,_xlfn.XLOOKUP(NewTrader!$V75,TabCalc[Ticker],TabCalc[M_V])/1000,                   _xlpm.PILE&amp;" "&amp;IF(_xlpm.GL&lt;0,TEXT(_xlpm.GLK,"#,#0")&amp;"K /"&amp;TEXT(_xlpm.MVal,"#,#0")&amp;" K$","^"&amp;TEXT(_xlpm.GLK,"#,#0")&amp;"K / "&amp;TEXT(_xlpm.MVal,"#,#0")&amp;" K$"))</f>
        <v xml:space="preserve"> ^34K / 159 K$</v>
      </c>
      <c r="AE75" s="1720" t="str">
        <f ca="1">_xlfn.XLOOKUP(NewTrader!$V75,[1]!RTData[Ticker_Symbol],[1]!RTData[Currency])</f>
        <v>EUR</v>
      </c>
      <c r="AF75" s="1721"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698" t="str" cm="1">
        <f t="array" aca="1" ref="AH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15.90 -  16.40</v>
      </c>
      <c r="AI7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75" s="1651" t="str" cm="1">
        <f t="array" aca="1" ref="AJ75" ca="1">_xlfn.IFS(Tab_NewTRADER[[#This Row],[State]]="Sell More",TEXT(MIN(Tab_NewTRADER[[#This Row],[N]],Tab_NewTRADER[[#This Row],[L_Bn]])*(Tab_NewTRADER[[#This Row],[M]]-Tab_NewTRADER[[#This Row],[L_Sp]])*Tab_NewTRADER[[#This Row],[Scale]]*ComFactor,"#,#0"), TRUE,"M= "&amp;TEXT(Tab_NewTRADER[[#This Row],[M]],"#,#0.00"))</f>
        <v>M= 15.90</v>
      </c>
      <c r="AK75" s="1699" t="str" cm="1">
        <f t="array" aca="1" ref="AK75" ca="1">_xlfn.IFS(Tab_NewTRADER[[#This Row],[Y]]&gt;Tab_NewTRADER[[#This Row],[A]],                 TEXT(MIN(Tab_NewTRADER[[#This Row],[L_Bn]],Tab_NewTRADER[[#This Row],[N]])*(Tab_NewTRADER[[#This Row],[M]]-Tab_NewTRADER[[#This Row],[A]])*Tab_NewTRADER[[#This Row],[Scale]]*ComFactor,"#,#0"), TRUE,0)</f>
        <v>9,928</v>
      </c>
      <c r="AL75" s="1700" cm="1">
        <f t="array" aca="1" ref="AL75" ca="1">_xlfn.IFS(Tab_NewTRADER[[#This Row],[M]]&gt;Tab_NewTRADER[[#This Row],[A]],                  Tab_NewTRADER[[#This Row],[N]]*(Tab_NewTRADER[[#This Row],[M]]-Tab_NewTRADER[[#This Row],[A]])*Tab_NewTRADER[[#This Row],[Scale]]*ComFactor, TRUE,0)</f>
        <v>9927.5012120000029</v>
      </c>
      <c r="AM75" s="1592" t="str">
        <f ca="1">_xlfn.XLOOKUP(Tab_NewTRADER[[#This Row],[Show]],TabCalc[Ticker],TabCalc[Max_Bn])&amp;" x "&amp;TEXT(_xlfn.XLOOKUP(Tab_NewTRADER[[#This Row],[Show]],TabCalc[Ticker],TabCalc[Max_Bp]),"#,#0.00")</f>
        <v>10000 x 14.91</v>
      </c>
      <c r="AN75" s="1650" t="str">
        <f ca="1">NewTrader!$V75</f>
        <v>ENI</v>
      </c>
      <c r="AO75" s="1651" t="str">
        <f ca="1">TEXT(_xlfn.XLOOKUP(Tab_NewTRADER[[#This Row],[ClickTick]],TabCalc[Ticker],TabCalc[NAfter]),"#,#0")&amp;"x"&amp;_xlfn.XLOOKUP(Tab_NewTRADER[[#This Row],[ClickTick]],TabCalc[Ticker],TabCalc[M])&amp;"           (A: "&amp;TEXT(-_xlfn.XLOOKUP(Tab_NewTRADER[[#This Row],[ClickTick]]&amp;2,Consolid!B$3:JZ$3,Consolid!B$4:JZ$4),"#,??0.00")&amp;")"</f>
        <v>10,000x15.904           (A:  14.91)</v>
      </c>
      <c r="AP75" s="1592" t="str">
        <f ca="1">_xlfn.XLOOKUP(Tab_NewTRADER[[#This Row],[Show]],TabCalc[Ticker],TabCalc[Min_Sn])&amp;" x "&amp;TEXT(_xlfn.XLOOKUP(Tab_NewTRADER[[#This Row],[Show]],TabCalc[Ticker],TabCalc[Min_Sp]),"#,#0.00")</f>
        <v>2000 x 13.91</v>
      </c>
      <c r="AQ7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702" t="str" cm="1">
        <f t="array" aca="1" ref="AR75" ca="1">_xlfn.IFS(Tab_NewTRADER[[#This Row],[State]]="Reverse Buy",TEXT(-Tab_NewTRADER[[#This Row],[Buy_Back]],"#,#0")&amp;" / "&amp;TEXT(Tab_NewTRADER[[#This Row],[Rev_Buy]],"#,#0.0%"),TRUE,Tab_NewTRADER[[#This Row],[AMY]])</f>
        <v>2,224 / 2.7%</v>
      </c>
      <c r="AS75" s="1651"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99"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99" t="str" cm="1">
        <f t="array" aca="1" ref="AU75" ca="1">_xlfn.IFS(Tab_NewTRADER[[#This Row],[M]]&lt;Tab_NewTRADER[[#This Row],[A]],TEXT(Tab_NewTRADER[[#This Row],[N]]*Tab_NewTRADER[[#This Row],[M]]*Tab_NewTRADER[[#This Row],[Scale]]*Comm_Net,"#,#0")&amp;" @ "&amp;TEXT(Tab_NewTRADER[[#This Row],[M]],"#,#0.#0"),TRUE,"M: "&amp; Tab_NewTRADER[[#This Row],[M]])</f>
        <v>M: 15.904</v>
      </c>
      <c r="AV75" s="1740" cm="1">
        <f t="array" aca="1" ref="AV75" ca="1">-_xlfn.XLOOKUP(
    Tab_NewTRADER[[#This Row],[Show]] &amp; 2,
    TabConsolid[#Headers],
    INDEX(TabConsolid[], 1, 0)
)</f>
        <v>14.908662</v>
      </c>
      <c r="AW75" s="1741">
        <f ca="1">Tab_NewTRADER[[#This Row],[M]]*Tab_NewTRADER[[#This Row],[N]]*(1-Commission)*Tab_NewTRADER[[#This Row],[Scale]]</f>
        <v>158626.49599999998</v>
      </c>
      <c r="AX75" s="1705"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705"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706" t="str" cm="1">
        <f t="array" aca="1" ref="AZ75" ca="1">_xlfn.IFS(   Tab_NewTRADER[[#This Row],[State]]=SellMorePercentGain,                     MIN(Tab_NewTRADER[[#This Row],[L_Sn]],Tab_NewTRADER[[#This Row],[N]])*(Tab_NewTRADER[[#This Row],[M]]-Tab_NewTRADER[[#This Row],[L_Sp]])*(1-Commission)*Tab_NewTRADER[[#This Row],[Scale]],                    TRUE,"")</f>
        <v/>
      </c>
      <c r="BA75" s="1771">
        <f ca="1">_xlfn.XLOOKUP(NewTrader!$V75,TabCalc[Ticker],TabCalc[Ann%RevLB])</f>
        <v>0.30160183437178462</v>
      </c>
      <c r="BB75" s="1724">
        <f ca="1">_xlfn.XLOOKUP(NewTrader!$V75,TabCalc[Ticker],TabCalc[Up20])</f>
        <v>0</v>
      </c>
      <c r="BC75" s="1725"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706" t="str" cm="1">
        <f t="array" aca="1" ref="BD75" ca="1">_xlfn.IFS(         NewTrader!$AF75=MDown,NewTrader!$P75*NewTrader!$Y75*(-(NewTrader!$Q75+NewTrader!$Y75)/NewTrader!$Y75)*(1-Commission)*NewTrader!$A75,                               TRUE,"")</f>
        <v/>
      </c>
      <c r="BE75" s="1705" t="str" cm="1">
        <f t="array" aca="1" ref="BE75" ca="1">_xlfn.IFS(   NewTrader!$AF75=MUp,NewTrader!$BP75-Commission,        NewTrader!$AF75=MDown,(NewTrader!$X75-NewTrader!$Y75)/NewTrader!$Y75-Commission,                              TRUE,"")</f>
        <v/>
      </c>
      <c r="BF75" s="1710"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710" t="str" cm="1">
        <f t="array" aca="1" ref="BG75" ca="1">_xlfn.LET(_xlpm.SumChTxt,TEXT(_xlfn.XLOOKUP(NewTrader!$V75,ListTickers,Tab2SumChangePercent[AVGChan20]),"#0.0%"),
      _xlfn.IFS(NewTrader!$AF75=NoStock,_xlpm.SumChTxt,
      TRUE, IF(NewTrader!$AF75=SellMorePercentGain,             "SumChange "&amp;_xlpm.SumChTxt,                         "&lt;"&amp;INT(_xlfn.XLOOKUP(NewTrader!$V75,ListTickers,Tab2ReverseGL[Rev_GL19]))&amp;    "&lt;"&amp;INT(_xlfn.XLOOKUP(NewTrader!$V75,ListTickers,Tab2ReverseGL[Rev_GL18]))&amp;":      "&amp;_xlpm.SumChTxt)))</f>
        <v>&lt;0&lt;0:      -0.2%</v>
      </c>
      <c r="BH75" s="1711"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712" cm="1">
        <f t="array" aca="1" ref="BI75" ca="1">_xlfn.IFS(NewTrader!$AF75=Sale_Back,"",         NewTrader!$AF75=MDown, (NewTrader!$Y75-NewTrader!$X75)/NewTrader!$X75*ComFactor,             TRUE, IFERROR((NewTrader!$Y75-NewTrader!$X75)/NewTrader!$X75*ComFactor,""))</f>
        <v>6.6588814019661879E-2</v>
      </c>
      <c r="BJ75" s="1664" cm="1">
        <f t="array" aca="1" ref="BJ75" ca="1">_xlfn.IFS(               NewTrader!$AF75=NoStock,(NewTrader!$BL75-NewTrader!$Y75)/NewTrader!$Y75-Commission,             NewTrader!$X75&lt;&gt;0,(NewTrader!$X75-NewTrader!$Y75)/NewTrader!$Y75-Commission)</f>
        <v>-6.5184129778672051E-2</v>
      </c>
      <c r="BK75" s="1726">
        <f ca="1">_xlfn.XLOOKUP(NewTrader!$V75,TabCalc[Ticker],TabCalc[L_Sn])</f>
        <v>5000</v>
      </c>
      <c r="BL75" s="1727">
        <f ca="1">_xlfn.XLOOKUP(NewTrader!$V75,TabCalc[Ticker],TabCalc[L_Sp])</f>
        <v>16.350000000000001</v>
      </c>
      <c r="BM75" s="1634">
        <f ca="1">-IFERROR((Tab_NewTRADER[[#This Row],[M]]-Tab_NewTRADER[[#This Row],[L_Sp]])/Tab_NewTRADER[[#This Row],[L_Sp]],0)</f>
        <v>2.7278287461773791E-2</v>
      </c>
      <c r="BN75" s="1728">
        <f ca="1">MIN(Tab_NewTRADER[[#This Row],[L_Sn]],Tab_NewTRADER[[#This Row],[N]])*(Tab_NewTRADER[[#This Row],[M]]-Tab_NewTRADER[[#This Row],[L_Sp]])*Comm_Net*Tab_NewTRADER[[#This Row],[Scale]]</f>
        <v>-2223.9790000000075</v>
      </c>
      <c r="BO75" s="1715">
        <f ca="1">Tab_NewTRADER[[#This Row],[L_Sn]]*(Tab_NewTRADER[[#This Row],[Agiotage]]-Tab_NewTRADER[[#This Row],[M]])/(Tab_NewTRADER[[#This Row],[L_Bn]]*Tab_NewTRADER[[#This Row],[M]])</f>
        <v>-0.4642747637476779</v>
      </c>
      <c r="BP75" s="1670">
        <f ca="1">IFERROR((Tab_NewTRADER[[#This Row],[M]]-Tab_NewTRADER[[#This Row],[A]])/Tab_NewTRADER[[#This Row],[A]],0)</f>
        <v>6.6762396249911649E-2</v>
      </c>
      <c r="BQ75" s="1671" t="str">
        <f ca="1">TEXT(_xlfn.XLOOKUP(Tab_NewTRADER[[#This Row],[ClickTick]],TabCalc[Ticker],TabCalc[NAfter]),"#,#0")&amp;" : "&amp;TEXT(_xlfn.XLOOKUP(Tab_NewTRADER[[#This Row],[ClickTick]],TabCalc[Ticker],TabCalc[NAfter])*(Tab_NewTRADER[[#This Row],[M]]-Tab_NewTRADER[[#This Row],[A]])*(1-Commission)*Tab_NewTRADER[[#This Row],[Scale]],"#,#0$")</f>
        <v>10,000 : 9,928$</v>
      </c>
      <c r="BR75" s="259">
        <f ca="1">_xlfn.XLOOKUP(NewTrader!$V75,TabCalc[[#This Row],[Ticker]],TabCalc[[#This Row],[GL]])*(1-Commission)</f>
        <v>34335.259667858634</v>
      </c>
      <c r="BS75" s="259"/>
      <c r="BT75" s="1672" t="str">
        <f ca="1">Tab_NewTRADER[[#This Row],[Show]]&amp;": "&amp;_xlfn.XLOOKUP(Tab_NewTRADER[[#This Row],[Show]],TabCalc[Ticker],TabCalc[Pile?])</f>
        <v xml:space="preserve">ENI: </v>
      </c>
      <c r="BU75" s="1717" t="s">
        <v>1994</v>
      </c>
      <c r="BV75" s="1674" t="str" cm="1">
        <f t="array" aca="1" ref="BV75" ca="1">_xlfn.TEXTJOIN("",,INDEX({"M","A","Y"}, _xlfn.SORTBY({1,2,3}, -CHOOSE({1,2,3}, Tab_NewTRADER[[#This Row],[M]], Tab_NewTRADER[[#This Row],[A]], Tab_NewTRADER[[#This Row],[Y]]))))</f>
        <v>YMA</v>
      </c>
      <c r="BW75" s="1675"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76">
        <f ca="1">Tab_NewTRADER[[#This Row],[L_Sn]]*Tab_NewTRADER[[#This Row],[L_Sp]]+Tab_NewTRADER[[#This Row],[SellMore]]*Tab_NewTRADER[[#This Row],[M]]</f>
        <v>240790</v>
      </c>
      <c r="BY75" s="1676">
        <f ca="1">INDEX(
  INDEX(TabConsolid[], , _xlfn.XMATCH(Tab_NewTRADER[[#This Row],[ClickTick]]&amp;1, TabConsolid[#Headers])),
  MATCH(
    -Tab_NewTRADER[[#This Row],[M]],
    INDEX(TabConsolid[], , _xlfn.XMATCH(Tab_NewTRADER[[#This Row],[ClickTick]]&amp;2, TabConsolid[#Headers])),
    -1
  )
)</f>
        <v>10000</v>
      </c>
      <c r="BZ75" s="1676"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77">
        <f ca="1">Tab_NewTRADER[[#This Row],[ReBuy]]/(Tab_NewTRADER[[#This Row],[L_Sn]]+Tab_NewTRADER[[#This Row],[SellMore]])</f>
        <v>16.052666666666667</v>
      </c>
      <c r="CB75" s="1678">
        <f ca="1">((_xlfn.XLOOKUP(Tab_NewTRADER[[#This Row],[Show]],TabCalc[Ticker],TabCalc[NAfter])+Tab_NewTRADER[[#This Row],[L_Sn]])*(Tab_NewTRADER[[#This Row],[Agiotage]]-Tab_NewTRADER[[#This Row],[M]]))/(Tab_NewTRADER[[#This Row],[L_Sn]]*_xlfn.XLOOKUP(Tab_NewTRADER[[#This Row],[Show]],TabCalc[Ticker],TabCalc[NAfter]))</f>
        <v>-4.4347258010914272E-3</v>
      </c>
      <c r="CC75" s="1677">
        <f ca="1">INDEX(Tab1Price[Price19], MATCH(Tab_NewTRADER[[#This Row],[Show]], Tab_NewTRADER[Show], 0))</f>
        <v>15.904</v>
      </c>
      <c r="CD75" s="1679">
        <f ca="1">_xlfn.XMATCH(Tab_NewTRADER[[#This Row],[Show]]&amp;1, TabConsolid[#Headers])</f>
        <v>221</v>
      </c>
      <c r="CE75" s="1678"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729" t="str" cm="1">
        <f t="array" aca="1" ref="CF75" ca="1">_xlfn.LET(
    _xlpm.FMT, _xlfn.LAMBDA(_xlpm.n, REPT(" ", 7 - LEN(TEXT(_xlpm.n,"0.00"))) &amp; TEXT(_xlpm.n,"0.00")),
    _xlpm.FMT(Tab_NewTRADER[[#This Row],[A]]) &amp; " -" &amp; _xlpm.FMT(Tab_NewTRADER[[#This Row],[M]]) &amp; " -" &amp; _xlpm.FMT(Tab_NewTRADER[[#This Row],[Y]])
)</f>
        <v xml:space="preserve">  14.91 -  15.90 -  16.40</v>
      </c>
      <c r="CG75" s="1730" t="str" cm="1">
        <f t="array" aca="1" ref="CG75" ca="1">_xlfn.LET(
    _xlpm.W, 7,
    _xlpm.FMT, _xlfn.LAMBDA(_xlpm.n, REPT(" ", _xlpm.W - LEN(TEXT(_xlpm.n,"0.00"))) &amp; TEXT(_xlpm.n,"0.00")),
    _xlpm.FMT(Tab_NewTRADER[[#This Row],[A]]) &amp; " * " &amp; _xlpm.FMT(Tab_NewTRADER[[#This Row],[M]]) &amp; " * " &amp; _xlpm.FMT(Tab_NewTRADER[[#This Row],[Y]])
)</f>
        <v xml:space="preserve">  14.91 *   15.90 *   16.40</v>
      </c>
      <c r="CH75" s="1842">
        <f>0</f>
        <v>0</v>
      </c>
      <c r="CI75" t="b">
        <f ca="1">IF(ABS(NewTrader!$Q75)&gt;=NewTrader!$Y75,"OK")</f>
        <v>0</v>
      </c>
    </row>
    <row r="76" spans="1:87" ht="23" hidden="1" thickBot="1">
      <c r="A76" s="1839">
        <f ca="1">IF(_xlfn.XLOOKUP(NewTrader!$V76,TabCalc[Ticker],TabCalc[Cur])="GBp",0.01,1)</f>
        <v>0.01</v>
      </c>
      <c r="B76" s="1681" t="str">
        <f ca="1">IFERROR(TRUNC(_xlfn.XLOOKUP(NewTrader!$V76,TabCalc[Ticker],ListLastBuyp),2)&amp;"x"&amp;_xlfn.XLOOKUP(NewTrader!$V76,TabCalc[Ticker],ListLastBuyn)&amp;"=    "&amp;IF(_xlfn.XLOOKUP(NewTrader!$V76,TabCalc[Ticker],ListReverseS)&gt;0,"+","")&amp;TEXT(_xlfn.XLOOKUP(NewTrader!$V76,TabCalc[Ticker],ListReverseS),"#,#0")&amp;" "&amp;#REF!,"")</f>
        <v/>
      </c>
      <c r="C76" s="1682" t="str">
        <f ca="1">_xlfn.XLOOKUP(NewTrader!$V76,TabCalc[Ticker],ListResale)&amp;" @ "&amp;TEXT((_xlfn.XLOOKUP(NewTrader!$V76,TabCalc[Ticker],TabCalc[L_Bp])+_xlfn.XLOOKUP(NewTrader!$V76,TabCalc[Ticker],TabCalc[M]))/_xlfn.XLOOKUP(NewTrader!$V76,TabCalc[Ticker],TabCalc[M]),"#0.0%")</f>
        <v>Resell @ 7.0%</v>
      </c>
      <c r="D76" s="1683"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14,667/30,000=71,150</v>
      </c>
      <c r="E76" s="1684" t="str">
        <f ca="1">IF(      AND(NewTrader!$X76&lt;NewTrader!$Y76,    _xlfn.XLOOKUP(NewTrader!$V76,TabCalc[Ticker],TabCalc[L_Sp])&gt;NewTrader!$Y76),"BUY  "&amp;TEXT(DesiredBuyGain/NewTrader!$A76/(_xlfn.XLOOKUP(NewTrader!$V76,TabCalc[Ticker],TabCalc[L_Sp])-NewTrader!$Y76),"#,##0"),"")</f>
        <v>BUY  47,619</v>
      </c>
      <c r="F76" s="1681" t="str">
        <f ca="1">TRUNC(TabCalc[[#This Row],[L_B1p]],2)&amp;"x"&amp;TabCalc[[#This Row],[L_B1n]]&amp;"=   "&amp;TEXT(TabCalc[[#This Row],[ReverseS1]],"#,#0")&amp;"$"</f>
        <v>-480.9x10000=   420$</v>
      </c>
      <c r="G76" s="1685" t="str">
        <f ca="1">IFERROR(TRUNC(_xlfn.XLOOKUP(NewTrader!$V76,TabCalc[Ticker],ListLastSalep),2)&amp;"x"&amp;_xlfn.XLOOKUP(NewTrader!$V76,TabCalc[Ticker],ListLastSalen)&amp;"=   "&amp;TEXT(-_xlfn.XLOOKUP(NewTrader!$V76,TabCalc[Ticker],ListReverseB),"#,#0")&amp;"$","")</f>
        <v>495.6x10000=   -1,050$</v>
      </c>
      <c r="H76" s="1686"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2.2% = 476</v>
      </c>
      <c r="I76" s="1681" t="str">
        <f ca="1">IFERROR(TRUNC(TabCalc[[#This Row],[L_S1p]],2)&amp;"x"&amp;TabCalc[[#This Row],[L_S1n]]&amp;"=   "&amp;TEXT(TabCalc[[#This Row],[ReverseB1]],"#,#0"),"")</f>
        <v>544.2x18000=   10,638</v>
      </c>
      <c r="J76" s="1687">
        <f ca="1">_xlfn.XLOOKUP(NewTrader!$V76,TabCalc[Ticker],ListGravity)</f>
        <v>1.2693259121830549</v>
      </c>
      <c r="K76" s="1688" cm="1">
        <f t="array" aca="1" ref="K76" ca="1">IF(_xlfn.XLOOKUP(NewTrader!$V76,NewTrader!$V$3:$V$96,ListExtra_n)&gt;0,_xlfn.XLOOKUP(NewTrader!$V76,NewTrader!$V$3:$V$96,ListExtra_n),"")</f>
        <v>10560</v>
      </c>
      <c r="L76" s="1689">
        <f ca="1">IF(_xlfn.XLOOKUP(NewTrader!$V76,TabCalc[Ticker],ListExtra_n)&gt;0,_xlfn.XLOOKUP(NewTrader!$V76,TabCalc[Ticker],ListExtra_n)*NewTrader!$Y76*_xlfn.XLOOKUP(NewTrader!$V76,TabCalc[Ticker],ListScale),"")</f>
        <v>51226.559999999998</v>
      </c>
      <c r="M76" s="1690">
        <f ca="1">_xlfn.XLOOKUP(NewTrader!$V76,TabCalc[Ticker],TabCalc[Agiotage])</f>
        <v>0.58216563357609563</v>
      </c>
      <c r="N76" s="1691" cm="1">
        <f t="array" aca="1" ref="N76" ca="1">_xlfn.XLOOKUP(NewTrader!$V76,ListTickers,Tab2RSIConventional[RSIConv20])</f>
        <v>60</v>
      </c>
      <c r="O76" s="1631" t="str">
        <f ca="1">TEXT(_xlfn.XLOOKUP(NewTrader!$V76,TabCalc[Ticker],TabCalc[Nbegin]),"#,#0")&amp;": "&amp;_xlfn.XLOOKUP(NewTrader!$V76,TabCalc[Ticker],TabCalc[Pile?])</f>
        <v xml:space="preserve">19,440: </v>
      </c>
      <c r="P76" s="1692">
        <f ca="1">_xlfn.XLOOKUP(NewTrader!$V76,TabCalc[Ticker],TabCalc[L_Bn])</f>
        <v>20000</v>
      </c>
      <c r="Q76" s="1693">
        <f ca="1">_xlfn.XLOOKUP(NewTrader!$V76,TabCalc[Ticker],TabCalc[L_Bp])</f>
        <v>-451.01</v>
      </c>
      <c r="R76" s="1694">
        <f ca="1">(NewTrader!$Y76+NewTrader!$Q76)/ABS(NewTrader!$Q76)</f>
        <v>7.5585907186093509E-2</v>
      </c>
      <c r="S76" s="262">
        <f ca="1">INT(_xlfn.XLOOKUP(NewTrader!$V76,TabCalc[Ticker],TabCalc[Rev(MinStock)])*Comm_Net)</f>
        <v>6780</v>
      </c>
      <c r="T76" s="1635">
        <f ca="1">_xlfn.XLOOKUP(NewTrader!$V76,TabCalc[Ticker],TabCalc[Agiotage])</f>
        <v>0.58216563357609563</v>
      </c>
      <c r="U76" s="1695"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2,640/2,640=&gt;1.8% / 1.8%</v>
      </c>
      <c r="V76" s="1578" t="str">
        <f ca="1">SORTING!B76</f>
        <v>EZJ</v>
      </c>
      <c r="W76" s="1637">
        <f ca="1">_xlfn.XLOOKUP(NewTrader!$V76,TabCalc[Ticker],TabCalc[Y])</f>
        <v>615.75</v>
      </c>
      <c r="X76" s="1639">
        <f ca="1">-_xlfn.XLOOKUP(NewTrader!$V76&amp;2,Consolid!B$3:JZ$3,Consolid!B$4:JZ$4)</f>
        <v>462.17186399999997</v>
      </c>
      <c r="Y76" s="1639">
        <f ca="1">_xlfn.XLOOKUP(NewTrader!$V76,TabCalc[Ticker],TabCalc[M])</f>
        <v>485.1</v>
      </c>
      <c r="Z76" s="1640">
        <f ca="1">_xlfn.XLOOKUP(NewTrader!$V76,[1]!RTData[Ticker_Symbol],[1]!RTData[YTChange])</f>
        <v>-0.11696376073769192</v>
      </c>
      <c r="AA76" s="1640" cm="1">
        <f t="array" aca="1" ref="AA76" ca="1">_xlfn.XLOOKUP(NewTrader!$V76,ListTickers,Tab1ChangePercent[Change%19])</f>
        <v>1.8262E-2</v>
      </c>
      <c r="AB76" s="1641">
        <f ca="1">_xlfn.XLOOKUP(NewTrader!$V76,TabCalc[Ticker],TabCalc[NAfter])</f>
        <v>30000</v>
      </c>
      <c r="AC76" s="1641">
        <f ca="1">_xlfn.XLOOKUP(NewTrader!$V76,TabCalc[Ticker],TabCalc[Nbegin])</f>
        <v>19440</v>
      </c>
      <c r="AD76" s="1642" t="str">
        <f ca="1">_xlfn.LET(_xlpm.PILE,_xlfn.XLOOKUP(NewTrader!$V76,TabCalc[Ticker],TabCalc[Pile?]),                    _xlpm.GL,_xlfn.XLOOKUP(NewTrader!$V76,TabCalc[Ticker],TabCalc[GL]),                        _xlpm.GLK,_xlfn.XLOOKUP(NewTrader!$V76,TabCalc[Ticker],TabCalc[GL])/1000,                             _xlpm.MVal,_xlfn.XLOOKUP(NewTrader!$V76,TabCalc[Ticker],TabCalc[M_V])/1000,                   _xlpm.PILE&amp;" "&amp;IF(_xlpm.GL&lt;0,TEXT(_xlpm.GLK,"#,#0")&amp;"K /"&amp;TEXT(_xlpm.MVal,"#,#0")&amp;" K$","^"&amp;TEXT(_xlpm.GLK,"#,#0")&amp;"K / "&amp;TEXT(_xlpm.MVal,"#,#0")&amp;" K$"))</f>
        <v xml:space="preserve"> ^37K / 145 K$</v>
      </c>
      <c r="AE76" s="1643" t="str">
        <f ca="1">_xlfn.XLOOKUP(NewTrader!$V76,[1]!RTData[Ticker_Symbol],[1]!RTData[Currency])</f>
        <v>GBp</v>
      </c>
      <c r="AF76" s="1721"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AG7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698" t="str" cm="1">
        <f t="array" aca="1" ref="AH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462.17 - 485.10 - 615.75</v>
      </c>
      <c r="AI7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76" s="1651" t="str" cm="1">
        <f t="array" aca="1" ref="AJ76" ca="1">_xlfn.IFS(Tab_NewTRADER[[#This Row],[State]]="Sell More",TEXT(MIN(Tab_NewTRADER[[#This Row],[N]],Tab_NewTRADER[[#This Row],[L_Bn]])*(Tab_NewTRADER[[#This Row],[M]]-Tab_NewTRADER[[#This Row],[L_Sp]])*Tab_NewTRADER[[#This Row],[Scale]]*ComFactor,"#,#0"), TRUE,"M= "&amp;TEXT(Tab_NewTRADER[[#This Row],[M]],"#,#0.00"))</f>
        <v>M= 485.10</v>
      </c>
      <c r="AK76" s="1699" t="str" cm="1">
        <f t="array" aca="1" ref="AK76" ca="1">_xlfn.IFS(Tab_NewTRADER[[#This Row],[Y]]&gt;Tab_NewTRADER[[#This Row],[A]],                 TEXT(MIN(Tab_NewTRADER[[#This Row],[L_Bn]],Tab_NewTRADER[[#This Row],[N]])*(Tab_NewTRADER[[#This Row],[M]]-Tab_NewTRADER[[#This Row],[A]])*Tab_NewTRADER[[#This Row],[Scale]]*ComFactor,"#,#0"), TRUE,0)</f>
        <v>4,574</v>
      </c>
      <c r="AL76" s="1700" cm="1">
        <f t="array" aca="1" ref="AL76" ca="1">_xlfn.IFS(Tab_NewTRADER[[#This Row],[M]]&gt;Tab_NewTRADER[[#This Row],[A]],                  Tab_NewTRADER[[#This Row],[N]]*(Tab_NewTRADER[[#This Row],[M]]-Tab_NewTRADER[[#This Row],[A]])*Tab_NewTRADER[[#This Row],[Scale]]*ComFactor, TRUE,0)</f>
        <v>6860.5568539200158</v>
      </c>
      <c r="AM76" s="1592" t="str">
        <f ca="1">_xlfn.XLOOKUP(Tab_NewTRADER[[#This Row],[Show]],TabCalc[Ticker],TabCalc[Max_Bn])&amp;" x "&amp;TEXT(_xlfn.XLOOKUP(Tab_NewTRADER[[#This Row],[Show]],TabCalc[Ticker],TabCalc[Max_Bp]),"#,#0.00")</f>
        <v>10000 x 480.90</v>
      </c>
      <c r="AN76" s="1650" t="str">
        <f ca="1">NewTrader!$V76</f>
        <v>EZJ</v>
      </c>
      <c r="AO76" s="1651" t="str">
        <f ca="1">TEXT(_xlfn.XLOOKUP(Tab_NewTRADER[[#This Row],[ClickTick]],TabCalc[Ticker],TabCalc[NAfter]),"#,#0")&amp;"x"&amp;_xlfn.XLOOKUP(Tab_NewTRADER[[#This Row],[ClickTick]],TabCalc[Ticker],TabCalc[M])&amp;"           (A: "&amp;TEXT(-_xlfn.XLOOKUP(Tab_NewTRADER[[#This Row],[ClickTick]]&amp;2,Consolid!B$3:JZ$3,Consolid!B$4:JZ$4),"#,??0.00")&amp;")"</f>
        <v>30,000x485.1           (A: 462.17)</v>
      </c>
      <c r="AP76" s="1592" t="str">
        <f ca="1">_xlfn.XLOOKUP(Tab_NewTRADER[[#This Row],[Show]],TabCalc[Ticker],TabCalc[Min_Sn])&amp;" x "&amp;TEXT(_xlfn.XLOOKUP(Tab_NewTRADER[[#This Row],[Show]],TabCalc[Ticker],TabCalc[Min_Sp]),"#,#0.00")</f>
        <v>6000 x 495.60</v>
      </c>
      <c r="AQ7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702" t="str" cm="1">
        <f t="array" aca="1" ref="AR76" ca="1">_xlfn.IFS(Tab_NewTRADER[[#This Row],[State]]="Reverse Buy",TEXT(-Tab_NewTRADER[[#This Row],[Buy_Back]],"#,#0")&amp;" / "&amp;TEXT(Tab_NewTRADER[[#This Row],[Rev_Buy]],"#,#0.0%"),TRUE,Tab_NewTRADER[[#This Row],[AMY]])</f>
        <v>1,047 / 2.1%</v>
      </c>
      <c r="AS76" s="1651"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99"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99" t="str" cm="1">
        <f t="array" aca="1" ref="AU76" ca="1">_xlfn.IFS(Tab_NewTRADER[[#This Row],[M]]&lt;Tab_NewTRADER[[#This Row],[A]],TEXT(Tab_NewTRADER[[#This Row],[N]]*Tab_NewTRADER[[#This Row],[M]]*Tab_NewTRADER[[#This Row],[Scale]]*Comm_Net,"#,#0")&amp;" @ "&amp;TEXT(Tab_NewTRADER[[#This Row],[M]],"#,#0.#0"),TRUE,"M: "&amp; Tab_NewTRADER[[#This Row],[M]])</f>
        <v>M: 485.1</v>
      </c>
      <c r="AV76" s="1703" cm="1">
        <f t="array" aca="1" ref="AV76" ca="1">-_xlfn.XLOOKUP(
    Tab_NewTRADER[[#This Row],[Show]] &amp; 2,
    TabConsolid[#Headers],
    INDEX(TabConsolid[], 1, 0)
)</f>
        <v>462.17186399999997</v>
      </c>
      <c r="AW76" s="1704">
        <f ca="1">Tab_NewTRADER[[#This Row],[M]]*Tab_NewTRADER[[#This Row],[N]]*(1-Commission)*Tab_NewTRADER[[#This Row],[Scale]]</f>
        <v>145151.622</v>
      </c>
      <c r="AX76" s="1705"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705"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706" t="str" cm="1">
        <f t="array" aca="1" ref="AZ76" ca="1">_xlfn.IFS(   Tab_NewTRADER[[#This Row],[State]]=SellMorePercentGain,                     MIN(Tab_NewTRADER[[#This Row],[L_Sn]],Tab_NewTRADER[[#This Row],[N]])*(Tab_NewTRADER[[#This Row],[M]]-Tab_NewTRADER[[#This Row],[L_Sp]])*(1-Commission)*Tab_NewTRADER[[#This Row],[Scale]],                    TRUE,"")</f>
        <v/>
      </c>
      <c r="BA76" s="1707">
        <f ca="1">_xlfn.XLOOKUP(NewTrader!$V76,TabCalc[Ticker],TabCalc[Ann%RevLB])</f>
        <v>0.32784248899992363</v>
      </c>
      <c r="BB76" s="1708">
        <f ca="1">_xlfn.XLOOKUP(NewTrader!$V76,TabCalc[Ticker],TabCalc[Up20])</f>
        <v>0</v>
      </c>
      <c r="BC76" s="1709"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706" t="str" cm="1">
        <f t="array" aca="1" ref="BD76" ca="1">_xlfn.IFS(         NewTrader!$AF76=MDown,NewTrader!$P76*NewTrader!$Y76*(-(NewTrader!$Q76+NewTrader!$Y76)/NewTrader!$Y76)*(1-Commission)*NewTrader!$A76,                               TRUE,"")</f>
        <v/>
      </c>
      <c r="BE76" s="1705" t="str" cm="1">
        <f t="array" aca="1" ref="BE76" ca="1">_xlfn.IFS(   NewTrader!$AF76=MUp,NewTrader!$BP76-Commission,        NewTrader!$AF76=MDown,(NewTrader!$X76-NewTrader!$Y76)/NewTrader!$Y76-Commission,                              TRUE,"")</f>
        <v/>
      </c>
      <c r="BF76" s="1710"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710" t="str" cm="1">
        <f t="array" aca="1" ref="BG76" ca="1">_xlfn.LET(_xlpm.SumChTxt,TEXT(_xlfn.XLOOKUP(NewTrader!$V76,ListTickers,Tab2SumChangePercent[AVGChan20]),"#0.0%"),
      _xlfn.IFS(NewTrader!$AF76=NoStock,_xlpm.SumChTxt,
      TRUE, IF(NewTrader!$AF76=SellMorePercentGain,             "SumChange "&amp;_xlpm.SumChTxt,                         "&lt;"&amp;INT(_xlfn.XLOOKUP(NewTrader!$V76,ListTickers,Tab2ReverseGL[Rev_GL19]))&amp;    "&lt;"&amp;INT(_xlfn.XLOOKUP(NewTrader!$V76,ListTickers,Tab2ReverseGL[Rev_GL18]))&amp;":      "&amp;_xlpm.SumChTxt)))</f>
        <v>&lt;-1&lt;-1:      0.0%</v>
      </c>
      <c r="BH76" s="1711"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M&lt;L_Sp</v>
      </c>
      <c r="BI76" s="1712" cm="1">
        <f t="array" aca="1" ref="BI76" ca="1">_xlfn.IFS(NewTrader!$AF76=Sale_Back,"",         NewTrader!$AF76=MDown, (NewTrader!$Y76-NewTrader!$X76)/NewTrader!$X76*ComFactor,             TRUE, IFERROR((NewTrader!$Y76-NewTrader!$X76)/NewTrader!$X76*ComFactor,""))</f>
        <v>4.9480560431519591E-2</v>
      </c>
      <c r="BJ76" s="1664" cm="1">
        <f t="array" aca="1" ref="BJ76" ca="1">_xlfn.IFS(               NewTrader!$AF76=NoStock,(NewTrader!$BL76-NewTrader!$Y76)/NewTrader!$Y76-Commission,             NewTrader!$X76&lt;&gt;0,(NewTrader!$X76-NewTrader!$Y76)/NewTrader!$Y76-Commission)</f>
        <v>-4.9864761904762009E-2</v>
      </c>
      <c r="BK76" s="1713">
        <f ca="1">_xlfn.XLOOKUP(NewTrader!$V76,TabCalc[Ticker],TabCalc[L_Sn])</f>
        <v>10000</v>
      </c>
      <c r="BL76" s="1693">
        <f ca="1">_xlfn.XLOOKUP(NewTrader!$V76,TabCalc[Ticker],TabCalc[L_Sp])</f>
        <v>495.6</v>
      </c>
      <c r="BM76" s="1694">
        <f ca="1">-IFERROR((Tab_NewTRADER[[#This Row],[M]]-Tab_NewTRADER[[#This Row],[L_Sp]])/Tab_NewTRADER[[#This Row],[L_Sp]],0)</f>
        <v>2.1186440677966101E-2</v>
      </c>
      <c r="BN76" s="1714">
        <f ca="1">MIN(Tab_NewTRADER[[#This Row],[L_Sn]],Tab_NewTRADER[[#This Row],[N]])*(Tab_NewTRADER[[#This Row],[M]]-Tab_NewTRADER[[#This Row],[L_Sp]])*Comm_Net*Tab_NewTRADER[[#This Row],[Scale]]</f>
        <v>-1047.165</v>
      </c>
      <c r="BO76" s="1715">
        <f ca="1">Tab_NewTRADER[[#This Row],[L_Sn]]*(Tab_NewTRADER[[#This Row],[Agiotage]]-Tab_NewTRADER[[#This Row],[M]])/(Tab_NewTRADER[[#This Row],[L_Bn]]*Tab_NewTRADER[[#This Row],[M]])</f>
        <v>-0.49939995296477419</v>
      </c>
      <c r="BP76" s="1716">
        <f ca="1">IFERROR((Tab_NewTRADER[[#This Row],[M]]-Tab_NewTRADER[[#This Row],[A]])/Tab_NewTRADER[[#This Row],[A]],0)</f>
        <v>4.9609545249167428E-2</v>
      </c>
      <c r="BQ76" s="1671" t="str">
        <f ca="1">TEXT(_xlfn.XLOOKUP(Tab_NewTRADER[[#This Row],[ClickTick]],TabCalc[Ticker],TabCalc[NAfter]),"#,#0")&amp;" : "&amp;TEXT(_xlfn.XLOOKUP(Tab_NewTRADER[[#This Row],[ClickTick]],TabCalc[Ticker],TabCalc[NAfter])*(Tab_NewTRADER[[#This Row],[M]]-Tab_NewTRADER[[#This Row],[A]])*(1-Commission)*Tab_NewTRADER[[#This Row],[Scale]],"#,#0$")</f>
        <v>30,000 : 6,861$</v>
      </c>
      <c r="BR76" s="262">
        <f ca="1">_xlfn.XLOOKUP(NewTrader!$V76,TabCalc[[#This Row],[Ticker]],TabCalc[[#This Row],[GL]])*(1-Commission)</f>
        <v>36433.470113822186</v>
      </c>
      <c r="BS76" s="262"/>
      <c r="BT76" s="1672" t="str">
        <f ca="1">Tab_NewTRADER[[#This Row],[Show]]&amp;": "&amp;_xlfn.XLOOKUP(Tab_NewTRADER[[#This Row],[Show]],TabCalc[Ticker],TabCalc[Pile?])</f>
        <v xml:space="preserve">EZJ: </v>
      </c>
      <c r="BU76" s="1717" t="s">
        <v>1995</v>
      </c>
      <c r="BV76" s="1674" t="str" cm="1">
        <f t="array" aca="1" ref="BV76" ca="1">_xlfn.TEXTJOIN("",,INDEX({"M","A","Y"}, _xlfn.SORTBY({1,2,3}, -CHOOSE({1,2,3}, Tab_NewTRADER[[#This Row],[M]], Tab_NewTRADER[[#This Row],[A]], Tab_NewTRADER[[#This Row],[Y]]))))</f>
        <v>YMA</v>
      </c>
      <c r="BW76" s="1675"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76">
        <f ca="1">Tab_NewTRADER[[#This Row],[L_Sn]]*Tab_NewTRADER[[#This Row],[L_Sp]]+Tab_NewTRADER[[#This Row],[SellMore]]*Tab_NewTRADER[[#This Row],[M]]</f>
        <v>9807000</v>
      </c>
      <c r="BY76" s="1676">
        <f ca="1">INDEX(
  INDEX(TabConsolid[], , _xlfn.XMATCH(Tab_NewTRADER[[#This Row],[ClickTick]]&amp;1, TabConsolid[#Headers])),
  MATCH(
    -Tab_NewTRADER[[#This Row],[M]],
    INDEX(TabConsolid[], , _xlfn.XMATCH(Tab_NewTRADER[[#This Row],[ClickTick]]&amp;2, TabConsolid[#Headers])),
    -1
  )
)</f>
        <v>10000</v>
      </c>
      <c r="BZ76" s="1676"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10000</v>
      </c>
      <c r="CA76" s="1677">
        <f ca="1">Tab_NewTRADER[[#This Row],[ReBuy]]/(Tab_NewTRADER[[#This Row],[L_Sn]]+Tab_NewTRADER[[#This Row],[SellMore]])</f>
        <v>490.35</v>
      </c>
      <c r="CB76" s="1678">
        <f ca="1">((_xlfn.XLOOKUP(Tab_NewTRADER[[#This Row],[Show]],TabCalc[Ticker],TabCalc[NAfter])+Tab_NewTRADER[[#This Row],[L_Sn]])*(Tab_NewTRADER[[#This Row],[Agiotage]]-Tab_NewTRADER[[#This Row],[M]]))/(Tab_NewTRADER[[#This Row],[L_Sn]]*_xlfn.XLOOKUP(Tab_NewTRADER[[#This Row],[Show]],TabCalc[Ticker],TabCalc[NAfter]))</f>
        <v>-6.4602377915523188E-2</v>
      </c>
      <c r="CC76" s="1677">
        <f ca="1">INDEX(Tab1Price[Price19], MATCH(Tab_NewTRADER[[#This Row],[Show]], Tab_NewTRADER[Show], 0))</f>
        <v>485.1</v>
      </c>
      <c r="CD76" s="1679">
        <f ca="1">_xlfn.XMATCH(Tab_NewTRADER[[#This Row],[Show]]&amp;1, TabConsolid[#Headers])</f>
        <v>224</v>
      </c>
      <c r="CE76" s="1678"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729" t="str" cm="1">
        <f t="array" aca="1" ref="CF76" ca="1">_xlfn.LET(
    _xlpm.FMT, _xlfn.LAMBDA(_xlpm.n, REPT(" ", 7 - LEN(TEXT(_xlpm.n,"0.00"))) &amp; TEXT(_xlpm.n,"0.00")),
    _xlpm.FMT(Tab_NewTRADER[[#This Row],[A]]) &amp; " -" &amp; _xlpm.FMT(Tab_NewTRADER[[#This Row],[M]]) &amp; " -" &amp; _xlpm.FMT(Tab_NewTRADER[[#This Row],[Y]])
)</f>
        <v xml:space="preserve"> 462.17 - 485.10 - 615.75</v>
      </c>
      <c r="CG76" s="1730" t="str" cm="1">
        <f t="array" aca="1" ref="CG76" ca="1">_xlfn.LET(
    _xlpm.W, 7,
    _xlpm.FMT, _xlfn.LAMBDA(_xlpm.n, REPT(" ", _xlpm.W - LEN(TEXT(_xlpm.n,"0.00"))) &amp; TEXT(_xlpm.n,"0.00")),
    _xlpm.FMT(Tab_NewTRADER[[#This Row],[A]]) &amp; " * " &amp; _xlpm.FMT(Tab_NewTRADER[[#This Row],[M]]) &amp; " * " &amp; _xlpm.FMT(Tab_NewTRADER[[#This Row],[Y]])
)</f>
        <v xml:space="preserve"> 462.17 *  485.10 *  615.75</v>
      </c>
      <c r="CH76" s="1842">
        <f>0</f>
        <v>0</v>
      </c>
      <c r="CI76" t="b">
        <f ca="1">IF(ABS(NewTrader!$Q76)&gt;=NewTrader!$Y76,"OK")</f>
        <v>0</v>
      </c>
    </row>
    <row r="77" spans="1:87" ht="23" hidden="1" thickBot="1">
      <c r="A77" s="1838">
        <f ca="1">IF(_xlfn.XLOOKUP(NewTrader!$V77,TabCalc[Ticker],TabCalc[Cur])="GBp",0.01,1)</f>
        <v>1</v>
      </c>
      <c r="B77" s="1620" t="str">
        <f ca="1">IFERROR(TRUNC(_xlfn.XLOOKUP(NewTrader!$V77,TabCalc[Ticker],ListLastBuyp),2)&amp;"x"&amp;_xlfn.XLOOKUP(NewTrader!$V77,TabCalc[Ticker],ListLastBuyn)&amp;"=    "&amp;IF(_xlfn.XLOOKUP(NewTrader!$V77,TabCalc[Ticker],ListReverseS)&gt;0,"+","")&amp;TEXT(_xlfn.XLOOKUP(NewTrader!$V77,TabCalc[Ticker],ListReverseS),"#,#0")&amp;" "&amp;#REF!,"")</f>
        <v/>
      </c>
      <c r="C77" s="1621" t="str">
        <f ca="1">_xlfn.XLOOKUP(NewTrader!$V77,TabCalc[Ticker],ListResale)&amp;" @ "&amp;TEXT((_xlfn.XLOOKUP(NewTrader!$V77,TabCalc[Ticker],TabCalc[L_Bp])+_xlfn.XLOOKUP(NewTrader!$V77,TabCalc[Ticker],TabCalc[M]))/_xlfn.XLOOKUP(NewTrader!$V77,TabCalc[Ticker],TabCalc[M]),"#0.0%")</f>
        <v>Resell @ 32.2%</v>
      </c>
      <c r="D77" s="1622"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718" t="str">
        <f ca="1">IF(      AND(NewTrader!$X77&lt;NewTrader!$Y77,    _xlfn.XLOOKUP(NewTrader!$V77,TabCalc[Ticker],TabCalc[L_Sp])&gt;NewTrader!$Y77),"BUY  "&amp;TEXT(DesiredBuyGain/NewTrader!$A77/(_xlfn.XLOOKUP(NewTrader!$V77,TabCalc[Ticker],TabCalc[L_Sp])-NewTrader!$Y77),"#,##0"),"")</f>
        <v/>
      </c>
      <c r="F77" s="1620" t="str">
        <f ca="1">TRUNC(TabCalc[[#This Row],[L_B1p]],2)&amp;"x"&amp;TabCalc[[#This Row],[L_B1n]]&amp;"=   "&amp;TEXT(TabCalc[[#This Row],[ReverseS1]],"#,#0")&amp;"$"</f>
        <v>-9.61x8000=   0$</v>
      </c>
      <c r="G77" s="1624" t="str">
        <f ca="1">IFERROR(TRUNC(_xlfn.XLOOKUP(NewTrader!$V77,TabCalc[Ticker],ListLastSalep),2)&amp;"x"&amp;_xlfn.XLOOKUP(NewTrader!$V77,TabCalc[Ticker],ListLastSalen)&amp;"=   "&amp;TEXT(-_xlfn.XLOOKUP(NewTrader!$V77,TabCalc[Ticker],ListReverseB),"#,#0")&amp;"$","")</f>
        <v>12.02x3000=   4,815$</v>
      </c>
      <c r="H77" s="1625"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-11.8% = 0</v>
      </c>
      <c r="I77" s="1620" t="str">
        <f ca="1">IFERROR(TRUNC(TabCalc[[#This Row],[L_S1p]],2)&amp;"x"&amp;TabCalc[[#This Row],[L_S1n]]&amp;"=   "&amp;TEXT(TabCalc[[#This Row],[ReverseB1]],"#,#0"),"")</f>
        <v>11.41x2000=   -4,430</v>
      </c>
      <c r="J77" s="1626">
        <f ca="1">_xlfn.XLOOKUP(NewTrader!$V77,TabCalc[Ticker],ListGravity)</f>
        <v>0.92770642201834863</v>
      </c>
      <c r="K77" s="1627" t="str" cm="1">
        <f t="array" aca="1" ref="K77" ca="1">IF(_xlfn.XLOOKUP(NewTrader!$V77,NewTrader!$V$3:$V$96,ListExtra_n)&gt;0,_xlfn.XLOOKUP(NewTrader!$V77,NewTrader!$V$3:$V$96,ListExtra_n),"")</f>
        <v/>
      </c>
      <c r="L77" s="1628" t="str">
        <f ca="1">IF(_xlfn.XLOOKUP(NewTrader!$V77,TabCalc[Ticker],ListExtra_n)&gt;0,_xlfn.XLOOKUP(NewTrader!$V77,TabCalc[Ticker],ListExtra_n)*NewTrader!$Y77*_xlfn.XLOOKUP(NewTrader!$V77,TabCalc[Ticker],ListScale),"")</f>
        <v/>
      </c>
      <c r="M77" s="1629">
        <f ca="1">_xlfn.XLOOKUP(NewTrader!$V77,TabCalc[Ticker],TabCalc[Agiotage])</f>
        <v>0.95151912282576889</v>
      </c>
      <c r="N77" s="1630" cm="1">
        <f t="array" aca="1" ref="N77" ca="1">_xlfn.XLOOKUP(NewTrader!$V77,ListTickers,Tab2RSIConventional[RSIConv20])</f>
        <v>64</v>
      </c>
      <c r="O77" s="1631" t="str">
        <f ca="1">TEXT(_xlfn.XLOOKUP(NewTrader!$V77,TabCalc[Ticker],TabCalc[Nbegin]),"#,#0")&amp;": "&amp;_xlfn.XLOOKUP(NewTrader!$V77,TabCalc[Ticker],TabCalc[Pile?])</f>
        <v>12,000: Pile</v>
      </c>
      <c r="P77" s="1632">
        <f ca="1">_xlfn.XLOOKUP(NewTrader!$V77,TabCalc[Ticker],TabCalc[L_Bn])</f>
        <v>10000</v>
      </c>
      <c r="Q77" s="1633">
        <f ca="1">_xlfn.XLOOKUP(NewTrader!$V77,TabCalc[Ticker],TabCalc[L_Bp])</f>
        <v>-9.2349999999999994</v>
      </c>
      <c r="R77" s="1634">
        <f ca="1">(NewTrader!$Y77+NewTrader!$Q77)/ABS(NewTrader!$Q77)</f>
        <v>0.47536545749864656</v>
      </c>
      <c r="S77" s="259">
        <f ca="1">INT(_xlfn.XLOOKUP(NewTrader!$V77,TabCalc[Ticker],TabCalc[Rev(MinStock)])*Comm_Net)</f>
        <v>0</v>
      </c>
      <c r="T77" s="1635">
        <f ca="1">_xlfn.XLOOKUP(NewTrader!$V77,TabCalc[Ticker],TabCalc[Agiotage])</f>
        <v>0.95151912282576889</v>
      </c>
      <c r="U77" s="1719"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0/0=&gt;1.6% / 1.6%</v>
      </c>
      <c r="V77" s="1578" t="str">
        <f ca="1">SORTING!B77</f>
        <v>F</v>
      </c>
      <c r="W77" s="1637">
        <f ca="1">_xlfn.XLOOKUP(NewTrader!$V77,TabCalc[Ticker],TabCalc[Y])</f>
        <v>12.64</v>
      </c>
      <c r="X77" s="1639">
        <f ca="1">-_xlfn.XLOOKUP(NewTrader!$V77&amp;2,Consolid!B$3:JZ$3,Consolid!B$4:JZ$4)</f>
        <v>0</v>
      </c>
      <c r="Y77" s="1639">
        <f ca="1">_xlfn.XLOOKUP(NewTrader!$V77,TabCalc[Ticker],TabCalc[M])</f>
        <v>13.625</v>
      </c>
      <c r="Z77" s="1640">
        <f ca="1">_xlfn.XLOOKUP(NewTrader!$V77,[1]!RTData[Ticker_Symbol],[1]!RTData[YTChange])</f>
        <v>0.21890067502410815</v>
      </c>
      <c r="AA77" s="1640" cm="1">
        <f t="array" aca="1" ref="AA77" ca="1">_xlfn.XLOOKUP(NewTrader!$V77,ListTickers,Tab1ChangePercent[Change%19])</f>
        <v>1.6032999999999999E-2</v>
      </c>
      <c r="AB77" s="1641">
        <f ca="1">_xlfn.XLOOKUP(NewTrader!$V77,TabCalc[Ticker],TabCalc[NAfter])</f>
        <v>0</v>
      </c>
      <c r="AC77" s="1641">
        <f ca="1">_xlfn.XLOOKUP(NewTrader!$V77,TabCalc[Ticker],TabCalc[Nbegin])</f>
        <v>12000</v>
      </c>
      <c r="AD77" s="1642" t="str">
        <f ca="1">_xlfn.LET(_xlpm.PILE,_xlfn.XLOOKUP(NewTrader!$V77,TabCalc[Ticker],TabCalc[Pile?]),                    _xlpm.GL,_xlfn.XLOOKUP(NewTrader!$V77,TabCalc[Ticker],TabCalc[GL]),                        _xlpm.GLK,_xlfn.XLOOKUP(NewTrader!$V77,TabCalc[Ticker],TabCalc[GL])/1000,                             _xlpm.MVal,_xlfn.XLOOKUP(NewTrader!$V77,TabCalc[Ticker],TabCalc[M_V])/1000,                   _xlpm.PILE&amp;" "&amp;IF(_xlpm.GL&lt;0,TEXT(_xlpm.GLK,"#,#0")&amp;"K /"&amp;TEXT(_xlpm.MVal,"#,#0")&amp;" K$","^"&amp;TEXT(_xlpm.GLK,"#,#0")&amp;"K / "&amp;TEXT(_xlpm.MVal,"#,#0")&amp;" K$"))</f>
        <v>Pile -13K /0 K$</v>
      </c>
      <c r="AE77" s="1720" t="str">
        <f ca="1">_xlfn.XLOOKUP(NewTrader!$V77,[1]!RTData[Ticker_Symbol],[1]!RTData[Currency])</f>
        <v>USD</v>
      </c>
      <c r="AF77" s="1721"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698" t="str" cm="1">
        <f t="array" aca="1" ref="AH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13.63 -  12.64</v>
      </c>
      <c r="AI7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77" s="1651" t="str" cm="1">
        <f t="array" aca="1" ref="AJ77" ca="1">_xlfn.IFS(Tab_NewTRADER[[#This Row],[State]]="Sell More",TEXT(MIN(Tab_NewTRADER[[#This Row],[N]],Tab_NewTRADER[[#This Row],[L_Bn]])*(Tab_NewTRADER[[#This Row],[M]]-Tab_NewTRADER[[#This Row],[L_Sp]])*Tab_NewTRADER[[#This Row],[Scale]]*ComFactor,"#,#0"), TRUE,"M= "&amp;TEXT(Tab_NewTRADER[[#This Row],[M]],"#,#0.00"))</f>
        <v>M= 13.63</v>
      </c>
      <c r="AK77" s="1699" t="str" cm="1">
        <f t="array" aca="1" ref="AK77" ca="1">_xlfn.IFS(Tab_NewTRADER[[#This Row],[Y]]&gt;Tab_NewTRADER[[#This Row],[A]],                 TEXT(MIN(Tab_NewTRADER[[#This Row],[L_Bn]],Tab_NewTRADER[[#This Row],[N]])*(Tab_NewTRADER[[#This Row],[M]]-Tab_NewTRADER[[#This Row],[A]])*Tab_NewTRADER[[#This Row],[Scale]]*ComFactor,"#,#0"), TRUE,0)</f>
        <v>0</v>
      </c>
      <c r="AL77" s="1700" cm="1">
        <f t="array" aca="1" ref="AL77" ca="1">_xlfn.IFS(Tab_NewTRADER[[#This Row],[M]]&gt;Tab_NewTRADER[[#This Row],[A]],                  Tab_NewTRADER[[#This Row],[N]]*(Tab_NewTRADER[[#This Row],[M]]-Tab_NewTRADER[[#This Row],[A]])*Tab_NewTRADER[[#This Row],[Scale]]*ComFactor, TRUE,0)</f>
        <v>0</v>
      </c>
      <c r="AM77" s="1592" t="e">
        <f ca="1">_xlfn.XLOOKUP(Tab_NewTRADER[[#This Row],[Show]],TabCalc[Ticker],TabCalc[Max_Bn])&amp;" x "&amp;TEXT(_xlfn.XLOOKUP(Tab_NewTRADER[[#This Row],[Show]],TabCalc[Ticker],TabCalc[Max_Bp]),"#,#0.00")</f>
        <v>#N/A</v>
      </c>
      <c r="AN77" s="1650" t="str">
        <f ca="1">NewTrader!$V77</f>
        <v>F</v>
      </c>
      <c r="AO77" s="1651" t="str">
        <f ca="1">TEXT(_xlfn.XLOOKUP(Tab_NewTRADER[[#This Row],[ClickTick]],TabCalc[Ticker],TabCalc[NAfter]),"#,#0")&amp;"x"&amp;_xlfn.XLOOKUP(Tab_NewTRADER[[#This Row],[ClickTick]],TabCalc[Ticker],TabCalc[M])&amp;"           (A: "&amp;TEXT(-_xlfn.XLOOKUP(Tab_NewTRADER[[#This Row],[ClickTick]]&amp;2,Consolid!B$3:JZ$3,Consolid!B$4:JZ$4),"#,??0.00")&amp;")"</f>
        <v>0x13.625           (A:   0.00)</v>
      </c>
      <c r="AP77" s="1592" t="str">
        <f ca="1">_xlfn.XLOOKUP(Tab_NewTRADER[[#This Row],[Show]],TabCalc[Ticker],TabCalc[Min_Sn])&amp;" x "&amp;TEXT(_xlfn.XLOOKUP(Tab_NewTRADER[[#This Row],[Show]],TabCalc[Ticker],TabCalc[Min_Sp]),"#,#0.00")</f>
        <v>2000 x 9.68</v>
      </c>
      <c r="AQ7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702" t="str" cm="1">
        <f t="array" aca="1" ref="AR77" ca="1">_xlfn.IFS(Tab_NewTRADER[[#This Row],[State]]="Reverse Buy",TEXT(-Tab_NewTRADER[[#This Row],[Buy_Back]],"#,#0")&amp;" / "&amp;TEXT(Tab_NewTRADER[[#This Row],[Rev_Buy]],"#,#0.0%"),TRUE,Tab_NewTRADER[[#This Row],[AMY]])</f>
        <v xml:space="preserve">   0.00 -  13.63 -  12.64</v>
      </c>
      <c r="AS77" s="1651"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99"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99" t="str" cm="1">
        <f t="array" aca="1" ref="AU77" ca="1">_xlfn.IFS(Tab_NewTRADER[[#This Row],[M]]&lt;Tab_NewTRADER[[#This Row],[A]],TEXT(Tab_NewTRADER[[#This Row],[N]]*Tab_NewTRADER[[#This Row],[M]]*Tab_NewTRADER[[#This Row],[Scale]]*Comm_Net,"#,#0")&amp;" @ "&amp;TEXT(Tab_NewTRADER[[#This Row],[M]],"#,#0.#0"),TRUE,"M: "&amp; Tab_NewTRADER[[#This Row],[M]])</f>
        <v>M: 13.625</v>
      </c>
      <c r="AV77" s="1740" cm="1">
        <f t="array" aca="1" ref="AV77" ca="1">-_xlfn.XLOOKUP(
    Tab_NewTRADER[[#This Row],[Show]] &amp; 2,
    TabConsolid[#Headers],
    INDEX(TabConsolid[], 1, 0)
)</f>
        <v>0</v>
      </c>
      <c r="AW77" s="1741">
        <f ca="1">Tab_NewTRADER[[#This Row],[M]]*Tab_NewTRADER[[#This Row],[N]]*(1-Commission)*Tab_NewTRADER[[#This Row],[Scale]]</f>
        <v>0</v>
      </c>
      <c r="AX77" s="1705"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705"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706" t="str" cm="1">
        <f t="array" aca="1" ref="AZ77" ca="1">_xlfn.IFS(   Tab_NewTRADER[[#This Row],[State]]=SellMorePercentGain,                     MIN(Tab_NewTRADER[[#This Row],[L_Sn]],Tab_NewTRADER[[#This Row],[N]])*(Tab_NewTRADER[[#This Row],[M]]-Tab_NewTRADER[[#This Row],[L_Sp]])*(1-Commission)*Tab_NewTRADER[[#This Row],[Scale]],                    TRUE,"")</f>
        <v/>
      </c>
      <c r="BA77" s="1707">
        <f ca="1">_xlfn.XLOOKUP(NewTrader!$V77,TabCalc[Ticker],TabCalc[Ann%RevLB])</f>
        <v>0.57814717803889448</v>
      </c>
      <c r="BB77" s="1708">
        <f ca="1">_xlfn.XLOOKUP(NewTrader!$V77,TabCalc[Ticker],TabCalc[Up20])</f>
        <v>0.25</v>
      </c>
      <c r="BC77" s="1725"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706" t="str" cm="1">
        <f t="array" aca="1" ref="BD77" ca="1">_xlfn.IFS(         NewTrader!$AF77=MDown,NewTrader!$P77*NewTrader!$Y77*(-(NewTrader!$Q77+NewTrader!$Y77)/NewTrader!$Y77)*(1-Commission)*NewTrader!$A77,                               TRUE,"")</f>
        <v/>
      </c>
      <c r="BE77" s="1705" t="str" cm="1">
        <f t="array" aca="1" ref="BE77" ca="1">_xlfn.IFS(   NewTrader!$AF77=MUp,NewTrader!$BP77-Commission,        NewTrader!$AF77=MDown,(NewTrader!$X77-NewTrader!$Y77)/NewTrader!$Y77-Commission,                              TRUE,"")</f>
        <v/>
      </c>
      <c r="BF77" s="1706"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710" t="str" cm="1">
        <f t="array" aca="1" ref="BG77" ca="1">_xlfn.LET(_xlpm.SumChTxt,TEXT(_xlfn.XLOOKUP(NewTrader!$V77,ListTickers,Tab2SumChangePercent[AVGChan20]),"#0.0%"),
      _xlfn.IFS(NewTrader!$AF77=NoStock,_xlpm.SumChTxt,
      TRUE, IF(NewTrader!$AF77=SellMorePercentGain,             "SumChange "&amp;_xlpm.SumChTxt,                         "&lt;"&amp;INT(_xlfn.XLOOKUP(NewTrader!$V77,ListTickers,Tab2ReverseGL[Rev_GL19]))&amp;    "&lt;"&amp;INT(_xlfn.XLOOKUP(NewTrader!$V77,ListTickers,Tab2ReverseGL[Rev_GL18]))&amp;":      "&amp;_xlpm.SumChTxt)))</f>
        <v>0.2%</v>
      </c>
      <c r="BH77" s="1711"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0x13.62</v>
      </c>
      <c r="BI77" s="1712" t="str" cm="1">
        <f t="array" aca="1" ref="BI77" ca="1">_xlfn.IFS(NewTrader!$AF77=Sale_Back,"",         NewTrader!$AF77=MDown, (NewTrader!$Y77-NewTrader!$X77)/NewTrader!$X77*ComFactor,             TRUE, IFERROR((NewTrader!$Y77-NewTrader!$X77)/NewTrader!$X77*ComFactor,""))</f>
        <v/>
      </c>
      <c r="BJ77" s="1664" cm="1">
        <f t="array" aca="1" ref="BJ77" ca="1">_xlfn.IFS(               NewTrader!$AF77=NoStock,(NewTrader!$BL77-NewTrader!$Y77)/NewTrader!$Y77-Commission,             NewTrader!$X77&lt;&gt;0,(NewTrader!$X77-NewTrader!$Y77)/NewTrader!$Y77-Commission)</f>
        <v>-0.12039816513761471</v>
      </c>
      <c r="BK77" s="1726">
        <f ca="1">_xlfn.XLOOKUP(NewTrader!$V77,TabCalc[Ticker],TabCalc[L_Sn])</f>
        <v>3000</v>
      </c>
      <c r="BL77" s="1727">
        <f ca="1">_xlfn.XLOOKUP(NewTrader!$V77,TabCalc[Ticker],TabCalc[L_Sp])</f>
        <v>12.02</v>
      </c>
      <c r="BM77" s="1634">
        <f ca="1">-IFERROR((Tab_NewTRADER[[#This Row],[M]]-Tab_NewTRADER[[#This Row],[L_Sp]])/Tab_NewTRADER[[#This Row],[L_Sp]],0)</f>
        <v>-0.1335274542429285</v>
      </c>
      <c r="BN77" s="1728">
        <f ca="1">MIN(Tab_NewTRADER[[#This Row],[L_Sn]],Tab_NewTRADER[[#This Row],[N]])*(Tab_NewTRADER[[#This Row],[M]]-Tab_NewTRADER[[#This Row],[L_Sp]])*Comm_Net*Tab_NewTRADER[[#This Row],[Scale]]</f>
        <v>0</v>
      </c>
      <c r="BO77" s="1715">
        <f ca="1">Tab_NewTRADER[[#This Row],[L_Sn]]*(Tab_NewTRADER[[#This Row],[Agiotage]]-Tab_NewTRADER[[#This Row],[M]])/(Tab_NewTRADER[[#This Row],[L_Bn]]*Tab_NewTRADER[[#This Row],[M]])</f>
        <v>-0.27904912023135925</v>
      </c>
      <c r="BP77" s="1670">
        <f ca="1">IFERROR((Tab_NewTRADER[[#This Row],[M]]-Tab_NewTRADER[[#This Row],[A]])/Tab_NewTRADER[[#This Row],[A]],0)</f>
        <v>0</v>
      </c>
      <c r="BQ77" s="1671"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Row],[GL]])*(1-Commission)</f>
        <v>-12619.9146888</v>
      </c>
      <c r="BS77" s="259"/>
      <c r="BT77" s="1672" t="str">
        <f ca="1">Tab_NewTRADER[[#This Row],[Show]]&amp;": "&amp;_xlfn.XLOOKUP(Tab_NewTRADER[[#This Row],[Show]],TabCalc[Ticker],TabCalc[Pile?])</f>
        <v>F: Pile</v>
      </c>
      <c r="BU77" s="1717" t="s">
        <v>2000</v>
      </c>
      <c r="BV77" s="1674" t="str" cm="1">
        <f t="array" aca="1" ref="BV77" ca="1">_xlfn.TEXTJOIN("",,INDEX({"M","A","Y"}, _xlfn.SORTBY({1,2,3}, -CHOOSE({1,2,3}, Tab_NewTRADER[[#This Row],[M]], Tab_NewTRADER[[#This Row],[A]], Tab_NewTRADER[[#This Row],[Y]]))))</f>
        <v>MYA</v>
      </c>
      <c r="BW77" s="1675"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76" t="e">
        <f ca="1">Tab_NewTRADER[[#This Row],[L_Sn]]*Tab_NewTRADER[[#This Row],[L_Sp]]+Tab_NewTRADER[[#This Row],[SellMore]]*Tab_NewTRADER[[#This Row],[M]]</f>
        <v>#N/A</v>
      </c>
      <c r="BY77" s="1676" t="e">
        <f ca="1">INDEX(
  INDEX(TabConsolid[], , _xlfn.XMATCH(Tab_NewTRADER[[#This Row],[ClickTick]]&amp;1, TabConsolid[#Headers])),
  MATCH(
    -Tab_NewTRADER[[#This Row],[M]],
    INDEX(TabConsolid[], , _xlfn.XMATCH(Tab_NewTRADER[[#This Row],[ClickTick]]&amp;2, TabConsolid[#Headers])),
    -1
  )
)</f>
        <v>#N/A</v>
      </c>
      <c r="BZ77" s="1676"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77" t="e">
        <f ca="1">Tab_NewTRADER[[#This Row],[ReBuy]]/(Tab_NewTRADER[[#This Row],[L_Sn]]+Tab_NewTRADER[[#This Row],[SellMore]])</f>
        <v>#N/A</v>
      </c>
      <c r="CB77" s="1678" t="e">
        <f ca="1">((_xlfn.XLOOKUP(Tab_NewTRADER[[#This Row],[Show]],TabCalc[Ticker],TabCalc[NAfter])+Tab_NewTRADER[[#This Row],[L_Sn]])*(Tab_NewTRADER[[#This Row],[Agiotage]]-Tab_NewTRADER[[#This Row],[M]]))/(Tab_NewTRADER[[#This Row],[L_Sn]]*_xlfn.XLOOKUP(Tab_NewTRADER[[#This Row],[Show]],TabCalc[Ticker],TabCalc[NAfter]))</f>
        <v>#DIV/0!</v>
      </c>
      <c r="CC77" s="1677">
        <f ca="1">INDEX(Tab1Price[Price19], MATCH(Tab_NewTRADER[[#This Row],[Show]], Tab_NewTRADER[Show], 0))</f>
        <v>13.625</v>
      </c>
      <c r="CD77" s="1679">
        <f ca="1">_xlfn.XMATCH(Tab_NewTRADER[[#This Row],[Show]]&amp;1, TabConsolid[#Headers])</f>
        <v>227</v>
      </c>
      <c r="CE77" s="1678"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78" t="str" cm="1">
        <f t="array" aca="1" ref="CF77" ca="1">_xlfn.LET(
    _xlpm.FMT, _xlfn.LAMBDA(_xlpm.n, REPT(" ", 7 - LEN(TEXT(_xlpm.n,"0.00"))) &amp; TEXT(_xlpm.n,"0.00")),
    _xlpm.FMT(Tab_NewTRADER[[#This Row],[A]]) &amp; " -" &amp; _xlpm.FMT(Tab_NewTRADER[[#This Row],[M]]) &amp; " -" &amp; _xlpm.FMT(Tab_NewTRADER[[#This Row],[Y]])
)</f>
        <v xml:space="preserve">   0.00 -  13.63 -  12.64</v>
      </c>
      <c r="CG77" s="1680" t="str" cm="1">
        <f t="array" aca="1" ref="CG77" ca="1">_xlfn.LET(
    _xlpm.W, 7,
    _xlpm.FMT, _xlfn.LAMBDA(_xlpm.n, REPT(" ", _xlpm.W - LEN(TEXT(_xlpm.n,"0.00"))) &amp; TEXT(_xlpm.n,"0.00")),
    _xlpm.FMT(Tab_NewTRADER[[#This Row],[A]]) &amp; " * " &amp; _xlpm.FMT(Tab_NewTRADER[[#This Row],[M]]) &amp; " * " &amp; _xlpm.FMT(Tab_NewTRADER[[#This Row],[Y]])
)</f>
        <v xml:space="preserve">   0.00 *   13.63 *   12.64</v>
      </c>
      <c r="CH77" s="1842">
        <f>0</f>
        <v>0</v>
      </c>
      <c r="CI77" t="b">
        <f ca="1">IF(ABS(NewTrader!$Q77)&gt;=NewTrader!$Y77,"OK")</f>
        <v>0</v>
      </c>
    </row>
    <row r="78" spans="1:87" ht="23" hidden="1" thickBot="1">
      <c r="A78" s="1839">
        <f ca="1">IF(_xlfn.XLOOKUP(NewTrader!$V78,TabCalc[Ticker],TabCalc[Cur])="GBp",0.01,1)</f>
        <v>1</v>
      </c>
      <c r="B78" s="1681" t="str">
        <f ca="1">IFERROR(TRUNC(_xlfn.XLOOKUP(NewTrader!$V78,TabCalc[Ticker],ListLastBuyp),2)&amp;"x"&amp;_xlfn.XLOOKUP(NewTrader!$V78,TabCalc[Ticker],ListLastBuyn)&amp;"=    "&amp;IF(_xlfn.XLOOKUP(NewTrader!$V78,TabCalc[Ticker],ListReverseS)&gt;0,"+","")&amp;TEXT(_xlfn.XLOOKUP(NewTrader!$V78,TabCalc[Ticker],ListReverseS),"#,#0")&amp;" "&amp;#REF!,"")</f>
        <v/>
      </c>
      <c r="C78" s="1682" t="str">
        <f ca="1">_xlfn.XLOOKUP(NewTrader!$V78,TabCalc[Ticker],ListResale)&amp;" @ "&amp;TEXT((_xlfn.XLOOKUP(NewTrader!$V78,TabCalc[Ticker],TabCalc[L_Bp])+_xlfn.XLOOKUP(NewTrader!$V78,TabCalc[Ticker],TabCalc[M]))/_xlfn.XLOOKUP(NewTrader!$V78,TabCalc[Ticker],TabCalc[M]),"#0.0%")</f>
        <v>Resell @ 55.0%</v>
      </c>
      <c r="D78" s="1683"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84" t="str">
        <f ca="1">IF(      AND(NewTrader!$X78&lt;NewTrader!$Y78,    _xlfn.XLOOKUP(NewTrader!$V78,TabCalc[Ticker],TabCalc[L_Sp])&gt;NewTrader!$Y78),"BUY  "&amp;TEXT(DesiredBuyGain/NewTrader!$A78/(_xlfn.XLOOKUP(NewTrader!$V78,TabCalc[Ticker],TabCalc[L_Sp])-NewTrader!$Y78),"#,##0"),"")</f>
        <v/>
      </c>
      <c r="F78" s="1681" t="str">
        <f ca="1">TRUNC(TabCalc[[#This Row],[L_B1p]],2)&amp;"x"&amp;TabCalc[[#This Row],[L_B1n]]&amp;"=   "&amp;TEXT(TabCalc[[#This Row],[ReverseS1]],"#,#0")&amp;"$"</f>
        <v>-21.87x2000=   0$</v>
      </c>
      <c r="G78" s="1685" t="str">
        <f ca="1">IFERROR(TRUNC(_xlfn.XLOOKUP(NewTrader!$V78,TabCalc[Ticker],ListLastSalep),2)&amp;"x"&amp;_xlfn.XLOOKUP(NewTrader!$V78,TabCalc[Ticker],ListLastSalen)&amp;"=   "&amp;TEXT(-_xlfn.XLOOKUP(NewTrader!$V78,TabCalc[Ticker],ListReverseB),"#,#0")&amp;"$","")</f>
        <v>31.1x2000=   66,520$</v>
      </c>
      <c r="H78" s="1686"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51.7% = 0</v>
      </c>
      <c r="I78" s="1681" t="str">
        <f ca="1">IFERROR(TRUNC(TabCalc[[#This Row],[L_S1p]],2)&amp;"x"&amp;TabCalc[[#This Row],[L_S1n]]&amp;"=   "&amp;TEXT(TabCalc[[#This Row],[ReverseB1]],"#,#0"),"")</f>
        <v>23.05x2000=   -82,602</v>
      </c>
      <c r="J78" s="1687">
        <f ca="1">_xlfn.XLOOKUP(NewTrader!$V78,TabCalc[Ticker],ListGravity)</f>
        <v>1.0259995338719703</v>
      </c>
      <c r="K78" s="1688" t="str" cm="1">
        <f t="array" aca="1" ref="K78" ca="1">IF(_xlfn.XLOOKUP(NewTrader!$V78,NewTrader!$V$3:$V$96,ListExtra_n)&gt;0,_xlfn.XLOOKUP(NewTrader!$V78,NewTrader!$V$3:$V$96,ListExtra_n),"")</f>
        <v/>
      </c>
      <c r="L78" s="1689" t="str">
        <f ca="1">IF(_xlfn.XLOOKUP(NewTrader!$V78,TabCalc[Ticker],ListExtra_n)&gt;0,_xlfn.XLOOKUP(NewTrader!$V78,TabCalc[Ticker],ListExtra_n)*NewTrader!$Y78*_xlfn.XLOOKUP(NewTrader!$V78,TabCalc[Ticker],ListScale),"")</f>
        <v/>
      </c>
      <c r="M78" s="1690">
        <f ca="1">_xlfn.XLOOKUP(NewTrader!$V78,TabCalc[Ticker],TabCalc[Agiotage])</f>
        <v>1.0644112472996281</v>
      </c>
      <c r="N78" s="1691" cm="1">
        <f t="array" aca="1" ref="N78" ca="1">_xlfn.XLOOKUP(NewTrader!$V78,ListTickers,Tab2RSIConventional[RSIConv20])</f>
        <v>70</v>
      </c>
      <c r="O78" s="1631" t="str">
        <f ca="1">TEXT(_xlfn.XLOOKUP(NewTrader!$V78,TabCalc[Ticker],TabCalc[Nbegin]),"#,#0")&amp;": "&amp;_xlfn.XLOOKUP(NewTrader!$V78,TabCalc[Ticker],TabCalc[Pile?])</f>
        <v>5,000: Pile</v>
      </c>
      <c r="P78" s="1691">
        <f ca="1">_xlfn.XLOOKUP(NewTrader!$V78,TabCalc[Ticker],TabCalc[L_Bn])</f>
        <v>2000</v>
      </c>
      <c r="Q78" s="1731">
        <f ca="1">_xlfn.XLOOKUP(NewTrader!$V78,TabCalc[Ticker],TabCalc[L_Bp])</f>
        <v>-28.94</v>
      </c>
      <c r="R78" s="1694">
        <f ca="1">(NewTrader!$Y78+NewTrader!$Q78)/ABS(NewTrader!$Q78)</f>
        <v>1.2239115411195578</v>
      </c>
      <c r="S78" s="262">
        <f ca="1">INT(_xlfn.XLOOKUP(NewTrader!$V78,TabCalc[Ticker],TabCalc[Rev(MinStock)])*Comm_Net)</f>
        <v>0</v>
      </c>
      <c r="T78" s="1635">
        <f ca="1">_xlfn.XLOOKUP(NewTrader!$V78,TabCalc[Ticker],TabCalc[Agiotage])</f>
        <v>1.0644112472996281</v>
      </c>
      <c r="U78" s="1695"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0/0=&gt;1.4% / 1.4%</v>
      </c>
      <c r="V78" s="1578" t="str">
        <f ca="1">SORTING!B78</f>
        <v>GLE</v>
      </c>
      <c r="W78" s="1637">
        <f ca="1">_xlfn.XLOOKUP(NewTrader!$V78,TabCalc[Ticker],TabCalc[Y])</f>
        <v>66.033330000000007</v>
      </c>
      <c r="X78" s="1639">
        <f ca="1">-_xlfn.XLOOKUP(NewTrader!$V78&amp;2,Consolid!B$3:JZ$3,Consolid!B$4:JZ$4)</f>
        <v>0</v>
      </c>
      <c r="Y78" s="1639">
        <f ca="1">_xlfn.XLOOKUP(NewTrader!$V78,TabCalc[Ticker],TabCalc[M])</f>
        <v>64.36</v>
      </c>
      <c r="Z78" s="1640">
        <f ca="1">_xlfn.XLOOKUP(NewTrader!$V78,[1]!RTData[Ticker_Symbol],[1]!RTData[YTChange])</f>
        <v>0.10479053036640461</v>
      </c>
      <c r="AA78" s="1640" cm="1">
        <f t="array" aca="1" ref="AA78" ca="1">_xlfn.XLOOKUP(NewTrader!$V78,ListTickers,Tab1ChangePercent[Change%19])</f>
        <v>1.3863E-2</v>
      </c>
      <c r="AB78" s="1641">
        <f ca="1">_xlfn.XLOOKUP(NewTrader!$V78,TabCalc[Ticker],TabCalc[NAfter])</f>
        <v>0</v>
      </c>
      <c r="AC78" s="1641">
        <f ca="1">_xlfn.XLOOKUP(NewTrader!$V78,TabCalc[Ticker],TabCalc[Nbegin])</f>
        <v>5000</v>
      </c>
      <c r="AD78" s="1642" t="str">
        <f ca="1">_xlfn.LET(_xlpm.PILE,_xlfn.XLOOKUP(NewTrader!$V78,TabCalc[Ticker],TabCalc[Pile?]),                    _xlpm.GL,_xlfn.XLOOKUP(NewTrader!$V78,TabCalc[Ticker],TabCalc[GL]),                        _xlpm.GLK,_xlfn.XLOOKUP(NewTrader!$V78,TabCalc[Ticker],TabCalc[GL])/1000,                             _xlpm.MVal,_xlfn.XLOOKUP(NewTrader!$V78,TabCalc[Ticker],TabCalc[M_V])/1000,                   _xlpm.PILE&amp;" "&amp;IF(_xlpm.GL&lt;0,TEXT(_xlpm.GLK,"#,#0")&amp;"K /"&amp;TEXT(_xlpm.MVal,"#,#0")&amp;" K$","^"&amp;TEXT(_xlpm.GLK,"#,#0")&amp;"K / "&amp;TEXT(_xlpm.MVal,"#,#0")&amp;" K$"))</f>
        <v>Pile ^44K / 0 K$</v>
      </c>
      <c r="AE78" s="1720" t="str">
        <f ca="1">_xlfn.XLOOKUP(NewTrader!$V78,[1]!RTData[Ticker_Symbol],[1]!RTData[Currency])</f>
        <v>EUR</v>
      </c>
      <c r="AF78" s="1696"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698" t="str" cm="1">
        <f t="array" aca="1" ref="AH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64.36 -  66.03</v>
      </c>
      <c r="AI7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78" s="1651" t="str" cm="1">
        <f t="array" aca="1" ref="AJ78" ca="1">_xlfn.IFS(Tab_NewTRADER[[#This Row],[State]]="Sell More",TEXT(MIN(Tab_NewTRADER[[#This Row],[N]],Tab_NewTRADER[[#This Row],[L_Bn]])*(Tab_NewTRADER[[#This Row],[M]]-Tab_NewTRADER[[#This Row],[L_Sp]])*Tab_NewTRADER[[#This Row],[Scale]]*ComFactor,"#,#0"), TRUE,"M= "&amp;TEXT(Tab_NewTRADER[[#This Row],[M]],"#,#0.00"))</f>
        <v>M= 64.36</v>
      </c>
      <c r="AK78" s="1699" t="str" cm="1">
        <f t="array" aca="1" ref="AK78" ca="1">_xlfn.IFS(Tab_NewTRADER[[#This Row],[Y]]&gt;Tab_NewTRADER[[#This Row],[A]],                 TEXT(MIN(Tab_NewTRADER[[#This Row],[L_Bn]],Tab_NewTRADER[[#This Row],[N]])*(Tab_NewTRADER[[#This Row],[M]]-Tab_NewTRADER[[#This Row],[A]])*Tab_NewTRADER[[#This Row],[Scale]]*ComFactor,"#,#0"), TRUE,0)</f>
        <v>0</v>
      </c>
      <c r="AL78" s="1700" cm="1">
        <f t="array" aca="1" ref="AL78" ca="1">_xlfn.IFS(Tab_NewTRADER[[#This Row],[M]]&gt;Tab_NewTRADER[[#This Row],[A]],                  Tab_NewTRADER[[#This Row],[N]]*(Tab_NewTRADER[[#This Row],[M]]-Tab_NewTRADER[[#This Row],[A]])*Tab_NewTRADER[[#This Row],[Scale]]*ComFactor, TRUE,0)</f>
        <v>0</v>
      </c>
      <c r="AM78" s="1592" t="e">
        <f ca="1">_xlfn.XLOOKUP(Tab_NewTRADER[[#This Row],[Show]],TabCalc[Ticker],TabCalc[Max_Bn])&amp;" x "&amp;TEXT(_xlfn.XLOOKUP(Tab_NewTRADER[[#This Row],[Show]],TabCalc[Ticker],TabCalc[Max_Bp]),"#,#0.00")</f>
        <v>#N/A</v>
      </c>
      <c r="AN78" s="1650" t="str">
        <f ca="1">NewTrader!$V78</f>
        <v>GLE</v>
      </c>
      <c r="AO78" s="1651" t="str">
        <f ca="1">TEXT(_xlfn.XLOOKUP(Tab_NewTRADER[[#This Row],[ClickTick]],TabCalc[Ticker],TabCalc[NAfter]),"#,#0")&amp;"x"&amp;_xlfn.XLOOKUP(Tab_NewTRADER[[#This Row],[ClickTick]],TabCalc[Ticker],TabCalc[M])&amp;"           (A: "&amp;TEXT(-_xlfn.XLOOKUP(Tab_NewTRADER[[#This Row],[ClickTick]]&amp;2,Consolid!B$3:JZ$3,Consolid!B$4:JZ$4),"#,??0.00")&amp;")"</f>
        <v>0x64.36           (A:   0.00)</v>
      </c>
      <c r="AP78" s="1592" t="str">
        <f ca="1">_xlfn.XLOOKUP(Tab_NewTRADER[[#This Row],[Show]],TabCalc[Ticker],TabCalc[Min_Sn])&amp;" x "&amp;TEXT(_xlfn.XLOOKUP(Tab_NewTRADER[[#This Row],[Show]],TabCalc[Ticker],TabCalc[Min_Sp]),"#,#0.00")</f>
        <v>490 x 22.32</v>
      </c>
      <c r="AQ7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702" t="str" cm="1">
        <f t="array" aca="1" ref="AR78" ca="1">_xlfn.IFS(Tab_NewTRADER[[#This Row],[State]]="Reverse Buy",TEXT(-Tab_NewTRADER[[#This Row],[Buy_Back]],"#,#0")&amp;" / "&amp;TEXT(Tab_NewTRADER[[#This Row],[Rev_Buy]],"#,#0.0%"),TRUE,Tab_NewTRADER[[#This Row],[AMY]])</f>
        <v xml:space="preserve">   0.00 -  64.36 -  66.03</v>
      </c>
      <c r="AS78" s="1651"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99"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99" t="str" cm="1">
        <f t="array" aca="1" ref="AU78" ca="1">_xlfn.IFS(Tab_NewTRADER[[#This Row],[M]]&lt;Tab_NewTRADER[[#This Row],[A]],TEXT(Tab_NewTRADER[[#This Row],[N]]*Tab_NewTRADER[[#This Row],[M]]*Tab_NewTRADER[[#This Row],[Scale]]*Comm_Net,"#,#0")&amp;" @ "&amp;TEXT(Tab_NewTRADER[[#This Row],[M]],"#,#0.#0"),TRUE,"M: "&amp; Tab_NewTRADER[[#This Row],[M]])</f>
        <v>M: 64.36</v>
      </c>
      <c r="AV78" s="1703" cm="1">
        <f t="array" aca="1" ref="AV78" ca="1">-_xlfn.XLOOKUP(
    Tab_NewTRADER[[#This Row],[Show]] &amp; 2,
    TabConsolid[#Headers],
    INDEX(TabConsolid[], 1, 0)
)</f>
        <v>0</v>
      </c>
      <c r="AW78" s="1704">
        <f ca="1">Tab_NewTRADER[[#This Row],[M]]*Tab_NewTRADER[[#This Row],[N]]*(1-Commission)*Tab_NewTRADER[[#This Row],[Scale]]</f>
        <v>0</v>
      </c>
      <c r="AX78" s="1705"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705"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8" s="1706" t="str" cm="1">
        <f t="array" aca="1" ref="AZ78" ca="1">_xlfn.IFS(   Tab_NewTRADER[[#This Row],[State]]=SellMorePercentGain,                     MIN(Tab_NewTRADER[[#This Row],[L_Sn]],Tab_NewTRADER[[#This Row],[N]])*(Tab_NewTRADER[[#This Row],[M]]-Tab_NewTRADER[[#This Row],[L_Sp]])*(1-Commission)*Tab_NewTRADER[[#This Row],[Scale]],                    TRUE,"")</f>
        <v/>
      </c>
      <c r="BA78" s="1707">
        <f ca="1">_xlfn.XLOOKUP(NewTrader!$V78,TabCalc[Ticker],TabCalc[Ann%RevLB])</f>
        <v>1.343317545131222</v>
      </c>
      <c r="BB78" s="1708">
        <f ca="1">_xlfn.XLOOKUP(NewTrader!$V78,TabCalc[Ticker],TabCalc[Up20])</f>
        <v>0.38095238095238093</v>
      </c>
      <c r="BC78" s="1709"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
      </c>
      <c r="BD78" s="1706" t="str" cm="1">
        <f t="array" aca="1" ref="BD78" ca="1">_xlfn.IFS(         NewTrader!$AF78=MDown,NewTrader!$P78*NewTrader!$Y78*(-(NewTrader!$Q78+NewTrader!$Y78)/NewTrader!$Y78)*(1-Commission)*NewTrader!$A78,                               TRUE,"")</f>
        <v/>
      </c>
      <c r="BE78" s="1705" t="str" cm="1">
        <f t="array" aca="1" ref="BE78" ca="1">_xlfn.IFS(   NewTrader!$AF78=MUp,NewTrader!$BP78-Commission,        NewTrader!$AF78=MDown,(NewTrader!$X78-NewTrader!$Y78)/NewTrader!$Y78-Commission,                              TRUE,"")</f>
        <v/>
      </c>
      <c r="BF78" s="1706"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710" t="str" cm="1">
        <f t="array" aca="1" ref="BG78" ca="1">_xlfn.LET(_xlpm.SumChTxt,TEXT(_xlfn.XLOOKUP(NewTrader!$V78,ListTickers,Tab2SumChangePercent[AVGChan20]),"#0.0%"),
      _xlfn.IFS(NewTrader!$AF78=NoStock,_xlpm.SumChTxt,
      TRUE, IF(NewTrader!$AF78=SellMorePercentGain,             "SumChange "&amp;_xlpm.SumChTxt,                         "&lt;"&amp;INT(_xlfn.XLOOKUP(NewTrader!$V78,ListTickers,Tab2ReverseGL[Rev_GL19]))&amp;    "&lt;"&amp;INT(_xlfn.XLOOKUP(NewTrader!$V78,ListTickers,Tab2ReverseGL[Rev_GL18]))&amp;":      "&amp;_xlpm.SumChTxt)))</f>
        <v>0.2%</v>
      </c>
      <c r="BH78" s="1711"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0x64.36</v>
      </c>
      <c r="BI78" s="1712" t="str" cm="1">
        <f t="array" aca="1" ref="BI78" ca="1">_xlfn.IFS(NewTrader!$AF78=Sale_Back,"",         NewTrader!$AF78=MDown, (NewTrader!$Y78-NewTrader!$X78)/NewTrader!$X78*ComFactor,             TRUE, IFERROR((NewTrader!$Y78-NewTrader!$X78)/NewTrader!$X78*ComFactor,""))</f>
        <v/>
      </c>
      <c r="BJ78" s="1664" cm="1">
        <f t="array" aca="1" ref="BJ78" ca="1">_xlfn.IFS(               NewTrader!$AF78=NoStock,(NewTrader!$BL78-NewTrader!$Y78)/NewTrader!$Y78-Commission,             NewTrader!$X78&lt;&gt;0,(NewTrader!$X78-NewTrader!$Y78)/NewTrader!$Y78-Commission)</f>
        <v>-0.519380609073959</v>
      </c>
      <c r="BK78" s="1713">
        <f ca="1">_xlfn.XLOOKUP(NewTrader!$V78,TabCalc[Ticker],TabCalc[L_Sn])</f>
        <v>2000</v>
      </c>
      <c r="BL78" s="1693">
        <f ca="1">_xlfn.XLOOKUP(NewTrader!$V78,TabCalc[Ticker],TabCalc[L_Sp])</f>
        <v>31.1</v>
      </c>
      <c r="BM78" s="1694">
        <f ca="1">-IFERROR((Tab_NewTRADER[[#This Row],[M]]-Tab_NewTRADER[[#This Row],[L_Sp]])/Tab_NewTRADER[[#This Row],[L_Sp]],0)</f>
        <v>-1.0694533762057876</v>
      </c>
      <c r="BN78" s="1714">
        <f ca="1">MIN(Tab_NewTRADER[[#This Row],[L_Sn]],Tab_NewTRADER[[#This Row],[N]])*(Tab_NewTRADER[[#This Row],[M]]-Tab_NewTRADER[[#This Row],[L_Sp]])*Comm_Net*Tab_NewTRADER[[#This Row],[Scale]]</f>
        <v>0</v>
      </c>
      <c r="BO78" s="1715">
        <f ca="1">Tab_NewTRADER[[#This Row],[L_Sn]]*(Tab_NewTRADER[[#This Row],[Agiotage]]-Tab_NewTRADER[[#This Row],[M]])/(Tab_NewTRADER[[#This Row],[L_Bn]]*Tab_NewTRADER[[#This Row],[M]])</f>
        <v>-0.98346160274549976</v>
      </c>
      <c r="BP78" s="1716">
        <f ca="1">IFERROR((Tab_NewTRADER[[#This Row],[M]]-Tab_NewTRADER[[#This Row],[A]])/Tab_NewTRADER[[#This Row],[A]],0)</f>
        <v>0</v>
      </c>
      <c r="BQ78" s="1671"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Row],[GL]])*(1-Commission)</f>
        <v>43472.786121979188</v>
      </c>
      <c r="BS78" s="262"/>
      <c r="BT78" s="1672" t="str">
        <f ca="1">Tab_NewTRADER[[#This Row],[Show]]&amp;": "&amp;_xlfn.XLOOKUP(Tab_NewTRADER[[#This Row],[Show]],TabCalc[Ticker],TabCalc[Pile?])</f>
        <v>GLE: Pile</v>
      </c>
      <c r="BU78" s="1717" t="s">
        <v>2001</v>
      </c>
      <c r="BV78" s="1674" t="str" cm="1">
        <f t="array" aca="1" ref="BV78" ca="1">_xlfn.TEXTJOIN("",,INDEX({"M","A","Y"}, _xlfn.SORTBY({1,2,3}, -CHOOSE({1,2,3}, Tab_NewTRADER[[#This Row],[M]], Tab_NewTRADER[[#This Row],[A]], Tab_NewTRADER[[#This Row],[Y]]))))</f>
        <v>YMA</v>
      </c>
      <c r="BW78" s="1675"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
      </c>
      <c r="BX78" s="1676" t="e">
        <f ca="1">Tab_NewTRADER[[#This Row],[L_Sn]]*Tab_NewTRADER[[#This Row],[L_Sp]]+Tab_NewTRADER[[#This Row],[SellMore]]*Tab_NewTRADER[[#This Row],[M]]</f>
        <v>#N/A</v>
      </c>
      <c r="BY78" s="1676" t="e">
        <f ca="1">INDEX(
  INDEX(TabConsolid[], , _xlfn.XMATCH(Tab_NewTRADER[[#This Row],[ClickTick]]&amp;1, TabConsolid[#Headers])),
  MATCH(
    -Tab_NewTRADER[[#This Row],[M]],
    INDEX(TabConsolid[], , _xlfn.XMATCH(Tab_NewTRADER[[#This Row],[ClickTick]]&amp;2, TabConsolid[#Headers])),
    -1
  )
)</f>
        <v>#N/A</v>
      </c>
      <c r="BZ78" s="1676"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77" t="e">
        <f ca="1">Tab_NewTRADER[[#This Row],[ReBuy]]/(Tab_NewTRADER[[#This Row],[L_Sn]]+Tab_NewTRADER[[#This Row],[SellMore]])</f>
        <v>#N/A</v>
      </c>
      <c r="CB78" s="1678" t="e">
        <f ca="1">((_xlfn.XLOOKUP(Tab_NewTRADER[[#This Row],[Show]],TabCalc[Ticker],TabCalc[NAfter])+Tab_NewTRADER[[#This Row],[L_Sn]])*(Tab_NewTRADER[[#This Row],[Agiotage]]-Tab_NewTRADER[[#This Row],[M]]))/(Tab_NewTRADER[[#This Row],[L_Sn]]*_xlfn.XLOOKUP(Tab_NewTRADER[[#This Row],[Show]],TabCalc[Ticker],TabCalc[NAfter]))</f>
        <v>#DIV/0!</v>
      </c>
      <c r="CC78" s="1677">
        <f ca="1">INDEX(Tab1Price[Price19], MATCH(Tab_NewTRADER[[#This Row],[Show]], Tab_NewTRADER[Show], 0))</f>
        <v>64.36</v>
      </c>
      <c r="CD78" s="1679">
        <f ca="1">_xlfn.XMATCH(Tab_NewTRADER[[#This Row],[Show]]&amp;1, TabConsolid[#Headers])</f>
        <v>230</v>
      </c>
      <c r="CE78" s="1678"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78" t="str" cm="1">
        <f t="array" aca="1" ref="CF78" ca="1">_xlfn.LET(
    _xlpm.FMT, _xlfn.LAMBDA(_xlpm.n, REPT(" ", 7 - LEN(TEXT(_xlpm.n,"0.00"))) &amp; TEXT(_xlpm.n,"0.00")),
    _xlpm.FMT(Tab_NewTRADER[[#This Row],[A]]) &amp; " -" &amp; _xlpm.FMT(Tab_NewTRADER[[#This Row],[M]]) &amp; " -" &amp; _xlpm.FMT(Tab_NewTRADER[[#This Row],[Y]])
)</f>
        <v xml:space="preserve">   0.00 -  64.36 -  66.03</v>
      </c>
      <c r="CG78" s="1680" t="str" cm="1">
        <f t="array" aca="1" ref="CG78" ca="1">_xlfn.LET(
    _xlpm.W, 7,
    _xlpm.FMT, _xlfn.LAMBDA(_xlpm.n, REPT(" ", _xlpm.W - LEN(TEXT(_xlpm.n,"0.00"))) &amp; TEXT(_xlpm.n,"0.00")),
    _xlpm.FMT(Tab_NewTRADER[[#This Row],[A]]) &amp; " * " &amp; _xlpm.FMT(Tab_NewTRADER[[#This Row],[M]]) &amp; " * " &amp; _xlpm.FMT(Tab_NewTRADER[[#This Row],[Y]])
)</f>
        <v xml:space="preserve">   0.00 *   64.36 *   66.03</v>
      </c>
      <c r="CH78" s="1842">
        <f>0</f>
        <v>0</v>
      </c>
      <c r="CI78" t="b">
        <f ca="1">IF(ABS(NewTrader!$Q78)&gt;=NewTrader!$Y78,"OK")</f>
        <v>0</v>
      </c>
    </row>
    <row r="79" spans="1:87" ht="23" hidden="1" thickBot="1">
      <c r="A79" s="1838">
        <f ca="1">IF(_xlfn.XLOOKUP(NewTrader!$V79,TabCalc[Ticker],TabCalc[Cur])="GBp",0.01,1)</f>
        <v>1</v>
      </c>
      <c r="B79" s="1620" t="str">
        <f ca="1">IFERROR(TRUNC(_xlfn.XLOOKUP(NewTrader!$V79,TabCalc[Ticker],ListLastBuyp),2)&amp;"x"&amp;_xlfn.XLOOKUP(NewTrader!$V79,TabCalc[Ticker],ListLastBuyn)&amp;"=    "&amp;IF(_xlfn.XLOOKUP(NewTrader!$V79,TabCalc[Ticker],ListReverseS)&gt;0,"+","")&amp;TEXT(_xlfn.XLOOKUP(NewTrader!$V79,TabCalc[Ticker],ListReverseS),"#,#0")&amp;" "&amp;#REF!,"")</f>
        <v/>
      </c>
      <c r="C79" s="1621" t="str">
        <f ca="1">_xlfn.XLOOKUP(NewTrader!$V79,TabCalc[Ticker],ListResale)&amp;" @ "&amp;TEXT((_xlfn.XLOOKUP(NewTrader!$V79,TabCalc[Ticker],TabCalc[L_Bp])+_xlfn.XLOOKUP(NewTrader!$V79,TabCalc[Ticker],TabCalc[M]))/_xlfn.XLOOKUP(NewTrader!$V79,TabCalc[Ticker],TabCalc[M]),"#0.0%")</f>
        <v>Sell @ -9.2%</v>
      </c>
      <c r="D79" s="1622"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718" t="str">
        <f ca="1">IF(      AND(NewTrader!$X79&lt;NewTrader!$Y79,    _xlfn.XLOOKUP(NewTrader!$V79,TabCalc[Ticker],TabCalc[L_Sp])&gt;NewTrader!$Y79),"BUY  "&amp;TEXT(DesiredBuyGain/NewTrader!$A79/(_xlfn.XLOOKUP(NewTrader!$V79,TabCalc[Ticker],TabCalc[L_Sp])-NewTrader!$Y79),"#,##0"),"")</f>
        <v/>
      </c>
      <c r="F79" s="1620" t="str">
        <f ca="1">TRUNC(TabCalc[[#This Row],[L_B1p]],2)&amp;"x"&amp;TabCalc[[#This Row],[L_B1n]]&amp;"=   "&amp;TEXT(TabCalc[[#This Row],[ReverseS1]],"#,#0")&amp;"$"</f>
        <v>-166.7x200=   206$</v>
      </c>
      <c r="G79" s="1624" t="str">
        <f ca="1">IFERROR(TRUNC(_xlfn.XLOOKUP(NewTrader!$V79,TabCalc[Ticker],ListLastSalep),2)&amp;"x"&amp;_xlfn.XLOOKUP(NewTrader!$V79,TabCalc[Ticker],ListLastSalen)&amp;"=   "&amp;TEXT(-_xlfn.XLOOKUP(NewTrader!$V79,TabCalc[Ticker],ListReverseB),"#,#0")&amp;"$","")</f>
        <v>192.01x200=   -4,856$</v>
      </c>
      <c r="H79" s="1625"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14.5% = 206</v>
      </c>
      <c r="I79" s="1620" t="str">
        <f ca="1">IFERROR(TRUNC(TabCalc[[#This Row],[L_S1p]],2)&amp;"x"&amp;TabCalc[[#This Row],[L_S1n]]&amp;"=   "&amp;TEXT(TabCalc[[#This Row],[ReverseB1]],"#,#0"),"")</f>
        <v>189.91x600=   13,308</v>
      </c>
      <c r="J79" s="1626">
        <f ca="1">_xlfn.XLOOKUP(NewTrader!$V79,TabCalc[Ticker],ListGravity)</f>
        <v>1.2281643116914089</v>
      </c>
      <c r="K79" s="1627" cm="1">
        <f t="array" aca="1" ref="K79" ca="1">IF(_xlfn.XLOOKUP(NewTrader!$V79,NewTrader!$V$3:$V$96,ListExtra_n)&gt;0,_xlfn.XLOOKUP(NewTrader!$V79,NewTrader!$V$3:$V$96,ListExtra_n),"")</f>
        <v>350</v>
      </c>
      <c r="L79" s="1628">
        <f ca="1">IF(_xlfn.XLOOKUP(NewTrader!$V79,TabCalc[Ticker],ListExtra_n)&gt;0,_xlfn.XLOOKUP(NewTrader!$V79,TabCalc[Ticker],ListExtra_n)*NewTrader!$Y79*_xlfn.XLOOKUP(NewTrader!$V79,TabCalc[Ticker],ListScale),"")</f>
        <v>58705.5</v>
      </c>
      <c r="M79" s="1629">
        <f ca="1">_xlfn.XLOOKUP(NewTrader!$V79,TabCalc[Ticker],TabCalc[Agiotage])</f>
        <v>0.45658747132549016</v>
      </c>
      <c r="N79" s="1630" cm="1">
        <f t="array" aca="1" ref="N79" ca="1">_xlfn.XLOOKUP(NewTrader!$V79,ListTickers,Tab2RSIConventional[RSIConv20])</f>
        <v>81</v>
      </c>
      <c r="O79" s="1631" t="str">
        <f ca="1">TEXT(_xlfn.XLOOKUP(NewTrader!$V79,TabCalc[Ticker],TabCalc[Nbegin]),"#,#0")&amp;": "&amp;_xlfn.XLOOKUP(NewTrader!$V79,TabCalc[Ticker],TabCalc[Pile?])</f>
        <v xml:space="preserve">550: </v>
      </c>
      <c r="P79" s="1632">
        <f ca="1">_xlfn.XLOOKUP(NewTrader!$V79,TabCalc[Ticker],TabCalc[L_Bn])</f>
        <v>300</v>
      </c>
      <c r="Q79" s="1727">
        <f ca="1">_xlfn.XLOOKUP(NewTrader!$V79,TabCalc[Ticker],TabCalc[L_Bp])</f>
        <v>-183.16</v>
      </c>
      <c r="R79" s="1634">
        <f ca="1">(NewTrader!$Y79+NewTrader!$Q79)/ABS(NewTrader!$Q79)</f>
        <v>-8.4243284559947632E-2</v>
      </c>
      <c r="S79" s="259">
        <f ca="1">INT(_xlfn.XLOOKUP(NewTrader!$V79,TabCalc[Ticker],TabCalc[Rev(MinStock)])*Comm_Net)</f>
        <v>-4605</v>
      </c>
      <c r="T79" s="1635">
        <f ca="1">_xlfn.XLOOKUP(NewTrader!$V79,TabCalc[Ticker],TabCalc[Agiotage])</f>
        <v>0.45658747132549016</v>
      </c>
      <c r="U79" s="1719"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1,062/1,062=&gt;0.7% / 0.7%</v>
      </c>
      <c r="V79" s="1578" t="str">
        <f ca="1">SORTING!B79</f>
        <v>GNRC</v>
      </c>
      <c r="W79" s="1637">
        <f ca="1">_xlfn.XLOOKUP(NewTrader!$V79,TabCalc[Ticker],TabCalc[Y])</f>
        <v>206</v>
      </c>
      <c r="X79" s="1639">
        <f ca="1">-_xlfn.XLOOKUP(NewTrader!$V79&amp;2,Consolid!B$3:JZ$3,Consolid!B$4:JZ$4)</f>
        <v>181.40821599999998</v>
      </c>
      <c r="Y79" s="1639">
        <f ca="1">_xlfn.XLOOKUP(NewTrader!$V79,TabCalc[Ticker],TabCalc[M])</f>
        <v>167.73</v>
      </c>
      <c r="Z79" s="1640">
        <f ca="1">_xlfn.XLOOKUP(NewTrader!$V79,[1]!RTData[Ticker_Symbol],[1]!RTData[YTChange])</f>
        <v>0.31059931288968057</v>
      </c>
      <c r="AA79" s="1640" cm="1">
        <f t="array" aca="1" ref="AA79" ca="1">_xlfn.XLOOKUP(NewTrader!$V79,ListTickers,Tab1ChangePercent[Change%19])</f>
        <v>6.9640000000000006E-3</v>
      </c>
      <c r="AB79" s="1641">
        <f ca="1">_xlfn.XLOOKUP(NewTrader!$V79,TabCalc[Ticker],TabCalc[NAfter])</f>
        <v>900</v>
      </c>
      <c r="AC79" s="1641">
        <f ca="1">_xlfn.XLOOKUP(NewTrader!$V79,TabCalc[Ticker],TabCalc[Nbegin])</f>
        <v>550</v>
      </c>
      <c r="AD79" s="1642" t="str">
        <f ca="1">_xlfn.LET(_xlpm.PILE,_xlfn.XLOOKUP(NewTrader!$V79,TabCalc[Ticker],TabCalc[Pile?]),                    _xlpm.GL,_xlfn.XLOOKUP(NewTrader!$V79,TabCalc[Ticker],TabCalc[GL]),                        _xlpm.GLK,_xlfn.XLOOKUP(NewTrader!$V79,TabCalc[Ticker],TabCalc[GL])/1000,                             _xlpm.MVal,_xlfn.XLOOKUP(NewTrader!$V79,TabCalc[Ticker],TabCalc[M_V])/1000,                   _xlpm.PILE&amp;" "&amp;IF(_xlpm.GL&lt;0,TEXT(_xlpm.GLK,"#,#0")&amp;"K /"&amp;TEXT(_xlpm.MVal,"#,#0")&amp;" K$","^"&amp;TEXT(_xlpm.GLK,"#,#0")&amp;"K / "&amp;TEXT(_xlpm.MVal,"#,#0")&amp;" K$"))</f>
        <v xml:space="preserve"> ^29K / 151 K$</v>
      </c>
      <c r="AE79" s="1720" t="str">
        <f ca="1">_xlfn.XLOOKUP(NewTrader!$V79,[1]!RTData[Ticker_Symbol],[1]!RTData[Currency])</f>
        <v>USD</v>
      </c>
      <c r="AF79" s="1696"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698" t="str" cm="1">
        <f t="array" aca="1" ref="AH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181.41 - 167.73 - 206.00</v>
      </c>
      <c r="AI7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79" s="1651" t="str" cm="1">
        <f t="array" aca="1" ref="AJ79" ca="1">_xlfn.IFS(Tab_NewTRADER[[#This Row],[State]]="Sell More",TEXT(MIN(Tab_NewTRADER[[#This Row],[N]],Tab_NewTRADER[[#This Row],[L_Bn]])*(Tab_NewTRADER[[#This Row],[M]]-Tab_NewTRADER[[#This Row],[L_Sp]])*Tab_NewTRADER[[#This Row],[Scale]]*ComFactor,"#,#0"), TRUE,"M= "&amp;TEXT(Tab_NewTRADER[[#This Row],[M]],"#,#0.00"))</f>
        <v>M= 167.73</v>
      </c>
      <c r="AK79" s="1699" t="str" cm="1">
        <f t="array" aca="1" ref="AK79" ca="1">_xlfn.IFS(Tab_NewTRADER[[#This Row],[Y]]&gt;Tab_NewTRADER[[#This Row],[A]],                 TEXT(MIN(Tab_NewTRADER[[#This Row],[L_Bn]],Tab_NewTRADER[[#This Row],[N]])*(Tab_NewTRADER[[#This Row],[M]]-Tab_NewTRADER[[#This Row],[A]])*Tab_NewTRADER[[#This Row],[Scale]]*ComFactor,"#,#0"), TRUE,0)</f>
        <v>-4,093</v>
      </c>
      <c r="AL79" s="1700" cm="1">
        <f t="array" aca="1" ref="AL79" ca="1">_xlfn.IFS(Tab_NewTRADER[[#This Row],[M]]&gt;Tab_NewTRADER[[#This Row],[A]],                  Tab_NewTRADER[[#This Row],[N]]*(Tab_NewTRADER[[#This Row],[M]]-Tab_NewTRADER[[#This Row],[A]])*Tab_NewTRADER[[#This Row],[Scale]]*ComFactor, TRUE,0)</f>
        <v>0</v>
      </c>
      <c r="AM79" s="1592" t="str">
        <f ca="1">_xlfn.XLOOKUP(Tab_NewTRADER[[#This Row],[Show]],TabCalc[Ticker],TabCalc[Max_Bn])&amp;" x "&amp;TEXT(_xlfn.XLOOKUP(Tab_NewTRADER[[#This Row],[Show]],TabCalc[Ticker],TabCalc[Max_Bp]),"#,#0.00")</f>
        <v>400 x 186.39</v>
      </c>
      <c r="AN79" s="1650" t="str">
        <f ca="1">NewTrader!$V79</f>
        <v>GNRC</v>
      </c>
      <c r="AO79" s="1651" t="str">
        <f ca="1">TEXT(_xlfn.XLOOKUP(Tab_NewTRADER[[#This Row],[ClickTick]],TabCalc[Ticker],TabCalc[NAfter]),"#,#0")&amp;"x"&amp;_xlfn.XLOOKUP(Tab_NewTRADER[[#This Row],[ClickTick]],TabCalc[Ticker],TabCalc[M])&amp;"           (A: "&amp;TEXT(-_xlfn.XLOOKUP(Tab_NewTRADER[[#This Row],[ClickTick]]&amp;2,Consolid!B$3:JZ$3,Consolid!B$4:JZ$4),"#,??0.00")&amp;")"</f>
        <v>900x167.73           (A: 181.41)</v>
      </c>
      <c r="AP79" s="1592" t="str">
        <f ca="1">_xlfn.XLOOKUP(Tab_NewTRADER[[#This Row],[Show]],TabCalc[Ticker],TabCalc[Min_Sn])&amp;" x "&amp;TEXT(_xlfn.XLOOKUP(Tab_NewTRADER[[#This Row],[Show]],TabCalc[Ticker],TabCalc[Min_Sp]),"#,#0.00")</f>
        <v>200 x 108.67</v>
      </c>
      <c r="AQ7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702" t="str" cm="1">
        <f t="array" aca="1" ref="AR79" ca="1">_xlfn.IFS(Tab_NewTRADER[[#This Row],[State]]="Reverse Buy",TEXT(-Tab_NewTRADER[[#This Row],[Buy_Back]],"#,#0")&amp;" / "&amp;TEXT(Tab_NewTRADER[[#This Row],[Rev_Buy]],"#,#0.0%"),TRUE,Tab_NewTRADER[[#This Row],[AMY]])</f>
        <v xml:space="preserve"> 181.41 - 167.73 - 206.00</v>
      </c>
      <c r="AS79" s="1651"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13,851       / 09.2%</v>
      </c>
      <c r="AT79" s="1699"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-12,278   / -8.2%</v>
      </c>
      <c r="AU79" s="1699" t="str" cm="1">
        <f t="array" aca="1" ref="AU79" ca="1">_xlfn.IFS(Tab_NewTRADER[[#This Row],[M]]&lt;Tab_NewTRADER[[#This Row],[A]],TEXT(Tab_NewTRADER[[#This Row],[N]]*Tab_NewTRADER[[#This Row],[M]]*Tab_NewTRADER[[#This Row],[Scale]]*Comm_Net,"#,#0")&amp;" @ "&amp;TEXT(Tab_NewTRADER[[#This Row],[M]],"#,#0.#0"),TRUE,"M: "&amp; Tab_NewTRADER[[#This Row],[M]])</f>
        <v>150,549 @ 167.73</v>
      </c>
      <c r="AV79" s="1740" cm="1">
        <f t="array" aca="1" ref="AV79" ca="1">-_xlfn.XLOOKUP(
    Tab_NewTRADER[[#This Row],[Show]] &amp; 2,
    TabConsolid[#Headers],
    INDEX(TabConsolid[], 1, 0)
)</f>
        <v>181.40821599999998</v>
      </c>
      <c r="AW79" s="1741">
        <f ca="1">Tab_NewTRADER[[#This Row],[M]]*Tab_NewTRADER[[#This Row],[N]]*(1-Commission)*Tab_NewTRADER[[#This Row],[Scale]]</f>
        <v>150564.51180000001</v>
      </c>
      <c r="AX79" s="1705"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705"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706" t="str" cm="1">
        <f t="array" aca="1" ref="AZ79" ca="1">_xlfn.IFS(   Tab_NewTRADER[[#This Row],[State]]=SellMorePercentGain,                     MIN(Tab_NewTRADER[[#This Row],[L_Sn]],Tab_NewTRADER[[#This Row],[N]])*(Tab_NewTRADER[[#This Row],[M]]-Tab_NewTRADER[[#This Row],[L_Sp]])*(1-Commission)*Tab_NewTRADER[[#This Row],[Scale]],                    TRUE,"")</f>
        <v/>
      </c>
      <c r="BA79" s="1723">
        <f ca="1">_xlfn.XLOOKUP(NewTrader!$V79,TabCalc[Ticker],TabCalc[Ann%RevLB])</f>
        <v>-0.60655164883162294</v>
      </c>
      <c r="BB79" s="1708">
        <f ca="1">_xlfn.XLOOKUP(NewTrader!$V79,TabCalc[Ticker],TabCalc[Up20])</f>
        <v>0</v>
      </c>
      <c r="BC79" s="1725"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706" t="str" cm="1">
        <f t="array" aca="1" ref="BD79" ca="1">_xlfn.IFS(         NewTrader!$AF79=MDown,NewTrader!$P79*NewTrader!$Y79*(-(NewTrader!$Q79+NewTrader!$Y79)/NewTrader!$Y79)*(1-Commission)*NewTrader!$A79,                               TRUE,"")</f>
        <v/>
      </c>
      <c r="BE79" s="1705" t="str" cm="1">
        <f t="array" aca="1" ref="BE79" ca="1">_xlfn.IFS(   NewTrader!$AF79=MUp,NewTrader!$BP79-Commission,        NewTrader!$AF79=MDown,(NewTrader!$X79-NewTrader!$Y79)/NewTrader!$Y79-Commission,                              TRUE,"")</f>
        <v/>
      </c>
      <c r="BF79" s="1710"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710" t="str" cm="1">
        <f t="array" aca="1" ref="BG79" ca="1">_xlfn.LET(_xlpm.SumChTxt,TEXT(_xlfn.XLOOKUP(NewTrader!$V79,ListTickers,Tab2SumChangePercent[AVGChan20]),"#0.0%"),
      _xlfn.IFS(NewTrader!$AF79=NoStock,_xlpm.SumChTxt,
      TRUE, IF(NewTrader!$AF79=SellMorePercentGain,             "SumChange "&amp;_xlpm.SumChTxt,                         "&lt;"&amp;INT(_xlfn.XLOOKUP(NewTrader!$V79,ListTickers,Tab2ReverseGL[Rev_GL19]))&amp;    "&lt;"&amp;INT(_xlfn.XLOOKUP(NewTrader!$V79,ListTickers,Tab2ReverseGL[Rev_GL18]))&amp;":      "&amp;_xlpm.SumChTxt)))</f>
        <v>&lt;0&lt;0:      0.5%</v>
      </c>
      <c r="BH79" s="1711"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-15.43</v>
      </c>
      <c r="BI79" s="1712" cm="1">
        <f t="array" aca="1" ref="BI79" ca="1">_xlfn.IFS(NewTrader!$AF79=Sale_Back,"",         NewTrader!$AF79=MDown, (NewTrader!$Y79-NewTrader!$X79)/NewTrader!$X79*ComFactor,             TRUE, IFERROR((NewTrader!$Y79-NewTrader!$X79)/NewTrader!$X79*ComFactor,""))</f>
        <v>-7.5204160755320992E-2</v>
      </c>
      <c r="BJ79" s="1664" cm="1">
        <f t="array" aca="1" ref="BJ79" ca="1">_xlfn.IFS(               NewTrader!$AF79=NoStock,(NewTrader!$BL79-NewTrader!$Y79)/NewTrader!$Y79-Commission,             NewTrader!$X79&lt;&gt;0,(NewTrader!$X79-NewTrader!$Y79)/NewTrader!$Y79-Commission)</f>
        <v>7.8949013295176729E-2</v>
      </c>
      <c r="BK79" s="1726">
        <f ca="1">_xlfn.XLOOKUP(NewTrader!$V79,TabCalc[Ticker],TabCalc[L_Sn])</f>
        <v>200</v>
      </c>
      <c r="BL79" s="1727">
        <f ca="1">_xlfn.XLOOKUP(NewTrader!$V79,TabCalc[Ticker],TabCalc[L_Sp])</f>
        <v>192.01</v>
      </c>
      <c r="BM79" s="1634">
        <f ca="1">-IFERROR((Tab_NewTRADER[[#This Row],[M]]-Tab_NewTRADER[[#This Row],[L_Sp]])/Tab_NewTRADER[[#This Row],[L_Sp]],0)</f>
        <v>0.12645174730482789</v>
      </c>
      <c r="BN79" s="1728">
        <f ca="1">MIN(Tab_NewTRADER[[#This Row],[L_Sn]],Tab_NewTRADER[[#This Row],[N]])*(Tab_NewTRADER[[#This Row],[M]]-Tab_NewTRADER[[#This Row],[L_Sp]])*Comm_Net*Tab_NewTRADER[[#This Row],[Scale]]</f>
        <v>-4842.8887999999997</v>
      </c>
      <c r="BO79" s="1715">
        <f ca="1">Tab_NewTRADER[[#This Row],[L_Sn]]*(Tab_NewTRADER[[#This Row],[Agiotage]]-Tab_NewTRADER[[#This Row],[M]])/(Tab_NewTRADER[[#This Row],[L_Bn]]*Tab_NewTRADER[[#This Row],[M]])</f>
        <v>-0.66485189502444197</v>
      </c>
      <c r="BP79" s="1670">
        <f ca="1">IFERROR((Tab_NewTRADER[[#This Row],[M]]-Tab_NewTRADER[[#This Row],[A]])/Tab_NewTRADER[[#This Row],[A]],0)</f>
        <v>-7.5400201278645468E-2</v>
      </c>
      <c r="BQ79" s="1671" t="str">
        <f ca="1">TEXT(_xlfn.XLOOKUP(Tab_NewTRADER[[#This Row],[ClickTick]],TabCalc[Ticker],TabCalc[NAfter]),"#,#0")&amp;" : "&amp;TEXT(_xlfn.XLOOKUP(Tab_NewTRADER[[#This Row],[ClickTick]],TabCalc[Ticker],TabCalc[NAfter])*(Tab_NewTRADER[[#This Row],[M]]-Tab_NewTRADER[[#This Row],[A]])*(1-Commission)*Tab_NewTRADER[[#This Row],[Scale]],"#,#0$")</f>
        <v>900 : -12,278$</v>
      </c>
      <c r="BR79" s="259">
        <f ca="1">_xlfn.XLOOKUP(NewTrader!$V79,TabCalc[[#This Row],[Ticker]],TabCalc[[#This Row],[GL]])*(1-Commission)</f>
        <v>28719.245142586868</v>
      </c>
      <c r="BS79" s="259"/>
      <c r="BT79" s="1672" t="str">
        <f ca="1">Tab_NewTRADER[[#This Row],[Show]]&amp;": "&amp;_xlfn.XLOOKUP(Tab_NewTRADER[[#This Row],[Show]],TabCalc[Ticker],TabCalc[Pile?])</f>
        <v xml:space="preserve">GNRC: </v>
      </c>
      <c r="BU79" s="1717" t="s">
        <v>2002</v>
      </c>
      <c r="BV79" s="1674" t="str" cm="1">
        <f t="array" aca="1" ref="BV79" ca="1">_xlfn.TEXTJOIN("",,INDEX({"M","A","Y"}, _xlfn.SORTBY({1,2,3}, -CHOOSE({1,2,3}, Tab_NewTRADER[[#This Row],[M]], Tab_NewTRADER[[#This Row],[A]], Tab_NewTRADER[[#This Row],[Y]]))))</f>
        <v>YAM</v>
      </c>
      <c r="BW79" s="1675"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76" t="e">
        <f ca="1">Tab_NewTRADER[[#This Row],[L_Sn]]*Tab_NewTRADER[[#This Row],[L_Sp]]+Tab_NewTRADER[[#This Row],[SellMore]]*Tab_NewTRADER[[#This Row],[M]]</f>
        <v>#N/A</v>
      </c>
      <c r="BY79" s="1676" t="e">
        <f ca="1">INDEX(
  INDEX(TabConsolid[], , _xlfn.XMATCH(Tab_NewTRADER[[#This Row],[ClickTick]]&amp;1, TabConsolid[#Headers])),
  MATCH(
    -Tab_NewTRADER[[#This Row],[M]],
    INDEX(TabConsolid[], , _xlfn.XMATCH(Tab_NewTRADER[[#This Row],[ClickTick]]&amp;2, TabConsolid[#Headers])),
    -1
  )
)</f>
        <v>#N/A</v>
      </c>
      <c r="BZ79" s="1676"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77" t="e">
        <f ca="1">Tab_NewTRADER[[#This Row],[ReBuy]]/(Tab_NewTRADER[[#This Row],[L_Sn]]+Tab_NewTRADER[[#This Row],[SellMore]])</f>
        <v>#N/A</v>
      </c>
      <c r="CB79" s="1678">
        <f ca="1">((_xlfn.XLOOKUP(Tab_NewTRADER[[#This Row],[Show]],TabCalc[Ticker],TabCalc[NAfter])+Tab_NewTRADER[[#This Row],[L_Sn]])*(Tab_NewTRADER[[#This Row],[Agiotage]]-Tab_NewTRADER[[#This Row],[M]]))/(Tab_NewTRADER[[#This Row],[L_Sn]]*_xlfn.XLOOKUP(Tab_NewTRADER[[#This Row],[Show]],TabCalc[Ticker],TabCalc[NAfter]))</f>
        <v>-1.0222264098974552</v>
      </c>
      <c r="CC79" s="1677">
        <f ca="1">INDEX(Tab1Price[Price19], MATCH(Tab_NewTRADER[[#This Row],[Show]], Tab_NewTRADER[Show], 0))</f>
        <v>167.73</v>
      </c>
      <c r="CD79" s="1679">
        <f ca="1">_xlfn.XMATCH(Tab_NewTRADER[[#This Row],[Show]]&amp;1, TabConsolid[#Headers])</f>
        <v>233</v>
      </c>
      <c r="CE79" s="1678"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78" t="str" cm="1">
        <f t="array" aca="1" ref="CF79" ca="1">_xlfn.LET(
    _xlpm.FMT, _xlfn.LAMBDA(_xlpm.n, REPT(" ", 7 - LEN(TEXT(_xlpm.n,"0.00"))) &amp; TEXT(_xlpm.n,"0.00")),
    _xlpm.FMT(Tab_NewTRADER[[#This Row],[A]]) &amp; " -" &amp; _xlpm.FMT(Tab_NewTRADER[[#This Row],[M]]) &amp; " -" &amp; _xlpm.FMT(Tab_NewTRADER[[#This Row],[Y]])
)</f>
        <v xml:space="preserve"> 181.41 - 167.73 - 206.00</v>
      </c>
      <c r="CG79" s="1680" t="str" cm="1">
        <f t="array" aca="1" ref="CG79" ca="1">_xlfn.LET(
    _xlpm.W, 7,
    _xlpm.FMT, _xlfn.LAMBDA(_xlpm.n, REPT(" ", _xlpm.W - LEN(TEXT(_xlpm.n,"0.00"))) &amp; TEXT(_xlpm.n,"0.00")),
    _xlpm.FMT(Tab_NewTRADER[[#This Row],[A]]) &amp; " * " &amp; _xlpm.FMT(Tab_NewTRADER[[#This Row],[M]]) &amp; " * " &amp; _xlpm.FMT(Tab_NewTRADER[[#This Row],[Y]])
)</f>
        <v xml:space="preserve"> 181.41 *  167.73 *  206.00</v>
      </c>
      <c r="CH79" s="1842">
        <f>0</f>
        <v>0</v>
      </c>
      <c r="CI79" t="str">
        <f ca="1">IF(ABS(NewTrader!$Q79)&gt;=NewTrader!$Y79,"OK")</f>
        <v>OK</v>
      </c>
    </row>
    <row r="80" spans="1:87" ht="23" hidden="1" thickBot="1">
      <c r="A80" s="1839">
        <f ca="1">IF(_xlfn.XLOOKUP(NewTrader!$V80,TabCalc[Ticker],TabCalc[Cur])="GBp",0.01,1)</f>
        <v>1</v>
      </c>
      <c r="B80" s="1681" t="str">
        <f ca="1">IFERROR(TRUNC(_xlfn.XLOOKUP(NewTrader!$V80,TabCalc[Ticker],ListLastBuyp),2)&amp;"x"&amp;_xlfn.XLOOKUP(NewTrader!$V80,TabCalc[Ticker],ListLastBuyn)&amp;"=    "&amp;IF(_xlfn.XLOOKUP(NewTrader!$V80,TabCalc[Ticker],ListReverseS)&gt;0,"+","")&amp;TEXT(_xlfn.XLOOKUP(NewTrader!$V80,TabCalc[Ticker],ListReverseS),"#,#0")&amp;" "&amp;#REF!,"")</f>
        <v/>
      </c>
      <c r="C80" s="1682" t="str">
        <f ca="1">_xlfn.XLOOKUP(NewTrader!$V80,TabCalc[Ticker],ListResale)&amp;" @ "&amp;TEXT((_xlfn.XLOOKUP(NewTrader!$V80,TabCalc[Ticker],TabCalc[L_Bp])+_xlfn.XLOOKUP(NewTrader!$V80,TabCalc[Ticker],TabCalc[M]))/_xlfn.XLOOKUP(NewTrader!$V80,TabCalc[Ticker],TabCalc[M]),"#0.0%")</f>
        <v>Sell @ 38.3%</v>
      </c>
      <c r="D80" s="1683"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84" t="str">
        <f ca="1">IF(      AND(NewTrader!$X80&lt;NewTrader!$Y80,    _xlfn.XLOOKUP(NewTrader!$V80,TabCalc[Ticker],TabCalc[L_Sp])&gt;NewTrader!$Y80),"BUY  "&amp;TEXT(DesiredBuyGain/NewTrader!$A80/(_xlfn.XLOOKUP(NewTrader!$V80,TabCalc[Ticker],TabCalc[L_Sp])-NewTrader!$Y80),"#,##0"),"")</f>
        <v/>
      </c>
      <c r="F80" s="1681" t="str">
        <f ca="1">TRUNC(TabCalc[[#This Row],[L_B1p]],2)&amp;"x"&amp;TabCalc[[#This Row],[L_B1n]]&amp;"=   "&amp;TEXT(TabCalc[[#This Row],[ReverseS1]],"#,#0")&amp;"$"</f>
        <v>-486.09x200=   0$</v>
      </c>
      <c r="G80" s="1685" t="str">
        <f ca="1">IFERROR(TRUNC(_xlfn.XLOOKUP(NewTrader!$V80,TabCalc[Ticker],ListLastSalep),2)&amp;"x"&amp;_xlfn.XLOOKUP(NewTrader!$V80,TabCalc[Ticker],ListLastSalen)&amp;"=   "&amp;TEXT(-_xlfn.XLOOKUP(NewTrader!$V80,TabCalc[Ticker],ListReverseB),"#,#0")&amp;"$","")</f>
        <v>631.9x100=   27,904$</v>
      </c>
      <c r="H80" s="1686"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-30.6% = 0</v>
      </c>
      <c r="I80" s="1681" t="str">
        <f ca="1">IFERROR(TRUNC(TabCalc[[#This Row],[L_S1p]],2)&amp;"x"&amp;TabCalc[[#This Row],[L_S1n]]&amp;"=   "&amp;TEXT(TabCalc[[#This Row],[ReverseB1]],"#,#0"),"")</f>
        <v>495.03x100=   -41,591</v>
      </c>
      <c r="J80" s="1687">
        <f ca="1">_xlfn.XLOOKUP(NewTrader!$V80,TabCalc[Ticker],ListGravity)</f>
        <v>0.88098700243704298</v>
      </c>
      <c r="K80" s="1688" t="str" cm="1">
        <f t="array" aca="1" ref="K80" ca="1">IF(_xlfn.XLOOKUP(NewTrader!$V80,NewTrader!$V$3:$V$96,ListExtra_n)&gt;0,_xlfn.XLOOKUP(NewTrader!$V80,NewTrader!$V$3:$V$96,ListExtra_n),"")</f>
        <v/>
      </c>
      <c r="L80" s="1689" t="str">
        <f ca="1">IF(_xlfn.XLOOKUP(NewTrader!$V80,TabCalc[Ticker],ListExtra_n)&gt;0,_xlfn.XLOOKUP(NewTrader!$V80,TabCalc[Ticker],ListExtra_n)*NewTrader!$Y80*_xlfn.XLOOKUP(NewTrader!$V80,TabCalc[Ticker],ListScale),"")</f>
        <v/>
      </c>
      <c r="M80" s="1690">
        <f ca="1">_xlfn.XLOOKUP(NewTrader!$V80,TabCalc[Ticker],TabCalc[Agiotage])</f>
        <v>1.2888796962689482</v>
      </c>
      <c r="N80" s="1691" cm="1">
        <f t="array" aca="1" ref="N80" ca="1">_xlfn.XLOOKUP(NewTrader!$V80,ListTickers,Tab2RSIConventional[RSIConv20])</f>
        <v>87</v>
      </c>
      <c r="O80" s="1631" t="str">
        <f ca="1">TEXT(_xlfn.XLOOKUP(NewTrader!$V80,TabCalc[Ticker],TabCalc[Nbegin]),"#,#0")&amp;": "&amp;_xlfn.XLOOKUP(NewTrader!$V80,TabCalc[Ticker],TabCalc[Pile?])</f>
        <v>310: Pile</v>
      </c>
      <c r="P80" s="1692">
        <f ca="1">_xlfn.XLOOKUP(NewTrader!$V80,TabCalc[Ticker],TabCalc[L_Bn])</f>
        <v>100</v>
      </c>
      <c r="Q80" s="1731">
        <f ca="1">_xlfn.XLOOKUP(NewTrader!$V80,TabCalc[Ticker],TabCalc[L_Bp])</f>
        <v>-561.60149999999999</v>
      </c>
      <c r="R80" s="1694">
        <f ca="1">(NewTrader!$Y80+NewTrader!$Q80)/ABS(NewTrader!$Q80)</f>
        <v>0.62203982717282646</v>
      </c>
      <c r="S80" s="262">
        <f ca="1">INT(_xlfn.XLOOKUP(NewTrader!$V80,TabCalc[Ticker],TabCalc[Rev(MinStock)])*Comm_Net)</f>
        <v>0</v>
      </c>
      <c r="T80" s="1635">
        <f ca="1">_xlfn.XLOOKUP(NewTrader!$V80,TabCalc[Ticker],TabCalc[Agiotage])</f>
        <v>1.2888796962689482</v>
      </c>
      <c r="U80" s="1695"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0/0=&gt;2.4% / 2.4%</v>
      </c>
      <c r="V80" s="1578" t="str">
        <f ca="1">SORTING!B80</f>
        <v>GS</v>
      </c>
      <c r="W80" s="1637">
        <f ca="1">_xlfn.XLOOKUP(NewTrader!$V80,TabCalc[Ticker],TabCalc[Y])</f>
        <v>802.52629999999999</v>
      </c>
      <c r="X80" s="1639">
        <f ca="1">-_xlfn.XLOOKUP(NewTrader!$V80&amp;2,Consolid!B$3:JZ$3,Consolid!B$4:JZ$4)</f>
        <v>0</v>
      </c>
      <c r="Y80" s="1639">
        <f ca="1">_xlfn.XLOOKUP(NewTrader!$V80,TabCalc[Ticker],TabCalc[M])</f>
        <v>910.94</v>
      </c>
      <c r="Z80" s="1640">
        <f ca="1">_xlfn.XLOOKUP(NewTrader!$V80,[1]!RTData[Ticker_Symbol],[1]!RTData[YTChange])</f>
        <v>0.76802956533233446</v>
      </c>
      <c r="AA80" s="1640" cm="1">
        <f t="array" aca="1" ref="AA80" ca="1">_xlfn.XLOOKUP(NewTrader!$V80,ListTickers,Tab1ChangePercent[Change%19])</f>
        <v>2.4403000000000001E-2</v>
      </c>
      <c r="AB80" s="1641">
        <f ca="1">_xlfn.XLOOKUP(NewTrader!$V80,TabCalc[Ticker],TabCalc[NAfter])</f>
        <v>0</v>
      </c>
      <c r="AC80" s="1641">
        <f ca="1">_xlfn.XLOOKUP(NewTrader!$V80,TabCalc[Ticker],TabCalc[Nbegin])</f>
        <v>310</v>
      </c>
      <c r="AD80" s="1642" t="str">
        <f ca="1">_xlfn.LET(_xlpm.PILE,_xlfn.XLOOKUP(NewTrader!$V80,TabCalc[Ticker],TabCalc[Pile?]),                    _xlpm.GL,_xlfn.XLOOKUP(NewTrader!$V80,TabCalc[Ticker],TabCalc[GL]),                        _xlpm.GLK,_xlfn.XLOOKUP(NewTrader!$V80,TabCalc[Ticker],TabCalc[GL])/1000,                             _xlpm.MVal,_xlfn.XLOOKUP(NewTrader!$V80,TabCalc[Ticker],TabCalc[M_V])/1000,                   _xlpm.PILE&amp;" "&amp;IF(_xlpm.GL&lt;0,TEXT(_xlpm.GLK,"#,#0")&amp;"K /"&amp;TEXT(_xlpm.MVal,"#,#0")&amp;" K$","^"&amp;TEXT(_xlpm.GLK,"#,#0")&amp;"K / "&amp;TEXT(_xlpm.MVal,"#,#0")&amp;" K$"))</f>
        <v>Pile ^46K / 0 K$</v>
      </c>
      <c r="AE80" s="1643" t="str">
        <f ca="1">_xlfn.XLOOKUP(NewTrader!$V80,[1]!RTData[Ticker_Symbol],[1]!RTData[Currency])</f>
        <v>USD</v>
      </c>
      <c r="AF80" s="1721"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698" t="str" cm="1">
        <f t="array" aca="1" ref="AH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0.00 - 910.94 - 802.53</v>
      </c>
      <c r="AI8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80" s="1651" t="str" cm="1">
        <f t="array" aca="1" ref="AJ80" ca="1">_xlfn.IFS(Tab_NewTRADER[[#This Row],[State]]="Sell More",TEXT(MIN(Tab_NewTRADER[[#This Row],[N]],Tab_NewTRADER[[#This Row],[L_Bn]])*(Tab_NewTRADER[[#This Row],[M]]-Tab_NewTRADER[[#This Row],[L_Sp]])*Tab_NewTRADER[[#This Row],[Scale]]*ComFactor,"#,#0"), TRUE,"M= "&amp;TEXT(Tab_NewTRADER[[#This Row],[M]],"#,#0.00"))</f>
        <v>M= 910.94</v>
      </c>
      <c r="AK80" s="1699" t="str" cm="1">
        <f t="array" aca="1" ref="AK80" ca="1">_xlfn.IFS(Tab_NewTRADER[[#This Row],[Y]]&gt;Tab_NewTRADER[[#This Row],[A]],                 TEXT(MIN(Tab_NewTRADER[[#This Row],[L_Bn]],Tab_NewTRADER[[#This Row],[N]])*(Tab_NewTRADER[[#This Row],[M]]-Tab_NewTRADER[[#This Row],[A]])*Tab_NewTRADER[[#This Row],[Scale]]*ComFactor,"#,#0"), TRUE,0)</f>
        <v>0</v>
      </c>
      <c r="AL80" s="1700" cm="1">
        <f t="array" aca="1" ref="AL80" ca="1">_xlfn.IFS(Tab_NewTRADER[[#This Row],[M]]&gt;Tab_NewTRADER[[#This Row],[A]],                  Tab_NewTRADER[[#This Row],[N]]*(Tab_NewTRADER[[#This Row],[M]]-Tab_NewTRADER[[#This Row],[A]])*Tab_NewTRADER[[#This Row],[Scale]]*ComFactor, TRUE,0)</f>
        <v>0</v>
      </c>
      <c r="AM80" s="1592" t="e">
        <f ca="1">_xlfn.XLOOKUP(Tab_NewTRADER[[#This Row],[Show]],TabCalc[Ticker],TabCalc[Max_Bn])&amp;" x "&amp;TEXT(_xlfn.XLOOKUP(Tab_NewTRADER[[#This Row],[Show]],TabCalc[Ticker],TabCalc[Max_Bp]),"#,#0.00")</f>
        <v>#N/A</v>
      </c>
      <c r="AN80" s="1650" t="str">
        <f ca="1">NewTrader!$V80</f>
        <v>GS</v>
      </c>
      <c r="AO80" s="1651" t="str">
        <f ca="1">TEXT(_xlfn.XLOOKUP(Tab_NewTRADER[[#This Row],[ClickTick]],TabCalc[Ticker],TabCalc[NAfter]),"#,#0")&amp;"x"&amp;_xlfn.XLOOKUP(Tab_NewTRADER[[#This Row],[ClickTick]],TabCalc[Ticker],TabCalc[M])&amp;"           (A: "&amp;TEXT(-_xlfn.XLOOKUP(Tab_NewTRADER[[#This Row],[ClickTick]]&amp;2,Consolid!B$3:JZ$3,Consolid!B$4:JZ$4),"#,??0.00")&amp;")"</f>
        <v>0x910.94           (A:   0.00)</v>
      </c>
      <c r="AP80" s="1592" t="str">
        <f ca="1">_xlfn.XLOOKUP(Tab_NewTRADER[[#This Row],[Show]],TabCalc[Ticker],TabCalc[Min_Sn])&amp;" x "&amp;TEXT(_xlfn.XLOOKUP(Tab_NewTRADER[[#This Row],[Show]],TabCalc[Ticker],TabCalc[Min_Sp]),"#,#0.00")</f>
        <v>100 x 377.07</v>
      </c>
      <c r="AQ8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702" t="str" cm="1">
        <f t="array" aca="1" ref="AR80" ca="1">_xlfn.IFS(Tab_NewTRADER[[#This Row],[State]]="Reverse Buy",TEXT(-Tab_NewTRADER[[#This Row],[Buy_Back]],"#,#0")&amp;" / "&amp;TEXT(Tab_NewTRADER[[#This Row],[Rev_Buy]],"#,#0.0%"),TRUE,Tab_NewTRADER[[#This Row],[AMY]])</f>
        <v xml:space="preserve">   0.00 - 910.94 - 802.53</v>
      </c>
      <c r="AS80" s="1651"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99"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99" t="str" cm="1">
        <f t="array" aca="1" ref="AU80" ca="1">_xlfn.IFS(Tab_NewTRADER[[#This Row],[M]]&lt;Tab_NewTRADER[[#This Row],[A]],TEXT(Tab_NewTRADER[[#This Row],[N]]*Tab_NewTRADER[[#This Row],[M]]*Tab_NewTRADER[[#This Row],[Scale]]*Comm_Net,"#,#0")&amp;" @ "&amp;TEXT(Tab_NewTRADER[[#This Row],[M]],"#,#0.#0"),TRUE,"M: "&amp; Tab_NewTRADER[[#This Row],[M]])</f>
        <v>M: 910.94</v>
      </c>
      <c r="AV80" s="1703" cm="1">
        <f t="array" aca="1" ref="AV80" ca="1">-_xlfn.XLOOKUP(
    Tab_NewTRADER[[#This Row],[Show]] &amp; 2,
    TabConsolid[#Headers],
    INDEX(TabConsolid[], 1, 0)
)</f>
        <v>0</v>
      </c>
      <c r="AW80" s="1704">
        <f ca="1">Tab_NewTRADER[[#This Row],[M]]*Tab_NewTRADER[[#This Row],[N]]*(1-Commission)*Tab_NewTRADER[[#This Row],[Scale]]</f>
        <v>0</v>
      </c>
      <c r="AX80" s="1705"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705"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706" t="str" cm="1">
        <f t="array" aca="1" ref="AZ80" ca="1">_xlfn.IFS(   Tab_NewTRADER[[#This Row],[State]]=SellMorePercentGain,                     MIN(Tab_NewTRADER[[#This Row],[L_Sn]],Tab_NewTRADER[[#This Row],[N]])*(Tab_NewTRADER[[#This Row],[M]]-Tab_NewTRADER[[#This Row],[L_Sp]])*(1-Commission)*Tab_NewTRADER[[#This Row],[Scale]],                    TRUE,"")</f>
        <v/>
      </c>
      <c r="BA80" s="1707">
        <f ca="1">_xlfn.XLOOKUP(NewTrader!$V80,TabCalc[Ticker],TabCalc[Ann%RevLB])</f>
        <v>0.51361086647297605</v>
      </c>
      <c r="BB80" s="1708">
        <f ca="1">_xlfn.XLOOKUP(NewTrader!$V80,TabCalc[Ticker],TabCalc[Up20])</f>
        <v>0.5714285714285714</v>
      </c>
      <c r="BC80" s="1709"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706" t="str" cm="1">
        <f t="array" aca="1" ref="BD80" ca="1">_xlfn.IFS(         NewTrader!$AF80=MDown,NewTrader!$P80*NewTrader!$Y80*(-(NewTrader!$Q80+NewTrader!$Y80)/NewTrader!$Y80)*(1-Commission)*NewTrader!$A80,                               TRUE,"")</f>
        <v/>
      </c>
      <c r="BE80" s="1705" t="str" cm="1">
        <f t="array" aca="1" ref="BE80" ca="1">_xlfn.IFS(   NewTrader!$AF80=MUp,NewTrader!$BP80-Commission,        NewTrader!$AF80=MDown,(NewTrader!$X80-NewTrader!$Y80)/NewTrader!$Y80-Commission,                              TRUE,"")</f>
        <v/>
      </c>
      <c r="BF80" s="1706"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710" t="str" cm="1">
        <f t="array" aca="1" ref="BG80" ca="1">_xlfn.LET(_xlpm.SumChTxt,TEXT(_xlfn.XLOOKUP(NewTrader!$V80,ListTickers,Tab2SumChangePercent[AVGChan20]),"#0.0%"),
      _xlfn.IFS(NewTrader!$AF80=NoStock,_xlpm.SumChTxt,
      TRUE, IF(NewTrader!$AF80=SellMorePercentGain,             "SumChange "&amp;_xlpm.SumChTxt,                         "&lt;"&amp;INT(_xlfn.XLOOKUP(NewTrader!$V80,ListTickers,Tab2ReverseGL[Rev_GL19]))&amp;    "&lt;"&amp;INT(_xlfn.XLOOKUP(NewTrader!$V80,ListTickers,Tab2ReverseGL[Rev_GL18]))&amp;":      "&amp;_xlpm.SumChTxt)))</f>
        <v>1.0%</v>
      </c>
      <c r="BH80" s="1711"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0x910.94</v>
      </c>
      <c r="BI80" s="1712" t="str" cm="1">
        <f t="array" aca="1" ref="BI80" ca="1">_xlfn.IFS(NewTrader!$AF80=Sale_Back,"",         NewTrader!$AF80=MDown, (NewTrader!$Y80-NewTrader!$X80)/NewTrader!$X80*ComFactor,             TRUE, IFERROR((NewTrader!$Y80-NewTrader!$X80)/NewTrader!$X80*ComFactor,""))</f>
        <v/>
      </c>
      <c r="BJ80" s="1664" cm="1">
        <f t="array" aca="1" ref="BJ80" ca="1">_xlfn.IFS(               NewTrader!$AF80=NoStock,(NewTrader!$BL80-NewTrader!$Y80)/NewTrader!$Y80-Commission,             NewTrader!$X80&lt;&gt;0,(NewTrader!$X80-NewTrader!$Y80)/NewTrader!$Y80-Commission)</f>
        <v>-0.30892094320152813</v>
      </c>
      <c r="BK80" s="1713">
        <f ca="1">_xlfn.XLOOKUP(NewTrader!$V80,TabCalc[Ticker],TabCalc[L_Sn])</f>
        <v>100</v>
      </c>
      <c r="BL80" s="1693">
        <f ca="1">_xlfn.XLOOKUP(NewTrader!$V80,TabCalc[Ticker],TabCalc[L_Sp])</f>
        <v>631.9</v>
      </c>
      <c r="BM80" s="1694">
        <f ca="1">-IFERROR((Tab_NewTRADER[[#This Row],[M]]-Tab_NewTRADER[[#This Row],[L_Sp]])/Tab_NewTRADER[[#This Row],[L_Sp]],0)</f>
        <v>-0.44158885899667683</v>
      </c>
      <c r="BN80" s="1714">
        <f ca="1">MIN(Tab_NewTRADER[[#This Row],[L_Sn]],Tab_NewTRADER[[#This Row],[N]])*(Tab_NewTRADER[[#This Row],[M]]-Tab_NewTRADER[[#This Row],[L_Sp]])*Comm_Net*Tab_NewTRADER[[#This Row],[Scale]]</f>
        <v>0</v>
      </c>
      <c r="BO80" s="1715">
        <f ca="1">Tab_NewTRADER[[#This Row],[L_Sn]]*(Tab_NewTRADER[[#This Row],[Agiotage]]-Tab_NewTRADER[[#This Row],[M]])/(Tab_NewTRADER[[#This Row],[L_Bn]]*Tab_NewTRADER[[#This Row],[M]])</f>
        <v>-0.99858511021991692</v>
      </c>
      <c r="BP80" s="1716">
        <f ca="1">IFERROR((Tab_NewTRADER[[#This Row],[M]]-Tab_NewTRADER[[#This Row],[A]])/Tab_NewTRADER[[#This Row],[A]],0)</f>
        <v>0</v>
      </c>
      <c r="BQ80" s="1671"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Row],[GL]])*(1-Commission)</f>
        <v>45917.428596084377</v>
      </c>
      <c r="BS80" s="262"/>
      <c r="BT80" s="1672" t="str">
        <f ca="1">Tab_NewTRADER[[#This Row],[Show]]&amp;": "&amp;_xlfn.XLOOKUP(Tab_NewTRADER[[#This Row],[Show]],TabCalc[Ticker],TabCalc[Pile?])</f>
        <v>GS: Pile</v>
      </c>
      <c r="BU80" s="1717" t="s">
        <v>2003</v>
      </c>
      <c r="BV80" s="1674" t="str" cm="1">
        <f t="array" aca="1" ref="BV80" ca="1">_xlfn.TEXTJOIN("",,INDEX({"M","A","Y"}, _xlfn.SORTBY({1,2,3}, -CHOOSE({1,2,3}, Tab_NewTRADER[[#This Row],[M]], Tab_NewTRADER[[#This Row],[A]], Tab_NewTRADER[[#This Row],[Y]]))))</f>
        <v>MYA</v>
      </c>
      <c r="BW80" s="1675"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76" t="e">
        <f ca="1">Tab_NewTRADER[[#This Row],[L_Sn]]*Tab_NewTRADER[[#This Row],[L_Sp]]+Tab_NewTRADER[[#This Row],[SellMore]]*Tab_NewTRADER[[#This Row],[M]]</f>
        <v>#N/A</v>
      </c>
      <c r="BY80" s="1676" t="e">
        <f ca="1">INDEX(
  INDEX(TabConsolid[], , _xlfn.XMATCH(Tab_NewTRADER[[#This Row],[ClickTick]]&amp;1, TabConsolid[#Headers])),
  MATCH(
    -Tab_NewTRADER[[#This Row],[M]],
    INDEX(TabConsolid[], , _xlfn.XMATCH(Tab_NewTRADER[[#This Row],[ClickTick]]&amp;2, TabConsolid[#Headers])),
    -1
  )
)</f>
        <v>#N/A</v>
      </c>
      <c r="BZ80" s="1676"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77" t="e">
        <f ca="1">Tab_NewTRADER[[#This Row],[ReBuy]]/(Tab_NewTRADER[[#This Row],[L_Sn]]+Tab_NewTRADER[[#This Row],[SellMore]])</f>
        <v>#N/A</v>
      </c>
      <c r="CB80" s="1678" t="e">
        <f ca="1">((_xlfn.XLOOKUP(Tab_NewTRADER[[#This Row],[Show]],TabCalc[Ticker],TabCalc[NAfter])+Tab_NewTRADER[[#This Row],[L_Sn]])*(Tab_NewTRADER[[#This Row],[Agiotage]]-Tab_NewTRADER[[#This Row],[M]]))/(Tab_NewTRADER[[#This Row],[L_Sn]]*_xlfn.XLOOKUP(Tab_NewTRADER[[#This Row],[Show]],TabCalc[Ticker],TabCalc[NAfter]))</f>
        <v>#DIV/0!</v>
      </c>
      <c r="CC80" s="1677">
        <f ca="1">INDEX(Tab1Price[Price19], MATCH(Tab_NewTRADER[[#This Row],[Show]], Tab_NewTRADER[Show], 0))</f>
        <v>910.94</v>
      </c>
      <c r="CD80" s="1679">
        <f ca="1">_xlfn.XMATCH(Tab_NewTRADER[[#This Row],[Show]]&amp;1, TabConsolid[#Headers])</f>
        <v>236</v>
      </c>
      <c r="CE80" s="1678"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78" t="str" cm="1">
        <f t="array" aca="1" ref="CF80" ca="1">_xlfn.LET(
    _xlpm.FMT, _xlfn.LAMBDA(_xlpm.n, REPT(" ", 7 - LEN(TEXT(_xlpm.n,"0.00"))) &amp; TEXT(_xlpm.n,"0.00")),
    _xlpm.FMT(Tab_NewTRADER[[#This Row],[A]]) &amp; " -" &amp; _xlpm.FMT(Tab_NewTRADER[[#This Row],[M]]) &amp; " -" &amp; _xlpm.FMT(Tab_NewTRADER[[#This Row],[Y]])
)</f>
        <v xml:space="preserve">   0.00 - 910.94 - 802.53</v>
      </c>
      <c r="CG80" s="1680" t="str" cm="1">
        <f t="array" aca="1" ref="CG80" ca="1">_xlfn.LET(
    _xlpm.W, 7,
    _xlpm.FMT, _xlfn.LAMBDA(_xlpm.n, REPT(" ", _xlpm.W - LEN(TEXT(_xlpm.n,"0.00"))) &amp; TEXT(_xlpm.n,"0.00")),
    _xlpm.FMT(Tab_NewTRADER[[#This Row],[A]]) &amp; " * " &amp; _xlpm.FMT(Tab_NewTRADER[[#This Row],[M]]) &amp; " * " &amp; _xlpm.FMT(Tab_NewTRADER[[#This Row],[Y]])
)</f>
        <v xml:space="preserve">   0.00 *  910.94 *  802.53</v>
      </c>
      <c r="CH80" s="1842">
        <f>0</f>
        <v>0</v>
      </c>
      <c r="CI80" t="b">
        <f ca="1">IF(ABS(NewTrader!$Q80)&gt;=NewTrader!$Y80,"OK")</f>
        <v>0</v>
      </c>
    </row>
    <row r="81" spans="1:87" ht="23" hidden="1" thickBot="1">
      <c r="A81" s="1838">
        <f ca="1">IF(_xlfn.XLOOKUP(NewTrader!$V81,TabCalc[Ticker],TabCalc[Cur])="GBp",0.01,1)</f>
        <v>1</v>
      </c>
      <c r="B81" s="1620" t="str">
        <f ca="1">IFERROR(TRUNC(_xlfn.XLOOKUP(NewTrader!$V81,TabCalc[Ticker],ListLastBuyp),2)&amp;"x"&amp;_xlfn.XLOOKUP(NewTrader!$V81,TabCalc[Ticker],ListLastBuyn)&amp;"=    "&amp;IF(_xlfn.XLOOKUP(NewTrader!$V81,TabCalc[Ticker],ListReverseS)&gt;0,"+","")&amp;TEXT(_xlfn.XLOOKUP(NewTrader!$V81,TabCalc[Ticker],ListReverseS),"#,#0")&amp;" "&amp;#REF!,"")</f>
        <v/>
      </c>
      <c r="C81" s="1621" t="str">
        <f ca="1">_xlfn.XLOOKUP(NewTrader!$V81,TabCalc[Ticker],ListResale)&amp;" @ "&amp;TEXT((_xlfn.XLOOKUP(NewTrader!$V81,TabCalc[Ticker],TabCalc[L_Bp])+_xlfn.XLOOKUP(NewTrader!$V81,TabCalc[Ticker],TabCalc[M]))/_xlfn.XLOOKUP(NewTrader!$V81,TabCalc[Ticker],TabCalc[M]),"#0.0%")</f>
        <v>B_more @ -566.5%</v>
      </c>
      <c r="D81" s="1622"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718" t="str">
        <f ca="1">IF(      AND(NewTrader!$X81&lt;NewTrader!$Y81,    _xlfn.XLOOKUP(NewTrader!$V81,TabCalc[Ticker],TabCalc[L_Sp])&gt;NewTrader!$Y81),"BUY  "&amp;TEXT(DesiredBuyGain/NewTrader!$A81/(_xlfn.XLOOKUP(NewTrader!$V81,TabCalc[Ticker],TabCalc[L_Sp])-NewTrader!$Y81),"#,##0"),"")</f>
        <v/>
      </c>
      <c r="F81" s="1620" t="str">
        <f ca="1">TRUNC(TabCalc[[#This Row],[L_B1p]],2)&amp;"x"&amp;TabCalc[[#This Row],[L_B1n]]&amp;"=   "&amp;TEXT(TabCalc[[#This Row],[ReverseS1]],"#,#0")&amp;"$"</f>
        <v>-42.94x518=   -21,742$</v>
      </c>
      <c r="G81" s="1624" t="str">
        <f ca="1">IFERROR(TRUNC(_xlfn.XLOOKUP(NewTrader!$V81,TabCalc[Ticker],ListLastSalep),2)&amp;"x"&amp;_xlfn.XLOOKUP(NewTrader!$V81,TabCalc[Ticker],ListLastSalen)&amp;"=   "&amp;TEXT(-_xlfn.XLOOKUP(NewTrader!$V81,TabCalc[Ticker],ListReverseB),"#,#0")&amp;"$","")</f>
        <v>0x0=   0$</v>
      </c>
      <c r="H81" s="1625"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620" t="str">
        <f ca="1">IFERROR(TRUNC(TabCalc[[#This Row],[L_S1p]],2)&amp;"x"&amp;TabCalc[[#This Row],[L_S1n]]&amp;"=   "&amp;TEXT(TabCalc[[#This Row],[ReverseB1]],"#,#0"),"")</f>
        <v>0x0=   0</v>
      </c>
      <c r="J81" s="1626">
        <f ca="1">_xlfn.XLOOKUP(NewTrader!$V81,TabCalc[Ticker],ListGravity)</f>
        <v>15.524725729662597</v>
      </c>
      <c r="K81" s="1627" cm="1">
        <f t="array" aca="1" ref="K81" ca="1">IF(_xlfn.XLOOKUP(NewTrader!$V81,NewTrader!$V$3:$V$96,ListExtra_n)&gt;0,_xlfn.XLOOKUP(NewTrader!$V81,NewTrader!$V$3:$V$96,ListExtra_n),"")</f>
        <v>10165</v>
      </c>
      <c r="L81" s="1628">
        <f ca="1">IF(_xlfn.XLOOKUP(NewTrader!$V81,TabCalc[Ticker],ListExtra_n)&gt;0,_xlfn.XLOOKUP(NewTrader!$V81,TabCalc[Ticker],ListExtra_n)*NewTrader!$Y81*_xlfn.XLOOKUP(NewTrader!$V81,TabCalc[Ticker],ListScale),"")</f>
        <v>9821.4229999999989</v>
      </c>
      <c r="M81" s="1629">
        <f ca="1">_xlfn.XLOOKUP(NewTrader!$V81,TabCalc[Ticker],TabCalc[Agiotage])</f>
        <v>1.5841251522935991</v>
      </c>
      <c r="N81" s="1630" cm="1">
        <f t="array" aca="1" ref="N81" ca="1">_xlfn.XLOOKUP(NewTrader!$V81,ListTickers,Tab2RSIConventional[RSIConv20])</f>
        <v>74</v>
      </c>
      <c r="O81" s="1631" t="str">
        <f ca="1">TEXT(_xlfn.XLOOKUP(NewTrader!$V81,TabCalc[Ticker],TabCalc[Nbegin]),"#,#0")&amp;": "&amp;_xlfn.XLOOKUP(NewTrader!$V81,TabCalc[Ticker],TabCalc[Pile?])</f>
        <v>5,353: Pile</v>
      </c>
      <c r="P81" s="1632">
        <f ca="1">_xlfn.XLOOKUP(NewTrader!$V81,TabCalc[Ticker],TabCalc[L_Bn])</f>
        <v>9647</v>
      </c>
      <c r="Q81" s="1633">
        <f ca="1">_xlfn.XLOOKUP(NewTrader!$V81,TabCalc[Ticker],TabCalc[L_Bp])</f>
        <v>-6.44</v>
      </c>
      <c r="R81" s="1634">
        <f ca="1">(NewTrader!$Y81+NewTrader!$Q81)/ABS(NewTrader!$Q81)</f>
        <v>-0.84996894409937895</v>
      </c>
      <c r="S81" s="259">
        <f ca="1">INT(_xlfn.XLOOKUP(NewTrader!$V81,TabCalc[Ticker],TabCalc[Rev(MinStock)])*Comm_Net)</f>
        <v>-52522</v>
      </c>
      <c r="T81" s="1635">
        <f ca="1">_xlfn.XLOOKUP(NewTrader!$V81,TabCalc[Ticker],TabCalc[Agiotage])</f>
        <v>1.5841251522935991</v>
      </c>
      <c r="U81" s="1719"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1,493/1,493=&gt;10.6% / 10.6%</v>
      </c>
      <c r="V81" s="1578" t="str">
        <f ca="1">SORTING!B81</f>
        <v>LAZR</v>
      </c>
      <c r="W81" s="1637">
        <f ca="1">_xlfn.XLOOKUP(NewTrader!$V81,TabCalc[Ticker],TabCalc[Y])</f>
        <v>14.99999</v>
      </c>
      <c r="X81" s="1639">
        <f ca="1">-_xlfn.XLOOKUP(NewTrader!$V81&amp;2,Consolid!B$3:JZ$3,Consolid!B$4:JZ$4)</f>
        <v>21.733693193968289</v>
      </c>
      <c r="Y81" s="1639">
        <f ca="1">_xlfn.XLOOKUP(NewTrader!$V81,TabCalc[Ticker],TabCalc[M])</f>
        <v>0.96619999999999995</v>
      </c>
      <c r="Z81" s="1640">
        <f ca="1">_xlfn.XLOOKUP(NewTrader!$V81,[1]!RTData[Ticker_Symbol],[1]!RTData[YTChange])</f>
        <v>2.4722199074074074</v>
      </c>
      <c r="AA81" s="1640" cm="1">
        <f t="array" aca="1" ref="AA81" ca="1">_xlfn.XLOOKUP(NewTrader!$V81,ListTickers,Tab1ChangePercent[Change%19])</f>
        <v>0.10612500000000001</v>
      </c>
      <c r="AB81" s="1641">
        <f ca="1">_xlfn.XLOOKUP(NewTrader!$V81,TabCalc[Ticker],TabCalc[NAfter])</f>
        <v>15518</v>
      </c>
      <c r="AC81" s="1641">
        <f ca="1">_xlfn.XLOOKUP(NewTrader!$V81,TabCalc[Ticker],TabCalc[Nbegin])</f>
        <v>5353</v>
      </c>
      <c r="AD81" s="1642" t="str">
        <f ca="1">_xlfn.LET(_xlpm.PILE,_xlfn.XLOOKUP(NewTrader!$V81,TabCalc[Ticker],TabCalc[Pile?]),                    _xlpm.GL,_xlfn.XLOOKUP(NewTrader!$V81,TabCalc[Ticker],TabCalc[GL]),                        _xlpm.GLK,_xlfn.XLOOKUP(NewTrader!$V81,TabCalc[Ticker],TabCalc[GL])/1000,                             _xlpm.MVal,_xlfn.XLOOKUP(NewTrader!$V81,TabCalc[Ticker],TabCalc[M_V])/1000,                   _xlpm.PILE&amp;" "&amp;IF(_xlpm.GL&lt;0,TEXT(_xlpm.GLK,"#,#0")&amp;"K /"&amp;TEXT(_xlpm.MVal,"#,#0")&amp;" K$","^"&amp;TEXT(_xlpm.GLK,"#,#0")&amp;"K / "&amp;TEXT(_xlpm.MVal,"#,#0")&amp;" K$"))</f>
        <v>Pile -322K /15 K$</v>
      </c>
      <c r="AE81" s="1643" t="str">
        <f ca="1">_xlfn.XLOOKUP(NewTrader!$V81,[1]!RTData[Ticker_Symbol],[1]!RTData[Currency])</f>
        <v>USD</v>
      </c>
      <c r="AF81" s="1721"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698" t="str" cm="1">
        <f t="array" aca="1" ref="AH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0.97 -  15.00</v>
      </c>
      <c r="AI8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10.6%</v>
      </c>
      <c r="AJ81" s="1651" t="str" cm="1">
        <f t="array" aca="1" ref="AJ81" ca="1">_xlfn.IFS(Tab_NewTRADER[[#This Row],[State]]="Sell More",TEXT(MIN(Tab_NewTRADER[[#This Row],[N]],Tab_NewTRADER[[#This Row],[L_Bn]])*(Tab_NewTRADER[[#This Row],[M]]-Tab_NewTRADER[[#This Row],[L_Sp]])*Tab_NewTRADER[[#This Row],[Scale]]*ComFactor,"#,#0"), TRUE,"M= "&amp;TEXT(Tab_NewTRADER[[#This Row],[M]],"#,#0.00"))</f>
        <v>M= 0.97</v>
      </c>
      <c r="AK81" s="1699" cm="1">
        <f t="array" aca="1" ref="AK81" ca="1">_xlfn.IFS(Tab_NewTRADER[[#This Row],[Y]]&gt;Tab_NewTRADER[[#This Row],[A]],                 TEXT(MIN(Tab_NewTRADER[[#This Row],[L_Bn]],Tab_NewTRADER[[#This Row],[N]])*(Tab_NewTRADER[[#This Row],[M]]-Tab_NewTRADER[[#This Row],[A]])*Tab_NewTRADER[[#This Row],[Scale]]*ComFactor,"#,#0"), TRUE,0)</f>
        <v>0</v>
      </c>
      <c r="AL81" s="1700" cm="1">
        <f t="array" aca="1" ref="AL81" ca="1">_xlfn.IFS(Tab_NewTRADER[[#This Row],[M]]&gt;Tab_NewTRADER[[#This Row],[A]],                  Tab_NewTRADER[[#This Row],[N]]*(Tab_NewTRADER[[#This Row],[M]]-Tab_NewTRADER[[#This Row],[A]])*Tab_NewTRADER[[#This Row],[Scale]]*ComFactor, TRUE,0)</f>
        <v>0</v>
      </c>
      <c r="AM81" s="1592" t="str">
        <f ca="1">_xlfn.XLOOKUP(Tab_NewTRADER[[#This Row],[Show]],TabCalc[Ticker],TabCalc[Max_Bn])&amp;" x "&amp;TEXT(_xlfn.XLOOKUP(Tab_NewTRADER[[#This Row],[Show]],TabCalc[Ticker],TabCalc[Max_Bp]),"#,#0.00")</f>
        <v>5353 x 47.08</v>
      </c>
      <c r="AN81" s="1650" t="str">
        <f ca="1">NewTrader!$V81</f>
        <v>LAZR</v>
      </c>
      <c r="AO81" s="1651" t="str">
        <f ca="1">TEXT(_xlfn.XLOOKUP(Tab_NewTRADER[[#This Row],[ClickTick]],TabCalc[Ticker],TabCalc[NAfter]),"#,#0")&amp;"x"&amp;_xlfn.XLOOKUP(Tab_NewTRADER[[#This Row],[ClickTick]],TabCalc[Ticker],TabCalc[M])&amp;"           (A: "&amp;TEXT(-_xlfn.XLOOKUP(Tab_NewTRADER[[#This Row],[ClickTick]]&amp;2,Consolid!B$3:JZ$3,Consolid!B$4:JZ$4),"#,??0.00")&amp;")"</f>
        <v>15,518x0.9662           (A:  21.73)</v>
      </c>
      <c r="AP81" s="1592" t="str">
        <f ca="1">_xlfn.XLOOKUP(Tab_NewTRADER[[#This Row],[Show]],TabCalc[Ticker],TabCalc[Min_Sn])&amp;" x "&amp;TEXT(_xlfn.XLOOKUP(Tab_NewTRADER[[#This Row],[Show]],TabCalc[Ticker],TabCalc[Min_Sp]),"#,#0.00")</f>
        <v>0 x 0.00</v>
      </c>
      <c r="AQ8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702" t="str" cm="1">
        <f t="array" aca="1" ref="AR81" ca="1">_xlfn.IFS(Tab_NewTRADER[[#This Row],[State]]="Reverse Buy",TEXT(-Tab_NewTRADER[[#This Row],[Buy_Back]],"#,#0")&amp;" / "&amp;TEXT(Tab_NewTRADER[[#This Row],[Rev_Buy]],"#,#0.0%"),TRUE,Tab_NewTRADER[[#This Row],[AMY]])</f>
        <v xml:space="preserve">  21.73 -   0.97 -  15.00</v>
      </c>
      <c r="AS81" s="1651"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84,722       / 566.5%</v>
      </c>
      <c r="AT81" s="1699"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-321,432   / -2,149.4%</v>
      </c>
      <c r="AU81" s="1699" t="str" cm="1">
        <f t="array" aca="1" ref="AU81" ca="1">_xlfn.IFS(Tab_NewTRADER[[#This Row],[M]]&lt;Tab_NewTRADER[[#This Row],[A]],TEXT(Tab_NewTRADER[[#This Row],[N]]*Tab_NewTRADER[[#This Row],[M]]*Tab_NewTRADER[[#This Row],[Scale]]*Comm_Net,"#,#0")&amp;" @ "&amp;TEXT(Tab_NewTRADER[[#This Row],[M]],"#,#0.#0"),TRUE,"M: "&amp; Tab_NewTRADER[[#This Row],[M]])</f>
        <v>14,953 @ 0.97</v>
      </c>
      <c r="AV81" s="1740" cm="1">
        <f t="array" aca="1" ref="AV81" ca="1">-_xlfn.XLOOKUP(
    Tab_NewTRADER[[#This Row],[Show]] &amp; 2,
    TabConsolid[#Headers],
    INDEX(TabConsolid[], 1, 0)
)</f>
        <v>21.733693193968289</v>
      </c>
      <c r="AW81" s="1741">
        <f ca="1">Tab_NewTRADER[[#This Row],[M]]*Tab_NewTRADER[[#This Row],[N]]*(1-Commission)*Tab_NewTRADER[[#This Row],[Scale]]</f>
        <v>14954.508521839998</v>
      </c>
      <c r="AX81" s="1705"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705"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706" t="str" cm="1">
        <f t="array" aca="1" ref="AZ81" ca="1">_xlfn.IFS(   Tab_NewTRADER[[#This Row],[State]]=SellMorePercentGain,                     MIN(Tab_NewTRADER[[#This Row],[L_Sn]],Tab_NewTRADER[[#This Row],[N]])*(Tab_NewTRADER[[#This Row],[M]]-Tab_NewTRADER[[#This Row],[L_Sp]])*(1-Commission)*Tab_NewTRADER[[#This Row],[Scale]],                    TRUE,"")</f>
        <v/>
      </c>
      <c r="BA81" s="1707">
        <f ca="1">_xlfn.XLOOKUP(NewTrader!$V81,TabCalc[Ticker],TabCalc[Ann%RevLB])</f>
        <v>-0.94733380766494257</v>
      </c>
      <c r="BB81" s="1708">
        <f ca="1">_xlfn.XLOOKUP(NewTrader!$V81,TabCalc[Ticker],TabCalc[Up20])</f>
        <v>0</v>
      </c>
      <c r="BC81" s="1725"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706" t="str" cm="1">
        <f t="array" aca="1" ref="BD81" ca="1">_xlfn.IFS(         NewTrader!$AF81=MDown,NewTrader!$P81*NewTrader!$Y81*(-(NewTrader!$Q81+NewTrader!$Y81)/NewTrader!$Y81)*(1-Commission)*NewTrader!$A81,                               TRUE,"")</f>
        <v/>
      </c>
      <c r="BE81" s="1705" t="str" cm="1">
        <f t="array" aca="1" ref="BE81" ca="1">_xlfn.IFS(   NewTrader!$AF81=MUp,NewTrader!$BP81-Commission,        NewTrader!$AF81=MDown,(NewTrader!$X81-NewTrader!$Y81)/NewTrader!$Y81-Commission,                              TRUE,"")</f>
        <v/>
      </c>
      <c r="BF81" s="1710"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710" t="str" cm="1">
        <f t="array" aca="1" ref="BG81" ca="1">_xlfn.LET(_xlpm.SumChTxt,TEXT(_xlfn.XLOOKUP(NewTrader!$V81,ListTickers,Tab2SumChangePercent[AVGChan20]),"#0.0%"),
      _xlfn.IFS(NewTrader!$AF81=NoStock,_xlpm.SumChTxt,
      TRUE, IF(NewTrader!$AF81=SellMorePercentGain,             "SumChange "&amp;_xlpm.SumChTxt,                         "&lt;"&amp;INT(_xlfn.XLOOKUP(NewTrader!$V81,ListTickers,Tab2ReverseGL[Rev_GL19]))&amp;    "&lt;"&amp;INT(_xlfn.XLOOKUP(NewTrader!$V81,ListTickers,Tab2ReverseGL[Rev_GL18]))&amp;":      "&amp;_xlpm.SumChTxt)))</f>
        <v>&lt;-1&lt;-1:      3.6%</v>
      </c>
      <c r="BH81" s="1711"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-5.47</v>
      </c>
      <c r="BI81" s="1712" cm="1">
        <f t="array" aca="1" ref="BI81" ca="1">_xlfn.IFS(NewTrader!$AF81=Sale_Back,"",         NewTrader!$AF81=MDown, (NewTrader!$Y81-NewTrader!$X81)/NewTrader!$X81*ComFactor,             TRUE, IFERROR((NewTrader!$Y81-NewTrader!$X81)/NewTrader!$X81*ComFactor,""))</f>
        <v>-0.95305926732289337</v>
      </c>
      <c r="BJ81" s="1664" cm="1">
        <f t="array" aca="1" ref="BJ81" ca="1">_xlfn.IFS(               NewTrader!$AF81=NoStock,(NewTrader!$BL81-NewTrader!$Y81)/NewTrader!$Y81-Commission,             NewTrader!$X81&lt;&gt;0,(NewTrader!$X81-NewTrader!$Y81)/NewTrader!$Y81-Commission)</f>
        <v>21.491390057926193</v>
      </c>
      <c r="BK81" s="1726">
        <f ca="1">_xlfn.XLOOKUP(NewTrader!$V81,TabCalc[Ticker],TabCalc[L_Sn])</f>
        <v>0</v>
      </c>
      <c r="BL81" s="1727">
        <f ca="1">_xlfn.XLOOKUP(NewTrader!$V81,TabCalc[Ticker],TabCalc[L_Sp])</f>
        <v>0</v>
      </c>
      <c r="BM81" s="1634">
        <f ca="1">-IFERROR((Tab_NewTRADER[[#This Row],[M]]-Tab_NewTRADER[[#This Row],[L_Sp]])/Tab_NewTRADER[[#This Row],[L_Sp]],0)</f>
        <v>0</v>
      </c>
      <c r="BN81" s="1728">
        <f ca="1">MIN(Tab_NewTRADER[[#This Row],[L_Sn]],Tab_NewTRADER[[#This Row],[N]])*(Tab_NewTRADER[[#This Row],[M]]-Tab_NewTRADER[[#This Row],[L_Sp]])*Comm_Net*Tab_NewTRADER[[#This Row],[Scale]]</f>
        <v>0</v>
      </c>
      <c r="BO81" s="1715">
        <f ca="1">Tab_NewTRADER[[#This Row],[L_Sn]]*(Tab_NewTRADER[[#This Row],[Agiotage]]-Tab_NewTRADER[[#This Row],[M]])/(Tab_NewTRADER[[#This Row],[L_Bn]]*Tab_NewTRADER[[#This Row],[M]])</f>
        <v>0</v>
      </c>
      <c r="BP81" s="1670">
        <f ca="1">IFERROR((Tab_NewTRADER[[#This Row],[M]]-Tab_NewTRADER[[#This Row],[A]])/Tab_NewTRADER[[#This Row],[A]],0)</f>
        <v>-0.95554368089321573</v>
      </c>
      <c r="BQ81" s="1671" t="str">
        <f ca="1">TEXT(_xlfn.XLOOKUP(Tab_NewTRADER[[#This Row],[ClickTick]],TabCalc[Ticker],TabCalc[NAfter]),"#,#0")&amp;" : "&amp;TEXT(_xlfn.XLOOKUP(Tab_NewTRADER[[#This Row],[ClickTick]],TabCalc[Ticker],TabCalc[NAfter])*(Tab_NewTRADER[[#This Row],[M]]-Tab_NewTRADER[[#This Row],[A]])*(1-Commission)*Tab_NewTRADER[[#This Row],[Scale]],"#,#0$")</f>
        <v>15,518 : -321,432$</v>
      </c>
      <c r="BR81" s="259">
        <f ca="1">_xlfn.XLOOKUP(NewTrader!$V81,TabCalc[[#This Row],[Ticker]],TabCalc[[#This Row],[GL]])*(1-Commission)</f>
        <v>-321511.21140411741</v>
      </c>
      <c r="BS81" s="259"/>
      <c r="BT81" s="1672" t="str">
        <f ca="1">Tab_NewTRADER[[#This Row],[Show]]&amp;": "&amp;_xlfn.XLOOKUP(Tab_NewTRADER[[#This Row],[Show]],TabCalc[Ticker],TabCalc[Pile?])</f>
        <v>LAZR: Pile</v>
      </c>
      <c r="BU81" s="1717" t="s">
        <v>2004</v>
      </c>
      <c r="BV81" s="1674" t="str" cm="1">
        <f t="array" aca="1" ref="BV81" ca="1">_xlfn.TEXTJOIN("",,INDEX({"M","A","Y"}, _xlfn.SORTBY({1,2,3}, -CHOOSE({1,2,3}, Tab_NewTRADER[[#This Row],[M]], Tab_NewTRADER[[#This Row],[A]], Tab_NewTRADER[[#This Row],[Y]]))))</f>
        <v>AYM</v>
      </c>
      <c r="BW81" s="1675"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76" t="e">
        <f ca="1">Tab_NewTRADER[[#This Row],[L_Sn]]*Tab_NewTRADER[[#This Row],[L_Sp]]+Tab_NewTRADER[[#This Row],[SellMore]]*Tab_NewTRADER[[#This Row],[M]]</f>
        <v>#N/A</v>
      </c>
      <c r="BY81" s="1676" t="e">
        <f ca="1">INDEX(
  INDEX(TabConsolid[], , _xlfn.XMATCH(Tab_NewTRADER[[#This Row],[ClickTick]]&amp;1, TabConsolid[#Headers])),
  MATCH(
    -Tab_NewTRADER[[#This Row],[M]],
    INDEX(TabConsolid[], , _xlfn.XMATCH(Tab_NewTRADER[[#This Row],[ClickTick]]&amp;2, TabConsolid[#Headers])),
    -1
  )
)</f>
        <v>#N/A</v>
      </c>
      <c r="BZ81" s="1676"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77" t="e">
        <f ca="1">Tab_NewTRADER[[#This Row],[ReBuy]]/(Tab_NewTRADER[[#This Row],[L_Sn]]+Tab_NewTRADER[[#This Row],[SellMore]])</f>
        <v>#N/A</v>
      </c>
      <c r="CB81" s="1678" t="e">
        <f ca="1">((_xlfn.XLOOKUP(Tab_NewTRADER[[#This Row],[Show]],TabCalc[Ticker],TabCalc[NAfter])+Tab_NewTRADER[[#This Row],[L_Sn]])*(Tab_NewTRADER[[#This Row],[Agiotage]]-Tab_NewTRADER[[#This Row],[M]]))/(Tab_NewTRADER[[#This Row],[L_Sn]]*_xlfn.XLOOKUP(Tab_NewTRADER[[#This Row],[Show]],TabCalc[Ticker],TabCalc[NAfter]))</f>
        <v>#DIV/0!</v>
      </c>
      <c r="CC81" s="1677">
        <f ca="1">INDEX(Tab1Price[Price19], MATCH(Tab_NewTRADER[[#This Row],[Show]], Tab_NewTRADER[Show], 0))</f>
        <v>0.96619999999999995</v>
      </c>
      <c r="CD81" s="1679">
        <f ca="1">_xlfn.XMATCH(Tab_NewTRADER[[#This Row],[Show]]&amp;1, TabConsolid[#Headers])</f>
        <v>239</v>
      </c>
      <c r="CE81" s="1678"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78" t="str" cm="1">
        <f t="array" aca="1" ref="CF81" ca="1">_xlfn.LET(
    _xlpm.FMT, _xlfn.LAMBDA(_xlpm.n, REPT(" ", 7 - LEN(TEXT(_xlpm.n,"0.00"))) &amp; TEXT(_xlpm.n,"0.00")),
    _xlpm.FMT(Tab_NewTRADER[[#This Row],[A]]) &amp; " -" &amp; _xlpm.FMT(Tab_NewTRADER[[#This Row],[M]]) &amp; " -" &amp; _xlpm.FMT(Tab_NewTRADER[[#This Row],[Y]])
)</f>
        <v xml:space="preserve">  21.73 -   0.97 -  15.00</v>
      </c>
      <c r="CG81" s="1680" t="str" cm="1">
        <f t="array" aca="1" ref="CG81" ca="1">_xlfn.LET(
    _xlpm.W, 7,
    _xlpm.FMT, _xlfn.LAMBDA(_xlpm.n, REPT(" ", _xlpm.W - LEN(TEXT(_xlpm.n,"0.00"))) &amp; TEXT(_xlpm.n,"0.00")),
    _xlpm.FMT(Tab_NewTRADER[[#This Row],[A]]) &amp; " * " &amp; _xlpm.FMT(Tab_NewTRADER[[#This Row],[M]]) &amp; " * " &amp; _xlpm.FMT(Tab_NewTRADER[[#This Row],[Y]])
)</f>
        <v xml:space="preserve">  21.73 *    0.97 *   15.00</v>
      </c>
      <c r="CH81" s="1842">
        <f>0</f>
        <v>0</v>
      </c>
      <c r="CI81" t="str">
        <f ca="1">IF(ABS(NewTrader!$Q81)&gt;=NewTrader!$Y81,"OK")</f>
        <v>OK</v>
      </c>
    </row>
    <row r="82" spans="1:87" ht="23" hidden="1" thickBot="1">
      <c r="A82" s="1839">
        <f ca="1">IF(_xlfn.XLOOKUP(NewTrader!$V82,TabCalc[Ticker],TabCalc[Cur])="GBp",0.01,1)</f>
        <v>1</v>
      </c>
      <c r="B82" s="1681" t="str">
        <f ca="1">IFERROR(TRUNC(_xlfn.XLOOKUP(NewTrader!$V82,TabCalc[Ticker],ListLastBuyp),2)&amp;"x"&amp;_xlfn.XLOOKUP(NewTrader!$V82,TabCalc[Ticker],ListLastBuyn)&amp;"=    "&amp;IF(_xlfn.XLOOKUP(NewTrader!$V82,TabCalc[Ticker],ListReverseS)&gt;0,"+","")&amp;TEXT(_xlfn.XLOOKUP(NewTrader!$V82,TabCalc[Ticker],ListReverseS),"#,#0")&amp;" "&amp;#REF!,"")</f>
        <v/>
      </c>
      <c r="C82" s="1682" t="str">
        <f ca="1">_xlfn.XLOOKUP(NewTrader!$V82,TabCalc[Ticker],ListResale)&amp;" @ "&amp;TEXT((_xlfn.XLOOKUP(NewTrader!$V82,TabCalc[Ticker],TabCalc[L_Bp])+_xlfn.XLOOKUP(NewTrader!$V82,TabCalc[Ticker],TabCalc[M]))/_xlfn.XLOOKUP(NewTrader!$V82,TabCalc[Ticker],TabCalc[M]),"#0.0%")</f>
        <v>Sell @ 7.2%</v>
      </c>
      <c r="D82" s="1683"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84" t="str">
        <f ca="1">IF(      AND(NewTrader!$X82&lt;NewTrader!$Y82,    _xlfn.XLOOKUP(NewTrader!$V82,TabCalc[Ticker],TabCalc[L_Sp])&gt;NewTrader!$Y82),"BUY  "&amp;TEXT(DesiredBuyGain/NewTrader!$A82/(_xlfn.XLOOKUP(NewTrader!$V82,TabCalc[Ticker],TabCalc[L_Sp])-NewTrader!$Y82),"#,##0"),"")</f>
        <v/>
      </c>
      <c r="F82" s="1681" t="str">
        <f ca="1">TRUNC(TabCalc[[#This Row],[L_B1p]],2)&amp;"x"&amp;TabCalc[[#This Row],[L_B1n]]&amp;"=   "&amp;TEXT(TabCalc[[#This Row],[ReverseS1]],"#,#0")&amp;"$"</f>
        <v>-30.69x1200=   12,051$</v>
      </c>
      <c r="G82" s="1685" t="str">
        <f ca="1">IFERROR(TRUNC(_xlfn.XLOOKUP(NewTrader!$V82,TabCalc[Ticker],ListLastSalep),2)&amp;"x"&amp;_xlfn.XLOOKUP(NewTrader!$V82,TabCalc[Ticker],ListLastSalen)&amp;"=   "&amp;TEXT(-_xlfn.XLOOKUP(NewTrader!$V82,TabCalc[Ticker],ListReverseB),"#,#0")&amp;"$","")</f>
        <v>33.64x1200=   8,512$</v>
      </c>
      <c r="H82" s="1686"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S_more @ 17.4% = 0</v>
      </c>
      <c r="I82" s="1681" t="str">
        <f ca="1">IFERROR(TRUNC(TabCalc[[#This Row],[L_S1p]],2)&amp;"x"&amp;TabCalc[[#This Row],[L_S1n]]&amp;"=   "&amp;TEXT(TabCalc[[#This Row],[ReverseB1]],"#,#0"),"")</f>
        <v>28.54x2000=   -24,400</v>
      </c>
      <c r="J82" s="1687">
        <f ca="1">_xlfn.XLOOKUP(NewTrader!$V82,TabCalc[Ticker],ListGravity)</f>
        <v>0.84609720176730474</v>
      </c>
      <c r="K82" s="1688" t="str" cm="1">
        <f t="array" aca="1" ref="K82" ca="1">IF(_xlfn.XLOOKUP(NewTrader!$V82,NewTrader!$V$3:$V$96,ListExtra_n)&gt;0,_xlfn.XLOOKUP(NewTrader!$V82,NewTrader!$V$3:$V$96,ListExtra_n),"")</f>
        <v/>
      </c>
      <c r="L82" s="1689" t="str">
        <f ca="1">IF(_xlfn.XLOOKUP(NewTrader!$V82,TabCalc[Ticker],ListExtra_n)&gt;0,_xlfn.XLOOKUP(NewTrader!$V82,TabCalc[Ticker],ListExtra_n)*NewTrader!$Y82*_xlfn.XLOOKUP(NewTrader!$V82,TabCalc[Ticker],ListScale),"")</f>
        <v/>
      </c>
      <c r="M82" s="1690">
        <f ca="1">_xlfn.XLOOKUP(NewTrader!$V82,TabCalc[Ticker],TabCalc[Agiotage])</f>
        <v>2.7751078974989354</v>
      </c>
      <c r="N82" s="1691" cm="1">
        <f t="array" aca="1" ref="N82" ca="1">_xlfn.XLOOKUP(NewTrader!$V82,ListTickers,Tab2RSIConventional[RSIConv20])</f>
        <v>92</v>
      </c>
      <c r="O82" s="1631" t="str">
        <f ca="1">TEXT(_xlfn.XLOOKUP(NewTrader!$V82,TabCalc[Ticker],TabCalc[Nbegin]),"#,#0")&amp;": "&amp;_xlfn.XLOOKUP(NewTrader!$V82,TabCalc[Ticker],TabCalc[Pile?])</f>
        <v xml:space="preserve">2,100: </v>
      </c>
      <c r="P82" s="1691">
        <f ca="1">_xlfn.XLOOKUP(NewTrader!$V82,TabCalc[Ticker],TabCalc[L_Bn])</f>
        <v>900</v>
      </c>
      <c r="Q82" s="1731">
        <f ca="1">_xlfn.XLOOKUP(NewTrader!$V82,TabCalc[Ticker],TabCalc[L_Bp])</f>
        <v>-37.81</v>
      </c>
      <c r="R82" s="1694">
        <f ca="1">(NewTrader!$Y82+NewTrader!$Q82)/ABS(NewTrader!$Q82)</f>
        <v>7.7492726791853997E-2</v>
      </c>
      <c r="S82" s="262">
        <f ca="1">INT(_xlfn.XLOOKUP(NewTrader!$V82,TabCalc[Ticker],TabCalc[Rev(MinStock)])*Comm_Net)</f>
        <v>2621</v>
      </c>
      <c r="T82" s="1635">
        <f ca="1">_xlfn.XLOOKUP(NewTrader!$V82,TabCalc[Ticker],TabCalc[Agiotage])</f>
        <v>2.7751078974989354</v>
      </c>
      <c r="U82" s="1695"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1,911/1,911=&gt;2.3% / 2.3%</v>
      </c>
      <c r="V82" s="1578" t="str">
        <f ca="1">SORTING!B82</f>
        <v>LUV</v>
      </c>
      <c r="W82" s="1637">
        <f ca="1">_xlfn.XLOOKUP(NewTrader!$V82,TabCalc[Ticker],TabCalc[Y])</f>
        <v>34.47</v>
      </c>
      <c r="X82" s="1639">
        <f ca="1">-_xlfn.XLOOKUP(NewTrader!$V82&amp;2,Consolid!B$3:JZ$3,Consolid!B$4:JZ$4)</f>
        <v>33.833395851428577</v>
      </c>
      <c r="Y82" s="1639">
        <f ca="1">_xlfn.XLOOKUP(NewTrader!$V82,TabCalc[Ticker],TabCalc[M])</f>
        <v>40.74</v>
      </c>
      <c r="Z82" s="1640">
        <f ca="1">_xlfn.XLOOKUP(NewTrader!$V82,[1]!RTData[Ticker_Symbol],[1]!RTData[YTChange])</f>
        <v>0.22931526390870186</v>
      </c>
      <c r="AA82" s="1640" cm="1">
        <f t="array" aca="1" ref="AA82" ca="1">_xlfn.XLOOKUP(NewTrader!$V82,ListTickers,Tab1ChangePercent[Change%19])</f>
        <v>2.2846999999999999E-2</v>
      </c>
      <c r="AB82" s="1641">
        <f ca="1">_xlfn.XLOOKUP(NewTrader!$V82,TabCalc[Ticker],TabCalc[NAfter])</f>
        <v>2100</v>
      </c>
      <c r="AC82" s="1641">
        <f ca="1">_xlfn.XLOOKUP(NewTrader!$V82,TabCalc[Ticker],TabCalc[Nbegin])</f>
        <v>2100</v>
      </c>
      <c r="AD82" s="1642" t="str">
        <f ca="1">_xlfn.LET(_xlpm.PILE,_xlfn.XLOOKUP(NewTrader!$V82,TabCalc[Ticker],TabCalc[Pile?]),                    _xlpm.GL,_xlfn.XLOOKUP(NewTrader!$V82,TabCalc[Ticker],TabCalc[GL]),                        _xlpm.GLK,_xlfn.XLOOKUP(NewTrader!$V82,TabCalc[Ticker],TabCalc[GL])/1000,                             _xlpm.MVal,_xlfn.XLOOKUP(NewTrader!$V82,TabCalc[Ticker],TabCalc[M_V])/1000,                   _xlpm.PILE&amp;" "&amp;IF(_xlpm.GL&lt;0,TEXT(_xlpm.GLK,"#,#0")&amp;"K /"&amp;TEXT(_xlpm.MVal,"#,#0")&amp;" K$","^"&amp;TEXT(_xlpm.GLK,"#,#0")&amp;"K / "&amp;TEXT(_xlpm.MVal,"#,#0")&amp;" K$"))</f>
        <v xml:space="preserve"> -7K /85 K$</v>
      </c>
      <c r="AE82" s="1643" t="str">
        <f ca="1">_xlfn.XLOOKUP(NewTrader!$V82,[1]!RTData[Ticker_Symbol],[1]!RTData[Currency])</f>
        <v>USD</v>
      </c>
      <c r="AF82" s="1721"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Sale</v>
      </c>
      <c r="AG8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33.83</v>
      </c>
      <c r="AH82" s="1698" t="str" cm="1">
        <f t="array" aca="1" ref="AH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2,622 @ 40.74 : (7.2%, 465.0%)</v>
      </c>
      <c r="AI82"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82" s="1651" t="str" cm="1">
        <f t="array" aca="1" ref="AJ82" ca="1">_xlfn.IFS(Tab_NewTRADER[[#This Row],[State]]="Sell More",TEXT(MIN(Tab_NewTRADER[[#This Row],[N]],Tab_NewTRADER[[#This Row],[L_Bn]])*(Tab_NewTRADER[[#This Row],[M]]-Tab_NewTRADER[[#This Row],[L_Sp]])*Tab_NewTRADER[[#This Row],[Scale]]*ComFactor,"#,#0"), TRUE,"M= "&amp;TEXT(Tab_NewTRADER[[#This Row],[M]],"#,#0.00"))</f>
        <v>M= 40.74</v>
      </c>
      <c r="AK82" s="1699" t="str" cm="1">
        <f t="array" aca="1" ref="AK82" ca="1">_xlfn.IFS(Tab_NewTRADER[[#This Row],[Y]]&gt;Tab_NewTRADER[[#This Row],[A]],                 TEXT(MIN(Tab_NewTRADER[[#This Row],[L_Bn]],Tab_NewTRADER[[#This Row],[N]])*(Tab_NewTRADER[[#This Row],[M]]-Tab_NewTRADER[[#This Row],[A]])*Tab_NewTRADER[[#This Row],[Scale]]*ComFactor,"#,#0"), TRUE,0)</f>
        <v>6,200</v>
      </c>
      <c r="AL82" s="1700" cm="1">
        <f t="array" aca="1" ref="AL82" ca="1">_xlfn.IFS(Tab_NewTRADER[[#This Row],[M]]&gt;Tab_NewTRADER[[#This Row],[A]],                  Tab_NewTRADER[[#This Row],[N]]*(Tab_NewTRADER[[#This Row],[M]]-Tab_NewTRADER[[#This Row],[A]])*Tab_NewTRADER[[#This Row],[Scale]]*ComFactor, TRUE,0)</f>
        <v>14466.158653348792</v>
      </c>
      <c r="AM82" s="1592" t="str">
        <f ca="1">_xlfn.XLOOKUP(Tab_NewTRADER[[#This Row],[Show]],TabCalc[Ticker],TabCalc[Max_Bn])&amp;" x "&amp;TEXT(_xlfn.XLOOKUP(Tab_NewTRADER[[#This Row],[Show]],TabCalc[Ticker],TabCalc[Max_Bp]),"#,#0.00")</f>
        <v>900 x 37.81</v>
      </c>
      <c r="AN82" s="1650" t="str">
        <f ca="1">NewTrader!$V82</f>
        <v>LUV</v>
      </c>
      <c r="AO82" s="1651" t="str">
        <f ca="1">TEXT(_xlfn.XLOOKUP(Tab_NewTRADER[[#This Row],[ClickTick]],TabCalc[Ticker],TabCalc[NAfter]),"#,#0")&amp;"x"&amp;_xlfn.XLOOKUP(Tab_NewTRADER[[#This Row],[ClickTick]],TabCalc[Ticker],TabCalc[M])&amp;"           (A: "&amp;TEXT(-_xlfn.XLOOKUP(Tab_NewTRADER[[#This Row],[ClickTick]]&amp;2,Consolid!B$3:JZ$3,Consolid!B$4:JZ$4),"#,??0.00")&amp;")"</f>
        <v>2,100x40.74           (A:  33.83)</v>
      </c>
      <c r="AP82" s="1592" t="str">
        <f ca="1">_xlfn.XLOOKUP(Tab_NewTRADER[[#This Row],[Show]],TabCalc[Ticker],TabCalc[Min_Sn])&amp;" x "&amp;TEXT(_xlfn.XLOOKUP(Tab_NewTRADER[[#This Row],[Show]],TabCalc[Ticker],TabCalc[Min_Sp]),"#,#0.00")</f>
        <v>1200 x 28.31</v>
      </c>
      <c r="AQ8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33.83</v>
      </c>
      <c r="AR82" s="1702" t="str" cm="1">
        <f t="array" aca="1" ref="AR82" ca="1">_xlfn.IFS(Tab_NewTRADER[[#This Row],[State]]="Reverse Buy",TEXT(-Tab_NewTRADER[[#This Row],[Buy_Back]],"#,#0")&amp;" / "&amp;TEXT(Tab_NewTRADER[[#This Row],[Rev_Buy]],"#,#0.0%"),TRUE,Tab_NewTRADER[[#This Row],[AMY]])</f>
        <v xml:space="preserve">  33.83 -  40.74 -  34.47</v>
      </c>
      <c r="AS82" s="1651"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99"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99" t="str" cm="1">
        <f t="array" aca="1" ref="AU82" ca="1">_xlfn.IFS(Tab_NewTRADER[[#This Row],[M]]&lt;Tab_NewTRADER[[#This Row],[A]],TEXT(Tab_NewTRADER[[#This Row],[N]]*Tab_NewTRADER[[#This Row],[M]]*Tab_NewTRADER[[#This Row],[Scale]]*Comm_Net,"#,#0")&amp;" @ "&amp;TEXT(Tab_NewTRADER[[#This Row],[M]],"#,#0.#0"),TRUE,"M: "&amp; Tab_NewTRADER[[#This Row],[M]])</f>
        <v>M: 40.74</v>
      </c>
      <c r="AV82" s="1703" cm="1">
        <f t="array" aca="1" ref="AV82" ca="1">-_xlfn.XLOOKUP(
    Tab_NewTRADER[[#This Row],[Show]] &amp; 2,
    TabConsolid[#Headers],
    INDEX(TabConsolid[], 1, 0)
)</f>
        <v>33.833395851428577</v>
      </c>
      <c r="AW82" s="1704">
        <f ca="1">Tab_NewTRADER[[#This Row],[M]]*Tab_NewTRADER[[#This Row],[N]]*(1-Commission)*Tab_NewTRADER[[#This Row],[Scale]]</f>
        <v>85331.559599999993</v>
      </c>
      <c r="AX82" s="1705"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705"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706" t="str" cm="1">
        <f t="array" aca="1" ref="AZ82" ca="1">_xlfn.IFS(   Tab_NewTRADER[[#This Row],[State]]=SellMorePercentGain,                     MIN(Tab_NewTRADER[[#This Row],[L_Sn]],Tab_NewTRADER[[#This Row],[N]])*(Tab_NewTRADER[[#This Row],[M]]-Tab_NewTRADER[[#This Row],[L_Sp]])*(1-Commission)*Tab_NewTRADER[[#This Row],[Scale]],                    TRUE,"")</f>
        <v/>
      </c>
      <c r="BA82" s="1707">
        <f ca="1">_xlfn.XLOOKUP(NewTrader!$V82,TabCalc[Ticker],TabCalc[Ann%RevLB])</f>
        <v>4.6495636075112401</v>
      </c>
      <c r="BB82" s="1708" t="str">
        <f ca="1">_xlfn.XLOOKUP(NewTrader!$V82,TabCalc[Ticker],TabCalc[Up20])</f>
        <v>/50/%</v>
      </c>
      <c r="BC82" s="1709"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706" t="str" cm="1">
        <f t="array" aca="1" ref="BD82" ca="1">_xlfn.IFS(         NewTrader!$AF82=MDown,NewTrader!$P82*NewTrader!$Y82*(-(NewTrader!$Q82+NewTrader!$Y82)/NewTrader!$Y82)*(1-Commission)*NewTrader!$A82,                               TRUE,"")</f>
        <v/>
      </c>
      <c r="BE82" s="1705" t="str" cm="1">
        <f t="array" aca="1" ref="BE82" ca="1">_xlfn.IFS(   NewTrader!$AF82=MUp,NewTrader!$BP82-Commission,        NewTrader!$AF82=MDown,(NewTrader!$X82-NewTrader!$Y82)/NewTrader!$Y82-Commission,                              TRUE,"")</f>
        <v/>
      </c>
      <c r="BF82" s="1706"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710" t="e" cm="1">
        <f t="array" aca="1" ref="BG82" ca="1">_xlfn.LET(_xlpm.SumChTxt,TEXT(_xlfn.XLOOKUP(NewTrader!$V82,ListTickers,Tab2SumChangePercent[AVGChan20]),"#0.0%"),
      _xlfn.IFS(NewTrader!$AF82=NoStock,_xlpm.SumChTxt,
      TRUE, IF(NewTrader!$AF82=SellMorePercentGain,             "SumChange "&amp;_xlpm.SumChTxt,                         "&lt;"&amp;INT(_xlfn.XLOOKUP(NewTrader!$V82,ListTickers,Tab2ReverseGL[Rev_GL19]))&amp;    "&lt;"&amp;INT(_xlfn.XLOOKUP(NewTrader!$V82,ListTickers,Tab2ReverseGL[Rev_GL18]))&amp;":      "&amp;_xlpm.SumChTxt)))</f>
        <v>#VALUE!</v>
      </c>
      <c r="BH82" s="1711"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M&gt;L_Bp</v>
      </c>
      <c r="BI82" s="1712" cm="1">
        <f t="array" aca="1" ref="BI82" ca="1">_xlfn.IFS(NewTrader!$AF82=Sale_Back,"",         NewTrader!$AF82=MDown, (NewTrader!$Y82-NewTrader!$X82)/NewTrader!$X82*ComFactor,             TRUE, IFERROR((NewTrader!$Y82-NewTrader!$X82)/NewTrader!$X82*ComFactor,""))</f>
        <v>0.20360495316624486</v>
      </c>
      <c r="BJ82" s="1664" cm="1">
        <f t="array" aca="1" ref="BJ82" ca="1">_xlfn.IFS(               NewTrader!$AF82=NoStock,(NewTrader!$BL82-NewTrader!$Y82)/NewTrader!$Y82-Commission,             NewTrader!$X82&lt;&gt;0,(NewTrader!$X82-NewTrader!$Y82)/NewTrader!$Y82-Commission)</f>
        <v>-0.17212882053439924</v>
      </c>
      <c r="BK82" s="1713">
        <f ca="1">_xlfn.XLOOKUP(NewTrader!$V82,TabCalc[Ticker],TabCalc[L_Sn])</f>
        <v>1200</v>
      </c>
      <c r="BL82" s="1693">
        <f ca="1">_xlfn.XLOOKUP(NewTrader!$V82,TabCalc[Ticker],TabCalc[L_Sp])</f>
        <v>33.646524999999997</v>
      </c>
      <c r="BM82" s="1694">
        <f ca="1">-IFERROR((Tab_NewTRADER[[#This Row],[M]]-Tab_NewTRADER[[#This Row],[L_Sp]])/Tab_NewTRADER[[#This Row],[L_Sp]],0)</f>
        <v>-0.21082340598323321</v>
      </c>
      <c r="BN82" s="1714">
        <f ca="1">MIN(Tab_NewTRADER[[#This Row],[L_Sn]],Tab_NewTRADER[[#This Row],[N]])*(Tab_NewTRADER[[#This Row],[M]]-Tab_NewTRADER[[#This Row],[L_Sp]])*Comm_Net*Tab_NewTRADER[[#This Row],[Scale]]</f>
        <v>8489.1871410000058</v>
      </c>
      <c r="BO82" s="1715">
        <f ca="1">Tab_NewTRADER[[#This Row],[L_Sn]]*(Tab_NewTRADER[[#This Row],[Agiotage]]-Tab_NewTRADER[[#This Row],[M]])/(Tab_NewTRADER[[#This Row],[L_Bn]]*Tab_NewTRADER[[#This Row],[M]])</f>
        <v>-1.2425099689903802</v>
      </c>
      <c r="BP82" s="1716">
        <f ca="1">IFERROR((Tab_NewTRADER[[#This Row],[M]]-Tab_NewTRADER[[#This Row],[A]])/Tab_NewTRADER[[#This Row],[A]],0)</f>
        <v>0.20413570600184969</v>
      </c>
      <c r="BQ82" s="1671" t="str">
        <f ca="1">TEXT(_xlfn.XLOOKUP(Tab_NewTRADER[[#This Row],[ClickTick]],TabCalc[Ticker],TabCalc[NAfter]),"#,#0")&amp;" : "&amp;TEXT(_xlfn.XLOOKUP(Tab_NewTRADER[[#This Row],[ClickTick]],TabCalc[Ticker],TabCalc[NAfter])*(Tab_NewTRADER[[#This Row],[M]]-Tab_NewTRADER[[#This Row],[A]])*(1-Commission)*Tab_NewTRADER[[#This Row],[Scale]],"#,#0$")</f>
        <v>2,100 : 14,466$</v>
      </c>
      <c r="BR82" s="262">
        <f ca="1">_xlfn.XLOOKUP(NewTrader!$V82,TabCalc[[#This Row],[Ticker]],TabCalc[[#This Row],[GL]])*(1-Commission)</f>
        <v>-6948.9278712496271</v>
      </c>
      <c r="BS82" s="262"/>
      <c r="BT82" s="1672" t="str">
        <f ca="1">Tab_NewTRADER[[#This Row],[Show]]&amp;": "&amp;_xlfn.XLOOKUP(Tab_NewTRADER[[#This Row],[Show]],TabCalc[Ticker],TabCalc[Pile?])</f>
        <v xml:space="preserve">LUV: </v>
      </c>
      <c r="BU82" s="1717" t="s">
        <v>2005</v>
      </c>
      <c r="BV82" s="1674" t="str" cm="1">
        <f t="array" aca="1" ref="BV82" ca="1">_xlfn.TEXTJOIN("",,INDEX({"M","A","Y"}, _xlfn.SORTBY({1,2,3}, -CHOOSE({1,2,3}, Tab_NewTRADER[[#This Row],[M]], Tab_NewTRADER[[#This Row],[A]], Tab_NewTRADER[[#This Row],[Y]]))))</f>
        <v>MYA</v>
      </c>
      <c r="BW82" s="1675"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76">
        <f ca="1">Tab_NewTRADER[[#This Row],[L_Sn]]*Tab_NewTRADER[[#This Row],[L_Sp]]+Tab_NewTRADER[[#This Row],[SellMore]]*Tab_NewTRADER[[#This Row],[M]]</f>
        <v>77041.829999999987</v>
      </c>
      <c r="BY82" s="1676">
        <f ca="1">INDEX(
  INDEX(TabConsolid[], , _xlfn.XMATCH(Tab_NewTRADER[[#This Row],[ClickTick]]&amp;1, TabConsolid[#Headers])),
  MATCH(
    -Tab_NewTRADER[[#This Row],[M]],
    INDEX(TabConsolid[], , _xlfn.XMATCH(Tab_NewTRADER[[#This Row],[ClickTick]]&amp;2, TabConsolid[#Headers])),
    -1
  )
)</f>
        <v>900</v>
      </c>
      <c r="BZ82" s="1676"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77">
        <f ca="1">Tab_NewTRADER[[#This Row],[ReBuy]]/(Tab_NewTRADER[[#This Row],[L_Sn]]+Tab_NewTRADER[[#This Row],[SellMore]])</f>
        <v>36.686585714285705</v>
      </c>
      <c r="CB82" s="1678">
        <f ca="1">((_xlfn.XLOOKUP(Tab_NewTRADER[[#This Row],[Show]],TabCalc[Ticker],TabCalc[NAfter])+Tab_NewTRADER[[#This Row],[L_Sn]])*(Tab_NewTRADER[[#This Row],[Agiotage]]-Tab_NewTRADER[[#This Row],[M]]))/(Tab_NewTRADER[[#This Row],[L_Sn]]*_xlfn.XLOOKUP(Tab_NewTRADER[[#This Row],[Show]],TabCalc[Ticker],TabCalc[NAfter]))</f>
        <v>-4.9715930134227586E-2</v>
      </c>
      <c r="CC82" s="1677">
        <f ca="1">INDEX(Tab1Price[Price19], MATCH(Tab_NewTRADER[[#This Row],[Show]], Tab_NewTRADER[Show], 0))</f>
        <v>40.74</v>
      </c>
      <c r="CD82" s="1679">
        <f ca="1">_xlfn.XMATCH(Tab_NewTRADER[[#This Row],[Show]]&amp;1, TabConsolid[#Headers])</f>
        <v>242</v>
      </c>
      <c r="CE82" s="1678"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678" t="str" cm="1">
        <f t="array" aca="1" ref="CF82" ca="1">_xlfn.LET(
    _xlpm.FMT, _xlfn.LAMBDA(_xlpm.n, REPT(" ", 7 - LEN(TEXT(_xlpm.n,"0.00"))) &amp; TEXT(_xlpm.n,"0.00")),
    _xlpm.FMT(Tab_NewTRADER[[#This Row],[A]]) &amp; " -" &amp; _xlpm.FMT(Tab_NewTRADER[[#This Row],[M]]) &amp; " -" &amp; _xlpm.FMT(Tab_NewTRADER[[#This Row],[Y]])
)</f>
        <v xml:space="preserve">  33.83 -  40.74 -  34.47</v>
      </c>
      <c r="CG82" s="1680" t="str" cm="1">
        <f t="array" aca="1" ref="CG82" ca="1">_xlfn.LET(
    _xlpm.W, 7,
    _xlpm.FMT, _xlfn.LAMBDA(_xlpm.n, REPT(" ", _xlpm.W - LEN(TEXT(_xlpm.n,"0.00"))) &amp; TEXT(_xlpm.n,"0.00")),
    _xlpm.FMT(Tab_NewTRADER[[#This Row],[A]]) &amp; " * " &amp; _xlpm.FMT(Tab_NewTRADER[[#This Row],[M]]) &amp; " * " &amp; _xlpm.FMT(Tab_NewTRADER[[#This Row],[Y]])
)</f>
        <v xml:space="preserve">  33.83 *   40.74 *   34.47</v>
      </c>
      <c r="CH82" s="1842">
        <f>0</f>
        <v>0</v>
      </c>
      <c r="CI82" t="b">
        <f ca="1">IF(ABS(NewTrader!$Q82)&gt;=NewTrader!$Y82,"OK")</f>
        <v>0</v>
      </c>
    </row>
    <row r="83" spans="1:87" ht="23" hidden="1" thickBot="1">
      <c r="A83" s="1838">
        <f ca="1">IF(_xlfn.XLOOKUP(NewTrader!$V83,TabCalc[Ticker],TabCalc[Cur])="GBp",0.01,1)</f>
        <v>1</v>
      </c>
      <c r="B83" s="1620" t="str">
        <f ca="1">IFERROR(TRUNC(_xlfn.XLOOKUP(NewTrader!$V83,TabCalc[Ticker],ListLastBuyp),2)&amp;"x"&amp;_xlfn.XLOOKUP(NewTrader!$V83,TabCalc[Ticker],ListLastBuyn)&amp;"=    "&amp;IF(_xlfn.XLOOKUP(NewTrader!$V83,TabCalc[Ticker],ListReverseS)&gt;0,"+","")&amp;TEXT(_xlfn.XLOOKUP(NewTrader!$V83,TabCalc[Ticker],ListReverseS),"#,#0")&amp;" "&amp;#REF!,"")</f>
        <v/>
      </c>
      <c r="C83" s="1621" t="str">
        <f ca="1">_xlfn.XLOOKUP(NewTrader!$V83,TabCalc[Ticker],ListResale)&amp;" @ "&amp;TEXT((_xlfn.XLOOKUP(NewTrader!$V83,TabCalc[Ticker],TabCalc[L_Bp])+_xlfn.XLOOKUP(NewTrader!$V83,TabCalc[Ticker],TabCalc[M]))/_xlfn.XLOOKUP(NewTrader!$V83,TabCalc[Ticker],TabCalc[M]),"#0.0%")</f>
        <v>Sell @ -0.4%</v>
      </c>
      <c r="D83" s="1622"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718" t="str">
        <f ca="1">IF(      AND(NewTrader!$X83&lt;NewTrader!$Y83,    _xlfn.XLOOKUP(NewTrader!$V83,TabCalc[Ticker],TabCalc[L_Sp])&gt;NewTrader!$Y83),"BUY  "&amp;TEXT(DesiredBuyGain/NewTrader!$A83/(_xlfn.XLOOKUP(NewTrader!$V83,TabCalc[Ticker],TabCalc[L_Sp])-NewTrader!$Y83),"#,##0"),"")</f>
        <v>BUY  172</v>
      </c>
      <c r="F83" s="1620" t="str">
        <f ca="1">TRUNC(TabCalc[[#This Row],[L_B1p]],2)&amp;"x"&amp;TabCalc[[#This Row],[L_B1n]]&amp;"=   "&amp;TEXT(TabCalc[[#This Row],[ReverseS1]],"#,#0")&amp;"$"</f>
        <v>-546.81x200=   3,352$</v>
      </c>
      <c r="G83" s="1624" t="str">
        <f ca="1">IFERROR(TRUNC(_xlfn.XLOOKUP(NewTrader!$V83,TabCalc[Ticker],ListLastSalep),2)&amp;"x"&amp;_xlfn.XLOOKUP(NewTrader!$V83,TabCalc[Ticker],ListLastSalen)&amp;"=   "&amp;TEXT(-_xlfn.XLOOKUP(NewTrader!$V83,TabCalc[Ticker],ListReverseB),"#,#0")&amp;"$","")</f>
        <v>592.68x100=   -2,911$</v>
      </c>
      <c r="H83" s="1625"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5.2% = 172</v>
      </c>
      <c r="I83" s="1620" t="str">
        <f ca="1">IFERROR(TRUNC(TabCalc[[#This Row],[L_S1p]],2)&amp;"x"&amp;TabCalc[[#This Row],[L_S1n]]&amp;"=   "&amp;TEXT(TabCalc[[#This Row],[ReverseB1]],"#,#0"),"")</f>
        <v>546.67x100=   -1,690</v>
      </c>
      <c r="J83" s="1626">
        <f ca="1">_xlfn.XLOOKUP(NewTrader!$V83,TabCalc[Ticker],ListGravity)</f>
        <v>1.1649050694678564</v>
      </c>
      <c r="K83" s="1627" t="str" cm="1">
        <f t="array" aca="1" ref="K83" ca="1">IF(_xlfn.XLOOKUP(NewTrader!$V83,NewTrader!$V$3:$V$96,ListExtra_n)&gt;0,_xlfn.XLOOKUP(NewTrader!$V83,NewTrader!$V$3:$V$96,ListExtra_n),"")</f>
        <v/>
      </c>
      <c r="L83" s="1628" t="str">
        <f ca="1">IF(_xlfn.XLOOKUP(NewTrader!$V83,TabCalc[Ticker],ListExtra_n)&gt;0,_xlfn.XLOOKUP(NewTrader!$V83,TabCalc[Ticker],ListExtra_n)*NewTrader!$Y83*_xlfn.XLOOKUP(NewTrader!$V83,TabCalc[Ticker],ListScale),"")</f>
        <v/>
      </c>
      <c r="M83" s="1629">
        <f ca="1">_xlfn.XLOOKUP(NewTrader!$V83,TabCalc[Ticker],TabCalc[Agiotage])</f>
        <v>1.2355910357032382</v>
      </c>
      <c r="N83" s="1630" cm="1">
        <f t="array" aca="1" ref="N83" ca="1">_xlfn.XLOOKUP(NewTrader!$V83,ListTickers,Tab2RSIConventional[RSIConv20])</f>
        <v>81</v>
      </c>
      <c r="O83" s="1631" t="str">
        <f ca="1">TEXT(_xlfn.XLOOKUP(NewTrader!$V83,TabCalc[Ticker],TabCalc[Nbegin]),"#,#0")&amp;": "&amp;_xlfn.XLOOKUP(NewTrader!$V83,TabCalc[Ticker],TabCalc[Pile?])</f>
        <v>330: Pile</v>
      </c>
      <c r="P83" s="1632">
        <f ca="1">_xlfn.XLOOKUP(NewTrader!$V83,TabCalc[Ticker],TabCalc[L_Bn])</f>
        <v>100</v>
      </c>
      <c r="Q83" s="1727">
        <f ca="1">_xlfn.XLOOKUP(NewTrader!$V83,TabCalc[Ticker],TabCalc[L_Bp])</f>
        <v>-565.89</v>
      </c>
      <c r="R83" s="1634">
        <f ca="1">(NewTrader!$Y83+NewTrader!$Q83)/ABS(NewTrader!$Q83)</f>
        <v>-4.0997366979447182E-3</v>
      </c>
      <c r="S83" s="259">
        <f ca="1">INT(_xlfn.XLOOKUP(NewTrader!$V83,TabCalc[Ticker],TabCalc[Rev(MinStock)])*Comm_Net)</f>
        <v>-232</v>
      </c>
      <c r="T83" s="1635">
        <f ca="1">_xlfn.XLOOKUP(NewTrader!$V83,TabCalc[Ticker],TabCalc[Agiotage])</f>
        <v>1.2355910357032382</v>
      </c>
      <c r="U83" s="1719"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3,958/3,958=&gt;4.6% / 4.6%</v>
      </c>
      <c r="V83" s="1578" t="str">
        <f ca="1">SORTING!B83</f>
        <v>MA</v>
      </c>
      <c r="W83" s="1637">
        <f ca="1">_xlfn.XLOOKUP(NewTrader!$V83,TabCalc[Ticker],TabCalc[Y])</f>
        <v>656.50554999999997</v>
      </c>
      <c r="X83" s="1639">
        <f ca="1">-_xlfn.XLOOKUP(NewTrader!$V83&amp;2,Consolid!B$3:JZ$3,Consolid!B$4:JZ$4)</f>
        <v>557.79651000000001</v>
      </c>
      <c r="Y83" s="1639">
        <f ca="1">_xlfn.XLOOKUP(NewTrader!$V83,TabCalc[Ticker],TabCalc[M])</f>
        <v>563.57000000000005</v>
      </c>
      <c r="Z83" s="1640">
        <f ca="1">_xlfn.XLOOKUP(NewTrader!$V83,[1]!RTData[Ticker_Symbol],[1]!RTData[YTChange])</f>
        <v>0.19514581930057714</v>
      </c>
      <c r="AA83" s="1640" cm="1">
        <f t="array" aca="1" ref="AA83" ca="1">_xlfn.XLOOKUP(NewTrader!$V83,ListTickers,Tab1ChangePercent[Change%19])</f>
        <v>4.5856000000000001E-2</v>
      </c>
      <c r="AB83" s="1641">
        <f ca="1">_xlfn.XLOOKUP(NewTrader!$V83,TabCalc[Ticker],TabCalc[NAfter])</f>
        <v>200</v>
      </c>
      <c r="AC83" s="1641">
        <f ca="1">_xlfn.XLOOKUP(NewTrader!$V83,TabCalc[Ticker],TabCalc[Nbegin])</f>
        <v>330</v>
      </c>
      <c r="AD83" s="1642" t="str">
        <f ca="1">_xlfn.LET(_xlpm.PILE,_xlfn.XLOOKUP(NewTrader!$V83,TabCalc[Ticker],TabCalc[Pile?]),                    _xlpm.GL,_xlfn.XLOOKUP(NewTrader!$V83,TabCalc[Ticker],TabCalc[GL]),                        _xlpm.GLK,_xlfn.XLOOKUP(NewTrader!$V83,TabCalc[Ticker],TabCalc[GL])/1000,                             _xlpm.MVal,_xlfn.XLOOKUP(NewTrader!$V83,TabCalc[Ticker],TabCalc[M_V])/1000,                   _xlpm.PILE&amp;" "&amp;IF(_xlpm.GL&lt;0,TEXT(_xlpm.GLK,"#,#0")&amp;"K /"&amp;TEXT(_xlpm.MVal,"#,#0")&amp;" K$","^"&amp;TEXT(_xlpm.GLK,"#,#0")&amp;"K / "&amp;TEXT(_xlpm.MVal,"#,#0")&amp;" K$"))</f>
        <v>Pile ^49K / 112 K$</v>
      </c>
      <c r="AE83" s="1643" t="str">
        <f ca="1">_xlfn.XLOOKUP(NewTrader!$V83,[1]!RTData[Ticker_Symbol],[1]!RTData[Currency])</f>
        <v>USD</v>
      </c>
      <c r="AF83" s="1721"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Buy More</v>
      </c>
      <c r="AG8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698" t="str" cm="1">
        <f t="array" aca="1" ref="AH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557.80 - 563.57 - 656.51</v>
      </c>
      <c r="AI8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v>
      </c>
      <c r="AJ83" s="1651" t="str" cm="1">
        <f t="array" aca="1" ref="AJ83" ca="1">_xlfn.IFS(Tab_NewTRADER[[#This Row],[State]]="Sell More",TEXT(MIN(Tab_NewTRADER[[#This Row],[N]],Tab_NewTRADER[[#This Row],[L_Bn]])*(Tab_NewTRADER[[#This Row],[M]]-Tab_NewTRADER[[#This Row],[L_Sp]])*Tab_NewTRADER[[#This Row],[Scale]]*ComFactor,"#,#0"), TRUE,"M= "&amp;TEXT(Tab_NewTRADER[[#This Row],[M]],"#,#0.00"))</f>
        <v>M= 563.57</v>
      </c>
      <c r="AK83" s="1699" t="str" cm="1">
        <f t="array" aca="1" ref="AK83" ca="1">_xlfn.IFS(Tab_NewTRADER[[#This Row],[Y]]&gt;Tab_NewTRADER[[#This Row],[A]],                 TEXT(MIN(Tab_NewTRADER[[#This Row],[L_Bn]],Tab_NewTRADER[[#This Row],[N]])*(Tab_NewTRADER[[#This Row],[M]]-Tab_NewTRADER[[#This Row],[A]])*Tab_NewTRADER[[#This Row],[Scale]]*ComFactor,"#,#0"), TRUE,0)</f>
        <v>576</v>
      </c>
      <c r="AL83" s="1700" cm="1">
        <f t="array" aca="1" ref="AL83" ca="1">_xlfn.IFS(Tab_NewTRADER[[#This Row],[M]]&gt;Tab_NewTRADER[[#This Row],[A]],                  Tab_NewTRADER[[#This Row],[N]]*(Tab_NewTRADER[[#This Row],[M]]-Tab_NewTRADER[[#This Row],[A]])*Tab_NewTRADER[[#This Row],[Scale]]*ComFactor, TRUE,0)</f>
        <v>1151.6957852000075</v>
      </c>
      <c r="AM83" s="1592" t="str">
        <f ca="1">_xlfn.XLOOKUP(Tab_NewTRADER[[#This Row],[Show]],TabCalc[Ticker],TabCalc[Max_Bn])&amp;" x "&amp;TEXT(_xlfn.XLOOKUP(Tab_NewTRADER[[#This Row],[Show]],TabCalc[Ticker],TabCalc[Max_Bp]),"#,#0.00")</f>
        <v>100 x 565.89</v>
      </c>
      <c r="AN83" s="1650" t="str">
        <f ca="1">NewTrader!$V83</f>
        <v>MA</v>
      </c>
      <c r="AO83" s="1651" t="str">
        <f ca="1">TEXT(_xlfn.XLOOKUP(Tab_NewTRADER[[#This Row],[ClickTick]],TabCalc[Ticker],TabCalc[NAfter]),"#,#0")&amp;"x"&amp;_xlfn.XLOOKUP(Tab_NewTRADER[[#This Row],[ClickTick]],TabCalc[Ticker],TabCalc[M])&amp;"           (A: "&amp;TEXT(-_xlfn.XLOOKUP(Tab_NewTRADER[[#This Row],[ClickTick]]&amp;2,Consolid!B$3:JZ$3,Consolid!B$4:JZ$4),"#,??0.00")&amp;")"</f>
        <v>200x563.57           (A: 557.80)</v>
      </c>
      <c r="AP83" s="1592" t="str">
        <f ca="1">_xlfn.XLOOKUP(Tab_NewTRADER[[#This Row],[Show]],TabCalc[Ticker],TabCalc[Min_Sn])&amp;" x "&amp;TEXT(_xlfn.XLOOKUP(Tab_NewTRADER[[#This Row],[Show]],TabCalc[Ticker],TabCalc[Min_Sp]),"#,#0.00")</f>
        <v>100 x 331.89</v>
      </c>
      <c r="AQ8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702" t="str" cm="1">
        <f t="array" aca="1" ref="AR83" ca="1">_xlfn.IFS(Tab_NewTRADER[[#This Row],[State]]="Reverse Buy",TEXT(-Tab_NewTRADER[[#This Row],[Buy_Back]],"#,#0")&amp;" / "&amp;TEXT(Tab_NewTRADER[[#This Row],[Rev_Buy]],"#,#0.0%"),TRUE,Tab_NewTRADER[[#This Row],[AMY]])</f>
        <v xml:space="preserve"> 557.80 - 563.57 - 656.51</v>
      </c>
      <c r="AS83" s="1651"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99"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99" t="str" cm="1">
        <f t="array" aca="1" ref="AU83" ca="1">_xlfn.IFS(Tab_NewTRADER[[#This Row],[M]]&lt;Tab_NewTRADER[[#This Row],[A]],TEXT(Tab_NewTRADER[[#This Row],[N]]*Tab_NewTRADER[[#This Row],[M]]*Tab_NewTRADER[[#This Row],[Scale]]*Comm_Net,"#,#0")&amp;" @ "&amp;TEXT(Tab_NewTRADER[[#This Row],[M]],"#,#0.#0"),TRUE,"M: "&amp; Tab_NewTRADER[[#This Row],[M]])</f>
        <v>M: 563.57</v>
      </c>
      <c r="AV83" s="1740" cm="1">
        <f t="array" aca="1" ref="AV83" ca="1">-_xlfn.XLOOKUP(
    Tab_NewTRADER[[#This Row],[Show]] &amp; 2,
    TabConsolid[#Headers],
    INDEX(TabConsolid[], 1, 0)
)</f>
        <v>557.79651000000001</v>
      </c>
      <c r="AW83" s="1741">
        <f ca="1">Tab_NewTRADER[[#This Row],[M]]*Tab_NewTRADER[[#This Row],[N]]*(1-Commission)*Tab_NewTRADER[[#This Row],[Scale]]</f>
        <v>112420.94360000001</v>
      </c>
      <c r="AX83" s="1705"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705"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706" t="str" cm="1">
        <f t="array" aca="1" ref="AZ83" ca="1">_xlfn.IFS(   Tab_NewTRADER[[#This Row],[State]]=SellMorePercentGain,                     MIN(Tab_NewTRADER[[#This Row],[L_Sn]],Tab_NewTRADER[[#This Row],[N]])*(Tab_NewTRADER[[#This Row],[M]]-Tab_NewTRADER[[#This Row],[L_Sp]])*(1-Commission)*Tab_NewTRADER[[#This Row],[Scale]],                    TRUE,"")</f>
        <v/>
      </c>
      <c r="BA83" s="1707">
        <f ca="1">_xlfn.XLOOKUP(NewTrader!$V83,TabCalc[Ticker],TabCalc[Ann%RevLB])</f>
        <v>-1.8921861682821776E-2</v>
      </c>
      <c r="BB83" s="1708">
        <f ca="1">_xlfn.XLOOKUP(NewTrader!$V83,TabCalc[Ticker],TabCalc[Up20])</f>
        <v>0</v>
      </c>
      <c r="BC83" s="1725"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706" t="str" cm="1">
        <f t="array" aca="1" ref="BD83" ca="1">_xlfn.IFS(         NewTrader!$AF83=MDown,NewTrader!$P83*NewTrader!$Y83*(-(NewTrader!$Q83+NewTrader!$Y83)/NewTrader!$Y83)*(1-Commission)*NewTrader!$A83,                               TRUE,"")</f>
        <v/>
      </c>
      <c r="BE83" s="1705" t="str" cm="1">
        <f t="array" aca="1" ref="BE83" ca="1">_xlfn.IFS(   NewTrader!$AF83=MUp,NewTrader!$BP83-Commission,        NewTrader!$AF83=MDown,(NewTrader!$X83-NewTrader!$Y83)/NewTrader!$Y83-Commission,                              TRUE,"")</f>
        <v/>
      </c>
      <c r="BF83" s="1706"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710" t="str" cm="1">
        <f t="array" aca="1" ref="BG83" ca="1">_xlfn.LET(_xlpm.SumChTxt,TEXT(_xlfn.XLOOKUP(NewTrader!$V83,ListTickers,Tab2SumChangePercent[AVGChan20]),"#0.0%"),
      _xlfn.IFS(NewTrader!$AF83=NoStock,_xlpm.SumChTxt,
      TRUE, IF(NewTrader!$AF83=SellMorePercentGain,             "SumChange "&amp;_xlpm.SumChTxt,                         "&lt;"&amp;INT(_xlfn.XLOOKUP(NewTrader!$V83,ListTickers,Tab2ReverseGL[Rev_GL19]))&amp;    "&lt;"&amp;INT(_xlfn.XLOOKUP(NewTrader!$V83,ListTickers,Tab2ReverseGL[Rev_GL18]))&amp;":      "&amp;_xlpm.SumChTxt)))</f>
        <v>&lt;-1&lt;-1:      0.8%</v>
      </c>
      <c r="BH83" s="1711"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-2.31</v>
      </c>
      <c r="BI83" s="1712" cm="1">
        <f t="array" aca="1" ref="BI83" ca="1">_xlfn.IFS(NewTrader!$AF83=Sale_Back,"",         NewTrader!$AF83=MDown, (NewTrader!$Y83-NewTrader!$X83)/NewTrader!$X83*ComFactor,             TRUE, IFERROR((NewTrader!$Y83-NewTrader!$X83)/NewTrader!$X83*ComFactor,""))</f>
        <v>1.0323619497009828E-2</v>
      </c>
      <c r="BJ83" s="1664" cm="1">
        <f t="array" aca="1" ref="BJ83" ca="1">_xlfn.IFS(               NewTrader!$AF83=NoStock,(NewTrader!$BL83-NewTrader!$Y83)/NewTrader!$Y83-Commission,             NewTrader!$X83&lt;&gt;0,(NewTrader!$X83-NewTrader!$Y83)/NewTrader!$Y83-Commission)</f>
        <v>-1.284449491633699E-2</v>
      </c>
      <c r="BK83" s="1726">
        <f ca="1">_xlfn.XLOOKUP(NewTrader!$V83,TabCalc[Ticker],TabCalc[L_Sn])</f>
        <v>100</v>
      </c>
      <c r="BL83" s="1727">
        <f ca="1">_xlfn.XLOOKUP(NewTrader!$V83,TabCalc[Ticker],TabCalc[L_Sp])</f>
        <v>592.67999999999995</v>
      </c>
      <c r="BM83" s="1634">
        <f ca="1">-IFERROR((Tab_NewTRADER[[#This Row],[M]]-Tab_NewTRADER[[#This Row],[L_Sp]])/Tab_NewTRADER[[#This Row],[L_Sp]],0)</f>
        <v>4.9115880407639707E-2</v>
      </c>
      <c r="BN83" s="1728">
        <f ca="1">MIN(Tab_NewTRADER[[#This Row],[L_Sn]],Tab_NewTRADER[[#This Row],[N]])*(Tab_NewTRADER[[#This Row],[M]]-Tab_NewTRADER[[#This Row],[L_Sp]])*Comm_Net*Tab_NewTRADER[[#This Row],[Scale]]</f>
        <v>-2903.14029999999</v>
      </c>
      <c r="BO83" s="1715">
        <f ca="1">Tab_NewTRADER[[#This Row],[L_Sn]]*(Tab_NewTRADER[[#This Row],[Agiotage]]-Tab_NewTRADER[[#This Row],[M]])/(Tab_NewTRADER[[#This Row],[L_Bn]]*Tab_NewTRADER[[#This Row],[M]])</f>
        <v>-0.99780756421437755</v>
      </c>
      <c r="BP83" s="1670">
        <f ca="1">IFERROR((Tab_NewTRADER[[#This Row],[M]]-Tab_NewTRADER[[#This Row],[A]])/Tab_NewTRADER[[#This Row],[A]],0)</f>
        <v>1.0350530877290785E-2</v>
      </c>
      <c r="BQ83" s="1671" t="str">
        <f ca="1">TEXT(_xlfn.XLOOKUP(Tab_NewTRADER[[#This Row],[ClickTick]],TabCalc[Ticker],TabCalc[NAfter]),"#,#0")&amp;" : "&amp;TEXT(_xlfn.XLOOKUP(Tab_NewTRADER[[#This Row],[ClickTick]],TabCalc[Ticker],TabCalc[NAfter])*(Tab_NewTRADER[[#This Row],[M]]-Tab_NewTRADER[[#This Row],[A]])*(1-Commission)*Tab_NewTRADER[[#This Row],[Scale]],"#,#0$")</f>
        <v>200 : 1,152$</v>
      </c>
      <c r="BR83" s="259">
        <f ca="1">_xlfn.XLOOKUP(NewTrader!$V83,TabCalc[[#This Row],[Ticker]],TabCalc[[#This Row],[GL]])*(1-Commission)</f>
        <v>49176.084309573227</v>
      </c>
      <c r="BS83" s="259"/>
      <c r="BT83" s="1672" t="str">
        <f ca="1">Tab_NewTRADER[[#This Row],[Show]]&amp;": "&amp;_xlfn.XLOOKUP(Tab_NewTRADER[[#This Row],[Show]],TabCalc[Ticker],TabCalc[Pile?])</f>
        <v>MA: Pile</v>
      </c>
      <c r="BU83" s="1717" t="s">
        <v>2006</v>
      </c>
      <c r="BV83" s="1674" t="str" cm="1">
        <f t="array" aca="1" ref="BV83" ca="1">_xlfn.TEXTJOIN("",,INDEX({"M","A","Y"}, _xlfn.SORTBY({1,2,3}, -CHOOSE({1,2,3}, Tab_NewTRADER[[#This Row],[M]], Tab_NewTRADER[[#This Row],[A]], Tab_NewTRADER[[#This Row],[Y]]))))</f>
        <v>YMA</v>
      </c>
      <c r="BW83" s="1675"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76">
        <f ca="1">Tab_NewTRADER[[#This Row],[L_Sn]]*Tab_NewTRADER[[#This Row],[L_Sp]]+Tab_NewTRADER[[#This Row],[SellMore]]*Tab_NewTRADER[[#This Row],[M]]</f>
        <v>115625</v>
      </c>
      <c r="BY83" s="1676">
        <f ca="1">INDEX(
  INDEX(TabConsolid[], , _xlfn.XMATCH(Tab_NewTRADER[[#This Row],[ClickTick]]&amp;1, TabConsolid[#Headers])),
  MATCH(
    -Tab_NewTRADER[[#This Row],[M]],
    INDEX(TabConsolid[], , _xlfn.XMATCH(Tab_NewTRADER[[#This Row],[ClickTick]]&amp;2, TabConsolid[#Headers])),
    -1
  )
)</f>
        <v>100</v>
      </c>
      <c r="BZ83" s="1676"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77">
        <f ca="1">Tab_NewTRADER[[#This Row],[ReBuy]]/(Tab_NewTRADER[[#This Row],[L_Sn]]+Tab_NewTRADER[[#This Row],[SellMore]])</f>
        <v>578.125</v>
      </c>
      <c r="CB83" s="1678">
        <f ca="1">((_xlfn.XLOOKUP(Tab_NewTRADER[[#This Row],[Show]],TabCalc[Ticker],TabCalc[NAfter])+Tab_NewTRADER[[#This Row],[L_Sn]])*(Tab_NewTRADER[[#This Row],[Agiotage]]-Tab_NewTRADER[[#This Row],[M]]))/(Tab_NewTRADER[[#This Row],[L_Sn]]*_xlfn.XLOOKUP(Tab_NewTRADER[[#This Row],[Show]],TabCalc[Ticker],TabCalc[NAfter]))</f>
        <v>-8.435016134464453</v>
      </c>
      <c r="CC83" s="1677">
        <f ca="1">INDEX(Tab1Price[Price19], MATCH(Tab_NewTRADER[[#This Row],[Show]], Tab_NewTRADER[Show], 0))</f>
        <v>563.57000000000005</v>
      </c>
      <c r="CD83" s="1679">
        <f ca="1">_xlfn.XMATCH(Tab_NewTRADER[[#This Row],[Show]]&amp;1, TabConsolid[#Headers])</f>
        <v>245</v>
      </c>
      <c r="CE83" s="1678"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678" t="str" cm="1">
        <f t="array" aca="1" ref="CF83" ca="1">_xlfn.LET(
    _xlpm.FMT, _xlfn.LAMBDA(_xlpm.n, REPT(" ", 7 - LEN(TEXT(_xlpm.n,"0.00"))) &amp; TEXT(_xlpm.n,"0.00")),
    _xlpm.FMT(Tab_NewTRADER[[#This Row],[A]]) &amp; " -" &amp; _xlpm.FMT(Tab_NewTRADER[[#This Row],[M]]) &amp; " -" &amp; _xlpm.FMT(Tab_NewTRADER[[#This Row],[Y]])
)</f>
        <v xml:space="preserve"> 557.80 - 563.57 - 656.51</v>
      </c>
      <c r="CG83" s="1680" t="str" cm="1">
        <f t="array" aca="1" ref="CG83" ca="1">_xlfn.LET(
    _xlpm.W, 7,
    _xlpm.FMT, _xlfn.LAMBDA(_xlpm.n, REPT(" ", _xlpm.W - LEN(TEXT(_xlpm.n,"0.00"))) &amp; TEXT(_xlpm.n,"0.00")),
    _xlpm.FMT(Tab_NewTRADER[[#This Row],[A]]) &amp; " * " &amp; _xlpm.FMT(Tab_NewTRADER[[#This Row],[M]]) &amp; " * " &amp; _xlpm.FMT(Tab_NewTRADER[[#This Row],[Y]])
)</f>
        <v xml:space="preserve"> 557.80 *  563.57 *  656.51</v>
      </c>
      <c r="CH83" s="1842">
        <f>0</f>
        <v>0</v>
      </c>
      <c r="CI83" t="str">
        <f ca="1">IF(ABS(NewTrader!$Q83)&gt;=NewTrader!$Y83,"OK")</f>
        <v>OK</v>
      </c>
    </row>
    <row r="84" spans="1:87" ht="23" hidden="1" thickBot="1">
      <c r="A84" s="1839">
        <f ca="1">IF(_xlfn.XLOOKUP(NewTrader!$V84,TabCalc[Ticker],TabCalc[Cur])="GBp",0.01,1)</f>
        <v>1</v>
      </c>
      <c r="B84" s="1681" t="str">
        <f ca="1">IFERROR(TRUNC(_xlfn.XLOOKUP(NewTrader!$V84,TabCalc[Ticker],ListLastBuyp),2)&amp;"x"&amp;_xlfn.XLOOKUP(NewTrader!$V84,TabCalc[Ticker],ListLastBuyn)&amp;"=    "&amp;IF(_xlfn.XLOOKUP(NewTrader!$V84,TabCalc[Ticker],ListReverseS)&gt;0,"+","")&amp;TEXT(_xlfn.XLOOKUP(NewTrader!$V84,TabCalc[Ticker],ListReverseS),"#,#0")&amp;" "&amp;#REF!,"")</f>
        <v/>
      </c>
      <c r="C84" s="1682" t="str">
        <f ca="1">_xlfn.XLOOKUP(NewTrader!$V84,TabCalc[Ticker],ListResale)&amp;" @ "&amp;TEXT((_xlfn.XLOOKUP(NewTrader!$V84,TabCalc[Ticker],TabCalc[L_Bp])+_xlfn.XLOOKUP(NewTrader!$V84,TabCalc[Ticker],TabCalc[M]))/_xlfn.XLOOKUP(NewTrader!$V84,TabCalc[Ticker],TabCalc[M]),"#0.0%")</f>
        <v>B_more @ -45.7%</v>
      </c>
      <c r="D84" s="1683"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84" t="str">
        <f ca="1">IF(      AND(NewTrader!$X84&lt;NewTrader!$Y84,    _xlfn.XLOOKUP(NewTrader!$V84,TabCalc[Ticker],TabCalc[L_Sp])&gt;NewTrader!$Y84),"BUY  "&amp;TEXT(DesiredBuyGain/NewTrader!$A84/(_xlfn.XLOOKUP(NewTrader!$V84,TabCalc[Ticker],TabCalc[L_Sp])-NewTrader!$Y84),"#,##0"),"")</f>
        <v/>
      </c>
      <c r="F84" s="1681" t="str">
        <f ca="1">TRUNC(TabCalc[[#This Row],[L_B1p]],2)&amp;"x"&amp;TabCalc[[#This Row],[L_B1n]]&amp;"=   "&amp;TEXT(TabCalc[[#This Row],[ReverseS1]],"#,#0")&amp;"$"</f>
        <v>0x1100=   7,358$</v>
      </c>
      <c r="G84" s="1685" t="str">
        <f ca="1">IFERROR(TRUNC(_xlfn.XLOOKUP(NewTrader!$V84,TabCalc[Ticker],ListLastSalep),2)&amp;"x"&amp;_xlfn.XLOOKUP(NewTrader!$V84,TabCalc[Ticker],ListLastSalen)&amp;"=   "&amp;TEXT(-_xlfn.XLOOKUP(NewTrader!$V84,TabCalc[Ticker],ListReverseB),"#,#0")&amp;"$","")</f>
        <v>20.85x1000=   -14,165$</v>
      </c>
      <c r="H84" s="1686"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211.7% = 353</v>
      </c>
      <c r="I84" s="1681" t="str">
        <f ca="1">IFERROR(TRUNC(TabCalc[[#This Row],[L_S1p]],2)&amp;"x"&amp;TabCalc[[#This Row],[L_S1n]]&amp;"=   "&amp;TEXT(TabCalc[[#This Row],[ReverseB1]],"#,#0"),"")</f>
        <v>14.95x2700=   22,302</v>
      </c>
      <c r="J84" s="1687">
        <f ca="1">_xlfn.XLOOKUP(NewTrader!$V84,TabCalc[Ticker],ListGravity)</f>
        <v>1.8933736920777278</v>
      </c>
      <c r="K84" s="1688" cm="1">
        <f t="array" aca="1" ref="K84" ca="1">IF(_xlfn.XLOOKUP(NewTrader!$V84,NewTrader!$V$3:$V$96,ListExtra_n)&gt;0,_xlfn.XLOOKUP(NewTrader!$V84,NewTrader!$V$3:$V$96,ListExtra_n),"")</f>
        <v>1800</v>
      </c>
      <c r="L84" s="1689">
        <f ca="1">IF(_xlfn.XLOOKUP(NewTrader!$V84,TabCalc[Ticker],ListExtra_n)&gt;0,_xlfn.XLOOKUP(NewTrader!$V84,TabCalc[Ticker],ListExtra_n)*NewTrader!$Y84*_xlfn.XLOOKUP(NewTrader!$V84,TabCalc[Ticker],ListScale),"")</f>
        <v>12042</v>
      </c>
      <c r="M84" s="1690">
        <f ca="1">_xlfn.XLOOKUP(NewTrader!$V84,TabCalc[Ticker],TabCalc[Agiotage])</f>
        <v>0.6525138583606388</v>
      </c>
      <c r="N84" s="1691" cm="1">
        <f t="array" aca="1" ref="N84" ca="1">_xlfn.XLOOKUP(NewTrader!$V84,ListTickers,Tab2RSIConventional[RSIConv20])</f>
        <v>71</v>
      </c>
      <c r="O84" s="1631" t="str">
        <f ca="1">TEXT(_xlfn.XLOOKUP(NewTrader!$V84,TabCalc[Ticker],TabCalc[Nbegin]),"#,#0")&amp;": "&amp;_xlfn.XLOOKUP(NewTrader!$V84,TabCalc[Ticker],TabCalc[Pile?])</f>
        <v xml:space="preserve">2,700: </v>
      </c>
      <c r="P84" s="1692">
        <f ca="1">_xlfn.XLOOKUP(NewTrader!$V84,TabCalc[Ticker],TabCalc[L_Bn])</f>
        <v>4500</v>
      </c>
      <c r="Q84" s="1693">
        <f ca="1">_xlfn.XLOOKUP(NewTrader!$V84,TabCalc[Ticker],TabCalc[L_Bp])</f>
        <v>-9.7487999999999992</v>
      </c>
      <c r="R84" s="1694">
        <f ca="1">(NewTrader!$Y84+NewTrader!$Q84)/ABS(NewTrader!$Q84)</f>
        <v>-0.31376169374692259</v>
      </c>
      <c r="S84" s="262">
        <f ca="1">INT(_xlfn.XLOOKUP(NewTrader!$V84,TabCalc[Ticker],TabCalc[Rev(MinStock)])*Comm_Net)</f>
        <v>-13691</v>
      </c>
      <c r="T84" s="1635">
        <f ca="1">_xlfn.XLOOKUP(NewTrader!$V84,TabCalc[Ticker],TabCalc[Agiotage])</f>
        <v>0.6525138583606388</v>
      </c>
      <c r="U84" s="1695"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-135/-135=&gt;-0.7% / -0.7%</v>
      </c>
      <c r="V84" s="1578" t="str">
        <f ca="1">SORTING!B84</f>
        <v>NVAX</v>
      </c>
      <c r="W84" s="1637">
        <f ca="1">_xlfn.XLOOKUP(NewTrader!$V84,TabCalc[Ticker],TabCalc[Y])</f>
        <v>12.66667</v>
      </c>
      <c r="X84" s="1639">
        <f ca="1">-_xlfn.XLOOKUP(NewTrader!$V84&amp;2,Consolid!B$3:JZ$3,Consolid!B$4:JZ$4)</f>
        <v>9.7741468799999982</v>
      </c>
      <c r="Y84" s="1639">
        <f ca="1">_xlfn.XLOOKUP(NewTrader!$V84,TabCalc[Ticker],TabCalc[M])</f>
        <v>6.69</v>
      </c>
      <c r="Z84" s="1640">
        <f ca="1">_xlfn.XLOOKUP(NewTrader!$V84,[1]!RTData[Ticker_Symbol],[1]!RTData[YTChange])</f>
        <v>-0.13655964553510566</v>
      </c>
      <c r="AA84" s="1640" cm="1">
        <f t="array" aca="1" ref="AA84" ca="1">_xlfn.XLOOKUP(NewTrader!$V84,ListTickers,Tab1ChangePercent[Change%19])</f>
        <v>-7.4180000000000001E-3</v>
      </c>
      <c r="AB84" s="1641">
        <f ca="1">_xlfn.XLOOKUP(NewTrader!$V84,TabCalc[Ticker],TabCalc[NAfter])</f>
        <v>4500</v>
      </c>
      <c r="AC84" s="1641">
        <f ca="1">_xlfn.XLOOKUP(NewTrader!$V84,TabCalc[Ticker],TabCalc[Nbegin])</f>
        <v>2700</v>
      </c>
      <c r="AD84" s="1642" t="str">
        <f ca="1">_xlfn.LET(_xlpm.PILE,_xlfn.XLOOKUP(NewTrader!$V84,TabCalc[Ticker],TabCalc[Pile?]),                    _xlpm.GL,_xlfn.XLOOKUP(NewTrader!$V84,TabCalc[Ticker],TabCalc[GL]),                        _xlpm.GLK,_xlfn.XLOOKUP(NewTrader!$V84,TabCalc[Ticker],TabCalc[GL])/1000,                             _xlpm.MVal,_xlfn.XLOOKUP(NewTrader!$V84,TabCalc[Ticker],TabCalc[M_V])/1000,                   _xlpm.PILE&amp;" "&amp;IF(_xlpm.GL&lt;0,TEXT(_xlpm.GLK,"#,#0")&amp;"K /"&amp;TEXT(_xlpm.MVal,"#,#0")&amp;" K$","^"&amp;TEXT(_xlpm.GLK,"#,#0")&amp;"K / "&amp;TEXT(_xlpm.MVal,"#,#0")&amp;" K$"))</f>
        <v xml:space="preserve"> -54K /30 K$</v>
      </c>
      <c r="AE84" s="1643" t="str">
        <f ca="1">_xlfn.XLOOKUP(NewTrader!$V84,[1]!RTData[Ticker_Symbol],[1]!RTData[Currency])</f>
        <v>USD</v>
      </c>
      <c r="AF84" s="1721"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698" t="str" cm="1">
        <f t="array" aca="1" ref="AH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6.69 -  12.67</v>
      </c>
      <c r="AI8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84" s="1651" t="str" cm="1">
        <f t="array" aca="1" ref="AJ84" ca="1">_xlfn.IFS(Tab_NewTRADER[[#This Row],[State]]="Sell More",TEXT(MIN(Tab_NewTRADER[[#This Row],[N]],Tab_NewTRADER[[#This Row],[L_Bn]])*(Tab_NewTRADER[[#This Row],[M]]-Tab_NewTRADER[[#This Row],[L_Sp]])*Tab_NewTRADER[[#This Row],[Scale]]*ComFactor,"#,#0"), TRUE,"M= "&amp;TEXT(Tab_NewTRADER[[#This Row],[M]],"#,#0.00"))</f>
        <v>M= 6.69</v>
      </c>
      <c r="AK84" s="1699" t="str" cm="1">
        <f t="array" aca="1" ref="AK84" ca="1">_xlfn.IFS(Tab_NewTRADER[[#This Row],[Y]]&gt;Tab_NewTRADER[[#This Row],[A]],                 TEXT(MIN(Tab_NewTRADER[[#This Row],[L_Bn]],Tab_NewTRADER[[#This Row],[N]])*(Tab_NewTRADER[[#This Row],[M]]-Tab_NewTRADER[[#This Row],[A]])*Tab_NewTRADER[[#This Row],[Scale]]*ComFactor,"#,#0"), TRUE,0)</f>
        <v>-13,843</v>
      </c>
      <c r="AL84" s="1700" cm="1">
        <f t="array" aca="1" ref="AL84" ca="1">_xlfn.IFS(Tab_NewTRADER[[#This Row],[M]]&gt;Tab_NewTRADER[[#This Row],[A]],                  Tab_NewTRADER[[#This Row],[N]]*(Tab_NewTRADER[[#This Row],[M]]-Tab_NewTRADER[[#This Row],[A]])*Tab_NewTRADER[[#This Row],[Scale]]*ComFactor, TRUE,0)</f>
        <v>0</v>
      </c>
      <c r="AM84" s="1592" t="str">
        <f ca="1">_xlfn.XLOOKUP(Tab_NewTRADER[[#This Row],[Show]],TabCalc[Ticker],TabCalc[Max_Bn])&amp;" x "&amp;TEXT(_xlfn.XLOOKUP(Tab_NewTRADER[[#This Row],[Show]],TabCalc[Ticker],TabCalc[Max_Bp]),"#,#0.00")</f>
        <v>4500 x 9.77</v>
      </c>
      <c r="AN84" s="1650" t="str">
        <f ca="1">NewTrader!$V84</f>
        <v>NVAX</v>
      </c>
      <c r="AO84" s="1651" t="str">
        <f ca="1">TEXT(_xlfn.XLOOKUP(Tab_NewTRADER[[#This Row],[ClickTick]],TabCalc[Ticker],TabCalc[NAfter]),"#,#0")&amp;"x"&amp;_xlfn.XLOOKUP(Tab_NewTRADER[[#This Row],[ClickTick]],TabCalc[Ticker],TabCalc[M])&amp;"           (A: "&amp;TEXT(-_xlfn.XLOOKUP(Tab_NewTRADER[[#This Row],[ClickTick]]&amp;2,Consolid!B$3:JZ$3,Consolid!B$4:JZ$4),"#,??0.00")&amp;")"</f>
        <v>4,500x6.69           (A:   9.77)</v>
      </c>
      <c r="AP84" s="1592" t="str">
        <f ca="1">_xlfn.XLOOKUP(Tab_NewTRADER[[#This Row],[Show]],TabCalc[Ticker],TabCalc[Min_Sn])&amp;" x "&amp;TEXT(_xlfn.XLOOKUP(Tab_NewTRADER[[#This Row],[Show]],TabCalc[Ticker],TabCalc[Min_Sp]),"#,#0.00")</f>
        <v>1000 x 14.95</v>
      </c>
      <c r="AQ8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702" t="str" cm="1">
        <f t="array" aca="1" ref="AR84" ca="1">_xlfn.IFS(Tab_NewTRADER[[#This Row],[State]]="Reverse Buy",TEXT(-Tab_NewTRADER[[#This Row],[Buy_Back]],"#,#0")&amp;" / "&amp;TEXT(Tab_NewTRADER[[#This Row],[Rev_Buy]],"#,#0.0%"),TRUE,Tab_NewTRADER[[#This Row],[AMY]])</f>
        <v xml:space="preserve">   9.77 -   6.69 -  12.67</v>
      </c>
      <c r="AS84" s="1651"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13,729       / 45.7%</v>
      </c>
      <c r="AT84" s="1699"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-13,843   / -46.1%</v>
      </c>
      <c r="AU84" s="1699" t="str" cm="1">
        <f t="array" aca="1" ref="AU84" ca="1">_xlfn.IFS(Tab_NewTRADER[[#This Row],[M]]&lt;Tab_NewTRADER[[#This Row],[A]],TEXT(Tab_NewTRADER[[#This Row],[N]]*Tab_NewTRADER[[#This Row],[M]]*Tab_NewTRADER[[#This Row],[Scale]]*Comm_Net,"#,#0")&amp;" @ "&amp;TEXT(Tab_NewTRADER[[#This Row],[M]],"#,#0.#0"),TRUE,"M: "&amp; Tab_NewTRADER[[#This Row],[M]])</f>
        <v>30,024 @ 6.69</v>
      </c>
      <c r="AV84" s="1703" cm="1">
        <f t="array" aca="1" ref="AV84" ca="1">-_xlfn.XLOOKUP(
    Tab_NewTRADER[[#This Row],[Show]] &amp; 2,
    TabConsolid[#Headers],
    INDEX(TabConsolid[], 1, 0)
)</f>
        <v>9.7741468799999982</v>
      </c>
      <c r="AW84" s="1704">
        <f ca="1">Tab_NewTRADER[[#This Row],[M]]*Tab_NewTRADER[[#This Row],[N]]*(1-Commission)*Tab_NewTRADER[[#This Row],[Scale]]</f>
        <v>30026.726999999999</v>
      </c>
      <c r="AX84" s="1705"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705"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706" t="str" cm="1">
        <f t="array" aca="1" ref="AZ84" ca="1">_xlfn.IFS(   Tab_NewTRADER[[#This Row],[State]]=SellMorePercentGain,                     MIN(Tab_NewTRADER[[#This Row],[L_Sn]],Tab_NewTRADER[[#This Row],[N]])*(Tab_NewTRADER[[#This Row],[M]]-Tab_NewTRADER[[#This Row],[L_Sp]])*(1-Commission)*Tab_NewTRADER[[#This Row],[Scale]],                    TRUE,"")</f>
        <v/>
      </c>
      <c r="BA84" s="1707">
        <f ca="1">_xlfn.XLOOKUP(NewTrader!$V84,TabCalc[Ticker],TabCalc[Ann%RevLB])</f>
        <v>-0.33319825884628951</v>
      </c>
      <c r="BB84" s="1708">
        <f ca="1">_xlfn.XLOOKUP(NewTrader!$V84,TabCalc[Ticker],TabCalc[Up20])</f>
        <v>0</v>
      </c>
      <c r="BC84" s="1709"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706" t="str" cm="1">
        <f t="array" aca="1" ref="BD84" ca="1">_xlfn.IFS(         NewTrader!$AF84=MDown,NewTrader!$P84*NewTrader!$Y84*(-(NewTrader!$Q84+NewTrader!$Y84)/NewTrader!$Y84)*(1-Commission)*NewTrader!$A84,                               TRUE,"")</f>
        <v/>
      </c>
      <c r="BE84" s="1705" t="str" cm="1">
        <f t="array" aca="1" ref="BE84" ca="1">_xlfn.IFS(   NewTrader!$AF84=MUp,NewTrader!$BP84-Commission,        NewTrader!$AF84=MDown,(NewTrader!$X84-NewTrader!$Y84)/NewTrader!$Y84-Commission,                              TRUE,"")</f>
        <v/>
      </c>
      <c r="BF84" s="1706"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710" t="str" cm="1">
        <f t="array" aca="1" ref="BG84" ca="1">_xlfn.LET(_xlpm.SumChTxt,TEXT(_xlfn.XLOOKUP(NewTrader!$V84,ListTickers,Tab2SumChangePercent[AVGChan20]),"#0.0%"),
      _xlfn.IFS(NewTrader!$AF84=NoStock,_xlpm.SumChTxt,
      TRUE, IF(NewTrader!$AF84=SellMorePercentGain,             "SumChange "&amp;_xlpm.SumChTxt,                         "&lt;"&amp;INT(_xlfn.XLOOKUP(NewTrader!$V84,ListTickers,Tab2ReverseGL[Rev_GL19]))&amp;    "&lt;"&amp;INT(_xlfn.XLOOKUP(NewTrader!$V84,ListTickers,Tab2ReverseGL[Rev_GL18]))&amp;":      "&amp;_xlpm.SumChTxt)))</f>
        <v>&lt;-1&lt;-1:      0.6%</v>
      </c>
      <c r="BH84" s="1711"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-3.05</v>
      </c>
      <c r="BI84" s="1712" cm="1">
        <f t="array" aca="1" ref="BI84" ca="1">_xlfn.IFS(NewTrader!$AF84=Sale_Back,"",         NewTrader!$AF84=MDown, (NewTrader!$Y84-NewTrader!$X84)/NewTrader!$X84*ComFactor,             TRUE, IFERROR((NewTrader!$Y84-NewTrader!$X84)/NewTrader!$X84*ComFactor,""))</f>
        <v>-0.31472087905763069</v>
      </c>
      <c r="BJ84" s="1664" cm="1">
        <f t="array" aca="1" ref="BJ84" ca="1">_xlfn.IFS(               NewTrader!$AF84=NoStock,(NewTrader!$BL84-NewTrader!$Y84)/NewTrader!$Y84-Commission,             NewTrader!$X84&lt;&gt;0,(NewTrader!$X84-NewTrader!$Y84)/NewTrader!$Y84-Commission)</f>
        <v>0.45840850224215213</v>
      </c>
      <c r="BK84" s="1713">
        <f ca="1">_xlfn.XLOOKUP(NewTrader!$V84,TabCalc[Ticker],TabCalc[L_Sn])</f>
        <v>1000</v>
      </c>
      <c r="BL84" s="1693">
        <f ca="1">_xlfn.XLOOKUP(NewTrader!$V84,TabCalc[Ticker],TabCalc[L_Sp])</f>
        <v>20.855</v>
      </c>
      <c r="BM84" s="1694">
        <f ca="1">-IFERROR((Tab_NewTRADER[[#This Row],[M]]-Tab_NewTRADER[[#This Row],[L_Sp]])/Tab_NewTRADER[[#This Row],[L_Sp]],0)</f>
        <v>0.67921361783744905</v>
      </c>
      <c r="BN84" s="1714">
        <f ca="1">MIN(Tab_NewTRADER[[#This Row],[L_Sn]],Tab_NewTRADER[[#This Row],[N]])*(Tab_NewTRADER[[#This Row],[M]]-Tab_NewTRADER[[#This Row],[L_Sp]])*Comm_Net*Tab_NewTRADER[[#This Row],[Scale]]</f>
        <v>-14126.754499999999</v>
      </c>
      <c r="BO84" s="1715">
        <f ca="1">Tab_NewTRADER[[#This Row],[L_Sn]]*(Tab_NewTRADER[[#This Row],[Agiotage]]-Tab_NewTRADER[[#This Row],[M]])/(Tab_NewTRADER[[#This Row],[L_Bn]]*Tab_NewTRADER[[#This Row],[M]])</f>
        <v>-0.20054762137981605</v>
      </c>
      <c r="BP84" s="1716">
        <f ca="1">IFERROR((Tab_NewTRADER[[#This Row],[M]]-Tab_NewTRADER[[#This Row],[A]])/Tab_NewTRADER[[#This Row],[A]],0)</f>
        <v>-0.31554128640227663</v>
      </c>
      <c r="BQ84" s="1671" t="str">
        <f ca="1">TEXT(_xlfn.XLOOKUP(Tab_NewTRADER[[#This Row],[ClickTick]],TabCalc[Ticker],TabCalc[NAfter]),"#,#0")&amp;" : "&amp;TEXT(_xlfn.XLOOKUP(Tab_NewTRADER[[#This Row],[ClickTick]],TabCalc[Ticker],TabCalc[NAfter])*(Tab_NewTRADER[[#This Row],[M]]-Tab_NewTRADER[[#This Row],[A]])*(1-Commission)*Tab_NewTRADER[[#This Row],[Scale]],"#,#0$")</f>
        <v>4,500 : -13,843$</v>
      </c>
      <c r="BR84" s="262">
        <f ca="1">_xlfn.XLOOKUP(NewTrader!$V84,TabCalc[[#This Row],[Ticker]],TabCalc[[#This Row],[GL]])*(1-Commission)</f>
        <v>-53487.360380809252</v>
      </c>
      <c r="BS84" s="262"/>
      <c r="BT84" s="1672" t="str">
        <f ca="1">Tab_NewTRADER[[#This Row],[Show]]&amp;": "&amp;_xlfn.XLOOKUP(Tab_NewTRADER[[#This Row],[Show]],TabCalc[Ticker],TabCalc[Pile?])</f>
        <v xml:space="preserve">NVAX: </v>
      </c>
      <c r="BU84" s="1717" t="s">
        <v>2007</v>
      </c>
      <c r="BV84" s="1674" t="str" cm="1">
        <f t="array" aca="1" ref="BV84" ca="1">_xlfn.TEXTJOIN("",,INDEX({"M","A","Y"}, _xlfn.SORTBY({1,2,3}, -CHOOSE({1,2,3}, Tab_NewTRADER[[#This Row],[M]], Tab_NewTRADER[[#This Row],[A]], Tab_NewTRADER[[#This Row],[Y]]))))</f>
        <v>YAM</v>
      </c>
      <c r="BW84" s="1675"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76" t="e">
        <f ca="1">Tab_NewTRADER[[#This Row],[L_Sn]]*Tab_NewTRADER[[#This Row],[L_Sp]]+Tab_NewTRADER[[#This Row],[SellMore]]*Tab_NewTRADER[[#This Row],[M]]</f>
        <v>#N/A</v>
      </c>
      <c r="BY84" s="1676" t="e">
        <f ca="1">INDEX(
  INDEX(TabConsolid[], , _xlfn.XMATCH(Tab_NewTRADER[[#This Row],[ClickTick]]&amp;1, TabConsolid[#Headers])),
  MATCH(
    -Tab_NewTRADER[[#This Row],[M]],
    INDEX(TabConsolid[], , _xlfn.XMATCH(Tab_NewTRADER[[#This Row],[ClickTick]]&amp;2, TabConsolid[#Headers])),
    -1
  )
)</f>
        <v>#N/A</v>
      </c>
      <c r="BZ84" s="1676"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77" t="e">
        <f ca="1">Tab_NewTRADER[[#This Row],[ReBuy]]/(Tab_NewTRADER[[#This Row],[L_Sn]]+Tab_NewTRADER[[#This Row],[SellMore]])</f>
        <v>#N/A</v>
      </c>
      <c r="CB84" s="1678">
        <f ca="1">((_xlfn.XLOOKUP(Tab_NewTRADER[[#This Row],[Show]],TabCalc[Ticker],TabCalc[NAfter])+Tab_NewTRADER[[#This Row],[L_Sn]])*(Tab_NewTRADER[[#This Row],[Agiotage]]-Tab_NewTRADER[[#This Row],[M]]))/(Tab_NewTRADER[[#This Row],[L_Sn]]*_xlfn.XLOOKUP(Tab_NewTRADER[[#This Row],[Show]],TabCalc[Ticker],TabCalc[NAfter]))</f>
        <v>-7.3791497286703313E-3</v>
      </c>
      <c r="CC84" s="1677">
        <f ca="1">INDEX(Tab1Price[Price19], MATCH(Tab_NewTRADER[[#This Row],[Show]], Tab_NewTRADER[Show], 0))</f>
        <v>6.69</v>
      </c>
      <c r="CD84" s="1679">
        <f ca="1">_xlfn.XMATCH(Tab_NewTRADER[[#This Row],[Show]]&amp;1, TabConsolid[#Headers])</f>
        <v>248</v>
      </c>
      <c r="CE84" s="1678"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78" t="str" cm="1">
        <f t="array" aca="1" ref="CF84" ca="1">_xlfn.LET(
    _xlpm.FMT, _xlfn.LAMBDA(_xlpm.n, REPT(" ", 7 - LEN(TEXT(_xlpm.n,"0.00"))) &amp; TEXT(_xlpm.n,"0.00")),
    _xlpm.FMT(Tab_NewTRADER[[#This Row],[A]]) &amp; " -" &amp; _xlpm.FMT(Tab_NewTRADER[[#This Row],[M]]) &amp; " -" &amp; _xlpm.FMT(Tab_NewTRADER[[#This Row],[Y]])
)</f>
        <v xml:space="preserve">   9.77 -   6.69 -  12.67</v>
      </c>
      <c r="CG84" s="1680" t="str" cm="1">
        <f t="array" aca="1" ref="CG84" ca="1">_xlfn.LET(
    _xlpm.W, 7,
    _xlpm.FMT, _xlfn.LAMBDA(_xlpm.n, REPT(" ", _xlpm.W - LEN(TEXT(_xlpm.n,"0.00"))) &amp; TEXT(_xlpm.n,"0.00")),
    _xlpm.FMT(Tab_NewTRADER[[#This Row],[A]]) &amp; " * " &amp; _xlpm.FMT(Tab_NewTRADER[[#This Row],[M]]) &amp; " * " &amp; _xlpm.FMT(Tab_NewTRADER[[#This Row],[Y]])
)</f>
        <v xml:space="preserve">   9.77 *    6.69 *   12.67</v>
      </c>
      <c r="CH84" s="1842">
        <f>0</f>
        <v>0</v>
      </c>
      <c r="CI84" t="str">
        <f ca="1">IF(ABS(NewTrader!$Q84)&gt;=NewTrader!$Y84,"OK")</f>
        <v>OK</v>
      </c>
    </row>
    <row r="85" spans="1:87" ht="23" hidden="1" thickBot="1">
      <c r="A85" s="1838">
        <f ca="1">IF(_xlfn.XLOOKUP(NewTrader!$V85,TabCalc[Ticker],TabCalc[Cur])="GBp",0.01,1)</f>
        <v>1</v>
      </c>
      <c r="B85" s="1620" t="str">
        <f ca="1">IFERROR(TRUNC(_xlfn.XLOOKUP(NewTrader!$V85,TabCalc[Ticker],ListLastBuyp),2)&amp;"x"&amp;_xlfn.XLOOKUP(NewTrader!$V85,TabCalc[Ticker],ListLastBuyn)&amp;"=    "&amp;IF(_xlfn.XLOOKUP(NewTrader!$V85,TabCalc[Ticker],ListReverseS)&gt;0,"+","")&amp;TEXT(_xlfn.XLOOKUP(NewTrader!$V85,TabCalc[Ticker],ListReverseS),"#,#0")&amp;" "&amp;#REF!,"")</f>
        <v/>
      </c>
      <c r="C85" s="1621" t="str">
        <f ca="1">_xlfn.XLOOKUP(NewTrader!$V85,TabCalc[Ticker],ListResale)&amp;" @ "&amp;TEXT((_xlfn.XLOOKUP(NewTrader!$V85,TabCalc[Ticker],TabCalc[L_Bp])+_xlfn.XLOOKUP(NewTrader!$V85,TabCalc[Ticker],TabCalc[M]))/_xlfn.XLOOKUP(NewTrader!$V85,TabCalc[Ticker],TabCalc[M]),"#0.0%")</f>
        <v>Resell @ 25.9%</v>
      </c>
      <c r="D85" s="1622"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718" t="str">
        <f ca="1">IF(      AND(NewTrader!$X85&lt;NewTrader!$Y85,    _xlfn.XLOOKUP(NewTrader!$V85,TabCalc[Ticker],TabCalc[L_Sp])&gt;NewTrader!$Y85),"BUY  "&amp;TEXT(DesiredBuyGain/NewTrader!$A85/(_xlfn.XLOOKUP(NewTrader!$V85,TabCalc[Ticker],TabCalc[L_Sp])-NewTrader!$Y85),"#,##0"),"")</f>
        <v/>
      </c>
      <c r="F85" s="1620" t="str">
        <f ca="1">TRUNC(TabCalc[[#This Row],[L_B1p]],2)&amp;"x"&amp;TabCalc[[#This Row],[L_B1n]]&amp;"=   "&amp;TEXT(TabCalc[[#This Row],[ReverseS1]],"#,#0")&amp;"$"</f>
        <v>-97.66x400=   0$</v>
      </c>
      <c r="G85" s="1624" t="str">
        <f ca="1">IFERROR(TRUNC(_xlfn.XLOOKUP(NewTrader!$V85,TabCalc[Ticker],ListLastSalep),2)&amp;"x"&amp;_xlfn.XLOOKUP(NewTrader!$V85,TabCalc[Ticker],ListLastSalen)&amp;"=   "&amp;TEXT(-_xlfn.XLOOKUP(NewTrader!$V85,TabCalc[Ticker],ListReverseB),"#,#0")&amp;"$","")</f>
        <v>103.01x400=   11,740$</v>
      </c>
      <c r="H85" s="1625"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22.2% = 0</v>
      </c>
      <c r="I85" s="1620" t="str">
        <f ca="1">IFERROR(TRUNC(TabCalc[[#This Row],[L_S1p]],2)&amp;"x"&amp;TabCalc[[#This Row],[L_S1n]]&amp;"=   "&amp;TEXT(TabCalc[[#This Row],[ReverseB1]],"#,#0"),"")</f>
        <v>99.4x1000=   -32,960</v>
      </c>
      <c r="J85" s="1626">
        <f ca="1">_xlfn.XLOOKUP(NewTrader!$V85,TabCalc[Ticker],ListGravity)</f>
        <v>1.0190557570262917</v>
      </c>
      <c r="K85" s="1627" t="str" cm="1">
        <f t="array" aca="1" ref="K85" ca="1">IF(_xlfn.XLOOKUP(NewTrader!$V85,NewTrader!$V$3:$V$96,ListExtra_n)&gt;0,_xlfn.XLOOKUP(NewTrader!$V85,NewTrader!$V$3:$V$96,ListExtra_n),"")</f>
        <v/>
      </c>
      <c r="L85" s="1628" t="str">
        <f ca="1">IF(_xlfn.XLOOKUP(NewTrader!$V85,TabCalc[Ticker],ListExtra_n)&gt;0,_xlfn.XLOOKUP(NewTrader!$V85,TabCalc[Ticker],ListExtra_n)*NewTrader!$Y85*_xlfn.XLOOKUP(NewTrader!$V85,TabCalc[Ticker],ListScale),"")</f>
        <v/>
      </c>
      <c r="M85" s="1629">
        <f ca="1">_xlfn.XLOOKUP(NewTrader!$V85,TabCalc[Ticker],TabCalc[Agiotage])</f>
        <v>1.2135400759484285</v>
      </c>
      <c r="N85" s="1630" cm="1">
        <f t="array" aca="1" ref="N85" ca="1">_xlfn.XLOOKUP(NewTrader!$V85,ListTickers,Tab2RSIConventional[RSIConv20])</f>
        <v>75</v>
      </c>
      <c r="O85" s="1631" t="str">
        <f ca="1">TEXT(_xlfn.XLOOKUP(NewTrader!$V85,TabCalc[Ticker],TabCalc[Nbegin]),"#,#0")&amp;": "&amp;_xlfn.XLOOKUP(NewTrader!$V85,TabCalc[Ticker],TabCalc[Pile?])</f>
        <v xml:space="preserve">200: </v>
      </c>
      <c r="P85" s="1632">
        <f ca="1">_xlfn.XLOOKUP(NewTrader!$V85,TabCalc[Ticker],TabCalc[L_Bn])</f>
        <v>1000</v>
      </c>
      <c r="Q85" s="1633">
        <f ca="1">_xlfn.XLOOKUP(NewTrader!$V85,TabCalc[Ticker],TabCalc[L_Bp])</f>
        <v>-98.036000000000001</v>
      </c>
      <c r="R85" s="1634">
        <f ca="1">(NewTrader!$Y85+NewTrader!$Q85)/ABS(NewTrader!$Q85)</f>
        <v>0.3501162838141092</v>
      </c>
      <c r="S85" s="259">
        <f ca="1">INT(_xlfn.XLOOKUP(NewTrader!$V85,TabCalc[Ticker],TabCalc[Rev(MinStock)])*Comm_Net)</f>
        <v>0</v>
      </c>
      <c r="T85" s="1635">
        <f ca="1">_xlfn.XLOOKUP(NewTrader!$V85,TabCalc[Ticker],TabCalc[Agiotage])</f>
        <v>1.2135400759484285</v>
      </c>
      <c r="U85" s="1719"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0/0=&gt;0.9% / 0.9%</v>
      </c>
      <c r="V85" s="1578" t="str">
        <f ca="1">SORTING!B85</f>
        <v>NVS</v>
      </c>
      <c r="W85" s="1637">
        <f ca="1">_xlfn.XLOOKUP(NewTrader!$V85,TabCalc[Ticker],TabCalc[Y])</f>
        <v>134.88221999999999</v>
      </c>
      <c r="X85" s="1639">
        <f ca="1">-_xlfn.XLOOKUP(NewTrader!$V85&amp;2,Consolid!B$3:JZ$3,Consolid!B$4:JZ$4)</f>
        <v>0</v>
      </c>
      <c r="Y85" s="1639">
        <f ca="1">_xlfn.XLOOKUP(NewTrader!$V85,TabCalc[Ticker],TabCalc[M])</f>
        <v>132.36000000000001</v>
      </c>
      <c r="Z85" s="1640">
        <f ca="1">_xlfn.XLOOKUP(NewTrader!$V85,[1]!RTData[Ticker_Symbol],[1]!RTData[YTChange])</f>
        <v>0.16619591907314538</v>
      </c>
      <c r="AA85" s="1640" cm="1">
        <f t="array" aca="1" ref="AA85" ca="1">_xlfn.XLOOKUP(NewTrader!$V85,ListTickers,Tab1ChangePercent[Change%19])</f>
        <v>8.9180000000000006E-3</v>
      </c>
      <c r="AB85" s="1641">
        <f ca="1">_xlfn.XLOOKUP(NewTrader!$V85,TabCalc[Ticker],TabCalc[NAfter])</f>
        <v>0</v>
      </c>
      <c r="AC85" s="1641">
        <f ca="1">_xlfn.XLOOKUP(NewTrader!$V85,TabCalc[Ticker],TabCalc[Nbegin])</f>
        <v>200</v>
      </c>
      <c r="AD85" s="1642" t="str">
        <f ca="1">_xlfn.LET(_xlpm.PILE,_xlfn.XLOOKUP(NewTrader!$V85,TabCalc[Ticker],TabCalc[Pile?]),                    _xlpm.GL,_xlfn.XLOOKUP(NewTrader!$V85,TabCalc[Ticker],TabCalc[GL]),                        _xlpm.GLK,_xlfn.XLOOKUP(NewTrader!$V85,TabCalc[Ticker],TabCalc[GL])/1000,                             _xlpm.MVal,_xlfn.XLOOKUP(NewTrader!$V85,TabCalc[Ticker],TabCalc[M_V])/1000,                   _xlpm.PILE&amp;" "&amp;IF(_xlpm.GL&lt;0,TEXT(_xlpm.GLK,"#,#0")&amp;"K /"&amp;TEXT(_xlpm.MVal,"#,#0")&amp;" K$","^"&amp;TEXT(_xlpm.GLK,"#,#0")&amp;"K / "&amp;TEXT(_xlpm.MVal,"#,#0")&amp;" K$"))</f>
        <v xml:space="preserve"> ^14K / 0 K$</v>
      </c>
      <c r="AE85" s="1643" t="str">
        <f ca="1">_xlfn.XLOOKUP(NewTrader!$V85,[1]!RTData[Ticker_Symbol],[1]!RTData[Currency])</f>
        <v>USD</v>
      </c>
      <c r="AF85" s="1696"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698" t="str" cm="1">
        <f t="array" aca="1" ref="AH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0.00 - 132.36 - 134.88</v>
      </c>
      <c r="AI8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5" s="1651" t="str" cm="1">
        <f t="array" aca="1" ref="AJ85" ca="1">_xlfn.IFS(Tab_NewTRADER[[#This Row],[State]]="Sell More",TEXT(MIN(Tab_NewTRADER[[#This Row],[N]],Tab_NewTRADER[[#This Row],[L_Bn]])*(Tab_NewTRADER[[#This Row],[M]]-Tab_NewTRADER[[#This Row],[L_Sp]])*Tab_NewTRADER[[#This Row],[Scale]]*ComFactor,"#,#0"), TRUE,"M= "&amp;TEXT(Tab_NewTRADER[[#This Row],[M]],"#,#0.00"))</f>
        <v>M= 132.36</v>
      </c>
      <c r="AK85" s="1699" t="str" cm="1">
        <f t="array" aca="1" ref="AK85" ca="1">_xlfn.IFS(Tab_NewTRADER[[#This Row],[Y]]&gt;Tab_NewTRADER[[#This Row],[A]],                 TEXT(MIN(Tab_NewTRADER[[#This Row],[L_Bn]],Tab_NewTRADER[[#This Row],[N]])*(Tab_NewTRADER[[#This Row],[M]]-Tab_NewTRADER[[#This Row],[A]])*Tab_NewTRADER[[#This Row],[Scale]]*ComFactor,"#,#0"), TRUE,0)</f>
        <v>0</v>
      </c>
      <c r="AL85" s="1700" cm="1">
        <f t="array" aca="1" ref="AL85" ca="1">_xlfn.IFS(Tab_NewTRADER[[#This Row],[M]]&gt;Tab_NewTRADER[[#This Row],[A]],                  Tab_NewTRADER[[#This Row],[N]]*(Tab_NewTRADER[[#This Row],[M]]-Tab_NewTRADER[[#This Row],[A]])*Tab_NewTRADER[[#This Row],[Scale]]*ComFactor, TRUE,0)</f>
        <v>0</v>
      </c>
      <c r="AM85" s="1592" t="e">
        <f ca="1">_xlfn.XLOOKUP(Tab_NewTRADER[[#This Row],[Show]],TabCalc[Ticker],TabCalc[Max_Bn])&amp;" x "&amp;TEXT(_xlfn.XLOOKUP(Tab_NewTRADER[[#This Row],[Show]],TabCalc[Ticker],TabCalc[Max_Bp]),"#,#0.00")</f>
        <v>#N/A</v>
      </c>
      <c r="AN85" s="1650" t="str">
        <f ca="1">NewTrader!$V85</f>
        <v>NVS</v>
      </c>
      <c r="AO85" s="1651" t="str">
        <f ca="1">TEXT(_xlfn.XLOOKUP(Tab_NewTRADER[[#This Row],[ClickTick]],TabCalc[Ticker],TabCalc[NAfter]),"#,#0")&amp;"x"&amp;_xlfn.XLOOKUP(Tab_NewTRADER[[#This Row],[ClickTick]],TabCalc[Ticker],TabCalc[M])&amp;"           (A: "&amp;TEXT(-_xlfn.XLOOKUP(Tab_NewTRADER[[#This Row],[ClickTick]]&amp;2,Consolid!B$3:JZ$3,Consolid!B$4:JZ$4),"#,??0.00")&amp;")"</f>
        <v>0x132.36           (A:   0.00)</v>
      </c>
      <c r="AP85" s="1592" t="str">
        <f ca="1">_xlfn.XLOOKUP(Tab_NewTRADER[[#This Row],[Show]],TabCalc[Ticker],TabCalc[Min_Sn])&amp;" x "&amp;TEXT(_xlfn.XLOOKUP(Tab_NewTRADER[[#This Row],[Show]],TabCalc[Ticker],TabCalc[Min_Sp]),"#,#0.00")</f>
        <v>190 x 96.18</v>
      </c>
      <c r="AQ8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702" t="str" cm="1">
        <f t="array" aca="1" ref="AR85" ca="1">_xlfn.IFS(Tab_NewTRADER[[#This Row],[State]]="Reverse Buy",TEXT(-Tab_NewTRADER[[#This Row],[Buy_Back]],"#,#0")&amp;" / "&amp;TEXT(Tab_NewTRADER[[#This Row],[Rev_Buy]],"#,#0.0%"),TRUE,Tab_NewTRADER[[#This Row],[AMY]])</f>
        <v xml:space="preserve">   0.00 - 132.36 - 134.88</v>
      </c>
      <c r="AS85" s="1651"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99"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99" t="str" cm="1">
        <f t="array" aca="1" ref="AU85" ca="1">_xlfn.IFS(Tab_NewTRADER[[#This Row],[M]]&lt;Tab_NewTRADER[[#This Row],[A]],TEXT(Tab_NewTRADER[[#This Row],[N]]*Tab_NewTRADER[[#This Row],[M]]*Tab_NewTRADER[[#This Row],[Scale]]*Comm_Net,"#,#0")&amp;" @ "&amp;TEXT(Tab_NewTRADER[[#This Row],[M]],"#,#0.#0"),TRUE,"M: "&amp; Tab_NewTRADER[[#This Row],[M]])</f>
        <v>M: 132.36</v>
      </c>
      <c r="AV85" s="1740" cm="1">
        <f t="array" aca="1" ref="AV85" ca="1">-_xlfn.XLOOKUP(
    Tab_NewTRADER[[#This Row],[Show]] &amp; 2,
    TabConsolid[#Headers],
    INDEX(TabConsolid[], 1, 0)
)</f>
        <v>0</v>
      </c>
      <c r="AW85" s="1741">
        <f ca="1">Tab_NewTRADER[[#This Row],[M]]*Tab_NewTRADER[[#This Row],[N]]*(1-Commission)*Tab_NewTRADER[[#This Row],[Scale]]</f>
        <v>0</v>
      </c>
      <c r="AX85" s="1705"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705"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5" s="1706" t="str" cm="1">
        <f t="array" aca="1" ref="AZ85" ca="1">_xlfn.IFS(   Tab_NewTRADER[[#This Row],[State]]=SellMorePercentGain,                     MIN(Tab_NewTRADER[[#This Row],[L_Sn]],Tab_NewTRADER[[#This Row],[N]])*(Tab_NewTRADER[[#This Row],[M]]-Tab_NewTRADER[[#This Row],[L_Sp]])*(1-Commission)*Tab_NewTRADER[[#This Row],[Scale]],                    TRUE,"")</f>
        <v/>
      </c>
      <c r="BA85" s="1707">
        <f ca="1">_xlfn.XLOOKUP(NewTrader!$V85,TabCalc[Ticker],TabCalc[Ann%RevLB])</f>
        <v>0.37180490316542575</v>
      </c>
      <c r="BB85" s="1708">
        <f ca="1">_xlfn.XLOOKUP(NewTrader!$V85,TabCalc[Ticker],TabCalc[Up20])</f>
        <v>0</v>
      </c>
      <c r="BC85" s="1725"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
      </c>
      <c r="BD85" s="1706" t="str" cm="1">
        <f t="array" aca="1" ref="BD85" ca="1">_xlfn.IFS(         NewTrader!$AF85=MDown,NewTrader!$P85*NewTrader!$Y85*(-(NewTrader!$Q85+NewTrader!$Y85)/NewTrader!$Y85)*(1-Commission)*NewTrader!$A85,                               TRUE,"")</f>
        <v/>
      </c>
      <c r="BE85" s="1705" t="str" cm="1">
        <f t="array" aca="1" ref="BE85" ca="1">_xlfn.IFS(   NewTrader!$AF85=MUp,NewTrader!$BP85-Commission,        NewTrader!$AF85=MDown,(NewTrader!$X85-NewTrader!$Y85)/NewTrader!$Y85-Commission,                              TRUE,"")</f>
        <v/>
      </c>
      <c r="BF85" s="1706"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710" t="str" cm="1">
        <f t="array" aca="1" ref="BG85" ca="1">_xlfn.LET(_xlpm.SumChTxt,TEXT(_xlfn.XLOOKUP(NewTrader!$V85,ListTickers,Tab2SumChangePercent[AVGChan20]),"#0.0%"),
      _xlfn.IFS(NewTrader!$AF85=NoStock,_xlpm.SumChTxt,
      TRUE, IF(NewTrader!$AF85=SellMorePercentGain,             "SumChange "&amp;_xlpm.SumChTxt,                         "&lt;"&amp;INT(_xlfn.XLOOKUP(NewTrader!$V85,ListTickers,Tab2ReverseGL[Rev_GL19]))&amp;    "&lt;"&amp;INT(_xlfn.XLOOKUP(NewTrader!$V85,ListTickers,Tab2ReverseGL[Rev_GL18]))&amp;":      "&amp;_xlpm.SumChTxt)))</f>
        <v>0.4%</v>
      </c>
      <c r="BH85" s="1711"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0x132.36</v>
      </c>
      <c r="BI85" s="1712" t="str" cm="1">
        <f t="array" aca="1" ref="BI85" ca="1">_xlfn.IFS(NewTrader!$AF85=Sale_Back,"",         NewTrader!$AF85=MDown, (NewTrader!$Y85-NewTrader!$X85)/NewTrader!$X85*ComFactor,             TRUE, IFERROR((NewTrader!$Y85-NewTrader!$X85)/NewTrader!$X85*ComFactor,""))</f>
        <v/>
      </c>
      <c r="BJ85" s="1664" cm="1">
        <f t="array" aca="1" ref="BJ85" ca="1">_xlfn.IFS(               NewTrader!$AF85=NoStock,(NewTrader!$BL85-NewTrader!$Y85)/NewTrader!$Y85-Commission,             NewTrader!$X85&lt;&gt;0,(NewTrader!$X85-NewTrader!$Y85)/NewTrader!$Y85-Commission)</f>
        <v>-0.22433995164702339</v>
      </c>
      <c r="BK85" s="1726">
        <f ca="1">_xlfn.XLOOKUP(NewTrader!$V85,TabCalc[Ticker],TabCalc[L_Sn])</f>
        <v>400</v>
      </c>
      <c r="BL85" s="1727">
        <f ca="1">_xlfn.XLOOKUP(NewTrader!$V85,TabCalc[Ticker],TabCalc[L_Sp])</f>
        <v>103.01049999999999</v>
      </c>
      <c r="BM85" s="1634">
        <f ca="1">-IFERROR((Tab_NewTRADER[[#This Row],[M]]-Tab_NewTRADER[[#This Row],[L_Sp]])/Tab_NewTRADER[[#This Row],[L_Sp]],0)</f>
        <v>-0.2849175569480783</v>
      </c>
      <c r="BN85" s="1728">
        <f ca="1">MIN(Tab_NewTRADER[[#This Row],[L_Sn]],Tab_NewTRADER[[#This Row],[N]])*(Tab_NewTRADER[[#This Row],[M]]-Tab_NewTRADER[[#This Row],[L_Sp]])*Comm_Net*Tab_NewTRADER[[#This Row],[Scale]]</f>
        <v>0</v>
      </c>
      <c r="BO85" s="1715">
        <f ca="1">Tab_NewTRADER[[#This Row],[L_Sn]]*(Tab_NewTRADER[[#This Row],[Agiotage]]-Tab_NewTRADER[[#This Row],[M]])/(Tab_NewTRADER[[#This Row],[L_Bn]]*Tab_NewTRADER[[#This Row],[M]])</f>
        <v>-0.39633260780916163</v>
      </c>
      <c r="BP85" s="1670">
        <f ca="1">IFERROR((Tab_NewTRADER[[#This Row],[M]]-Tab_NewTRADER[[#This Row],[A]])/Tab_NewTRADER[[#This Row],[A]],0)</f>
        <v>0</v>
      </c>
      <c r="BQ85" s="1671"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Row],[GL]])*(1-Commission)</f>
        <v>13562.702215513225</v>
      </c>
      <c r="BS85" s="259"/>
      <c r="BT85" s="1672" t="str">
        <f ca="1">Tab_NewTRADER[[#This Row],[Show]]&amp;": "&amp;_xlfn.XLOOKUP(Tab_NewTRADER[[#This Row],[Show]],TabCalc[Ticker],TabCalc[Pile?])</f>
        <v xml:space="preserve">NVS: </v>
      </c>
      <c r="BU85" s="1717" t="s">
        <v>2008</v>
      </c>
      <c r="BV85" s="1674" t="str" cm="1">
        <f t="array" aca="1" ref="BV85" ca="1">_xlfn.TEXTJOIN("",,INDEX({"M","A","Y"}, _xlfn.SORTBY({1,2,3}, -CHOOSE({1,2,3}, Tab_NewTRADER[[#This Row],[M]], Tab_NewTRADER[[#This Row],[A]], Tab_NewTRADER[[#This Row],[Y]]))))</f>
        <v>YMA</v>
      </c>
      <c r="BW85" s="1675"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
      </c>
      <c r="BX85" s="1676" t="e">
        <f ca="1">Tab_NewTRADER[[#This Row],[L_Sn]]*Tab_NewTRADER[[#This Row],[L_Sp]]+Tab_NewTRADER[[#This Row],[SellMore]]*Tab_NewTRADER[[#This Row],[M]]</f>
        <v>#N/A</v>
      </c>
      <c r="BY85" s="1676" t="e">
        <f ca="1">INDEX(
  INDEX(TabConsolid[], , _xlfn.XMATCH(Tab_NewTRADER[[#This Row],[ClickTick]]&amp;1, TabConsolid[#Headers])),
  MATCH(
    -Tab_NewTRADER[[#This Row],[M]],
    INDEX(TabConsolid[], , _xlfn.XMATCH(Tab_NewTRADER[[#This Row],[ClickTick]]&amp;2, TabConsolid[#Headers])),
    -1
  )
)</f>
        <v>#N/A</v>
      </c>
      <c r="BZ85" s="1676"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77" t="e">
        <f ca="1">Tab_NewTRADER[[#This Row],[ReBuy]]/(Tab_NewTRADER[[#This Row],[L_Sn]]+Tab_NewTRADER[[#This Row],[SellMore]])</f>
        <v>#N/A</v>
      </c>
      <c r="CB85" s="1678" t="e">
        <f ca="1">((_xlfn.XLOOKUP(Tab_NewTRADER[[#This Row],[Show]],TabCalc[Ticker],TabCalc[NAfter])+Tab_NewTRADER[[#This Row],[L_Sn]])*(Tab_NewTRADER[[#This Row],[Agiotage]]-Tab_NewTRADER[[#This Row],[M]]))/(Tab_NewTRADER[[#This Row],[L_Sn]]*_xlfn.XLOOKUP(Tab_NewTRADER[[#This Row],[Show]],TabCalc[Ticker],TabCalc[NAfter]))</f>
        <v>#DIV/0!</v>
      </c>
      <c r="CC85" s="1677">
        <f ca="1">INDEX(Tab1Price[Price19], MATCH(Tab_NewTRADER[[#This Row],[Show]], Tab_NewTRADER[Show], 0))</f>
        <v>132.36000000000001</v>
      </c>
      <c r="CD85" s="1679">
        <f ca="1">_xlfn.XMATCH(Tab_NewTRADER[[#This Row],[Show]]&amp;1, TabConsolid[#Headers])</f>
        <v>251</v>
      </c>
      <c r="CE85" s="1678"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78" t="str" cm="1">
        <f t="array" aca="1" ref="CF85" ca="1">_xlfn.LET(
    _xlpm.FMT, _xlfn.LAMBDA(_xlpm.n, REPT(" ", 7 - LEN(TEXT(_xlpm.n,"0.00"))) &amp; TEXT(_xlpm.n,"0.00")),
    _xlpm.FMT(Tab_NewTRADER[[#This Row],[A]]) &amp; " -" &amp; _xlpm.FMT(Tab_NewTRADER[[#This Row],[M]]) &amp; " -" &amp; _xlpm.FMT(Tab_NewTRADER[[#This Row],[Y]])
)</f>
        <v xml:space="preserve">   0.00 - 132.36 - 134.88</v>
      </c>
      <c r="CG85" s="1680" t="str" cm="1">
        <f t="array" aca="1" ref="CG85" ca="1">_xlfn.LET(
    _xlpm.W, 7,
    _xlpm.FMT, _xlfn.LAMBDA(_xlpm.n, REPT(" ", _xlpm.W - LEN(TEXT(_xlpm.n,"0.00"))) &amp; TEXT(_xlpm.n,"0.00")),
    _xlpm.FMT(Tab_NewTRADER[[#This Row],[A]]) &amp; " * " &amp; _xlpm.FMT(Tab_NewTRADER[[#This Row],[M]]) &amp; " * " &amp; _xlpm.FMT(Tab_NewTRADER[[#This Row],[Y]])
)</f>
        <v xml:space="preserve">   0.00 *  132.36 *  134.88</v>
      </c>
      <c r="CH85" s="1842">
        <f>0</f>
        <v>0</v>
      </c>
      <c r="CI85" t="b">
        <f ca="1">IF(ABS(NewTrader!$Q85)&gt;=NewTrader!$Y85,"OK")</f>
        <v>0</v>
      </c>
    </row>
    <row r="86" spans="1:87" ht="23" hidden="1" thickBot="1">
      <c r="A86" s="1839">
        <f ca="1">IF(_xlfn.XLOOKUP(NewTrader!$V86,TabCalc[Ticker],TabCalc[Cur])="GBp",0.01,1)</f>
        <v>1</v>
      </c>
      <c r="B86" s="1681" t="str">
        <f ca="1">IFERROR(TRUNC(_xlfn.XLOOKUP(NewTrader!$V86,TabCalc[Ticker],ListLastBuyp),2)&amp;"x"&amp;_xlfn.XLOOKUP(NewTrader!$V86,TabCalc[Ticker],ListLastBuyn)&amp;"=    "&amp;IF(_xlfn.XLOOKUP(NewTrader!$V86,TabCalc[Ticker],ListReverseS)&gt;0,"+","")&amp;TEXT(_xlfn.XLOOKUP(NewTrader!$V86,TabCalc[Ticker],ListReverseS),"#,#0")&amp;" "&amp;#REF!,"")</f>
        <v/>
      </c>
      <c r="C86" s="1682" t="str">
        <f ca="1">_xlfn.XLOOKUP(NewTrader!$V86,TabCalc[Ticker],ListResale)&amp;" @ "&amp;TEXT((_xlfn.XLOOKUP(NewTrader!$V86,TabCalc[Ticker],TabCalc[L_Bp])+_xlfn.XLOOKUP(NewTrader!$V86,TabCalc[Ticker],TabCalc[M]))/_xlfn.XLOOKUP(NewTrader!$V86,TabCalc[Ticker],TabCalc[M]),"#0.0%")</f>
        <v>B_more @ -0.1%</v>
      </c>
      <c r="D86" s="1683"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84" t="str">
        <f ca="1">IF(      AND(NewTrader!$X86&lt;NewTrader!$Y86,    _xlfn.XLOOKUP(NewTrader!$V86,TabCalc[Ticker],TabCalc[L_Sp])&gt;NewTrader!$Y86),"BUY  "&amp;TEXT(DesiredBuyGain/NewTrader!$A86/(_xlfn.XLOOKUP(NewTrader!$V86,TabCalc[Ticker],TabCalc[L_Sp])-NewTrader!$Y86),"#,##0"),"")</f>
        <v/>
      </c>
      <c r="F86" s="1681" t="str">
        <f ca="1">TRUNC(TabCalc[[#This Row],[L_B1p]],2)&amp;"x"&amp;TabCalc[[#This Row],[L_B1n]]&amp;"=   "&amp;TEXT(TabCalc[[#This Row],[ReverseS1]],"#,#0")&amp;"$"</f>
        <v>-9.78x4000=   4,746$</v>
      </c>
      <c r="G86" s="1685" t="str">
        <f ca="1">IFERROR(TRUNC(_xlfn.XLOOKUP(NewTrader!$V86,TabCalc[Ticker],ListLastSalep),2)&amp;"x"&amp;_xlfn.XLOOKUP(NewTrader!$V86,TabCalc[Ticker],ListLastSalen)&amp;"=   "&amp;TEXT(-_xlfn.XLOOKUP(NewTrader!$V86,TabCalc[Ticker],ListReverseB),"#,#0")&amp;"$","")</f>
        <v>12.03x2000=   3,410$</v>
      </c>
      <c r="H86" s="1686"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12.4% = 0</v>
      </c>
      <c r="I86" s="1681" t="str">
        <f ca="1">IFERROR(TRUNC(TabCalc[[#This Row],[L_S1p]],2)&amp;"x"&amp;TabCalc[[#This Row],[L_S1n]]&amp;"=   "&amp;TEXT(TabCalc[[#This Row],[ReverseB1]],"#,#0"),"")</f>
        <v>11.84x2000=   -3,780</v>
      </c>
      <c r="J86" s="1687">
        <f ca="1">_xlfn.XLOOKUP(NewTrader!$V86,TabCalc[Ticker],ListGravity)</f>
        <v>1.133215143793229</v>
      </c>
      <c r="K86" s="1688" t="str" cm="1">
        <f t="array" aca="1" ref="K86" ca="1">IF(_xlfn.XLOOKUP(NewTrader!$V86,NewTrader!$V$3:$V$96,ListExtra_n)&gt;0,_xlfn.XLOOKUP(NewTrader!$V86,NewTrader!$V$3:$V$96,ListExtra_n),"")</f>
        <v/>
      </c>
      <c r="L86" s="1689" t="str">
        <f ca="1">IF(_xlfn.XLOOKUP(NewTrader!$V86,TabCalc[Ticker],ListExtra_n)&gt;0,_xlfn.XLOOKUP(NewTrader!$V86,TabCalc[Ticker],ListExtra_n)*NewTrader!$Y86*_xlfn.XLOOKUP(NewTrader!$V86,TabCalc[Ticker],ListScale),"")</f>
        <v/>
      </c>
      <c r="M86" s="1690">
        <f ca="1">_xlfn.XLOOKUP(NewTrader!$V86,TabCalc[Ticker],TabCalc[Agiotage])</f>
        <v>0.67743021645652646</v>
      </c>
      <c r="N86" s="1691" cm="1">
        <f t="array" aca="1" ref="N86" ca="1">_xlfn.XLOOKUP(NewTrader!$V86,ListTickers,Tab2RSIConventional[RSIConv20])</f>
        <v>59</v>
      </c>
      <c r="O86" s="1631" t="str">
        <f ca="1">TEXT(_xlfn.XLOOKUP(NewTrader!$V86,TabCalc[Ticker],TabCalc[Nbegin]),"#,#0")&amp;": "&amp;_xlfn.XLOOKUP(NewTrader!$V86,TabCalc[Ticker],TabCalc[Pile?])</f>
        <v>7,700: Pile</v>
      </c>
      <c r="P86" s="1692">
        <f ca="1">_xlfn.XLOOKUP(NewTrader!$V86,TabCalc[Ticker],TabCalc[L_Bn])</f>
        <v>1200</v>
      </c>
      <c r="Q86" s="1693">
        <f ca="1">_xlfn.XLOOKUP(NewTrader!$V86,TabCalc[Ticker],TabCalc[L_Bp])</f>
        <v>-13.744999999999999</v>
      </c>
      <c r="R86" s="1694">
        <f ca="1">(NewTrader!$Y86+NewTrader!$Q86)/ABS(NewTrader!$Q86)</f>
        <v>-7.2753728628590665E-4</v>
      </c>
      <c r="S86" s="262">
        <f ca="1">INT(_xlfn.XLOOKUP(NewTrader!$V86,TabCalc[Ticker],TabCalc[Rev(MinStock)])*Comm_Net)</f>
        <v>-12</v>
      </c>
      <c r="T86" s="1635">
        <f ca="1">_xlfn.XLOOKUP(NewTrader!$V86,TabCalc[Ticker],TabCalc[Agiotage])</f>
        <v>0.67743021645652646</v>
      </c>
      <c r="U86" s="1695"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108/108=&gt;0.5% / 0.5%</v>
      </c>
      <c r="V86" s="1578" t="str">
        <f ca="1">SORTING!B86</f>
        <v>ORA</v>
      </c>
      <c r="W86" s="1637">
        <f ca="1">_xlfn.XLOOKUP(NewTrader!$V86,TabCalc[Ticker],TabCalc[Y])</f>
        <v>15.56471</v>
      </c>
      <c r="X86" s="1639">
        <f ca="1">-_xlfn.XLOOKUP(NewTrader!$V86&amp;2,Consolid!B$3:JZ$3,Consolid!B$4:JZ$4)</f>
        <v>13.780736999999998</v>
      </c>
      <c r="Y86" s="1639">
        <f ca="1">_xlfn.XLOOKUP(NewTrader!$V86,TabCalc[Ticker],TabCalc[M])</f>
        <v>13.734999999999999</v>
      </c>
      <c r="Z86" s="1640">
        <f ca="1">_xlfn.XLOOKUP(NewTrader!$V86,[1]!RTData[Ticker_Symbol],[1]!RTData[YTChange])</f>
        <v>4.9542144302090342E-2</v>
      </c>
      <c r="AA86" s="1640" cm="1">
        <f t="array" aca="1" ref="AA86" ca="1">_xlfn.XLOOKUP(NewTrader!$V86,ListTickers,Tab1ChangePercent[Change%19])</f>
        <v>5.1229999999999999E-3</v>
      </c>
      <c r="AB86" s="1641">
        <f ca="1">_xlfn.XLOOKUP(NewTrader!$V86,TabCalc[Ticker],TabCalc[NAfter])</f>
        <v>1200</v>
      </c>
      <c r="AC86" s="1641">
        <f ca="1">_xlfn.XLOOKUP(NewTrader!$V86,TabCalc[Ticker],TabCalc[Nbegin])</f>
        <v>7700</v>
      </c>
      <c r="AD86" s="1642" t="str">
        <f ca="1">_xlfn.LET(_xlpm.PILE,_xlfn.XLOOKUP(NewTrader!$V86,TabCalc[Ticker],TabCalc[Pile?]),                    _xlpm.GL,_xlfn.XLOOKUP(NewTrader!$V86,TabCalc[Ticker],TabCalc[GL]),                        _xlpm.GLK,_xlfn.XLOOKUP(NewTrader!$V86,TabCalc[Ticker],TabCalc[GL])/1000,                             _xlpm.MVal,_xlfn.XLOOKUP(NewTrader!$V86,TabCalc[Ticker],TabCalc[M_V])/1000,                   _xlpm.PILE&amp;" "&amp;IF(_xlpm.GL&lt;0,TEXT(_xlpm.GLK,"#,#0")&amp;"K /"&amp;TEXT(_xlpm.MVal,"#,#0")&amp;" K$","^"&amp;TEXT(_xlpm.GLK,"#,#0")&amp;"K / "&amp;TEXT(_xlpm.MVal,"#,#0")&amp;" K$"))</f>
        <v>Pile ^6K / 16 K$</v>
      </c>
      <c r="AE86" s="1720" t="str">
        <f ca="1">_xlfn.XLOOKUP(NewTrader!$V86,[1]!RTData[Ticker_Symbol],[1]!RTData[Currency])</f>
        <v>EUR</v>
      </c>
      <c r="AF86" s="1721"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Buy More</v>
      </c>
      <c r="AG8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698" t="str" cm="1">
        <f t="array" aca="1" ref="AH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13.78 -  13.74 -  15.56</v>
      </c>
      <c r="AI8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86" s="1651" t="str" cm="1">
        <f t="array" aca="1" ref="AJ86" ca="1">_xlfn.IFS(Tab_NewTRADER[[#This Row],[State]]="Sell More",TEXT(MIN(Tab_NewTRADER[[#This Row],[N]],Tab_NewTRADER[[#This Row],[L_Bn]])*(Tab_NewTRADER[[#This Row],[M]]-Tab_NewTRADER[[#This Row],[L_Sp]])*Tab_NewTRADER[[#This Row],[Scale]]*ComFactor,"#,#0"), TRUE,"M= "&amp;TEXT(Tab_NewTRADER[[#This Row],[M]],"#,#0.00"))</f>
        <v>M= 13.74</v>
      </c>
      <c r="AK86" s="1699" t="str" cm="1">
        <f t="array" aca="1" ref="AK86" ca="1">_xlfn.IFS(Tab_NewTRADER[[#This Row],[Y]]&gt;Tab_NewTRADER[[#This Row],[A]],                 TEXT(MIN(Tab_NewTRADER[[#This Row],[L_Bn]],Tab_NewTRADER[[#This Row],[N]])*(Tab_NewTRADER[[#This Row],[M]]-Tab_NewTRADER[[#This Row],[A]])*Tab_NewTRADER[[#This Row],[Scale]]*ComFactor,"#,#0"), TRUE,0)</f>
        <v>-55</v>
      </c>
      <c r="AL86" s="1700" cm="1">
        <f t="array" aca="1" ref="AL86" ca="1">_xlfn.IFS(Tab_NewTRADER[[#This Row],[M]]&gt;Tab_NewTRADER[[#This Row],[A]],                  Tab_NewTRADER[[#This Row],[N]]*(Tab_NewTRADER[[#This Row],[M]]-Tab_NewTRADER[[#This Row],[A]])*Tab_NewTRADER[[#This Row],[Scale]]*ComFactor, TRUE,0)</f>
        <v>0</v>
      </c>
      <c r="AM86" s="1592" t="str">
        <f ca="1">_xlfn.XLOOKUP(Tab_NewTRADER[[#This Row],[Show]],TabCalc[Ticker],TabCalc[Max_Bn])&amp;" x "&amp;TEXT(_xlfn.XLOOKUP(Tab_NewTRADER[[#This Row],[Show]],TabCalc[Ticker],TabCalc[Max_Bp]),"#,#0.00")</f>
        <v>1200 x 13.78</v>
      </c>
      <c r="AN86" s="1650" t="str">
        <f ca="1">NewTrader!$V86</f>
        <v>ORA</v>
      </c>
      <c r="AO86" s="1651" t="str">
        <f ca="1">TEXT(_xlfn.XLOOKUP(Tab_NewTRADER[[#This Row],[ClickTick]],TabCalc[Ticker],TabCalc[NAfter]),"#,#0")&amp;"x"&amp;_xlfn.XLOOKUP(Tab_NewTRADER[[#This Row],[ClickTick]],TabCalc[Ticker],TabCalc[M])&amp;"           (A: "&amp;TEXT(-_xlfn.XLOOKUP(Tab_NewTRADER[[#This Row],[ClickTick]]&amp;2,Consolid!B$3:JZ$3,Consolid!B$4:JZ$4),"#,??0.00")&amp;")"</f>
        <v>1,200x13.735           (A:  13.78)</v>
      </c>
      <c r="AP86" s="1592" t="str">
        <f ca="1">_xlfn.XLOOKUP(Tab_NewTRADER[[#This Row],[Show]],TabCalc[Ticker],TabCalc[Min_Sn])&amp;" x "&amp;TEXT(_xlfn.XLOOKUP(Tab_NewTRADER[[#This Row],[Show]],TabCalc[Ticker],TabCalc[Min_Sp]),"#,#0.00")</f>
        <v>2000 x 10.03</v>
      </c>
      <c r="AQ8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702" t="str" cm="1">
        <f t="array" aca="1" ref="AR86" ca="1">_xlfn.IFS(Tab_NewTRADER[[#This Row],[State]]="Reverse Buy",TEXT(-Tab_NewTRADER[[#This Row],[Buy_Back]],"#,#0")&amp;" / "&amp;TEXT(Tab_NewTRADER[[#This Row],[Rev_Buy]],"#,#0.0%"),TRUE,Tab_NewTRADER[[#This Row],[AMY]])</f>
        <v xml:space="preserve">  13.78 -  13.74 -  15.56</v>
      </c>
      <c r="AS86" s="1651" t="str"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12       / 00.1%</v>
      </c>
      <c r="AT86" s="1699" t="str" cm="1">
        <f t="array" aca="1" ref="AT86" ca="1">_xlfn.IFS(Tab_NewTRADER[[#This Row],[M]]&lt;Tab_NewTRADER[[#This Row],[A]],            TEXT(Tab_NewTRADER[[#This Row],[N]]*(Tab_NewTRADER[[#This Row],[M]]-Tab_NewTRADER[[#This Row],[A]])*Tab_NewTRADER[[#This Row],[Scale]]*ComFactor,"#,#0")&amp;"   / "&amp;TEXT((Tab_NewTRADER[[#This Row],[M]]-Tab_NewTRADER[[#This Row],[A]])/Tab_NewTRADER[[#This Row],[M]],"#,#0.0%"),TRUE,0)</f>
        <v>-55   / -0.3%</v>
      </c>
      <c r="AU86" s="1699" t="str" cm="1">
        <f t="array" aca="1" ref="AU86" ca="1">_xlfn.IFS(Tab_NewTRADER[[#This Row],[M]]&lt;Tab_NewTRADER[[#This Row],[A]],TEXT(Tab_NewTRADER[[#This Row],[N]]*Tab_NewTRADER[[#This Row],[M]]*Tab_NewTRADER[[#This Row],[Scale]]*Comm_Net,"#,#0")&amp;" @ "&amp;TEXT(Tab_NewTRADER[[#This Row],[M]],"#,#0.#0"),TRUE,"M: "&amp; Tab_NewTRADER[[#This Row],[M]])</f>
        <v>16,437 @ 13.74</v>
      </c>
      <c r="AV86" s="1703" cm="1">
        <f t="array" aca="1" ref="AV86" ca="1">-_xlfn.XLOOKUP(
    Tab_NewTRADER[[#This Row],[Show]] &amp; 2,
    TabConsolid[#Headers],
    INDEX(TabConsolid[], 1, 0)
)</f>
        <v>13.780736999999998</v>
      </c>
      <c r="AW86" s="1704">
        <f ca="1">Tab_NewTRADER[[#This Row],[M]]*Tab_NewTRADER[[#This Row],[N]]*(1-Commission)*Tab_NewTRADER[[#This Row],[Scale]]</f>
        <v>16439.146799999999</v>
      </c>
      <c r="AX86" s="1705"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705"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706" t="str" cm="1">
        <f t="array" aca="1" ref="AZ86" ca="1">_xlfn.IFS(   Tab_NewTRADER[[#This Row],[State]]=SellMorePercentGain,                     MIN(Tab_NewTRADER[[#This Row],[L_Sn]],Tab_NewTRADER[[#This Row],[N]])*(Tab_NewTRADER[[#This Row],[M]]-Tab_NewTRADER[[#This Row],[L_Sp]])*(1-Commission)*Tab_NewTRADER[[#This Row],[Scale]],                    TRUE,"")</f>
        <v/>
      </c>
      <c r="BA86" s="1707">
        <f ca="1">_xlfn.XLOOKUP(NewTrader!$V86,TabCalc[Ticker],TabCalc[Ann%RevLB])</f>
        <v>-3.1555834103967036E-3</v>
      </c>
      <c r="BB86" s="1708">
        <f ca="1">_xlfn.XLOOKUP(NewTrader!$V86,TabCalc[Ticker],TabCalc[Up20])</f>
        <v>0</v>
      </c>
      <c r="BC86" s="1709"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706" t="str" cm="1">
        <f t="array" aca="1" ref="BD86" ca="1">_xlfn.IFS(         NewTrader!$AF86=MDown,NewTrader!$P86*NewTrader!$Y86*(-(NewTrader!$Q86+NewTrader!$Y86)/NewTrader!$Y86)*(1-Commission)*NewTrader!$A86,                               TRUE,"")</f>
        <v/>
      </c>
      <c r="BE86" s="1705" t="str" cm="1">
        <f t="array" aca="1" ref="BE86" ca="1">_xlfn.IFS(   NewTrader!$AF86=MUp,NewTrader!$BP86-Commission,        NewTrader!$AF86=MDown,(NewTrader!$X86-NewTrader!$Y86)/NewTrader!$Y86-Commission,                              TRUE,"")</f>
        <v/>
      </c>
      <c r="BF86" s="1710"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710" t="str" cm="1">
        <f t="array" aca="1" ref="BG86" ca="1">_xlfn.LET(_xlpm.SumChTxt,TEXT(_xlfn.XLOOKUP(NewTrader!$V86,ListTickers,Tab2SumChangePercent[AVGChan20]),"#0.0%"),
      _xlfn.IFS(NewTrader!$AF86=NoStock,_xlpm.SumChTxt,
      TRUE, IF(NewTrader!$AF86=SellMorePercentGain,             "SumChange "&amp;_xlpm.SumChTxt,                         "&lt;"&amp;INT(_xlfn.XLOOKUP(NewTrader!$V86,ListTickers,Tab2ReverseGL[Rev_GL19]))&amp;    "&lt;"&amp;INT(_xlfn.XLOOKUP(NewTrader!$V86,ListTickers,Tab2ReverseGL[Rev_GL18]))&amp;":      "&amp;_xlpm.SumChTxt)))</f>
        <v>&lt;-1&lt;-1:      -0.2%</v>
      </c>
      <c r="BH86" s="1711"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0</v>
      </c>
      <c r="BI86" s="1712" cm="1">
        <f t="array" aca="1" ref="BI86" ca="1">_xlfn.IFS(NewTrader!$AF86=Sale_Back,"",         NewTrader!$AF86=MDown, (NewTrader!$Y86-NewTrader!$X86)/NewTrader!$X86*ComFactor,             TRUE, IFERROR((NewTrader!$Y86-NewTrader!$X86)/NewTrader!$X86*ComFactor,""))</f>
        <v>-3.3102789640350174E-3</v>
      </c>
      <c r="BJ86" s="1664" cm="1">
        <f t="array" aca="1" ref="BJ86" ca="1">_xlfn.IFS(               NewTrader!$AF86=NoStock,(NewTrader!$BL86-NewTrader!$Y86)/NewTrader!$Y86-Commission,             NewTrader!$X86&lt;&gt;0,(NewTrader!$X86-NewTrader!$Y86)/NewTrader!$Y86-Commission)</f>
        <v>7.2995995631591065E-4</v>
      </c>
      <c r="BK86" s="1713">
        <f ca="1">_xlfn.XLOOKUP(NewTrader!$V86,TabCalc[Ticker],TabCalc[L_Sn])</f>
        <v>2000</v>
      </c>
      <c r="BL86" s="1693">
        <f ca="1">_xlfn.XLOOKUP(NewTrader!$V86,TabCalc[Ticker],TabCalc[L_Sp])</f>
        <v>12.03</v>
      </c>
      <c r="BM86" s="1694">
        <f ca="1">-IFERROR((Tab_NewTRADER[[#This Row],[M]]-Tab_NewTRADER[[#This Row],[L_Sp]])/Tab_NewTRADER[[#This Row],[L_Sp]],0)</f>
        <v>-0.14172901080631756</v>
      </c>
      <c r="BN86" s="1714">
        <f ca="1">MIN(Tab_NewTRADER[[#This Row],[L_Sn]],Tab_NewTRADER[[#This Row],[N]])*(Tab_NewTRADER[[#This Row],[M]]-Tab_NewTRADER[[#This Row],[L_Sp]])*Comm_Net*Tab_NewTRADER[[#This Row],[Scale]]</f>
        <v>2040.4757999999999</v>
      </c>
      <c r="BO86" s="1715">
        <f ca="1">Tab_NewTRADER[[#This Row],[L_Sn]]*(Tab_NewTRADER[[#This Row],[Agiotage]]-Tab_NewTRADER[[#This Row],[M]])/(Tab_NewTRADER[[#This Row],[L_Bn]]*Tab_NewTRADER[[#This Row],[M]])</f>
        <v>-1.584464237779817</v>
      </c>
      <c r="BP86" s="1716">
        <f ca="1">IFERROR((Tab_NewTRADER[[#This Row],[M]]-Tab_NewTRADER[[#This Row],[A]])/Tab_NewTRADER[[#This Row],[A]],0)</f>
        <v>-3.3189081251604347E-3</v>
      </c>
      <c r="BQ86" s="1671" t="str">
        <f ca="1">TEXT(_xlfn.XLOOKUP(Tab_NewTRADER[[#This Row],[ClickTick]],TabCalc[Ticker],TabCalc[NAfter]),"#,#0")&amp;" : "&amp;TEXT(_xlfn.XLOOKUP(Tab_NewTRADER[[#This Row],[ClickTick]],TabCalc[Ticker],TabCalc[NAfter])*(Tab_NewTRADER[[#This Row],[M]]-Tab_NewTRADER[[#This Row],[A]])*(1-Commission)*Tab_NewTRADER[[#This Row],[Scale]],"#,#0$")</f>
        <v>1,200 : -55$</v>
      </c>
      <c r="BR86" s="262">
        <f ca="1">_xlfn.XLOOKUP(NewTrader!$V86,TabCalc[[#This Row],[Ticker]],TabCalc[[#This Row],[GL]])*(1-Commission)</f>
        <v>5823.4058994585457</v>
      </c>
      <c r="BS86" s="262"/>
      <c r="BT86" s="1672" t="str">
        <f ca="1">Tab_NewTRADER[[#This Row],[Show]]&amp;": "&amp;_xlfn.XLOOKUP(Tab_NewTRADER[[#This Row],[Show]],TabCalc[Ticker],TabCalc[Pile?])</f>
        <v>ORA: Pile</v>
      </c>
      <c r="BU86" s="1717" t="s">
        <v>2009</v>
      </c>
      <c r="BV86" s="1674" t="str" cm="1">
        <f t="array" aca="1" ref="BV86" ca="1">_xlfn.TEXTJOIN("",,INDEX({"M","A","Y"}, _xlfn.SORTBY({1,2,3}, -CHOOSE({1,2,3}, Tab_NewTRADER[[#This Row],[M]], Tab_NewTRADER[[#This Row],[A]], Tab_NewTRADER[[#This Row],[Y]]))))</f>
        <v>YAM</v>
      </c>
      <c r="BW86" s="1675"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76" t="e">
        <f ca="1">Tab_NewTRADER[[#This Row],[L_Sn]]*Tab_NewTRADER[[#This Row],[L_Sp]]+Tab_NewTRADER[[#This Row],[SellMore]]*Tab_NewTRADER[[#This Row],[M]]</f>
        <v>#N/A</v>
      </c>
      <c r="BY86" s="1676" t="e">
        <f ca="1">INDEX(
  INDEX(TabConsolid[], , _xlfn.XMATCH(Tab_NewTRADER[[#This Row],[ClickTick]]&amp;1, TabConsolid[#Headers])),
  MATCH(
    -Tab_NewTRADER[[#This Row],[M]],
    INDEX(TabConsolid[], , _xlfn.XMATCH(Tab_NewTRADER[[#This Row],[ClickTick]]&amp;2, TabConsolid[#Headers])),
    -1
  )
)</f>
        <v>#N/A</v>
      </c>
      <c r="BZ86" s="1676"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1200</v>
      </c>
      <c r="CA86" s="1677" t="e">
        <f ca="1">Tab_NewTRADER[[#This Row],[ReBuy]]/(Tab_NewTRADER[[#This Row],[L_Sn]]+Tab_NewTRADER[[#This Row],[SellMore]])</f>
        <v>#N/A</v>
      </c>
      <c r="CB86" s="1678">
        <f ca="1">((_xlfn.XLOOKUP(Tab_NewTRADER[[#This Row],[Show]],TabCalc[Ticker],TabCalc[NAfter])+Tab_NewTRADER[[#This Row],[L_Sn]])*(Tab_NewTRADER[[#This Row],[Agiotage]]-Tab_NewTRADER[[#This Row],[M]]))/(Tab_NewTRADER[[#This Row],[L_Sn]]*_xlfn.XLOOKUP(Tab_NewTRADER[[#This Row],[Show]],TabCalc[Ticker],TabCalc[NAfter]))</f>
        <v>-1.7410093044724628E-2</v>
      </c>
      <c r="CC86" s="1677">
        <f ca="1">INDEX(Tab1Price[Price19], MATCH(Tab_NewTRADER[[#This Row],[Show]], Tab_NewTRADER[Show], 0))</f>
        <v>13.734999999999999</v>
      </c>
      <c r="CD86" s="1679">
        <f ca="1">_xlfn.XMATCH(Tab_NewTRADER[[#This Row],[Show]]&amp;1, TabConsolid[#Headers])</f>
        <v>254</v>
      </c>
      <c r="CE86" s="1678"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678" t="str" cm="1">
        <f t="array" aca="1" ref="CF86" ca="1">_xlfn.LET(
    _xlpm.FMT, _xlfn.LAMBDA(_xlpm.n, REPT(" ", 7 - LEN(TEXT(_xlpm.n,"0.00"))) &amp; TEXT(_xlpm.n,"0.00")),
    _xlpm.FMT(Tab_NewTRADER[[#This Row],[A]]) &amp; " -" &amp; _xlpm.FMT(Tab_NewTRADER[[#This Row],[M]]) &amp; " -" &amp; _xlpm.FMT(Tab_NewTRADER[[#This Row],[Y]])
)</f>
        <v xml:space="preserve">  13.78 -  13.74 -  15.56</v>
      </c>
      <c r="CG86" s="1680" t="str" cm="1">
        <f t="array" aca="1" ref="CG86" ca="1">_xlfn.LET(
    _xlpm.W, 7,
    _xlpm.FMT, _xlfn.LAMBDA(_xlpm.n, REPT(" ", _xlpm.W - LEN(TEXT(_xlpm.n,"0.00"))) &amp; TEXT(_xlpm.n,"0.00")),
    _xlpm.FMT(Tab_NewTRADER[[#This Row],[A]]) &amp; " * " &amp; _xlpm.FMT(Tab_NewTRADER[[#This Row],[M]]) &amp; " * " &amp; _xlpm.FMT(Tab_NewTRADER[[#This Row],[Y]])
)</f>
        <v xml:space="preserve">  13.78 *   13.74 *   15.56</v>
      </c>
      <c r="CH86" s="1842">
        <f>0</f>
        <v>0</v>
      </c>
      <c r="CI86" t="str">
        <f ca="1">IF(ABS(NewTrader!$Q86)&gt;=NewTrader!$Y86,"OK")</f>
        <v>OK</v>
      </c>
    </row>
    <row r="87" spans="1:87" ht="23" hidden="1" thickBot="1">
      <c r="A87" s="1838">
        <f ca="1">IF(_xlfn.XLOOKUP(NewTrader!$V87,TabCalc[Ticker],TabCalc[Cur])="GBp",0.01,1)</f>
        <v>1</v>
      </c>
      <c r="B87" s="1620" t="str">
        <f ca="1">IFERROR(TRUNC(_xlfn.XLOOKUP(NewTrader!$V87,TabCalc[Ticker],ListLastBuyp),2)&amp;"x"&amp;_xlfn.XLOOKUP(NewTrader!$V87,TabCalc[Ticker],ListLastBuyn)&amp;"=    "&amp;IF(_xlfn.XLOOKUP(NewTrader!$V87,TabCalc[Ticker],ListReverseS)&gt;0,"+","")&amp;TEXT(_xlfn.XLOOKUP(NewTrader!$V87,TabCalc[Ticker],ListReverseS),"#,#0")&amp;" "&amp;#REF!,"")</f>
        <v/>
      </c>
      <c r="C87" s="1621" t="str">
        <f ca="1">_xlfn.XLOOKUP(NewTrader!$V87,TabCalc[Ticker],ListResale)&amp;" @ "&amp;TEXT((_xlfn.XLOOKUP(NewTrader!$V87,TabCalc[Ticker],TabCalc[L_Bp])+_xlfn.XLOOKUP(NewTrader!$V87,TabCalc[Ticker],TabCalc[M]))/_xlfn.XLOOKUP(NewTrader!$V87,TabCalc[Ticker],TabCalc[M]),"#0.0%")</f>
        <v>B_more @ -14.7%</v>
      </c>
      <c r="D87" s="1622"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718" t="str">
        <f ca="1">IF(      AND(NewTrader!$X87&lt;NewTrader!$Y87,    _xlfn.XLOOKUP(NewTrader!$V87,TabCalc[Ticker],TabCalc[L_Sp])&gt;NewTrader!$Y87),"BUY  "&amp;TEXT(DesiredBuyGain/NewTrader!$A87/(_xlfn.XLOOKUP(NewTrader!$V87,TabCalc[Ticker],TabCalc[L_Sp])-NewTrader!$Y87),"#,##0"),"")</f>
        <v/>
      </c>
      <c r="F87" s="1620" t="str">
        <f ca="1">TRUNC(TabCalc[[#This Row],[L_B1p]],2)&amp;"x"&amp;TabCalc[[#This Row],[L_B1n]]&amp;"=   "&amp;TEXT(TabCalc[[#This Row],[ReverseS1]],"#,#0")&amp;"$"</f>
        <v>-48.09x900=   -6,201$</v>
      </c>
      <c r="G87" s="1624" t="str">
        <f ca="1">IFERROR(TRUNC(_xlfn.XLOOKUP(NewTrader!$V87,TabCalc[Ticker],ListLastSalep),2)&amp;"x"&amp;_xlfn.XLOOKUP(NewTrader!$V87,TabCalc[Ticker],ListLastSalen)&amp;"=   "&amp;TEXT(-_xlfn.XLOOKUP(NewTrader!$V87,TabCalc[Ticker],ListReverseB),"#,#0")&amp;"$","")</f>
        <v>51.86x1000=   -10,660$</v>
      </c>
      <c r="H87" s="1625"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25.9% = 469</v>
      </c>
      <c r="I87" s="1620" t="str">
        <f ca="1">IFERROR(TRUNC(TabCalc[[#This Row],[L_S1p]],2)&amp;"x"&amp;TabCalc[[#This Row],[L_S1n]]&amp;"=   "&amp;TEXT(TabCalc[[#This Row],[ReverseB1]],"#,#0"),"")</f>
        <v>62.9x2000=   43,400</v>
      </c>
      <c r="J87" s="1626">
        <f ca="1">_xlfn.XLOOKUP(NewTrader!$V87,TabCalc[Ticker],ListGravity)</f>
        <v>1.2226941747572815</v>
      </c>
      <c r="K87" s="1627" cm="1">
        <f t="array" aca="1" ref="K87" ca="1">IF(_xlfn.XLOOKUP(NewTrader!$V87,NewTrader!$V$3:$V$96,ListExtra_n)&gt;0,_xlfn.XLOOKUP(NewTrader!$V87,NewTrader!$V$3:$V$96,ListExtra_n),"")</f>
        <v>2900</v>
      </c>
      <c r="L87" s="1628">
        <f ca="1">IF(_xlfn.XLOOKUP(NewTrader!$V87,TabCalc[Ticker],ListExtra_n)&gt;0,_xlfn.XLOOKUP(NewTrader!$V87,TabCalc[Ticker],ListExtra_n)*NewTrader!$Y87*_xlfn.XLOOKUP(NewTrader!$V87,TabCalc[Ticker],ListScale),"")</f>
        <v>119480.00000000001</v>
      </c>
      <c r="M87" s="1629">
        <f ca="1">_xlfn.XLOOKUP(NewTrader!$V87,TabCalc[Ticker],TabCalc[Agiotage])</f>
        <v>0.87848413970723505</v>
      </c>
      <c r="N87" s="1630" cm="1">
        <f t="array" aca="1" ref="N87" ca="1">_xlfn.XLOOKUP(NewTrader!$V87,ListTickers,Tab2RSIConventional[RSIConv20])</f>
        <v>72</v>
      </c>
      <c r="O87" s="1631" t="str">
        <f ca="1">TEXT(_xlfn.XLOOKUP(NewTrader!$V87,TabCalc[Ticker],TabCalc[Nbegin]),"#,#0")&amp;": "&amp;_xlfn.XLOOKUP(NewTrader!$V87,TabCalc[Ticker],TabCalc[Pile?])</f>
        <v>1,100: Pile</v>
      </c>
      <c r="P87" s="1630">
        <f ca="1">_xlfn.XLOOKUP(NewTrader!$V87,TabCalc[Ticker],TabCalc[L_Bn])</f>
        <v>1000</v>
      </c>
      <c r="Q87" s="1633">
        <f ca="1">_xlfn.XLOOKUP(NewTrader!$V87,TabCalc[Ticker],TabCalc[L_Bp])</f>
        <v>-47.24</v>
      </c>
      <c r="R87" s="1634">
        <f ca="1">(NewTrader!$Y87+NewTrader!$Q87)/ABS(NewTrader!$Q87)</f>
        <v>-0.12785774767146485</v>
      </c>
      <c r="S87" s="259">
        <f ca="1">INT(_xlfn.XLOOKUP(NewTrader!$V87,TabCalc[Ticker],TabCalc[Rev(MinStock)])*Comm_Net)</f>
        <v>-6008</v>
      </c>
      <c r="T87" s="1635">
        <f ca="1">_xlfn.XLOOKUP(NewTrader!$V87,TabCalc[Ticker],TabCalc[Agiotage])</f>
        <v>0.87848413970723505</v>
      </c>
      <c r="U87" s="1719"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480/480=&gt;-1.3% / -1.3%</v>
      </c>
      <c r="V87" s="1578" t="str">
        <f ca="1">SORTING!B87</f>
        <v>OXY</v>
      </c>
      <c r="W87" s="1637">
        <f ca="1">_xlfn.XLOOKUP(NewTrader!$V87,TabCalc[Ticker],TabCalc[Y])</f>
        <v>50.375</v>
      </c>
      <c r="X87" s="1639">
        <f ca="1">-_xlfn.XLOOKUP(NewTrader!$V87&amp;2,Consolid!B$3:JZ$3,Consolid!B$4:JZ$4)</f>
        <v>54.475744634999998</v>
      </c>
      <c r="Y87" s="1639">
        <f ca="1">_xlfn.XLOOKUP(NewTrader!$V87,TabCalc[Ticker],TabCalc[M])</f>
        <v>41.2</v>
      </c>
      <c r="Z87" s="1640">
        <f ca="1">_xlfn.XLOOKUP(NewTrader!$V87,[1]!RTData[Ticker_Symbol],[1]!RTData[YTChange])</f>
        <v>-0.29761572783045176</v>
      </c>
      <c r="AA87" s="1640" cm="1">
        <f t="array" aca="1" ref="AA87" ca="1">_xlfn.XLOOKUP(NewTrader!$V87,ListTickers,Tab1ChangePercent[Change%19])</f>
        <v>-1.3173999999999998E-2</v>
      </c>
      <c r="AB87" s="1641">
        <f ca="1">_xlfn.XLOOKUP(NewTrader!$V87,TabCalc[Ticker],TabCalc[NAfter])</f>
        <v>4000</v>
      </c>
      <c r="AC87" s="1641">
        <f ca="1">_xlfn.XLOOKUP(NewTrader!$V87,TabCalc[Ticker],TabCalc[Nbegin])</f>
        <v>1100</v>
      </c>
      <c r="AD87" s="1642" t="str">
        <f ca="1">_xlfn.LET(_xlpm.PILE,_xlfn.XLOOKUP(NewTrader!$V87,TabCalc[Ticker],TabCalc[Pile?]),                    _xlpm.GL,_xlfn.XLOOKUP(NewTrader!$V87,TabCalc[Ticker],TabCalc[GL]),                        _xlpm.GLK,_xlfn.XLOOKUP(NewTrader!$V87,TabCalc[Ticker],TabCalc[GL])/1000,                             _xlpm.MVal,_xlfn.XLOOKUP(NewTrader!$V87,TabCalc[Ticker],TabCalc[M_V])/1000,                   _xlpm.PILE&amp;" "&amp;IF(_xlpm.GL&lt;0,TEXT(_xlpm.GLK,"#,#0")&amp;"K /"&amp;TEXT(_xlpm.MVal,"#,#0")&amp;" K$","^"&amp;TEXT(_xlpm.GLK,"#,#0")&amp;"K / "&amp;TEXT(_xlpm.MVal,"#,#0")&amp;" K$"))</f>
        <v>Pile -71K /164 K$</v>
      </c>
      <c r="AE87" s="1720" t="str">
        <f ca="1">_xlfn.XLOOKUP(NewTrader!$V87,[1]!RTData[Ticker_Symbol],[1]!RTData[Currency])</f>
        <v>USD</v>
      </c>
      <c r="AF87" s="1696"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698" t="str" cm="1">
        <f t="array" aca="1" ref="AH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41.20 -  50.38</v>
      </c>
      <c r="AI8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7" s="1651" t="str" cm="1">
        <f t="array" aca="1" ref="AJ87" ca="1">_xlfn.IFS(Tab_NewTRADER[[#This Row],[State]]="Sell More",TEXT(MIN(Tab_NewTRADER[[#This Row],[N]],Tab_NewTRADER[[#This Row],[L_Bn]])*(Tab_NewTRADER[[#This Row],[M]]-Tab_NewTRADER[[#This Row],[L_Sp]])*Tab_NewTRADER[[#This Row],[Scale]]*ComFactor,"#,#0"), TRUE,"M= "&amp;TEXT(Tab_NewTRADER[[#This Row],[M]],"#,#0.00"))</f>
        <v>M= 41.20</v>
      </c>
      <c r="AK87" s="1699" cm="1">
        <f t="array" aca="1" ref="AK87" ca="1">_xlfn.IFS(Tab_NewTRADER[[#This Row],[Y]]&gt;Tab_NewTRADER[[#This Row],[A]],                 TEXT(MIN(Tab_NewTRADER[[#This Row],[L_Bn]],Tab_NewTRADER[[#This Row],[N]])*(Tab_NewTRADER[[#This Row],[M]]-Tab_NewTRADER[[#This Row],[A]])*Tab_NewTRADER[[#This Row],[Scale]]*ComFactor,"#,#0"), TRUE,0)</f>
        <v>0</v>
      </c>
      <c r="AL87" s="1700" cm="1">
        <f t="array" aca="1" ref="AL87" ca="1">_xlfn.IFS(Tab_NewTRADER[[#This Row],[M]]&gt;Tab_NewTRADER[[#This Row],[A]],                  Tab_NewTRADER[[#This Row],[N]]*(Tab_NewTRADER[[#This Row],[M]]-Tab_NewTRADER[[#This Row],[A]])*Tab_NewTRADER[[#This Row],[Scale]]*ComFactor, TRUE,0)</f>
        <v>0</v>
      </c>
      <c r="AM87" s="1592" t="str">
        <f ca="1">_xlfn.XLOOKUP(Tab_NewTRADER[[#This Row],[Show]],TabCalc[Ticker],TabCalc[Max_Bn])&amp;" x "&amp;TEXT(_xlfn.XLOOKUP(Tab_NewTRADER[[#This Row],[Show]],TabCalc[Ticker],TabCalc[Max_Bp]),"#,#0.00")</f>
        <v>1000 x 62.38</v>
      </c>
      <c r="AN87" s="1650" t="str">
        <f ca="1">NewTrader!$V87</f>
        <v>OXY</v>
      </c>
      <c r="AO87" s="1651" t="str">
        <f ca="1">TEXT(_xlfn.XLOOKUP(Tab_NewTRADER[[#This Row],[ClickTick]],TabCalc[Ticker],TabCalc[NAfter]),"#,#0")&amp;"x"&amp;_xlfn.XLOOKUP(Tab_NewTRADER[[#This Row],[ClickTick]],TabCalc[Ticker],TabCalc[M])&amp;"           (A: "&amp;TEXT(-_xlfn.XLOOKUP(Tab_NewTRADER[[#This Row],[ClickTick]]&amp;2,Consolid!B$3:JZ$3,Consolid!B$4:JZ$4),"#,??0.00")&amp;")"</f>
        <v>4,000x41.2           (A:  54.48)</v>
      </c>
      <c r="AP87" s="1592" t="str">
        <f ca="1">_xlfn.XLOOKUP(Tab_NewTRADER[[#This Row],[Show]],TabCalc[Ticker],TabCalc[Min_Sn])&amp;" x "&amp;TEXT(_xlfn.XLOOKUP(Tab_NewTRADER[[#This Row],[Show]],TabCalc[Ticker],TabCalc[Min_Sp]),"#,#0.00")</f>
        <v>600 x 51.86</v>
      </c>
      <c r="AQ8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702" t="str" cm="1">
        <f t="array" aca="1" ref="AR87" ca="1">_xlfn.IFS(Tab_NewTRADER[[#This Row],[State]]="Reverse Buy",TEXT(-Tab_NewTRADER[[#This Row],[Buy_Back]],"#,#0")&amp;" / "&amp;TEXT(Tab_NewTRADER[[#This Row],[Rev_Buy]],"#,#0.0%"),TRUE,Tab_NewTRADER[[#This Row],[AMY]])</f>
        <v xml:space="preserve">  54.48 -  41.20 -  50.38</v>
      </c>
      <c r="AS87" s="1651"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24,097       / 14.7%</v>
      </c>
      <c r="AT87" s="1699"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-52,965   / -32.2%</v>
      </c>
      <c r="AU87" s="1699" t="str" cm="1">
        <f t="array" aca="1" ref="AU87" ca="1">_xlfn.IFS(Tab_NewTRADER[[#This Row],[M]]&lt;Tab_NewTRADER[[#This Row],[A]],TEXT(Tab_NewTRADER[[#This Row],[N]]*Tab_NewTRADER[[#This Row],[M]]*Tab_NewTRADER[[#This Row],[Scale]]*Comm_Net,"#,#0")&amp;" @ "&amp;TEXT(Tab_NewTRADER[[#This Row],[M]],"#,#0.#0"),TRUE,"M: "&amp; Tab_NewTRADER[[#This Row],[M]])</f>
        <v>164,355 @ 41.20</v>
      </c>
      <c r="AV87" s="1740" cm="1">
        <f t="array" aca="1" ref="AV87" ca="1">-_xlfn.XLOOKUP(
    Tab_NewTRADER[[#This Row],[Show]] &amp; 2,
    TabConsolid[#Headers],
    INDEX(TabConsolid[], 1, 0)
)</f>
        <v>54.475744634999998</v>
      </c>
      <c r="AW87" s="1741">
        <f ca="1">Tab_NewTRADER[[#This Row],[M]]*Tab_NewTRADER[[#This Row],[N]]*(1-Commission)*Tab_NewTRADER[[#This Row],[Scale]]</f>
        <v>164371.51999999999</v>
      </c>
      <c r="AX87" s="1705"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705"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706" t="str" cm="1">
        <f t="array" aca="1" ref="AZ87" ca="1">_xlfn.IFS(   Tab_NewTRADER[[#This Row],[State]]=SellMorePercentGain,                     MIN(Tab_NewTRADER[[#This Row],[L_Sn]],Tab_NewTRADER[[#This Row],[N]])*(Tab_NewTRADER[[#This Row],[M]]-Tab_NewTRADER[[#This Row],[L_Sp]])*(1-Commission)*Tab_NewTRADER[[#This Row],[Scale]],                    TRUE,"")</f>
        <v/>
      </c>
      <c r="BA87" s="1707">
        <f ca="1">_xlfn.XLOOKUP(NewTrader!$V87,TabCalc[Ticker],TabCalc[Ann%RevLB])</f>
        <v>-0.17111074037816856</v>
      </c>
      <c r="BB87" s="1746">
        <f ca="1">_xlfn.XLOOKUP(NewTrader!$V87,TabCalc[Ticker],TabCalc[Up20])</f>
        <v>0</v>
      </c>
      <c r="BC87" s="1725"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706" t="str" cm="1">
        <f t="array" aca="1" ref="BD87" ca="1">_xlfn.IFS(         NewTrader!$AF87=MDown,NewTrader!$P87*NewTrader!$Y87*(-(NewTrader!$Q87+NewTrader!$Y87)/NewTrader!$Y87)*(1-Commission)*NewTrader!$A87,                               TRUE,"")</f>
        <v/>
      </c>
      <c r="BE87" s="1705" t="str" cm="1">
        <f t="array" aca="1" ref="BE87" ca="1">_xlfn.IFS(   NewTrader!$AF87=MUp,NewTrader!$BP87-Commission,        NewTrader!$AF87=MDown,(NewTrader!$X87-NewTrader!$Y87)/NewTrader!$Y87-Commission,                              TRUE,"")</f>
        <v/>
      </c>
      <c r="BF87" s="1706"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710" t="str" cm="1">
        <f t="array" aca="1" ref="BG87" ca="1">_xlfn.LET(_xlpm.SumChTxt,TEXT(_xlfn.XLOOKUP(NewTrader!$V87,ListTickers,Tab2SumChangePercent[AVGChan20]),"#0.0%"),
      _xlfn.IFS(NewTrader!$AF87=NoStock,_xlpm.SumChTxt,
      TRUE, IF(NewTrader!$AF87=SellMorePercentGain,             "SumChange "&amp;_xlpm.SumChTxt,                         "&lt;"&amp;INT(_xlfn.XLOOKUP(NewTrader!$V87,ListTickers,Tab2ReverseGL[Rev_GL19]))&amp;    "&lt;"&amp;INT(_xlfn.XLOOKUP(NewTrader!$V87,ListTickers,Tab2ReverseGL[Rev_GL18]))&amp;":      "&amp;_xlpm.SumChTxt)))</f>
        <v>&lt;0&lt;0:      -0.2%</v>
      </c>
      <c r="BH87" s="1711"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-6.04</v>
      </c>
      <c r="BI87" s="1712" cm="1">
        <f t="array" aca="1" ref="BI87" ca="1">_xlfn.IFS(NewTrader!$AF87=Sale_Back,"",         NewTrader!$AF87=MDown, (NewTrader!$Y87-NewTrader!$X87)/NewTrader!$X87*ComFactor,             TRUE, IFERROR((NewTrader!$Y87-NewTrader!$X87)/NewTrader!$X87*ComFactor,""))</f>
        <v>-0.24306648376572476</v>
      </c>
      <c r="BJ87" s="1664" cm="1">
        <f t="array" aca="1" ref="BJ87" ca="1">_xlfn.IFS(               NewTrader!$AF87=NoStock,(NewTrader!$BL87-NewTrader!$Y87)/NewTrader!$Y87-Commission,             NewTrader!$X87&lt;&gt;0,(NewTrader!$X87-NewTrader!$Y87)/NewTrader!$Y87-Commission)</f>
        <v>0.31962681152912609</v>
      </c>
      <c r="BK87" s="1726">
        <f ca="1">_xlfn.XLOOKUP(NewTrader!$V87,TabCalc[Ticker],TabCalc[L_Sn])</f>
        <v>1000</v>
      </c>
      <c r="BL87" s="1727">
        <f ca="1">_xlfn.XLOOKUP(NewTrader!$V87,TabCalc[Ticker],TabCalc[L_Sp])</f>
        <v>51.86</v>
      </c>
      <c r="BM87" s="1634">
        <f ca="1">-IFERROR((Tab_NewTRADER[[#This Row],[M]]-Tab_NewTRADER[[#This Row],[L_Sp]])/Tab_NewTRADER[[#This Row],[L_Sp]],0)</f>
        <v>0.20555341303509442</v>
      </c>
      <c r="BN87" s="1728">
        <f ca="1">MIN(Tab_NewTRADER[[#This Row],[L_Sn]],Tab_NewTRADER[[#This Row],[N]])*(Tab_NewTRADER[[#This Row],[M]]-Tab_NewTRADER[[#This Row],[L_Sp]])*Comm_Net*Tab_NewTRADER[[#This Row],[Scale]]</f>
        <v>-10631.217999999995</v>
      </c>
      <c r="BO87" s="1715">
        <f ca="1">Tab_NewTRADER[[#This Row],[L_Sn]]*(Tab_NewTRADER[[#This Row],[Agiotage]]-Tab_NewTRADER[[#This Row],[M]])/(Tab_NewTRADER[[#This Row],[L_Bn]]*Tab_NewTRADER[[#This Row],[M]])</f>
        <v>-0.97867756942458184</v>
      </c>
      <c r="BP87" s="1670">
        <f ca="1">IFERROR((Tab_NewTRADER[[#This Row],[M]]-Tab_NewTRADER[[#This Row],[A]])/Tab_NewTRADER[[#This Row],[A]],0)</f>
        <v>-0.24370010403621895</v>
      </c>
      <c r="BQ87" s="1671" t="str">
        <f ca="1">TEXT(_xlfn.XLOOKUP(Tab_NewTRADER[[#This Row],[ClickTick]],TabCalc[Ticker],TabCalc[NAfter]),"#,#0")&amp;" : "&amp;TEXT(_xlfn.XLOOKUP(Tab_NewTRADER[[#This Row],[ClickTick]],TabCalc[Ticker],TabCalc[NAfter])*(Tab_NewTRADER[[#This Row],[M]]-Tab_NewTRADER[[#This Row],[A]])*(1-Commission)*Tab_NewTRADER[[#This Row],[Scale]],"#,#0$")</f>
        <v>4,000 : -52,965$</v>
      </c>
      <c r="BR87" s="259">
        <f ca="1">_xlfn.XLOOKUP(NewTrader!$V87,TabCalc[[#This Row],[Ticker]],TabCalc[[#This Row],[GL]])*(1-Commission)</f>
        <v>-70815.737172665817</v>
      </c>
      <c r="BS87" s="259"/>
      <c r="BT87" s="1672" t="str">
        <f ca="1">Tab_NewTRADER[[#This Row],[Show]]&amp;": "&amp;_xlfn.XLOOKUP(Tab_NewTRADER[[#This Row],[Show]],TabCalc[Ticker],TabCalc[Pile?])</f>
        <v>OXY: Pile</v>
      </c>
      <c r="BU87" s="1717" t="s">
        <v>2010</v>
      </c>
      <c r="BV87" s="1674" t="str" cm="1">
        <f t="array" aca="1" ref="BV87" ca="1">_xlfn.TEXTJOIN("",,INDEX({"M","A","Y"}, _xlfn.SORTBY({1,2,3}, -CHOOSE({1,2,3}, Tab_NewTRADER[[#This Row],[M]], Tab_NewTRADER[[#This Row],[A]], Tab_NewTRADER[[#This Row],[Y]]))))</f>
        <v>AYM</v>
      </c>
      <c r="BW87" s="1675"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76" t="e">
        <f ca="1">Tab_NewTRADER[[#This Row],[L_Sn]]*Tab_NewTRADER[[#This Row],[L_Sp]]+Tab_NewTRADER[[#This Row],[SellMore]]*Tab_NewTRADER[[#This Row],[M]]</f>
        <v>#N/A</v>
      </c>
      <c r="BY87" s="1676" t="e">
        <f ca="1">INDEX(
  INDEX(TabConsolid[], , _xlfn.XMATCH(Tab_NewTRADER[[#This Row],[ClickTick]]&amp;1, TabConsolid[#Headers])),
  MATCH(
    -Tab_NewTRADER[[#This Row],[M]],
    INDEX(TabConsolid[], , _xlfn.XMATCH(Tab_NewTRADER[[#This Row],[ClickTick]]&amp;2, TabConsolid[#Headers])),
    -1
  )
)</f>
        <v>#N/A</v>
      </c>
      <c r="BZ87" s="1676"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77" t="e">
        <f ca="1">Tab_NewTRADER[[#This Row],[ReBuy]]/(Tab_NewTRADER[[#This Row],[L_Sn]]+Tab_NewTRADER[[#This Row],[SellMore]])</f>
        <v>#N/A</v>
      </c>
      <c r="CB87" s="1678">
        <f ca="1">((_xlfn.XLOOKUP(Tab_NewTRADER[[#This Row],[Show]],TabCalc[Ticker],TabCalc[NAfter])+Tab_NewTRADER[[#This Row],[L_Sn]])*(Tab_NewTRADER[[#This Row],[Agiotage]]-Tab_NewTRADER[[#This Row],[M]]))/(Tab_NewTRADER[[#This Row],[L_Sn]]*_xlfn.XLOOKUP(Tab_NewTRADER[[#This Row],[Show]],TabCalc[Ticker],TabCalc[NAfter]))</f>
        <v>-5.0401894825365959E-2</v>
      </c>
      <c r="CC87" s="1677">
        <f ca="1">INDEX(Tab1Price[Price19], MATCH(Tab_NewTRADER[[#This Row],[Show]], Tab_NewTRADER[Show], 0))</f>
        <v>41.2</v>
      </c>
      <c r="CD87" s="1679">
        <f ca="1">_xlfn.XMATCH(Tab_NewTRADER[[#This Row],[Show]]&amp;1, TabConsolid[#Headers])</f>
        <v>257</v>
      </c>
      <c r="CE87" s="1678"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78" t="str" cm="1">
        <f t="array" aca="1" ref="CF87" ca="1">_xlfn.LET(
    _xlpm.FMT, _xlfn.LAMBDA(_xlpm.n, REPT(" ", 7 - LEN(TEXT(_xlpm.n,"0.00"))) &amp; TEXT(_xlpm.n,"0.00")),
    _xlpm.FMT(Tab_NewTRADER[[#This Row],[A]]) &amp; " -" &amp; _xlpm.FMT(Tab_NewTRADER[[#This Row],[M]]) &amp; " -" &amp; _xlpm.FMT(Tab_NewTRADER[[#This Row],[Y]])
)</f>
        <v xml:space="preserve">  54.48 -  41.20 -  50.38</v>
      </c>
      <c r="CG87" s="1680" t="str" cm="1">
        <f t="array" aca="1" ref="CG87" ca="1">_xlfn.LET(
    _xlpm.W, 7,
    _xlpm.FMT, _xlfn.LAMBDA(_xlpm.n, REPT(" ", _xlpm.W - LEN(TEXT(_xlpm.n,"0.00"))) &amp; TEXT(_xlpm.n,"0.00")),
    _xlpm.FMT(Tab_NewTRADER[[#This Row],[A]]) &amp; " * " &amp; _xlpm.FMT(Tab_NewTRADER[[#This Row],[M]]) &amp; " * " &amp; _xlpm.FMT(Tab_NewTRADER[[#This Row],[Y]])
)</f>
        <v xml:space="preserve">  54.48 *   41.20 *   50.38</v>
      </c>
      <c r="CH87" s="1842">
        <f>0</f>
        <v>0</v>
      </c>
      <c r="CI87" t="str">
        <f ca="1">IF(ABS(NewTrader!$Q87)&gt;=NewTrader!$Y87,"OK")</f>
        <v>OK</v>
      </c>
    </row>
    <row r="88" spans="1:87" ht="23" hidden="1" thickBot="1">
      <c r="A88" s="1839">
        <f ca="1">IF(_xlfn.XLOOKUP(NewTrader!$V88,TabCalc[Ticker],TabCalc[Cur])="GBp",0.01,1)</f>
        <v>1</v>
      </c>
      <c r="B88" s="1681" t="str">
        <f ca="1">IFERROR(TRUNC(_xlfn.XLOOKUP(NewTrader!$V88,TabCalc[Ticker],ListLastBuyp),2)&amp;"x"&amp;_xlfn.XLOOKUP(NewTrader!$V88,TabCalc[Ticker],ListLastBuyn)&amp;"=    "&amp;IF(_xlfn.XLOOKUP(NewTrader!$V88,TabCalc[Ticker],ListReverseS)&gt;0,"+","")&amp;TEXT(_xlfn.XLOOKUP(NewTrader!$V88,TabCalc[Ticker],ListReverseS),"#,#0")&amp;" "&amp;#REF!,"")</f>
        <v/>
      </c>
      <c r="C88" s="1682" t="str">
        <f ca="1">_xlfn.XLOOKUP(NewTrader!$V88,TabCalc[Ticker],ListResale)&amp;" @ "&amp;TEXT((_xlfn.XLOOKUP(NewTrader!$V88,TabCalc[Ticker],TabCalc[L_Bp])+_xlfn.XLOOKUP(NewTrader!$V88,TabCalc[Ticker],TabCalc[M]))/_xlfn.XLOOKUP(NewTrader!$V88,TabCalc[Ticker],TabCalc[M]),"#0.0%")</f>
        <v>Resell @ 0.3%</v>
      </c>
      <c r="D88" s="1683"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84" t="str">
        <f ca="1">IF(      AND(NewTrader!$X88&lt;NewTrader!$Y88,    _xlfn.XLOOKUP(NewTrader!$V88,TabCalc[Ticker],TabCalc[L_Sp])&gt;NewTrader!$Y88),"BUY  "&amp;TEXT(DesiredBuyGain/NewTrader!$A88/(_xlfn.XLOOKUP(NewTrader!$V88,TabCalc[Ticker],TabCalc[L_Sp])-NewTrader!$Y88),"#,##0"),"")</f>
        <v>BUY  1,222</v>
      </c>
      <c r="F88" s="1681" t="str">
        <f ca="1">TRUNC(TabCalc[[#This Row],[L_B1p]],2)&amp;"x"&amp;TabCalc[[#This Row],[L_B1n]]&amp;"=   "&amp;TEXT(TabCalc[[#This Row],[ReverseS1]],"#,#0")&amp;"$"</f>
        <v>-27.92x2000=   -4,230$</v>
      </c>
      <c r="G88" s="1685" t="str">
        <f ca="1">IFERROR(TRUNC(_xlfn.XLOOKUP(NewTrader!$V88,TabCalc[Ticker],ListLastSalep),2)&amp;"x"&amp;_xlfn.XLOOKUP(NewTrader!$V88,TabCalc[Ticker],ListLastSalen)&amp;"=   "&amp;TEXT(-_xlfn.XLOOKUP(NewTrader!$V88,TabCalc[Ticker],ListReverseB),"#,#0")&amp;"$","")</f>
        <v>29.9x2010=   -8,225$</v>
      </c>
      <c r="H88" s="1686"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Buy @ 15.9% = 1,222</v>
      </c>
      <c r="I88" s="1681" t="str">
        <f ca="1">IFERROR(TRUNC(TabCalc[[#This Row],[L_S1p]],2)&amp;"x"&amp;TabCalc[[#This Row],[L_S1n]]&amp;"=   "&amp;TEXT(TabCalc[[#This Row],[ReverseB1]],"#,#0"),"")</f>
        <v>28.22x1990=   4,806</v>
      </c>
      <c r="J88" s="1687">
        <f ca="1">_xlfn.XLOOKUP(NewTrader!$V88,TabCalc[Ticker],ListGravity)</f>
        <v>1.1251290197597832</v>
      </c>
      <c r="K88" s="1688" cm="1">
        <f t="array" aca="1" ref="K88" ca="1">IF(_xlfn.XLOOKUP(NewTrader!$V88,NewTrader!$V$3:$V$96,ListExtra_n)&gt;0,_xlfn.XLOOKUP(NewTrader!$V88,NewTrader!$V$3:$V$96,ListExtra_n),"")</f>
        <v>700</v>
      </c>
      <c r="L88" s="1689">
        <f ca="1">IF(_xlfn.XLOOKUP(NewTrader!$V88,TabCalc[Ticker],ListExtra_n)&gt;0,_xlfn.XLOOKUP(NewTrader!$V88,TabCalc[Ticker],ListExtra_n)*NewTrader!$Y88*_xlfn.XLOOKUP(NewTrader!$V88,TabCalc[Ticker],ListScale),"")</f>
        <v>18067</v>
      </c>
      <c r="M88" s="1690">
        <f ca="1">_xlfn.XLOOKUP(NewTrader!$V88,TabCalc[Ticker],TabCalc[Agiotage])</f>
        <v>0.47391678552967959</v>
      </c>
      <c r="N88" s="1691" cm="1">
        <f t="array" aca="1" ref="N88" ca="1">_xlfn.XLOOKUP(NewTrader!$V88,ListTickers,Tab2RSIConventional[RSIConv20])</f>
        <v>67</v>
      </c>
      <c r="O88" s="1631" t="str">
        <f ca="1">TEXT(_xlfn.XLOOKUP(NewTrader!$V88,TabCalc[Ticker],TabCalc[Nbegin]),"#,#0")&amp;": "&amp;_xlfn.XLOOKUP(NewTrader!$V88,TabCalc[Ticker],TabCalc[Pile?])</f>
        <v xml:space="preserve">1,300: </v>
      </c>
      <c r="P88" s="1692">
        <f ca="1">_xlfn.XLOOKUP(NewTrader!$V88,TabCalc[Ticker],TabCalc[L_Bn])</f>
        <v>2000</v>
      </c>
      <c r="Q88" s="1731">
        <f ca="1">_xlfn.XLOOKUP(NewTrader!$V88,TabCalc[Ticker],TabCalc[L_Bp])</f>
        <v>-25.73</v>
      </c>
      <c r="R88" s="1694">
        <f ca="1">(NewTrader!$Y88+NewTrader!$Q88)/ABS(NewTrader!$Q88)</f>
        <v>3.1092110376991174E-3</v>
      </c>
      <c r="S88" s="262">
        <f ca="1">INT(_xlfn.XLOOKUP(NewTrader!$V88,TabCalc[Ticker],TabCalc[Rev(MinStock)])*Comm_Net)</f>
        <v>158</v>
      </c>
      <c r="T88" s="1635">
        <f ca="1">_xlfn.XLOOKUP(NewTrader!$V88,TabCalc[Ticker],TabCalc[Agiotage])</f>
        <v>0.47391678552967959</v>
      </c>
      <c r="U88" s="1695"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-140/-140=&gt;0.1% / 0.1%</v>
      </c>
      <c r="V88" s="1578" t="str">
        <f ca="1">SORTING!B88</f>
        <v>PFE</v>
      </c>
      <c r="W88" s="1637">
        <f ca="1">_xlfn.XLOOKUP(NewTrader!$V88,TabCalc[Ticker],TabCalc[Y])</f>
        <v>29.039580000000001</v>
      </c>
      <c r="X88" s="1639">
        <f ca="1">-_xlfn.XLOOKUP(NewTrader!$V88&amp;2,Consolid!B$3:JZ$3,Consolid!B$4:JZ$4)</f>
        <v>25.796897999999999</v>
      </c>
      <c r="Y88" s="1639">
        <f ca="1">_xlfn.XLOOKUP(NewTrader!$V88,TabCalc[Ticker],TabCalc[M])</f>
        <v>25.81</v>
      </c>
      <c r="Z88" s="1640">
        <f ca="1">_xlfn.XLOOKUP(NewTrader!$V88,[1]!RTData[Ticker_Symbol],[1]!RTData[YTChange])</f>
        <v>-0.12399457013574654</v>
      </c>
      <c r="AA88" s="1640" cm="1">
        <f t="array" aca="1" ref="AA88" ca="1">_xlfn.XLOOKUP(NewTrader!$V88,ListTickers,Tab1ChangePercent[Change%19])</f>
        <v>1.1640000000000001E-3</v>
      </c>
      <c r="AB88" s="1641">
        <f ca="1">_xlfn.XLOOKUP(NewTrader!$V88,TabCalc[Ticker],TabCalc[NAfter])</f>
        <v>2000</v>
      </c>
      <c r="AC88" s="1641">
        <f ca="1">_xlfn.XLOOKUP(NewTrader!$V88,TabCalc[Ticker],TabCalc[Nbegin])</f>
        <v>1300</v>
      </c>
      <c r="AD88" s="1642" t="str">
        <f ca="1">_xlfn.LET(_xlpm.PILE,_xlfn.XLOOKUP(NewTrader!$V88,TabCalc[Ticker],TabCalc[Pile?]),                    _xlpm.GL,_xlfn.XLOOKUP(NewTrader!$V88,TabCalc[Ticker],TabCalc[GL]),                        _xlpm.GLK,_xlfn.XLOOKUP(NewTrader!$V88,TabCalc[Ticker],TabCalc[GL])/1000,                             _xlpm.MVal,_xlfn.XLOOKUP(NewTrader!$V88,TabCalc[Ticker],TabCalc[M_V])/1000,                   _xlpm.PILE&amp;" "&amp;IF(_xlpm.GL&lt;0,TEXT(_xlpm.GLK,"#,#0")&amp;"K /"&amp;TEXT(_xlpm.MVal,"#,#0")&amp;" K$","^"&amp;TEXT(_xlpm.GLK,"#,#0")&amp;"K / "&amp;TEXT(_xlpm.MVal,"#,#0")&amp;" K$"))</f>
        <v xml:space="preserve"> ^46K / 51 K$</v>
      </c>
      <c r="AE88" s="1643" t="str">
        <f ca="1">_xlfn.XLOOKUP(NewTrader!$V88,[1]!RTData[Ticker_Symbol],[1]!RTData[Currency])</f>
        <v>USD</v>
      </c>
      <c r="AF88" s="1696"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Reverse Sale</v>
      </c>
      <c r="AG8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698" t="str" cm="1">
        <f t="array" aca="1" ref="AH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159 @ 25.81 : (0.3%, 7.5%)</v>
      </c>
      <c r="AI8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8" s="1651" t="str" cm="1">
        <f t="array" aca="1" ref="AJ88" ca="1">_xlfn.IFS(Tab_NewTRADER[[#This Row],[State]]="Sell More",TEXT(MIN(Tab_NewTRADER[[#This Row],[N]],Tab_NewTRADER[[#This Row],[L_Bn]])*(Tab_NewTRADER[[#This Row],[M]]-Tab_NewTRADER[[#This Row],[L_Sp]])*Tab_NewTRADER[[#This Row],[Scale]]*ComFactor,"#,#0"), TRUE,"M= "&amp;TEXT(Tab_NewTRADER[[#This Row],[M]],"#,#0.00"))</f>
        <v>M= 25.81</v>
      </c>
      <c r="AK88" s="1699" t="str" cm="1">
        <f t="array" aca="1" ref="AK88" ca="1">_xlfn.IFS(Tab_NewTRADER[[#This Row],[Y]]&gt;Tab_NewTRADER[[#This Row],[A]],                 TEXT(MIN(Tab_NewTRADER[[#This Row],[L_Bn]],Tab_NewTRADER[[#This Row],[N]])*(Tab_NewTRADER[[#This Row],[M]]-Tab_NewTRADER[[#This Row],[A]])*Tab_NewTRADER[[#This Row],[Scale]]*ComFactor,"#,#0"), TRUE,0)</f>
        <v>26</v>
      </c>
      <c r="AL88" s="1700" cm="1">
        <f t="array" aca="1" ref="AL88" ca="1">_xlfn.IFS(Tab_NewTRADER[[#This Row],[M]]&gt;Tab_NewTRADER[[#This Row],[A]],                  Tab_NewTRADER[[#This Row],[N]]*(Tab_NewTRADER[[#This Row],[M]]-Tab_NewTRADER[[#This Row],[A]])*Tab_NewTRADER[[#This Row],[Scale]]*ComFactor, TRUE,0)</f>
        <v>26.135869599999893</v>
      </c>
      <c r="AM88" s="1592" t="str">
        <f ca="1">_xlfn.XLOOKUP(Tab_NewTRADER[[#This Row],[Show]],TabCalc[Ticker],TabCalc[Max_Bn])&amp;" x "&amp;TEXT(_xlfn.XLOOKUP(Tab_NewTRADER[[#This Row],[Show]],TabCalc[Ticker],TabCalc[Max_Bp]),"#,#0.00")</f>
        <v>2000 x 25.80</v>
      </c>
      <c r="AN88" s="1650" t="str">
        <f ca="1">NewTrader!$V88</f>
        <v>PFE</v>
      </c>
      <c r="AO88" s="1651" t="str">
        <f ca="1">TEXT(_xlfn.XLOOKUP(Tab_NewTRADER[[#This Row],[ClickTick]],TabCalc[Ticker],TabCalc[NAfter]),"#,#0")&amp;"x"&amp;_xlfn.XLOOKUP(Tab_NewTRADER[[#This Row],[ClickTick]],TabCalc[Ticker],TabCalc[M])&amp;"           (A: "&amp;TEXT(-_xlfn.XLOOKUP(Tab_NewTRADER[[#This Row],[ClickTick]]&amp;2,Consolid!B$3:JZ$3,Consolid!B$4:JZ$4),"#,??0.00")&amp;")"</f>
        <v>2,000x25.81           (A:  25.80)</v>
      </c>
      <c r="AP88" s="1592" t="str">
        <f ca="1">_xlfn.XLOOKUP(Tab_NewTRADER[[#This Row],[Show]],TabCalc[Ticker],TabCalc[Min_Sn])&amp;" x "&amp;TEXT(_xlfn.XLOOKUP(Tab_NewTRADER[[#This Row],[Show]],TabCalc[Ticker],TabCalc[Min_Sp]),"#,#0.00")</f>
        <v>800 x 26.81</v>
      </c>
      <c r="AQ8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702" t="str" cm="1">
        <f t="array" aca="1" ref="AR88" ca="1">_xlfn.IFS(Tab_NewTRADER[[#This Row],[State]]="Reverse Buy",TEXT(-Tab_NewTRADER[[#This Row],[Buy_Back]],"#,#0")&amp;" / "&amp;TEXT(Tab_NewTRADER[[#This Row],[Rev_Buy]],"#,#0.0%"),TRUE,Tab_NewTRADER[[#This Row],[AMY]])</f>
        <v xml:space="preserve">  25.80 -  25.81 -  29.04</v>
      </c>
      <c r="AS88" s="1651"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0</v>
      </c>
      <c r="AT88" s="1699" cm="1">
        <f t="array" aca="1" ref="AT88" ca="1">_xlfn.IFS(Tab_NewTRADER[[#This Row],[M]]&lt;Tab_NewTRADER[[#This Row],[A]],            TEXT(Tab_NewTRADER[[#This Row],[N]]*(Tab_NewTRADER[[#This Row],[M]]-Tab_NewTRADER[[#This Row],[A]])*Tab_NewTRADER[[#This Row],[Scale]]*ComFactor,"#,#0")&amp;"   / "&amp;TEXT((Tab_NewTRADER[[#This Row],[M]]-Tab_NewTRADER[[#This Row],[A]])/Tab_NewTRADER[[#This Row],[M]],"#,#0.0%"),TRUE,0)</f>
        <v>0</v>
      </c>
      <c r="AU88" s="1699" t="str" cm="1">
        <f t="array" aca="1" ref="AU88" ca="1">_xlfn.IFS(Tab_NewTRADER[[#This Row],[M]]&lt;Tab_NewTRADER[[#This Row],[A]],TEXT(Tab_NewTRADER[[#This Row],[N]]*Tab_NewTRADER[[#This Row],[M]]*Tab_NewTRADER[[#This Row],[Scale]]*Comm_Net,"#,#0")&amp;" @ "&amp;TEXT(Tab_NewTRADER[[#This Row],[M]],"#,#0.#0"),TRUE,"M: "&amp; Tab_NewTRADER[[#This Row],[M]])</f>
        <v>M: 25.81</v>
      </c>
      <c r="AV88" s="1703" cm="1">
        <f t="array" aca="1" ref="AV88" ca="1">-_xlfn.XLOOKUP(
    Tab_NewTRADER[[#This Row],[Show]] &amp; 2,
    TabConsolid[#Headers],
    INDEX(TabConsolid[], 1, 0)
)</f>
        <v>25.796897999999999</v>
      </c>
      <c r="AW88" s="1704">
        <f ca="1">Tab_NewTRADER[[#This Row],[M]]*Tab_NewTRADER[[#This Row],[N]]*(1-Commission)*Tab_NewTRADER[[#This Row],[Scale]]</f>
        <v>51485.788</v>
      </c>
      <c r="AX88" s="1705"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705"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706" t="str" cm="1">
        <f t="array" aca="1" ref="AZ88" ca="1">_xlfn.IFS(   Tab_NewTRADER[[#This Row],[State]]=SellMorePercentGain,                     MIN(Tab_NewTRADER[[#This Row],[L_Sn]],Tab_NewTRADER[[#This Row],[N]])*(Tab_NewTRADER[[#This Row],[M]]-Tab_NewTRADER[[#This Row],[L_Sp]])*(1-Commission)*Tab_NewTRADER[[#This Row],[Scale]],                    TRUE,"")</f>
        <v/>
      </c>
      <c r="BA88" s="1707">
        <f ca="1">_xlfn.XLOOKUP(NewTrader!$V88,TabCalc[Ticker],TabCalc[Ann%RevLB])</f>
        <v>7.4621064904778822E-2</v>
      </c>
      <c r="BB88" s="1746">
        <f ca="1">_xlfn.XLOOKUP(NewTrader!$V88,TabCalc[Ticker],TabCalc[Up20])</f>
        <v>0</v>
      </c>
      <c r="BC88" s="1709"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706" t="str" cm="1">
        <f t="array" aca="1" ref="BD88" ca="1">_xlfn.IFS(         NewTrader!$AF88=MDown,NewTrader!$P88*NewTrader!$Y88*(-(NewTrader!$Q88+NewTrader!$Y88)/NewTrader!$Y88)*(1-Commission)*NewTrader!$A88,                               TRUE,"")</f>
        <v/>
      </c>
      <c r="BE88" s="1705" t="str" cm="1">
        <f t="array" aca="1" ref="BE88" ca="1">_xlfn.IFS(   NewTrader!$AF88=MUp,NewTrader!$BP88-Commission,        NewTrader!$AF88=MDown,(NewTrader!$X88-NewTrader!$Y88)/NewTrader!$Y88-Commission,                              TRUE,"")</f>
        <v/>
      </c>
      <c r="BF88" s="1710"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710" t="str" cm="1">
        <f t="array" aca="1" ref="BG88" ca="1">_xlfn.LET(_xlpm.SumChTxt,TEXT(_xlfn.XLOOKUP(NewTrader!$V88,ListTickers,Tab2SumChangePercent[AVGChan20]),"#0.0%"),
      _xlfn.IFS(NewTrader!$AF88=NoStock,_xlpm.SumChTxt,
      TRUE, IF(NewTrader!$AF88=SellMorePercentGain,             "SumChange "&amp;_xlpm.SumChTxt,                         "&lt;"&amp;INT(_xlfn.XLOOKUP(NewTrader!$V88,ListTickers,Tab2ReverseGL[Rev_GL19]))&amp;    "&lt;"&amp;INT(_xlfn.XLOOKUP(NewTrader!$V88,ListTickers,Tab2ReverseGL[Rev_GL18]))&amp;":      "&amp;_xlpm.SumChTxt)))</f>
        <v>&lt;-1&lt;-1:      0.6%</v>
      </c>
      <c r="BH88" s="1711" t="str"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M&gt;L_Bp</v>
      </c>
      <c r="BI88" s="1712" cm="1">
        <f t="array" aca="1" ref="BI88" ca="1">_xlfn.IFS(NewTrader!$AF88=Sale_Back,"",         NewTrader!$AF88=MDown, (NewTrader!$Y88-NewTrader!$X88)/NewTrader!$X88*ComFactor,             TRUE, IFERROR((NewTrader!$Y88-NewTrader!$X88)/NewTrader!$X88*ComFactor,""))</f>
        <v>5.0657000698300805E-4</v>
      </c>
      <c r="BJ88" s="1664" cm="1">
        <f t="array" aca="1" ref="BJ88" ca="1">_xlfn.IFS(               NewTrader!$AF88=NoStock,(NewTrader!$BL88-NewTrader!$Y88)/NewTrader!$Y88-Commission,             NewTrader!$X88&lt;&gt;0,(NewTrader!$X88-NewTrader!$Y88)/NewTrader!$Y88-Commission)</f>
        <v>-3.1076327005036784E-3</v>
      </c>
      <c r="BK88" s="1713">
        <f ca="1">_xlfn.XLOOKUP(NewTrader!$V88,TabCalc[Ticker],TabCalc[L_Sn])</f>
        <v>2010</v>
      </c>
      <c r="BL88" s="1693">
        <f ca="1">_xlfn.XLOOKUP(NewTrader!$V88,TabCalc[Ticker],TabCalc[L_Sp])</f>
        <v>29.902200000000001</v>
      </c>
      <c r="BM88" s="1694">
        <f ca="1">-IFERROR((Tab_NewTRADER[[#This Row],[M]]-Tab_NewTRADER[[#This Row],[L_Sp]])/Tab_NewTRADER[[#This Row],[L_Sp]],0)</f>
        <v>0.1368528068168898</v>
      </c>
      <c r="BN88" s="1714">
        <f ca="1">MIN(Tab_NewTRADER[[#This Row],[L_Sn]],Tab_NewTRADER[[#This Row],[N]])*(Tab_NewTRADER[[#This Row],[M]]-Tab_NewTRADER[[#This Row],[L_Sp]])*Comm_Net*Tab_NewTRADER[[#This Row],[Scale]]</f>
        <v>-8162.302120000003</v>
      </c>
      <c r="BO88" s="1715">
        <f ca="1">Tab_NewTRADER[[#This Row],[L_Sn]]*(Tab_NewTRADER[[#This Row],[Agiotage]]-Tab_NewTRADER[[#This Row],[M]])/(Tab_NewTRADER[[#This Row],[L_Bn]]*Tab_NewTRADER[[#This Row],[M]])</f>
        <v>-0.98654644054795304</v>
      </c>
      <c r="BP88" s="1716">
        <f ca="1">IFERROR((Tab_NewTRADER[[#This Row],[M]]-Tab_NewTRADER[[#This Row],[A]])/Tab_NewTRADER[[#This Row],[A]],0)</f>
        <v>5.0789052234109496E-4</v>
      </c>
      <c r="BQ88" s="1671" t="str">
        <f ca="1">TEXT(_xlfn.XLOOKUP(Tab_NewTRADER[[#This Row],[ClickTick]],TabCalc[Ticker],TabCalc[NAfter]),"#,#0")&amp;" : "&amp;TEXT(_xlfn.XLOOKUP(Tab_NewTRADER[[#This Row],[ClickTick]],TabCalc[Ticker],TabCalc[NAfter])*(Tab_NewTRADER[[#This Row],[M]]-Tab_NewTRADER[[#This Row],[A]])*(1-Commission)*Tab_NewTRADER[[#This Row],[Scale]],"#,#0$")</f>
        <v>2,000 : 26$</v>
      </c>
      <c r="BR88" s="262">
        <f ca="1">_xlfn.XLOOKUP(NewTrader!$V88,TabCalc[[#This Row],[Ticker]],TabCalc[[#This Row],[GL]])*(1-Commission)</f>
        <v>45678.934166227031</v>
      </c>
      <c r="BS88" s="262"/>
      <c r="BT88" s="1672" t="str">
        <f ca="1">Tab_NewTRADER[[#This Row],[Show]]&amp;": "&amp;_xlfn.XLOOKUP(Tab_NewTRADER[[#This Row],[Show]],TabCalc[Ticker],TabCalc[Pile?])</f>
        <v xml:space="preserve">PFE: </v>
      </c>
      <c r="BU88" s="1717" t="s">
        <v>2015</v>
      </c>
      <c r="BV88" s="1674" t="str" cm="1">
        <f t="array" aca="1" ref="BV88" ca="1">_xlfn.TEXTJOIN("",,INDEX({"M","A","Y"}, _xlfn.SORTBY({1,2,3}, -CHOOSE({1,2,3}, Tab_NewTRADER[[#This Row],[M]], Tab_NewTRADER[[#This Row],[A]], Tab_NewTRADER[[#This Row],[Y]]))))</f>
        <v>YMA</v>
      </c>
      <c r="BW88" s="1675"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76">
        <f ca="1">Tab_NewTRADER[[#This Row],[L_Sn]]*Tab_NewTRADER[[#This Row],[L_Sp]]+Tab_NewTRADER[[#This Row],[SellMore]]*Tab_NewTRADER[[#This Row],[M]]</f>
        <v>111723.42199999999</v>
      </c>
      <c r="BY88" s="1676">
        <f ca="1">INDEX(
  INDEX(TabConsolid[], , _xlfn.XMATCH(Tab_NewTRADER[[#This Row],[ClickTick]]&amp;1, TabConsolid[#Headers])),
  MATCH(
    -Tab_NewTRADER[[#This Row],[M]],
    INDEX(TabConsolid[], , _xlfn.XMATCH(Tab_NewTRADER[[#This Row],[ClickTick]]&amp;2, TabConsolid[#Headers])),
    -1
  )
)</f>
        <v>2000</v>
      </c>
      <c r="BZ88" s="1676"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9.9999999999999995E-7</v>
      </c>
      <c r="CA88" s="1677">
        <f ca="1">Tab_NewTRADER[[#This Row],[ReBuy]]/(Tab_NewTRADER[[#This Row],[L_Sn]]+Tab_NewTRADER[[#This Row],[SellMore]])</f>
        <v>27.861202493765585</v>
      </c>
      <c r="CB88" s="1678">
        <f ca="1">((_xlfn.XLOOKUP(Tab_NewTRADER[[#This Row],[Show]],TabCalc[Ticker],TabCalc[NAfter])+Tab_NewTRADER[[#This Row],[L_Sn]])*(Tab_NewTRADER[[#This Row],[Agiotage]]-Tab_NewTRADER[[#This Row],[M]]))/(Tab_NewTRADER[[#This Row],[L_Sn]]*_xlfn.XLOOKUP(Tab_NewTRADER[[#This Row],[Show]],TabCalc[Ticker],TabCalc[NAfter]))</f>
        <v>-2.5273058131847256E-2</v>
      </c>
      <c r="CC88" s="1677">
        <f ca="1">INDEX(Tab1Price[Price19], MATCH(Tab_NewTRADER[[#This Row],[Show]], Tab_NewTRADER[Show], 0))</f>
        <v>25.81</v>
      </c>
      <c r="CD88" s="1679">
        <f ca="1">_xlfn.XMATCH(Tab_NewTRADER[[#This Row],[Show]]&amp;1, TabConsolid[#Headers])</f>
        <v>260</v>
      </c>
      <c r="CE88" s="1678"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678" t="str" cm="1">
        <f t="array" aca="1" ref="CF88" ca="1">_xlfn.LET(
    _xlpm.FMT, _xlfn.LAMBDA(_xlpm.n, REPT(" ", 7 - LEN(TEXT(_xlpm.n,"0.00"))) &amp; TEXT(_xlpm.n,"0.00")),
    _xlpm.FMT(Tab_NewTRADER[[#This Row],[A]]) &amp; " -" &amp; _xlpm.FMT(Tab_NewTRADER[[#This Row],[M]]) &amp; " -" &amp; _xlpm.FMT(Tab_NewTRADER[[#This Row],[Y]])
)</f>
        <v xml:space="preserve">  25.80 -  25.81 -  29.04</v>
      </c>
      <c r="CG88" s="1680" t="str" cm="1">
        <f t="array" aca="1" ref="CG88" ca="1">_xlfn.LET(
    _xlpm.W, 7,
    _xlpm.FMT, _xlfn.LAMBDA(_xlpm.n, REPT(" ", _xlpm.W - LEN(TEXT(_xlpm.n,"0.00"))) &amp; TEXT(_xlpm.n,"0.00")),
    _xlpm.FMT(Tab_NewTRADER[[#This Row],[A]]) &amp; " * " &amp; _xlpm.FMT(Tab_NewTRADER[[#This Row],[M]]) &amp; " * " &amp; _xlpm.FMT(Tab_NewTRADER[[#This Row],[Y]])
)</f>
        <v xml:space="preserve">  25.80 *   25.81 *   29.04</v>
      </c>
      <c r="CH88" s="1842">
        <f>0</f>
        <v>0</v>
      </c>
      <c r="CI88" t="b">
        <f ca="1">IF(ABS(NewTrader!$Q88)&gt;=NewTrader!$Y88,"OK")</f>
        <v>0</v>
      </c>
    </row>
    <row r="89" spans="1:87" ht="23" hidden="1" thickBot="1">
      <c r="A89" s="1838">
        <f ca="1">IF(_xlfn.XLOOKUP(NewTrader!$V89,TabCalc[Ticker],TabCalc[Cur])="GBp",0.01,1)</f>
        <v>1</v>
      </c>
      <c r="B89" s="1620" t="str">
        <f ca="1">IFERROR(TRUNC(_xlfn.XLOOKUP(NewTrader!$V89,TabCalc[Ticker],ListLastBuyp),2)&amp;"x"&amp;_xlfn.XLOOKUP(NewTrader!$V89,TabCalc[Ticker],ListLastBuyn)&amp;"=    "&amp;IF(_xlfn.XLOOKUP(NewTrader!$V89,TabCalc[Ticker],ListReverseS)&gt;0,"+","")&amp;TEXT(_xlfn.XLOOKUP(NewTrader!$V89,TabCalc[Ticker],ListReverseS),"#,#0")&amp;" "&amp;#REF!,"")</f>
        <v/>
      </c>
      <c r="C89" s="1621" t="str">
        <f ca="1">_xlfn.XLOOKUP(NewTrader!$V89,TabCalc[Ticker],ListResale)&amp;" @ "&amp;TEXT((_xlfn.XLOOKUP(NewTrader!$V89,TabCalc[Ticker],TabCalc[L_Bp])+_xlfn.XLOOKUP(NewTrader!$V89,TabCalc[Ticker],TabCalc[M]))/_xlfn.XLOOKUP(NewTrader!$V89,TabCalc[Ticker],TabCalc[M]),"#0.0%")</f>
        <v>Sell @ 21.1%</v>
      </c>
      <c r="D89" s="1622"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5,525/27,500=23,674</v>
      </c>
      <c r="E89" s="1718" t="str">
        <f ca="1">IF(      AND(NewTrader!$X89&lt;NewTrader!$Y89,    _xlfn.XLOOKUP(NewTrader!$V89,TabCalc[Ticker],TabCalc[L_Sp])&gt;NewTrader!$Y89),"BUY  "&amp;TEXT(DesiredBuyGain/NewTrader!$A89/(_xlfn.XLOOKUP(NewTrader!$V89,TabCalc[Ticker],TabCalc[L_Sp])-NewTrader!$Y89),"#,##0"),"")</f>
        <v>BUY  27,027</v>
      </c>
      <c r="F89" s="1620" t="str">
        <f ca="1">TRUNC(TabCalc[[#This Row],[L_B1p]],2)&amp;"x"&amp;TabCalc[[#This Row],[L_B1n]]&amp;"=   "&amp;TEXT(TabCalc[[#This Row],[ReverseS1]],"#,#0")&amp;"$"</f>
        <v>-3.04x25000=   31,125$</v>
      </c>
      <c r="G89" s="1624" t="str">
        <f ca="1">IFERROR(TRUNC(_xlfn.XLOOKUP(NewTrader!$V89,TabCalc[Ticker],ListLastSalep),2)&amp;"x"&amp;_xlfn.XLOOKUP(NewTrader!$V89,TabCalc[Ticker],ListLastSalen)&amp;"=   "&amp;TEXT(-_xlfn.XLOOKUP(NewTrader!$V89,TabCalc[Ticker],ListReverseB),"#,#0")&amp;"$","")</f>
        <v>4.47x7500=   -1,388$</v>
      </c>
      <c r="H89" s="1625"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4.3% = 27,027</v>
      </c>
      <c r="I89" s="1620" t="str">
        <f ca="1">IFERROR(TRUNC(TabCalc[[#This Row],[L_S1p]],2)&amp;"x"&amp;TabCalc[[#This Row],[L_S1n]]&amp;"=   "&amp;TEXT(TabCalc[[#This Row],[ReverseB1]],"#,#0"),"")</f>
        <v>4.29x8000=   40</v>
      </c>
      <c r="J89" s="1626">
        <f ca="1">_xlfn.XLOOKUP(NewTrader!$V89,TabCalc[Ticker],ListGravity)</f>
        <v>0.97208401400233369</v>
      </c>
      <c r="K89" s="1627" cm="1">
        <f t="array" aca="1" ref="K89" ca="1">IF(_xlfn.XLOOKUP(NewTrader!$V89,NewTrader!$V$3:$V$96,ListExtra_n)&gt;0,_xlfn.XLOOKUP(NewTrader!$V89,NewTrader!$V$3:$V$96,ListExtra_n),"")</f>
        <v>20500</v>
      </c>
      <c r="L89" s="1628">
        <f ca="1">IF(_xlfn.XLOOKUP(NewTrader!$V89,TabCalc[Ticker],ListExtra_n)&gt;0,_xlfn.XLOOKUP(NewTrader!$V89,TabCalc[Ticker],ListExtra_n)*NewTrader!$Y89*_xlfn.XLOOKUP(NewTrader!$V89,TabCalc[Ticker],ListScale),"")</f>
        <v>87842.5</v>
      </c>
      <c r="M89" s="1629">
        <f ca="1">_xlfn.XLOOKUP(NewTrader!$V89,TabCalc[Ticker],TabCalc[Agiotage])</f>
        <v>0.86607859404355392</v>
      </c>
      <c r="N89" s="1630" cm="1">
        <f t="array" aca="1" ref="N89" ca="1">_xlfn.XLOOKUP(NewTrader!$V89,ListTickers,Tab2RSIConventional[RSIConv20])</f>
        <v>71</v>
      </c>
      <c r="O89" s="1631" t="str">
        <f ca="1">TEXT(_xlfn.XLOOKUP(NewTrader!$V89,TabCalc[Ticker],TabCalc[Nbegin]),"#,#0")&amp;": "&amp;_xlfn.XLOOKUP(NewTrader!$V89,TabCalc[Ticker],TabCalc[Pile?])</f>
        <v xml:space="preserve">7,000: </v>
      </c>
      <c r="P89" s="1632">
        <f ca="1">_xlfn.XLOOKUP(NewTrader!$V89,TabCalc[Ticker],TabCalc[L_Bn])</f>
        <v>13000</v>
      </c>
      <c r="Q89" s="1727">
        <f ca="1">_xlfn.XLOOKUP(NewTrader!$V89,TabCalc[Ticker],TabCalc[L_Bp])</f>
        <v>-3.38</v>
      </c>
      <c r="R89" s="1634">
        <f ca="1">(NewTrader!$Y89+NewTrader!$Q89)/ABS(NewTrader!$Q89)</f>
        <v>0.26775147928994092</v>
      </c>
      <c r="S89" s="259">
        <f ca="1">INT(_xlfn.XLOOKUP(NewTrader!$V89,TabCalc[Ticker],TabCalc[Rev(MinStock)])*Comm_Net)</f>
        <v>11701</v>
      </c>
      <c r="T89" s="1635">
        <f ca="1">_xlfn.XLOOKUP(NewTrader!$V89,TabCalc[Ticker],TabCalc[Agiotage])</f>
        <v>0.86607859404355392</v>
      </c>
      <c r="U89" s="1719"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550/550=&gt;-0.3% / -0.3%</v>
      </c>
      <c r="V89" s="1578" t="str">
        <f ca="1">SORTING!B89</f>
        <v>RIG</v>
      </c>
      <c r="W89" s="1637">
        <f ca="1">_xlfn.XLOOKUP(NewTrader!$V89,TabCalc[Ticker],TabCalc[Y])</f>
        <v>4.1653799999999999</v>
      </c>
      <c r="X89" s="1639">
        <f ca="1">-_xlfn.XLOOKUP(NewTrader!$V89&amp;2,Consolid!B$3:JZ$3,Consolid!B$4:JZ$4)</f>
        <v>3.2090491636363634</v>
      </c>
      <c r="Y89" s="1639">
        <f ca="1">_xlfn.XLOOKUP(NewTrader!$V89,TabCalc[Ticker],TabCalc[M])</f>
        <v>4.2850000000000001</v>
      </c>
      <c r="Z89" s="1640">
        <f ca="1">_xlfn.XLOOKUP(NewTrader!$V89,[1]!RTData[Ticker_Symbol],[1]!RTData[YTChange])</f>
        <v>2.0926470588235241E-2</v>
      </c>
      <c r="AA89" s="1640" cm="1">
        <f t="array" aca="1" ref="AA89" ca="1">_xlfn.XLOOKUP(NewTrader!$V89,ListTickers,Tab1ChangePercent[Change%19])</f>
        <v>-3.4879999999999998E-3</v>
      </c>
      <c r="AB89" s="1641">
        <f ca="1">_xlfn.XLOOKUP(NewTrader!$V89,TabCalc[Ticker],TabCalc[NAfter])</f>
        <v>27500</v>
      </c>
      <c r="AC89" s="1641">
        <f ca="1">_xlfn.XLOOKUP(NewTrader!$V89,TabCalc[Ticker],TabCalc[Nbegin])</f>
        <v>7000</v>
      </c>
      <c r="AD89" s="1642" t="str">
        <f ca="1">_xlfn.LET(_xlpm.PILE,_xlfn.XLOOKUP(NewTrader!$V89,TabCalc[Ticker],TabCalc[Pile?]),                    _xlpm.GL,_xlfn.XLOOKUP(NewTrader!$V89,TabCalc[Ticker],TabCalc[GL]),                        _xlpm.GLK,_xlfn.XLOOKUP(NewTrader!$V89,TabCalc[Ticker],TabCalc[GL])/1000,                             _xlpm.MVal,_xlfn.XLOOKUP(NewTrader!$V89,TabCalc[Ticker],TabCalc[M_V])/1000,                   _xlpm.PILE&amp;" "&amp;IF(_xlpm.GL&lt;0,TEXT(_xlpm.GLK,"#,#0")&amp;"K /"&amp;TEXT(_xlpm.MVal,"#,#0")&amp;" K$","^"&amp;TEXT(_xlpm.GLK,"#,#0")&amp;"K / "&amp;TEXT(_xlpm.MVal,"#,#0")&amp;" K$"))</f>
        <v xml:space="preserve"> ^43K / 118 K$</v>
      </c>
      <c r="AE89" s="1643" t="str">
        <f ca="1">_xlfn.XLOOKUP(NewTrader!$V89,[1]!RTData[Ticker_Symbol],[1]!RTData[Currency])</f>
        <v>USD</v>
      </c>
      <c r="AF89" s="1721"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733" t="str" cm="1">
        <f t="array" aca="1" ref="AH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4.29 -   4.17</v>
      </c>
      <c r="AI8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9" s="1739" t="str" cm="1">
        <f t="array" aca="1" ref="AJ89" ca="1">_xlfn.IFS(Tab_NewTRADER[[#This Row],[State]]="Sell More",TEXT(MIN(Tab_NewTRADER[[#This Row],[N]],Tab_NewTRADER[[#This Row],[L_Bn]])*(Tab_NewTRADER[[#This Row],[M]]-Tab_NewTRADER[[#This Row],[L_Sp]])*Tab_NewTRADER[[#This Row],[Scale]]*ComFactor,"#,#0"), TRUE,"M= "&amp;TEXT(Tab_NewTRADER[[#This Row],[M]],"#,#0.00"))</f>
        <v>M= 4.29</v>
      </c>
      <c r="AK89" s="1699" t="str" cm="1">
        <f t="array" aca="1" ref="AK89" ca="1">_xlfn.IFS(Tab_NewTRADER[[#This Row],[Y]]&gt;Tab_NewTRADER[[#This Row],[A]],                 TEXT(MIN(Tab_NewTRADER[[#This Row],[L_Bn]],Tab_NewTRADER[[#This Row],[N]])*(Tab_NewTRADER[[#This Row],[M]]-Tab_NewTRADER[[#This Row],[A]])*Tab_NewTRADER[[#This Row],[Scale]]*ComFactor,"#,#0"), TRUE,0)</f>
        <v>13,951</v>
      </c>
      <c r="AL89" s="1700" cm="1">
        <f t="array" aca="1" ref="AL89" ca="1">_xlfn.IFS(Tab_NewTRADER[[#This Row],[M]]&gt;Tab_NewTRADER[[#This Row],[A]],                  Tab_NewTRADER[[#This Row],[N]]*(Tab_NewTRADER[[#This Row],[M]]-Tab_NewTRADER[[#This Row],[A]])*Tab_NewTRADER[[#This Row],[Scale]]*ComFactor, TRUE,0)</f>
        <v>29511.717515200009</v>
      </c>
      <c r="AM89" s="1592" t="str">
        <f ca="1">_xlfn.XLOOKUP(Tab_NewTRADER[[#This Row],[Show]],TabCalc[Ticker],TabCalc[Max_Bn])&amp;" x "&amp;TEXT(_xlfn.XLOOKUP(Tab_NewTRADER[[#This Row],[Show]],TabCalc[Ticker],TabCalc[Max_Bp]),"#,#0.00")</f>
        <v>13000 x 3.38</v>
      </c>
      <c r="AN89" s="1650" t="str">
        <f ca="1">NewTrader!$V89</f>
        <v>RIG</v>
      </c>
      <c r="AO89" s="1651" t="str">
        <f ca="1">TEXT(_xlfn.XLOOKUP(Tab_NewTRADER[[#This Row],[ClickTick]],TabCalc[Ticker],TabCalc[NAfter]),"#,#0")&amp;"x"&amp;_xlfn.XLOOKUP(Tab_NewTRADER[[#This Row],[ClickTick]],TabCalc[Ticker],TabCalc[M])&amp;"           (A: "&amp;TEXT(-_xlfn.XLOOKUP(Tab_NewTRADER[[#This Row],[ClickTick]]&amp;2,Consolid!B$3:JZ$3,Consolid!B$4:JZ$4),"#,??0.00")&amp;")"</f>
        <v>27,500x4.285           (A:   3.21)</v>
      </c>
      <c r="AP89" s="1592" t="str">
        <f ca="1">_xlfn.XLOOKUP(Tab_NewTRADER[[#This Row],[Show]],TabCalc[Ticker],TabCalc[Min_Sn])&amp;" x "&amp;TEXT(_xlfn.XLOOKUP(Tab_NewTRADER[[#This Row],[Show]],TabCalc[Ticker],TabCalc[Min_Sp]),"#,#0.00")</f>
        <v>3000 x 3.96</v>
      </c>
      <c r="AQ8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702" t="str" cm="1">
        <f t="array" aca="1" ref="AR89" ca="1">_xlfn.IFS(Tab_NewTRADER[[#This Row],[State]]="Reverse Buy",TEXT(-Tab_NewTRADER[[#This Row],[Buy_Back]],"#,#0")&amp;" / "&amp;TEXT(Tab_NewTRADER[[#This Row],[Rev_Buy]],"#,#0.0%"),TRUE,Tab_NewTRADER[[#This Row],[AMY]])</f>
        <v>1,384 / 4.1%</v>
      </c>
      <c r="AS89" s="1651"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99"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99" t="str" cm="1">
        <f t="array" aca="1" ref="AU89" ca="1">_xlfn.IFS(Tab_NewTRADER[[#This Row],[M]]&lt;Tab_NewTRADER[[#This Row],[A]],TEXT(Tab_NewTRADER[[#This Row],[N]]*Tab_NewTRADER[[#This Row],[M]]*Tab_NewTRADER[[#This Row],[Scale]]*Comm_Net,"#,#0")&amp;" @ "&amp;TEXT(Tab_NewTRADER[[#This Row],[M]],"#,#0.#0"),TRUE,"M: "&amp; Tab_NewTRADER[[#This Row],[M]])</f>
        <v>M: 4.285</v>
      </c>
      <c r="AV89" s="1740" cm="1">
        <f t="array" aca="1" ref="AV89" ca="1">-_xlfn.XLOOKUP(
    Tab_NewTRADER[[#This Row],[Show]] &amp; 2,
    TabConsolid[#Headers],
    INDEX(TabConsolid[], 1, 0)
)</f>
        <v>3.2090491636363634</v>
      </c>
      <c r="AW89" s="1741">
        <f ca="1">Tab_NewTRADER[[#This Row],[M]]*Tab_NewTRADER[[#This Row],[N]]*(1-Commission)*Tab_NewTRADER[[#This Row],[Scale]]</f>
        <v>117531.1225</v>
      </c>
      <c r="AX89" s="1705"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705"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9" s="1706" t="str" cm="1">
        <f t="array" aca="1" ref="AZ89" ca="1">_xlfn.IFS(   Tab_NewTRADER[[#This Row],[State]]=SellMorePercentGain,                     MIN(Tab_NewTRADER[[#This Row],[L_Sn]],Tab_NewTRADER[[#This Row],[N]])*(Tab_NewTRADER[[#This Row],[M]]-Tab_NewTRADER[[#This Row],[L_Sp]])*(1-Commission)*Tab_NewTRADER[[#This Row],[Scale]],                    TRUE,"")</f>
        <v/>
      </c>
      <c r="BA89" s="1707">
        <f ca="1">_xlfn.XLOOKUP(NewTrader!$V89,TabCalc[Ticker],TabCalc[Ann%RevLB])</f>
        <v>1.2048816568047342</v>
      </c>
      <c r="BB89" s="1708">
        <f ca="1">_xlfn.XLOOKUP(NewTrader!$V89,TabCalc[Ticker],TabCalc[Up20])</f>
        <v>0</v>
      </c>
      <c r="BC89" s="1725"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M Lower: M&gt;Y</v>
      </c>
      <c r="BD89" s="1706" t="str" cm="1">
        <f t="array" aca="1" ref="BD89" ca="1">_xlfn.IFS(         NewTrader!$AF89=MDown,NewTrader!$P89*NewTrader!$Y89*(-(NewTrader!$Q89+NewTrader!$Y89)/NewTrader!$Y89)*(1-Commission)*NewTrader!$A89,                               TRUE,"")</f>
        <v/>
      </c>
      <c r="BE89" s="1705" t="str" cm="1">
        <f t="array" aca="1" ref="BE89" ca="1">_xlfn.IFS(   NewTrader!$AF89=MUp,NewTrader!$BP89-Commission,        NewTrader!$AF89=MDown,(NewTrader!$X89-NewTrader!$Y89)/NewTrader!$Y89-Commission,                              TRUE,"")</f>
        <v/>
      </c>
      <c r="BF89" s="1710"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710" t="str" cm="1">
        <f t="array" aca="1" ref="BG89" ca="1">_xlfn.LET(_xlpm.SumChTxt,TEXT(_xlfn.XLOOKUP(NewTrader!$V89,ListTickers,Tab2SumChangePercent[AVGChan20]),"#0.0%"),
      _xlfn.IFS(NewTrader!$AF89=NoStock,_xlpm.SumChTxt,
      TRUE, IF(NewTrader!$AF89=SellMorePercentGain,             "SumChange "&amp;_xlpm.SumChTxt,                         "&lt;"&amp;INT(_xlfn.XLOOKUP(NewTrader!$V89,ListTickers,Tab2ReverseGL[Rev_GL19]))&amp;    "&lt;"&amp;INT(_xlfn.XLOOKUP(NewTrader!$V89,ListTickers,Tab2ReverseGL[Rev_GL18]))&amp;":      "&amp;_xlpm.SumChTxt)))</f>
        <v>&lt;-1&lt;-1:      -0.2%</v>
      </c>
      <c r="BH89" s="1711"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712" cm="1">
        <f t="array" aca="1" ref="BI89" ca="1">_xlfn.IFS(NewTrader!$AF89=Sale_Back,"",         NewTrader!$AF89=MDown, (NewTrader!$Y89-NewTrader!$X89)/NewTrader!$X89*ComFactor,             TRUE, IFERROR((NewTrader!$Y89-NewTrader!$X89)/NewTrader!$X89*ComFactor,""))</f>
        <v>0.33441474700656743</v>
      </c>
      <c r="BJ89" s="1664" cm="1">
        <f t="array" aca="1" ref="BJ89" ca="1">_xlfn.IFS(               NewTrader!$AF89=NoStock,(NewTrader!$BL89-NewTrader!$Y89)/NewTrader!$Y89-Commission,             NewTrader!$X89&lt;&gt;0,(NewTrader!$X89-NewTrader!$Y89)/NewTrader!$Y89-Commission)</f>
        <v>-0.25369704465895837</v>
      </c>
      <c r="BK89" s="1726">
        <f ca="1">_xlfn.XLOOKUP(NewTrader!$V89,TabCalc[Ticker],TabCalc[L_Sn])</f>
        <v>7500</v>
      </c>
      <c r="BL89" s="1727">
        <f ca="1">_xlfn.XLOOKUP(NewTrader!$V89,TabCalc[Ticker],TabCalc[L_Sp])</f>
        <v>4.47</v>
      </c>
      <c r="BM89" s="1634">
        <f ca="1">-IFERROR((Tab_NewTRADER[[#This Row],[M]]-Tab_NewTRADER[[#This Row],[L_Sp]])/Tab_NewTRADER[[#This Row],[L_Sp]],0)</f>
        <v>4.1387024608501036E-2</v>
      </c>
      <c r="BN89" s="1728">
        <f ca="1">MIN(Tab_NewTRADER[[#This Row],[L_Sn]],Tab_NewTRADER[[#This Row],[N]])*(Tab_NewTRADER[[#This Row],[M]]-Tab_NewTRADER[[#This Row],[L_Sp]])*Comm_Net*Tab_NewTRADER[[#This Row],[Scale]]</f>
        <v>-1383.7537499999969</v>
      </c>
      <c r="BO89" s="1715">
        <f ca="1">Tab_NewTRADER[[#This Row],[L_Sn]]*(Tab_NewTRADER[[#This Row],[Agiotage]]-Tab_NewTRADER[[#This Row],[M]])/(Tab_NewTRADER[[#This Row],[L_Bn]]*Tab_NewTRADER[[#This Row],[M]])</f>
        <v>-0.46031613938916344</v>
      </c>
      <c r="BP89" s="1670">
        <f ca="1">IFERROR((Tab_NewTRADER[[#This Row],[M]]-Tab_NewTRADER[[#This Row],[A]])/Tab_NewTRADER[[#This Row],[A]],0)</f>
        <v>0.33528649188546966</v>
      </c>
      <c r="BQ89" s="1671" t="str">
        <f ca="1">TEXT(_xlfn.XLOOKUP(Tab_NewTRADER[[#This Row],[ClickTick]],TabCalc[Ticker],TabCalc[NAfter]),"#,#0")&amp;" : "&amp;TEXT(_xlfn.XLOOKUP(Tab_NewTRADER[[#This Row],[ClickTick]],TabCalc[Ticker],TabCalc[NAfter])*(Tab_NewTRADER[[#This Row],[M]]-Tab_NewTRADER[[#This Row],[A]])*(1-Commission)*Tab_NewTRADER[[#This Row],[Scale]],"#,#0$")</f>
        <v>27,500 : 29,512$</v>
      </c>
      <c r="BR89" s="259">
        <f ca="1">_xlfn.XLOOKUP(NewTrader!$V89,TabCalc[[#This Row],[Ticker]],TabCalc[[#This Row],[GL]])*(1-Commission)</f>
        <v>42704.634244353962</v>
      </c>
      <c r="BS89" s="259"/>
      <c r="BT89" s="1672" t="str">
        <f ca="1">Tab_NewTRADER[[#This Row],[Show]]&amp;": "&amp;_xlfn.XLOOKUP(Tab_NewTRADER[[#This Row],[Show]],TabCalc[Ticker],TabCalc[Pile?])</f>
        <v xml:space="preserve">RIG: </v>
      </c>
      <c r="BU89" s="1717" t="s">
        <v>2016</v>
      </c>
      <c r="BV89" s="1674" t="str" cm="1">
        <f t="array" aca="1" ref="BV89" ca="1">_xlfn.TEXTJOIN("",,INDEX({"M","A","Y"}, _xlfn.SORTBY({1,2,3}, -CHOOSE({1,2,3}, Tab_NewTRADER[[#This Row],[M]], Tab_NewTRADER[[#This Row],[A]], Tab_NewTRADER[[#This Row],[Y]]))))</f>
        <v>MYA</v>
      </c>
      <c r="BW89" s="1675"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Buy:@M&gt;@Y?</v>
      </c>
      <c r="BX89" s="1676">
        <f ca="1">Tab_NewTRADER[[#This Row],[L_Sn]]*Tab_NewTRADER[[#This Row],[L_Sp]]+Tab_NewTRADER[[#This Row],[SellMore]]*Tab_NewTRADER[[#This Row],[M]]</f>
        <v>89230</v>
      </c>
      <c r="BY89" s="1676">
        <f ca="1">INDEX(
  INDEX(TabConsolid[], , _xlfn.XMATCH(Tab_NewTRADER[[#This Row],[ClickTick]]&amp;1, TabConsolid[#Headers])),
  MATCH(
    -Tab_NewTRADER[[#This Row],[M]],
    INDEX(TabConsolid[], , _xlfn.XMATCH(Tab_NewTRADER[[#This Row],[ClickTick]]&amp;2, TabConsolid[#Headers])),
    -1
  )
)</f>
        <v>13000</v>
      </c>
      <c r="BZ89" s="1676"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77">
        <f ca="1">Tab_NewTRADER[[#This Row],[ReBuy]]/(Tab_NewTRADER[[#This Row],[L_Sn]]+Tab_NewTRADER[[#This Row],[SellMore]])</f>
        <v>4.3526829268292682</v>
      </c>
      <c r="CB89" s="1678">
        <f ca="1">((_xlfn.XLOOKUP(Tab_NewTRADER[[#This Row],[Show]],TabCalc[Ticker],TabCalc[NAfter])+Tab_NewTRADER[[#This Row],[L_Sn]])*(Tab_NewTRADER[[#This Row],[Agiotage]]-Tab_NewTRADER[[#This Row],[M]]))/(Tab_NewTRADER[[#This Row],[L_Sn]]*_xlfn.XLOOKUP(Tab_NewTRADER[[#This Row],[Show]],TabCalc[Ticker],TabCalc[NAfter]))</f>
        <v>-5.8018060222291207E-4</v>
      </c>
      <c r="CC89" s="1677">
        <f ca="1">INDEX(Tab1Price[Price19], MATCH(Tab_NewTRADER[[#This Row],[Show]], Tab_NewTRADER[Show], 0))</f>
        <v>4.2850000000000001</v>
      </c>
      <c r="CD89" s="1679">
        <f ca="1">_xlfn.XMATCH(Tab_NewTRADER[[#This Row],[Show]]&amp;1, TabConsolid[#Headers])</f>
        <v>263</v>
      </c>
      <c r="CE89" s="1678"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78" t="str" cm="1">
        <f t="array" aca="1" ref="CF89" ca="1">_xlfn.LET(
    _xlpm.FMT, _xlfn.LAMBDA(_xlpm.n, REPT(" ", 7 - LEN(TEXT(_xlpm.n,"0.00"))) &amp; TEXT(_xlpm.n,"0.00")),
    _xlpm.FMT(Tab_NewTRADER[[#This Row],[A]]) &amp; " -" &amp; _xlpm.FMT(Tab_NewTRADER[[#This Row],[M]]) &amp; " -" &amp; _xlpm.FMT(Tab_NewTRADER[[#This Row],[Y]])
)</f>
        <v xml:space="preserve">   3.21 -   4.29 -   4.17</v>
      </c>
      <c r="CG89" s="1680" t="str" cm="1">
        <f t="array" aca="1" ref="CG89" ca="1">_xlfn.LET(
    _xlpm.W, 7,
    _xlpm.FMT, _xlfn.LAMBDA(_xlpm.n, REPT(" ", _xlpm.W - LEN(TEXT(_xlpm.n,"0.00"))) &amp; TEXT(_xlpm.n,"0.00")),
    _xlpm.FMT(Tab_NewTRADER[[#This Row],[A]]) &amp; " * " &amp; _xlpm.FMT(Tab_NewTRADER[[#This Row],[M]]) &amp; " * " &amp; _xlpm.FMT(Tab_NewTRADER[[#This Row],[Y]])
)</f>
        <v xml:space="preserve">   3.21 *    4.29 *    4.17</v>
      </c>
      <c r="CH89" s="1842">
        <f>0</f>
        <v>0</v>
      </c>
      <c r="CI89" t="b">
        <f ca="1">IF(ABS(NewTrader!$Q89)&gt;=NewTrader!$Y89,"OK")</f>
        <v>0</v>
      </c>
    </row>
    <row r="90" spans="1:87" ht="23" hidden="1" thickBot="1">
      <c r="A90" s="1839">
        <f ca="1">IF(_xlfn.XLOOKUP(NewTrader!$V90,TabCalc[Ticker],TabCalc[Cur])="GBp",0.01,1)</f>
        <v>1</v>
      </c>
      <c r="B90" s="1681" t="str">
        <f ca="1">IFERROR(TRUNC(_xlfn.XLOOKUP(NewTrader!$V90,TabCalc[Ticker],ListLastBuyp),2)&amp;"x"&amp;_xlfn.XLOOKUP(NewTrader!$V90,TabCalc[Ticker],ListLastBuyn)&amp;"=    "&amp;IF(_xlfn.XLOOKUP(NewTrader!$V90,TabCalc[Ticker],ListReverseS)&gt;0,"+","")&amp;TEXT(_xlfn.XLOOKUP(NewTrader!$V90,TabCalc[Ticker],ListReverseS),"#,#0")&amp;" "&amp;#REF!,"")</f>
        <v/>
      </c>
      <c r="C90" s="1682" t="str">
        <f ca="1">_xlfn.XLOOKUP(NewTrader!$V90,TabCalc[Ticker],ListResale)&amp;" @ "&amp;TEXT((_xlfn.XLOOKUP(NewTrader!$V90,TabCalc[Ticker],TabCalc[L_Bp])+_xlfn.XLOOKUP(NewTrader!$V90,TabCalc[Ticker],TabCalc[M]))/_xlfn.XLOOKUP(NewTrader!$V90,TabCalc[Ticker],TabCalc[M]),"#0.0%")</f>
        <v>Sell @ -1.3%</v>
      </c>
      <c r="D90" s="1683"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84" t="str">
        <f ca="1">IF(      AND(NewTrader!$X90&lt;NewTrader!$Y90,    _xlfn.XLOOKUP(NewTrader!$V90,TabCalc[Ticker],TabCalc[L_Sp])&gt;NewTrader!$Y90),"BUY  "&amp;TEXT(DesiredBuyGain/NewTrader!$A90/(_xlfn.XLOOKUP(NewTrader!$V90,TabCalc[Ticker],TabCalc[L_Sp])-NewTrader!$Y90),"#,##0"),"")</f>
        <v/>
      </c>
      <c r="F90" s="1681" t="str">
        <f ca="1">TRUNC(TabCalc[[#This Row],[L_B1p]],2)&amp;"x"&amp;TabCalc[[#This Row],[L_B1n]]&amp;"=   "&amp;TEXT(TabCalc[[#This Row],[ReverseS1]],"#,#0")&amp;"$"</f>
        <v>-31.62x2300=   0$</v>
      </c>
      <c r="G90" s="1685" t="str">
        <f ca="1">IFERROR(TRUNC(_xlfn.XLOOKUP(NewTrader!$V90,TabCalc[Ticker],ListLastSalep),2)&amp;"x"&amp;_xlfn.XLOOKUP(NewTrader!$V90,TabCalc[Ticker],ListLastSalen)&amp;"=   "&amp;TEXT(-_xlfn.XLOOKUP(NewTrader!$V90,TabCalc[Ticker],ListReverseB),"#,#0")&amp;"$","")</f>
        <v>35.85x5000=   2,205$</v>
      </c>
      <c r="H90" s="1686"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-1.2% = 0</v>
      </c>
      <c r="I90" s="1681" t="str">
        <f ca="1">IFERROR(TRUNC(TabCalc[[#This Row],[L_S1p]],2)&amp;"x"&amp;TabCalc[[#This Row],[L_S1n]]&amp;"=   "&amp;TEXT(TabCalc[[#This Row],[ReverseB1]],"#,#0"),"")</f>
        <v>33.25x1300=   -3,965</v>
      </c>
      <c r="J90" s="1687">
        <f ca="1">_xlfn.XLOOKUP(NewTrader!$V90,TabCalc[Ticker],ListGravity)</f>
        <v>1.1606179063360882</v>
      </c>
      <c r="K90" s="1688" t="str" cm="1">
        <f t="array" aca="1" ref="K90" ca="1">IF(_xlfn.XLOOKUP(NewTrader!$V90,NewTrader!$V$3:$V$96,ListExtra_n)&gt;0,_xlfn.XLOOKUP(NewTrader!$V90,NewTrader!$V$3:$V$96,ListExtra_n),"")</f>
        <v/>
      </c>
      <c r="L90" s="1689" t="str">
        <f ca="1">IF(_xlfn.XLOOKUP(NewTrader!$V90,TabCalc[Ticker],ListExtra_n)&gt;0,_xlfn.XLOOKUP(NewTrader!$V90,TabCalc[Ticker],ListExtra_n)*NewTrader!$Y90*_xlfn.XLOOKUP(NewTrader!$V90,TabCalc[Ticker],ListScale),"")</f>
        <v/>
      </c>
      <c r="M90" s="1690">
        <f ca="1">_xlfn.XLOOKUP(NewTrader!$V90,TabCalc[Ticker],TabCalc[Agiotage])</f>
        <v>1.3783333254019026</v>
      </c>
      <c r="N90" s="1691" cm="1">
        <f t="array" aca="1" ref="N90" ca="1">_xlfn.XLOOKUP(NewTrader!$V90,ListTickers,Tab2RSIConventional[RSIConv20])</f>
        <v>64</v>
      </c>
      <c r="O90" s="1631" t="str">
        <f ca="1">TEXT(_xlfn.XLOOKUP(NewTrader!$V90,TabCalc[Ticker],TabCalc[Nbegin]),"#,#0")&amp;": "&amp;_xlfn.XLOOKUP(NewTrader!$V90,TabCalc[Ticker],TabCalc[Pile?])</f>
        <v>2,700: Pile</v>
      </c>
      <c r="P90" s="1692">
        <f ca="1">_xlfn.XLOOKUP(NewTrader!$V90,TabCalc[Ticker],TabCalc[L_Bn])</f>
        <v>2300</v>
      </c>
      <c r="Q90" s="1693">
        <f ca="1">_xlfn.XLOOKUP(NewTrader!$V90,TabCalc[Ticker],TabCalc[L_Bp])</f>
        <v>-36.789099999999998</v>
      </c>
      <c r="R90" s="1694">
        <f ca="1">(NewTrader!$Y90+NewTrader!$Q90)/ABS(NewTrader!$Q90)</f>
        <v>-1.3294698701517584E-2</v>
      </c>
      <c r="S90" s="262">
        <f ca="1">INT(_xlfn.XLOOKUP(NewTrader!$V90,TabCalc[Ticker],TabCalc[Rev(MinStock)])*Comm_Net)</f>
        <v>0</v>
      </c>
      <c r="T90" s="1635">
        <f ca="1">_xlfn.XLOOKUP(NewTrader!$V90,TabCalc[Ticker],TabCalc[Agiotage])</f>
        <v>1.3783333254019026</v>
      </c>
      <c r="U90" s="1695"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0/0=&gt;-2.7% / -2.7%</v>
      </c>
      <c r="V90" s="1578" t="str">
        <f ca="1">SORTING!B90</f>
        <v>RRC</v>
      </c>
      <c r="W90" s="1637">
        <f ca="1">_xlfn.XLOOKUP(NewTrader!$V90,TabCalc[Ticker],TabCalc[Y])</f>
        <v>42.130429999999997</v>
      </c>
      <c r="X90" s="1639">
        <f ca="1">-_xlfn.XLOOKUP(NewTrader!$V90&amp;2,Consolid!B$3:JZ$3,Consolid!B$4:JZ$4)</f>
        <v>0</v>
      </c>
      <c r="Y90" s="1639">
        <f ca="1">_xlfn.XLOOKUP(NewTrader!$V90,TabCalc[Ticker],TabCalc[M])</f>
        <v>36.299999999999997</v>
      </c>
      <c r="Z90" s="1640">
        <f ca="1">_xlfn.XLOOKUP(NewTrader!$V90,[1]!RTData[Ticker_Symbol],[1]!RTData[YTChange])</f>
        <v>2.5021410150357654E-2</v>
      </c>
      <c r="AA90" s="1640" cm="1">
        <f t="array" aca="1" ref="AA90" ca="1">_xlfn.XLOOKUP(NewTrader!$V90,ListTickers,Tab1ChangePercent[Change%19])</f>
        <v>-2.6549E-2</v>
      </c>
      <c r="AB90" s="1641">
        <f ca="1">_xlfn.XLOOKUP(NewTrader!$V90,TabCalc[Ticker],TabCalc[NAfter])</f>
        <v>0</v>
      </c>
      <c r="AC90" s="1641">
        <f ca="1">_xlfn.XLOOKUP(NewTrader!$V90,TabCalc[Ticker],TabCalc[Nbegin])</f>
        <v>2700</v>
      </c>
      <c r="AD90" s="1642" t="str">
        <f ca="1">_xlfn.LET(_xlpm.PILE,_xlfn.XLOOKUP(NewTrader!$V90,TabCalc[Ticker],TabCalc[Pile?]),                    _xlpm.GL,_xlfn.XLOOKUP(NewTrader!$V90,TabCalc[Ticker],TabCalc[GL]),                        _xlpm.GLK,_xlfn.XLOOKUP(NewTrader!$V90,TabCalc[Ticker],TabCalc[GL])/1000,                             _xlpm.MVal,_xlfn.XLOOKUP(NewTrader!$V90,TabCalc[Ticker],TabCalc[M_V])/1000,                   _xlpm.PILE&amp;" "&amp;IF(_xlpm.GL&lt;0,TEXT(_xlpm.GLK,"#,#0")&amp;"K /"&amp;TEXT(_xlpm.MVal,"#,#0")&amp;" K$","^"&amp;TEXT(_xlpm.GLK,"#,#0")&amp;"K / "&amp;TEXT(_xlpm.MVal,"#,#0")&amp;" K$"))</f>
        <v>Pile ^10K / 0 K$</v>
      </c>
      <c r="AE90" s="1643" t="str">
        <f ca="1">_xlfn.XLOOKUP(NewTrader!$V90,[1]!RTData[Ticker_Symbol],[1]!RTData[Currency])</f>
        <v>USD</v>
      </c>
      <c r="AF90" s="1721"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646" t="str" cm="1">
        <f t="array" aca="1" ref="AH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36.30 -  42.13</v>
      </c>
      <c r="AI9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90" s="1651" t="str" cm="1">
        <f t="array" aca="1" ref="AJ90" ca="1">_xlfn.IFS(Tab_NewTRADER[[#This Row],[State]]="Sell More",TEXT(MIN(Tab_NewTRADER[[#This Row],[N]],Tab_NewTRADER[[#This Row],[L_Bn]])*(Tab_NewTRADER[[#This Row],[M]]-Tab_NewTRADER[[#This Row],[L_Sp]])*Tab_NewTRADER[[#This Row],[Scale]]*ComFactor,"#,#0"), TRUE,"M= "&amp;TEXT(Tab_NewTRADER[[#This Row],[M]],"#,#0.00"))</f>
        <v>M= 36.30</v>
      </c>
      <c r="AK90" s="1699" t="str" cm="1">
        <f t="array" aca="1" ref="AK90" ca="1">_xlfn.IFS(Tab_NewTRADER[[#This Row],[Y]]&gt;Tab_NewTRADER[[#This Row],[A]],                 TEXT(MIN(Tab_NewTRADER[[#This Row],[L_Bn]],Tab_NewTRADER[[#This Row],[N]])*(Tab_NewTRADER[[#This Row],[M]]-Tab_NewTRADER[[#This Row],[A]])*Tab_NewTRADER[[#This Row],[Scale]]*ComFactor,"#,#0"), TRUE,0)</f>
        <v>0</v>
      </c>
      <c r="AL90" s="1700" cm="1">
        <f t="array" aca="1" ref="AL90" ca="1">_xlfn.IFS(Tab_NewTRADER[[#This Row],[M]]&gt;Tab_NewTRADER[[#This Row],[A]],                  Tab_NewTRADER[[#This Row],[N]]*(Tab_NewTRADER[[#This Row],[M]]-Tab_NewTRADER[[#This Row],[A]])*Tab_NewTRADER[[#This Row],[Scale]]*ComFactor, TRUE,0)</f>
        <v>0</v>
      </c>
      <c r="AM90" s="1592" t="e">
        <f ca="1">_xlfn.XLOOKUP(Tab_NewTRADER[[#This Row],[Show]],TabCalc[Ticker],TabCalc[Max_Bn])&amp;" x "&amp;TEXT(_xlfn.XLOOKUP(Tab_NewTRADER[[#This Row],[Show]],TabCalc[Ticker],TabCalc[Max_Bp]),"#,#0.00")</f>
        <v>#N/A</v>
      </c>
      <c r="AN90" s="1650" t="str">
        <f ca="1">NewTrader!$V90</f>
        <v>RRC</v>
      </c>
      <c r="AO90" s="1651" t="str">
        <f ca="1">TEXT(_xlfn.XLOOKUP(Tab_NewTRADER[[#This Row],[ClickTick]],TabCalc[Ticker],TabCalc[NAfter]),"#,#0")&amp;"x"&amp;_xlfn.XLOOKUP(Tab_NewTRADER[[#This Row],[ClickTick]],TabCalc[Ticker],TabCalc[M])&amp;"           (A: "&amp;TEXT(-_xlfn.XLOOKUP(Tab_NewTRADER[[#This Row],[ClickTick]]&amp;2,Consolid!B$3:JZ$3,Consolid!B$4:JZ$4),"#,??0.00")&amp;")"</f>
        <v>0x36.3           (A:   0.00)</v>
      </c>
      <c r="AP90" s="1592" t="str">
        <f ca="1">_xlfn.XLOOKUP(Tab_NewTRADER[[#This Row],[Show]],TabCalc[Ticker],TabCalc[Min_Sn])&amp;" x "&amp;TEXT(_xlfn.XLOOKUP(Tab_NewTRADER[[#This Row],[Show]],TabCalc[Ticker],TabCalc[Min_Sp]),"#,#0.00")</f>
        <v>190 x 30.40</v>
      </c>
      <c r="AQ9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702" t="str" cm="1">
        <f t="array" aca="1" ref="AR90" ca="1">_xlfn.IFS(Tab_NewTRADER[[#This Row],[State]]="Reverse Buy",TEXT(-Tab_NewTRADER[[#This Row],[Buy_Back]],"#,#0")&amp;" / "&amp;TEXT(Tab_NewTRADER[[#This Row],[Rev_Buy]],"#,#0.0%"),TRUE,Tab_NewTRADER[[#This Row],[AMY]])</f>
        <v xml:space="preserve">   0.00 -  36.30 -  42.13</v>
      </c>
      <c r="AS90" s="1651"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99"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99" t="str" cm="1">
        <f t="array" aca="1" ref="AU90" ca="1">_xlfn.IFS(Tab_NewTRADER[[#This Row],[M]]&lt;Tab_NewTRADER[[#This Row],[A]],TEXT(Tab_NewTRADER[[#This Row],[N]]*Tab_NewTRADER[[#This Row],[M]]*Tab_NewTRADER[[#This Row],[Scale]]*Comm_Net,"#,#0")&amp;" @ "&amp;TEXT(Tab_NewTRADER[[#This Row],[M]],"#,#0.#0"),TRUE,"M: "&amp; Tab_NewTRADER[[#This Row],[M]])</f>
        <v>M: 36.3</v>
      </c>
      <c r="AV90" s="1703" cm="1">
        <f t="array" aca="1" ref="AV90" ca="1">-_xlfn.XLOOKUP(
    Tab_NewTRADER[[#This Row],[Show]] &amp; 2,
    TabConsolid[#Headers],
    INDEX(TabConsolid[], 1, 0)
)</f>
        <v>0</v>
      </c>
      <c r="AW90" s="1704">
        <f ca="1">Tab_NewTRADER[[#This Row],[M]]*Tab_NewTRADER[[#This Row],[N]]*(1-Commission)*Tab_NewTRADER[[#This Row],[Scale]]</f>
        <v>0</v>
      </c>
      <c r="AX90" s="1705"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705"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706" t="str" cm="1">
        <f t="array" aca="1" ref="AZ90" ca="1">_xlfn.IFS(   Tab_NewTRADER[[#This Row],[State]]=SellMorePercentGain,                     MIN(Tab_NewTRADER[[#This Row],[L_Sn]],Tab_NewTRADER[[#This Row],[N]])*(Tab_NewTRADER[[#This Row],[M]]-Tab_NewTRADER[[#This Row],[L_Sp]])*(1-Commission)*Tab_NewTRADER[[#This Row],[Scale]],                    TRUE,"")</f>
        <v/>
      </c>
      <c r="BA90" s="1723">
        <f ca="1">_xlfn.XLOOKUP(NewTrader!$V90,TabCalc[Ticker],TabCalc[Ann%RevLB])</f>
        <v>-1.3832634487128124E-2</v>
      </c>
      <c r="BB90" s="1724">
        <f ca="1">_xlfn.XLOOKUP(NewTrader!$V90,TabCalc[Ticker],TabCalc[Up20])</f>
        <v>0.5</v>
      </c>
      <c r="BC90" s="1709"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706" t="str" cm="1">
        <f t="array" aca="1" ref="BD90" ca="1">_xlfn.IFS(         NewTrader!$AF90=MDown,NewTrader!$P90*NewTrader!$Y90*(-(NewTrader!$Q90+NewTrader!$Y90)/NewTrader!$Y90)*(1-Commission)*NewTrader!$A90,                               TRUE,"")</f>
        <v/>
      </c>
      <c r="BE90" s="1705" t="str" cm="1">
        <f t="array" aca="1" ref="BE90" ca="1">_xlfn.IFS(   NewTrader!$AF90=MUp,NewTrader!$BP90-Commission,        NewTrader!$AF90=MDown,(NewTrader!$X90-NewTrader!$Y90)/NewTrader!$Y90-Commission,                              TRUE,"")</f>
        <v/>
      </c>
      <c r="BF90" s="1706"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710" t="str" cm="1">
        <f t="array" aca="1" ref="BG90" ca="1">_xlfn.LET(_xlpm.SumChTxt,TEXT(_xlfn.XLOOKUP(NewTrader!$V90,ListTickers,Tab2SumChangePercent[AVGChan20]),"#0.0%"),
      _xlfn.IFS(NewTrader!$AF90=NoStock,_xlpm.SumChTxt,
      TRUE, IF(NewTrader!$AF90=SellMorePercentGain,             "SumChange "&amp;_xlpm.SumChTxt,                         "&lt;"&amp;INT(_xlfn.XLOOKUP(NewTrader!$V90,ListTickers,Tab2ReverseGL[Rev_GL19]))&amp;    "&lt;"&amp;INT(_xlfn.XLOOKUP(NewTrader!$V90,ListTickers,Tab2ReverseGL[Rev_GL18]))&amp;":      "&amp;_xlpm.SumChTxt)))</f>
        <v>-0.1%</v>
      </c>
      <c r="BH90" s="1711"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0x36.3</v>
      </c>
      <c r="BI90" s="1712" t="str" cm="1">
        <f t="array" aca="1" ref="BI90" ca="1">_xlfn.IFS(NewTrader!$AF90=Sale_Back,"",         NewTrader!$AF90=MDown, (NewTrader!$Y90-NewTrader!$X90)/NewTrader!$X90*ComFactor,             TRUE, IFERROR((NewTrader!$Y90-NewTrader!$X90)/NewTrader!$X90*ComFactor,""))</f>
        <v/>
      </c>
      <c r="BJ90" s="1664" cm="1">
        <f t="array" aca="1" ref="BJ90" ca="1">_xlfn.IFS(               NewTrader!$AF90=NoStock,(NewTrader!$BL90-NewTrader!$Y90)/NewTrader!$Y90-Commission,             NewTrader!$X90&lt;&gt;0,(NewTrader!$X90-NewTrader!$Y90)/NewTrader!$Y90-Commission)</f>
        <v>-1.4748760330578387E-2</v>
      </c>
      <c r="BK90" s="1713">
        <f ca="1">_xlfn.XLOOKUP(NewTrader!$V90,TabCalc[Ticker],TabCalc[L_Sn])</f>
        <v>5000</v>
      </c>
      <c r="BL90" s="1693">
        <f ca="1">_xlfn.XLOOKUP(NewTrader!$V90,TabCalc[Ticker],TabCalc[L_Sp])</f>
        <v>35.859000000000002</v>
      </c>
      <c r="BM90" s="1694">
        <f ca="1">-IFERROR((Tab_NewTRADER[[#This Row],[M]]-Tab_NewTRADER[[#This Row],[L_Sp]])/Tab_NewTRADER[[#This Row],[L_Sp]],0)</f>
        <v>-1.2298167823977114E-2</v>
      </c>
      <c r="BN90" s="1714">
        <f ca="1">MIN(Tab_NewTRADER[[#This Row],[L_Sn]],Tab_NewTRADER[[#This Row],[N]])*(Tab_NewTRADER[[#This Row],[M]]-Tab_NewTRADER[[#This Row],[L_Sp]])*Comm_Net*Tab_NewTRADER[[#This Row],[Scale]]</f>
        <v>0</v>
      </c>
      <c r="BO90" s="1715">
        <f ca="1">Tab_NewTRADER[[#This Row],[L_Sn]]*(Tab_NewTRADER[[#This Row],[Agiotage]]-Tab_NewTRADER[[#This Row],[M]])/(Tab_NewTRADER[[#This Row],[L_Bn]]*Tab_NewTRADER[[#This Row],[M]])</f>
        <v>-2.0913682282068566</v>
      </c>
      <c r="BP90" s="1716">
        <f ca="1">IFERROR((Tab_NewTRADER[[#This Row],[M]]-Tab_NewTRADER[[#This Row],[A]])/Tab_NewTRADER[[#This Row],[A]],0)</f>
        <v>0</v>
      </c>
      <c r="BQ90" s="1671"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Row],[GL]])*(1-Commission)</f>
        <v>9803.4037285427712</v>
      </c>
      <c r="BS90" s="262"/>
      <c r="BT90" s="1672" t="str">
        <f ca="1">Tab_NewTRADER[[#This Row],[Show]]&amp;": "&amp;_xlfn.XLOOKUP(Tab_NewTRADER[[#This Row],[Show]],TabCalc[Ticker],TabCalc[Pile?])</f>
        <v>RRC: Pile</v>
      </c>
      <c r="BU90" s="1717" t="s">
        <v>2017</v>
      </c>
      <c r="BV90" s="1674" t="str" cm="1">
        <f t="array" aca="1" ref="BV90" ca="1">_xlfn.TEXTJOIN("",,INDEX({"M","A","Y"}, _xlfn.SORTBY({1,2,3}, -CHOOSE({1,2,3}, Tab_NewTRADER[[#This Row],[M]], Tab_NewTRADER[[#This Row],[A]], Tab_NewTRADER[[#This Row],[Y]]))))</f>
        <v>YMA</v>
      </c>
      <c r="BW90" s="1675"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76" t="e">
        <f ca="1">Tab_NewTRADER[[#This Row],[L_Sn]]*Tab_NewTRADER[[#This Row],[L_Sp]]+Tab_NewTRADER[[#This Row],[SellMore]]*Tab_NewTRADER[[#This Row],[M]]</f>
        <v>#N/A</v>
      </c>
      <c r="BY90" s="1676" t="e">
        <f ca="1">INDEX(
  INDEX(TabConsolid[], , _xlfn.XMATCH(Tab_NewTRADER[[#This Row],[ClickTick]]&amp;1, TabConsolid[#Headers])),
  MATCH(
    -Tab_NewTRADER[[#This Row],[M]],
    INDEX(TabConsolid[], , _xlfn.XMATCH(Tab_NewTRADER[[#This Row],[ClickTick]]&amp;2, TabConsolid[#Headers])),
    -1
  )
)</f>
        <v>#N/A</v>
      </c>
      <c r="BZ90" s="1676"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77" t="e">
        <f ca="1">Tab_NewTRADER[[#This Row],[ReBuy]]/(Tab_NewTRADER[[#This Row],[L_Sn]]+Tab_NewTRADER[[#This Row],[SellMore]])</f>
        <v>#N/A</v>
      </c>
      <c r="CB90" s="1678" t="e">
        <f ca="1">((_xlfn.XLOOKUP(Tab_NewTRADER[[#This Row],[Show]],TabCalc[Ticker],TabCalc[NAfter])+Tab_NewTRADER[[#This Row],[L_Sn]])*(Tab_NewTRADER[[#This Row],[Agiotage]]-Tab_NewTRADER[[#This Row],[M]]))/(Tab_NewTRADER[[#This Row],[L_Sn]]*_xlfn.XLOOKUP(Tab_NewTRADER[[#This Row],[Show]],TabCalc[Ticker],TabCalc[NAfter]))</f>
        <v>#DIV/0!</v>
      </c>
      <c r="CC90" s="1677">
        <f ca="1">INDEX(Tab1Price[Price19], MATCH(Tab_NewTRADER[[#This Row],[Show]], Tab_NewTRADER[Show], 0))</f>
        <v>36.299999999999997</v>
      </c>
      <c r="CD90" s="1679">
        <f ca="1">_xlfn.XMATCH(Tab_NewTRADER[[#This Row],[Show]]&amp;1, TabConsolid[#Headers])</f>
        <v>266</v>
      </c>
      <c r="CE90" s="1678"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78" t="str" cm="1">
        <f t="array" aca="1" ref="CF90" ca="1">_xlfn.LET(
    _xlpm.FMT, _xlfn.LAMBDA(_xlpm.n, REPT(" ", 7 - LEN(TEXT(_xlpm.n,"0.00"))) &amp; TEXT(_xlpm.n,"0.00")),
    _xlpm.FMT(Tab_NewTRADER[[#This Row],[A]]) &amp; " -" &amp; _xlpm.FMT(Tab_NewTRADER[[#This Row],[M]]) &amp; " -" &amp; _xlpm.FMT(Tab_NewTRADER[[#This Row],[Y]])
)</f>
        <v xml:space="preserve">   0.00 -  36.30 -  42.13</v>
      </c>
      <c r="CG90" s="1680" t="str" cm="1">
        <f t="array" aca="1" ref="CG90" ca="1">_xlfn.LET(
    _xlpm.W, 7,
    _xlpm.FMT, _xlfn.LAMBDA(_xlpm.n, REPT(" ", _xlpm.W - LEN(TEXT(_xlpm.n,"0.00"))) &amp; TEXT(_xlpm.n,"0.00")),
    _xlpm.FMT(Tab_NewTRADER[[#This Row],[A]]) &amp; " * " &amp; _xlpm.FMT(Tab_NewTRADER[[#This Row],[M]]) &amp; " * " &amp; _xlpm.FMT(Tab_NewTRADER[[#This Row],[Y]])
)</f>
        <v xml:space="preserve">   0.00 *   36.30 *   42.13</v>
      </c>
      <c r="CH90" s="1842">
        <f>0</f>
        <v>0</v>
      </c>
      <c r="CI90" t="str">
        <f ca="1">IF(ABS(NewTrader!$Q90)&gt;=NewTrader!$Y90,"OK")</f>
        <v>OK</v>
      </c>
    </row>
    <row r="91" spans="1:87" ht="23" hidden="1" thickBot="1">
      <c r="A91" s="1838">
        <f ca="1">IF(_xlfn.XLOOKUP(NewTrader!$V91,TabCalc[Ticker],TabCalc[Cur])="GBp",0.01,1)</f>
        <v>1</v>
      </c>
      <c r="B91" s="1620" t="str">
        <f ca="1">IFERROR(TRUNC(_xlfn.XLOOKUP(NewTrader!$V91,TabCalc[Ticker],ListLastBuyp),2)&amp;"x"&amp;_xlfn.XLOOKUP(NewTrader!$V91,TabCalc[Ticker],ListLastBuyn)&amp;"=    "&amp;IF(_xlfn.XLOOKUP(NewTrader!$V91,TabCalc[Ticker],ListReverseS)&gt;0,"+","")&amp;TEXT(_xlfn.XLOOKUP(NewTrader!$V91,TabCalc[Ticker],ListReverseS),"#,#0")&amp;" "&amp;#REF!,"")</f>
        <v/>
      </c>
      <c r="C91" s="1621" t="str">
        <f ca="1">_xlfn.XLOOKUP(NewTrader!$V91,TabCalc[Ticker],ListResale)&amp;" @ "&amp;TEXT((_xlfn.XLOOKUP(NewTrader!$V91,TabCalc[Ticker],TabCalc[L_Bp])+_xlfn.XLOOKUP(NewTrader!$V91,TabCalc[Ticker],TabCalc[M]))/_xlfn.XLOOKUP(NewTrader!$V91,TabCalc[Ticker],TabCalc[M]),"#0.0%")</f>
        <v>B_more @ -21.0%</v>
      </c>
      <c r="D91" s="1622"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718" t="str">
        <f ca="1">IF(      AND(NewTrader!$X91&lt;NewTrader!$Y91,    _xlfn.XLOOKUP(NewTrader!$V91,TabCalc[Ticker],TabCalc[L_Sp])&gt;NewTrader!$Y91),"BUY  "&amp;TEXT(DesiredBuyGain/NewTrader!$A91/(_xlfn.XLOOKUP(NewTrader!$V91,TabCalc[Ticker],TabCalc[L_Sp])-NewTrader!$Y91),"#,##0"),"")</f>
        <v/>
      </c>
      <c r="F91" s="1620" t="str">
        <f ca="1">TRUNC(TabCalc[[#This Row],[L_B1p]],2)&amp;"x"&amp;TabCalc[[#This Row],[L_B1n]]&amp;"=   "&amp;TEXT(TabCalc[[#This Row],[ReverseS1]],"#,#0")&amp;"$"</f>
        <v>-60.14x2000=   2,076$</v>
      </c>
      <c r="G91" s="1624" t="str">
        <f ca="1">IFERROR(TRUNC(_xlfn.XLOOKUP(NewTrader!$V91,TabCalc[Ticker],ListLastSalep),2)&amp;"x"&amp;_xlfn.XLOOKUP(NewTrader!$V91,TabCalc[Ticker],ListLastSalen)&amp;"=   "&amp;TEXT(-_xlfn.XLOOKUP(NewTrader!$V91,TabCalc[Ticker],ListReverseB),"#,#0")&amp;"$","")</f>
        <v>61.26x2000=   4,680$</v>
      </c>
      <c r="H91" s="1625"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3.7% = 0</v>
      </c>
      <c r="I91" s="1620" t="str">
        <f ca="1">IFERROR(TRUNC(TabCalc[[#This Row],[L_S1p]],2)&amp;"x"&amp;TabCalc[[#This Row],[L_S1n]]&amp;"=   "&amp;TEXT(TabCalc[[#This Row],[ReverseB1]],"#,#0"),"")</f>
        <v>67.82x1500=   6,330</v>
      </c>
      <c r="J91" s="1626">
        <f ca="1">_xlfn.XLOOKUP(NewTrader!$V91,TabCalc[Ticker],ListGravity)</f>
        <v>1.3208374213836478</v>
      </c>
      <c r="K91" s="1627" cm="1">
        <f t="array" aca="1" ref="K91" ca="1">IF(_xlfn.XLOOKUP(NewTrader!$V91,NewTrader!$V$3:$V$96,ListExtra_n)&gt;0,_xlfn.XLOOKUP(NewTrader!$V91,NewTrader!$V$3:$V$96,ListExtra_n),"")</f>
        <v>150</v>
      </c>
      <c r="L91" s="1628">
        <f ca="1">IF(_xlfn.XLOOKUP(NewTrader!$V91,TabCalc[Ticker],ListExtra_n)&gt;0,_xlfn.XLOOKUP(NewTrader!$V91,TabCalc[Ticker],ListExtra_n)*NewTrader!$Y91*_xlfn.XLOOKUP(NewTrader!$V91,TabCalc[Ticker],ListScale),"")</f>
        <v>9540</v>
      </c>
      <c r="M91" s="1629">
        <f ca="1">_xlfn.XLOOKUP(NewTrader!$V91,TabCalc[Ticker],TabCalc[Agiotage])</f>
        <v>0.62150617808507302</v>
      </c>
      <c r="N91" s="1630" cm="1">
        <f t="array" aca="1" ref="N91" ca="1">_xlfn.XLOOKUP(NewTrader!$V91,ListTickers,Tab2RSIConventional[RSIConv20])</f>
        <v>66</v>
      </c>
      <c r="O91" s="1631" t="str">
        <f ca="1">TEXT(_xlfn.XLOOKUP(NewTrader!$V91,TabCalc[Ticker],TabCalc[Nbegin]),"#,#0")&amp;": "&amp;_xlfn.XLOOKUP(NewTrader!$V91,TabCalc[Ticker],TabCalc[Pile?])</f>
        <v>450: Pile</v>
      </c>
      <c r="P91" s="1632">
        <f ca="1">_xlfn.XLOOKUP(NewTrader!$V91,TabCalc[Ticker],TabCalc[L_Bn])</f>
        <v>600</v>
      </c>
      <c r="Q91" s="1727">
        <f ca="1">_xlfn.XLOOKUP(NewTrader!$V91,TabCalc[Ticker],TabCalc[L_Bp])</f>
        <v>-76.94</v>
      </c>
      <c r="R91" s="1634">
        <f ca="1">(NewTrader!$Y91+NewTrader!$Q91)/ABS(NewTrader!$Q91)</f>
        <v>-0.17338185599168179</v>
      </c>
      <c r="S91" s="259">
        <f ca="1">INT(_xlfn.XLOOKUP(NewTrader!$V91,TabCalc[Ticker],TabCalc[Rev(MinStock)])*Comm_Net)</f>
        <v>-7962</v>
      </c>
      <c r="T91" s="1635">
        <f ca="1">_xlfn.XLOOKUP(NewTrader!$V91,TabCalc[Ticker],TabCalc[Agiotage])</f>
        <v>0.62150617808507302</v>
      </c>
      <c r="U91" s="1719"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264/264=&gt;0.5% / 0.5%</v>
      </c>
      <c r="V91" s="1578" t="str">
        <f ca="1">SORTING!B91</f>
        <v>XYZ</v>
      </c>
      <c r="W91" s="1637">
        <f ca="1">_xlfn.XLOOKUP(NewTrader!$V91,TabCalc[Ticker],TabCalc[Y])</f>
        <v>84.005260000000007</v>
      </c>
      <c r="X91" s="1639">
        <f ca="1">-_xlfn.XLOOKUP(NewTrader!$V91&amp;2,Consolid!B$3:JZ$3,Consolid!B$4:JZ$4)</f>
        <v>77.140043999999989</v>
      </c>
      <c r="Y91" s="1639">
        <f ca="1">_xlfn.XLOOKUP(NewTrader!$V91,TabCalc[Ticker],TabCalc[M])</f>
        <v>63.6</v>
      </c>
      <c r="Z91" s="1640">
        <f ca="1">_xlfn.XLOOKUP(NewTrader!$V91,[1]!RTData[Ticker_Symbol],[1]!RTData[YTChange])</f>
        <v>0.11044626569729016</v>
      </c>
      <c r="AA91" s="1640" cm="1">
        <f t="array" aca="1" ref="AA91" ca="1">_xlfn.XLOOKUP(NewTrader!$V91,ListTickers,Tab1ChangePercent[Change%19])</f>
        <v>4.8980000000000004E-3</v>
      </c>
      <c r="AB91" s="1641">
        <f ca="1">_xlfn.XLOOKUP(NewTrader!$V91,TabCalc[Ticker],TabCalc[NAfter])</f>
        <v>600</v>
      </c>
      <c r="AC91" s="1641">
        <f ca="1">_xlfn.XLOOKUP(NewTrader!$V91,TabCalc[Ticker],TabCalc[Nbegin])</f>
        <v>450</v>
      </c>
      <c r="AD91" s="1642" t="str">
        <f ca="1">_xlfn.LET(_xlpm.PILE,_xlfn.XLOOKUP(NewTrader!$V91,TabCalc[Ticker],TabCalc[Pile?]),                    _xlpm.GL,_xlfn.XLOOKUP(NewTrader!$V91,TabCalc[Ticker],TabCalc[GL]),                        _xlpm.GLK,_xlfn.XLOOKUP(NewTrader!$V91,TabCalc[Ticker],TabCalc[GL])/1000,                             _xlpm.MVal,_xlfn.XLOOKUP(NewTrader!$V91,TabCalc[Ticker],TabCalc[M_V])/1000,                   _xlpm.PILE&amp;" "&amp;IF(_xlpm.GL&lt;0,TEXT(_xlpm.GLK,"#,#0")&amp;"K /"&amp;TEXT(_xlpm.MVal,"#,#0")&amp;" K$","^"&amp;TEXT(_xlpm.GLK,"#,#0")&amp;"K / "&amp;TEXT(_xlpm.MVal,"#,#0")&amp;" K$"))</f>
        <v>Pile -170K /38 K$</v>
      </c>
      <c r="AE91" s="1643" t="str">
        <f ca="1">_xlfn.XLOOKUP(NewTrader!$V91,[1]!RTData[Ticker_Symbol],[1]!RTData[Currency])</f>
        <v>USD</v>
      </c>
      <c r="AF91" s="1696"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698" t="str" cm="1">
        <f t="array" aca="1" ref="AH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63.60 -  84.01</v>
      </c>
      <c r="AI9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91" s="1651" t="str" cm="1">
        <f t="array" aca="1" ref="AJ91" ca="1">_xlfn.IFS(Tab_NewTRADER[[#This Row],[State]]="Sell More",TEXT(MIN(Tab_NewTRADER[[#This Row],[N]],Tab_NewTRADER[[#This Row],[L_Bn]])*(Tab_NewTRADER[[#This Row],[M]]-Tab_NewTRADER[[#This Row],[L_Sp]])*Tab_NewTRADER[[#This Row],[Scale]]*ComFactor,"#,#0"), TRUE,"M= "&amp;TEXT(Tab_NewTRADER[[#This Row],[M]],"#,#0.00"))</f>
        <v>M= 63.60</v>
      </c>
      <c r="AK91" s="1699" t="str" cm="1">
        <f t="array" aca="1" ref="AK91" ca="1">_xlfn.IFS(Tab_NewTRADER[[#This Row],[Y]]&gt;Tab_NewTRADER[[#This Row],[A]],                 TEXT(MIN(Tab_NewTRADER[[#This Row],[L_Bn]],Tab_NewTRADER[[#This Row],[N]])*(Tab_NewTRADER[[#This Row],[M]]-Tab_NewTRADER[[#This Row],[A]])*Tab_NewTRADER[[#This Row],[Scale]]*ComFactor,"#,#0"), TRUE,0)</f>
        <v>-8,103</v>
      </c>
      <c r="AL91" s="1700" cm="1">
        <f t="array" aca="1" ref="AL91" ca="1">_xlfn.IFS(Tab_NewTRADER[[#This Row],[M]]&gt;Tab_NewTRADER[[#This Row],[A]],                  Tab_NewTRADER[[#This Row],[N]]*(Tab_NewTRADER[[#This Row],[M]]-Tab_NewTRADER[[#This Row],[A]])*Tab_NewTRADER[[#This Row],[Scale]]*ComFactor, TRUE,0)</f>
        <v>0</v>
      </c>
      <c r="AM91" s="1592" t="str">
        <f ca="1">_xlfn.XLOOKUP(Tab_NewTRADER[[#This Row],[Show]],TabCalc[Ticker],TabCalc[Max_Bn])&amp;" x "&amp;TEXT(_xlfn.XLOOKUP(Tab_NewTRADER[[#This Row],[Show]],TabCalc[Ticker],TabCalc[Max_Bp]),"#,#0.00")</f>
        <v>600 x 77.14</v>
      </c>
      <c r="AN91" s="1650" t="str">
        <f ca="1">NewTrader!$V91</f>
        <v>XYZ</v>
      </c>
      <c r="AO91" s="1651" t="str">
        <f ca="1">TEXT(_xlfn.XLOOKUP(Tab_NewTRADER[[#This Row],[ClickTick]],TabCalc[Ticker],TabCalc[NAfter]),"#,#0")&amp;"x"&amp;_xlfn.XLOOKUP(Tab_NewTRADER[[#This Row],[ClickTick]],TabCalc[Ticker],TabCalc[M])&amp;"           (A: "&amp;TEXT(-_xlfn.XLOOKUP(Tab_NewTRADER[[#This Row],[ClickTick]]&amp;2,Consolid!B$3:JZ$3,Consolid!B$4:JZ$4),"#,??0.00")&amp;")"</f>
        <v>600x63.6           (A:  77.14)</v>
      </c>
      <c r="AP91" s="1592" t="str">
        <f ca="1">_xlfn.XLOOKUP(Tab_NewTRADER[[#This Row],[Show]],TabCalc[Ticker],TabCalc[Min_Sn])&amp;" x "&amp;TEXT(_xlfn.XLOOKUP(Tab_NewTRADER[[#This Row],[Show]],TabCalc[Ticker],TabCalc[Min_Sp]),"#,#0.00")</f>
        <v>400 x 61.26</v>
      </c>
      <c r="AQ9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702" t="str" cm="1">
        <f t="array" aca="1" ref="AR91" ca="1">_xlfn.IFS(Tab_NewTRADER[[#This Row],[State]]="Reverse Buy",TEXT(-Tab_NewTRADER[[#This Row],[Buy_Back]],"#,#0")&amp;" / "&amp;TEXT(Tab_NewTRADER[[#This Row],[Rev_Buy]],"#,#0.0%"),TRUE,Tab_NewTRADER[[#This Row],[AMY]])</f>
        <v xml:space="preserve">  77.14 -  63.60 -  84.01</v>
      </c>
      <c r="AS91" s="1651"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7,983       / 21.0%</v>
      </c>
      <c r="AT91" s="1699"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-8,103   / -21.3%</v>
      </c>
      <c r="AU91" s="1699" t="str" cm="1">
        <f t="array" aca="1" ref="AU91" ca="1">_xlfn.IFS(Tab_NewTRADER[[#This Row],[M]]&lt;Tab_NewTRADER[[#This Row],[A]],TEXT(Tab_NewTRADER[[#This Row],[N]]*Tab_NewTRADER[[#This Row],[M]]*Tab_NewTRADER[[#This Row],[Scale]]*Comm_Net,"#,#0")&amp;" @ "&amp;TEXT(Tab_NewTRADER[[#This Row],[M]],"#,#0.#0"),TRUE,"M: "&amp; Tab_NewTRADER[[#This Row],[M]])</f>
        <v>38,057 @ 63.60</v>
      </c>
      <c r="AV91" s="1740" cm="1">
        <f t="array" aca="1" ref="AV91" ca="1">-_xlfn.XLOOKUP(
    Tab_NewTRADER[[#This Row],[Show]] &amp; 2,
    TabConsolid[#Headers],
    INDEX(TabConsolid[], 1, 0)
)</f>
        <v>77.140043999999989</v>
      </c>
      <c r="AW91" s="1741">
        <f ca="1">Tab_NewTRADER[[#This Row],[M]]*Tab_NewTRADER[[#This Row],[N]]*(1-Commission)*Tab_NewTRADER[[#This Row],[Scale]]</f>
        <v>38060.784</v>
      </c>
      <c r="AX91" s="1705"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705"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706" t="str" cm="1">
        <f t="array" aca="1" ref="AZ91" ca="1">_xlfn.IFS(   Tab_NewTRADER[[#This Row],[State]]=SellMorePercentGain,                     MIN(Tab_NewTRADER[[#This Row],[L_Sn]],Tab_NewTRADER[[#This Row],[N]])*(Tab_NewTRADER[[#This Row],[M]]-Tab_NewTRADER[[#This Row],[L_Sp]])*(1-Commission)*Tab_NewTRADER[[#This Row],[Scale]],                    TRUE,"")</f>
        <v/>
      </c>
      <c r="BA91" s="1707">
        <f ca="1">_xlfn.XLOOKUP(NewTrader!$V91,TabCalc[Ticker],TabCalc[Ann%RevLB])</f>
        <v>-0.75201768863861973</v>
      </c>
      <c r="BB91" s="1708">
        <f ca="1">_xlfn.XLOOKUP(NewTrader!$V91,TabCalc[Ticker],TabCalc[Up20])</f>
        <v>0</v>
      </c>
      <c r="BC91" s="1725"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706" t="str" cm="1">
        <f t="array" aca="1" ref="BD91" ca="1">_xlfn.IFS(         NewTrader!$AF91=MDown,NewTrader!$P91*NewTrader!$Y91*(-(NewTrader!$Q91+NewTrader!$Y91)/NewTrader!$Y91)*(1-Commission)*NewTrader!$A91,                               TRUE,"")</f>
        <v/>
      </c>
      <c r="BE91" s="1705" t="str" cm="1">
        <f t="array" aca="1" ref="BE91" ca="1">_xlfn.IFS(   NewTrader!$AF91=MUp,NewTrader!$BP91-Commission,        NewTrader!$AF91=MDown,(NewTrader!$X91-NewTrader!$Y91)/NewTrader!$Y91-Commission,                              TRUE,"")</f>
        <v/>
      </c>
      <c r="BF91" s="1710"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710" t="str" cm="1">
        <f t="array" aca="1" ref="BG91" ca="1">_xlfn.LET(_xlpm.SumChTxt,TEXT(_xlfn.XLOOKUP(NewTrader!$V91,ListTickers,Tab2SumChangePercent[AVGChan20]),"#0.0%"),
      _xlfn.IFS(NewTrader!$AF91=NoStock,_xlpm.SumChTxt,
      TRUE, IF(NewTrader!$AF91=SellMorePercentGain,             "SumChange "&amp;_xlpm.SumChTxt,                         "&lt;"&amp;INT(_xlfn.XLOOKUP(NewTrader!$V91,ListTickers,Tab2ReverseGL[Rev_GL19]))&amp;    "&lt;"&amp;INT(_xlfn.XLOOKUP(NewTrader!$V91,ListTickers,Tab2ReverseGL[Rev_GL18]))&amp;":      "&amp;_xlpm.SumChTxt)))</f>
        <v>&lt;-1&lt;-1:      1.1%</v>
      </c>
      <c r="BH91" s="1711"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-13.34</v>
      </c>
      <c r="BI91" s="1712" cm="1">
        <f t="array" aca="1" ref="BI91" ca="1">_xlfn.IFS(NewTrader!$AF91=Sale_Back,"",         NewTrader!$AF91=MDown, (NewTrader!$Y91-NewTrader!$X91)/NewTrader!$X91*ComFactor,             TRUE, IFERROR((NewTrader!$Y91-NewTrader!$X91)/NewTrader!$X91*ComFactor,""))</f>
        <v>-0.17506912344514591</v>
      </c>
      <c r="BJ91" s="1664" cm="1">
        <f t="array" aca="1" ref="BJ91" ca="1">_xlfn.IFS(               NewTrader!$AF91=NoStock,(NewTrader!$BL91-NewTrader!$Y91)/NewTrader!$Y91-Commission,             NewTrader!$X91&lt;&gt;0,(NewTrader!$X91-NewTrader!$Y91)/NewTrader!$Y91-Commission)</f>
        <v>0.21029377358490547</v>
      </c>
      <c r="BK91" s="1726">
        <f ca="1">_xlfn.XLOOKUP(NewTrader!$V91,TabCalc[Ticker],TabCalc[L_Sn])</f>
        <v>2000</v>
      </c>
      <c r="BL91" s="1727">
        <f ca="1">_xlfn.XLOOKUP(NewTrader!$V91,TabCalc[Ticker],TabCalc[L_Sp])</f>
        <v>61.26</v>
      </c>
      <c r="BM91" s="1634">
        <f ca="1">-IFERROR((Tab_NewTRADER[[#This Row],[M]]-Tab_NewTRADER[[#This Row],[L_Sp]])/Tab_NewTRADER[[#This Row],[L_Sp]],0)</f>
        <v>-3.8197845249755197E-2</v>
      </c>
      <c r="BN91" s="1728">
        <f ca="1">MIN(Tab_NewTRADER[[#This Row],[L_Sn]],Tab_NewTRADER[[#This Row],[N]])*(Tab_NewTRADER[[#This Row],[M]]-Tab_NewTRADER[[#This Row],[L_Sp]])*Comm_Net*Tab_NewTRADER[[#This Row],[Scale]]</f>
        <v>1400.2092000000021</v>
      </c>
      <c r="BO91" s="1715">
        <f ca="1">Tab_NewTRADER[[#This Row],[L_Sn]]*(Tab_NewTRADER[[#This Row],[Agiotage]]-Tab_NewTRADER[[#This Row],[M]])/(Tab_NewTRADER[[#This Row],[L_Bn]]*Tab_NewTRADER[[#This Row],[M]])</f>
        <v>-3.3007596342722714</v>
      </c>
      <c r="BP91" s="1670">
        <f ca="1">IFERROR((Tab_NewTRADER[[#This Row],[M]]-Tab_NewTRADER[[#This Row],[A]])/Tab_NewTRADER[[#This Row],[A]],0)</f>
        <v>-0.17552548971841381</v>
      </c>
      <c r="BQ91" s="1671" t="str">
        <f ca="1">TEXT(_xlfn.XLOOKUP(Tab_NewTRADER[[#This Row],[ClickTick]],TabCalc[Ticker],TabCalc[NAfter]),"#,#0")&amp;" : "&amp;TEXT(_xlfn.XLOOKUP(Tab_NewTRADER[[#This Row],[ClickTick]],TabCalc[Ticker],TabCalc[NAfter])*(Tab_NewTRADER[[#This Row],[M]]-Tab_NewTRADER[[#This Row],[A]])*(1-Commission)*Tab_NewTRADER[[#This Row],[Scale]],"#,#0$")</f>
        <v>600 : -8,103$</v>
      </c>
      <c r="BR91" s="259">
        <f ca="1">_xlfn.XLOOKUP(NewTrader!$V91,TabCalc[[#This Row],[Ticker]],TabCalc[[#This Row],[GL]])*(1-Commission)</f>
        <v>-169786.16727545232</v>
      </c>
      <c r="BS91" s="259"/>
      <c r="BT91" s="1672" t="str">
        <f ca="1">Tab_NewTRADER[[#This Row],[Show]]&amp;": "&amp;_xlfn.XLOOKUP(Tab_NewTRADER[[#This Row],[Show]],TabCalc[Ticker],TabCalc[Pile?])</f>
        <v>XYZ: Pile</v>
      </c>
      <c r="BU91" s="1717" t="s">
        <v>2018</v>
      </c>
      <c r="BV91" s="1674" t="str" cm="1">
        <f t="array" aca="1" ref="BV91" ca="1">_xlfn.TEXTJOIN("",,INDEX({"M","A","Y"}, _xlfn.SORTBY({1,2,3}, -CHOOSE({1,2,3}, Tab_NewTRADER[[#This Row],[M]], Tab_NewTRADER[[#This Row],[A]], Tab_NewTRADER[[#This Row],[Y]]))))</f>
        <v>YAM</v>
      </c>
      <c r="BW91" s="1675"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76" t="e">
        <f ca="1">Tab_NewTRADER[[#This Row],[L_Sn]]*Tab_NewTRADER[[#This Row],[L_Sp]]+Tab_NewTRADER[[#This Row],[SellMore]]*Tab_NewTRADER[[#This Row],[M]]</f>
        <v>#N/A</v>
      </c>
      <c r="BY91" s="1676" t="e">
        <f ca="1">INDEX(
  INDEX(TabConsolid[], , _xlfn.XMATCH(Tab_NewTRADER[[#This Row],[ClickTick]]&amp;1, TabConsolid[#Headers])),
  MATCH(
    -Tab_NewTRADER[[#This Row],[M]],
    INDEX(TabConsolid[], , _xlfn.XMATCH(Tab_NewTRADER[[#This Row],[ClickTick]]&amp;2, TabConsolid[#Headers])),
    -1
  )
)</f>
        <v>#N/A</v>
      </c>
      <c r="BZ91" s="1676"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77" t="e">
        <f ca="1">Tab_NewTRADER[[#This Row],[ReBuy]]/(Tab_NewTRADER[[#This Row],[L_Sn]]+Tab_NewTRADER[[#This Row],[SellMore]])</f>
        <v>#N/A</v>
      </c>
      <c r="CB91" s="1678">
        <f ca="1">((_xlfn.XLOOKUP(Tab_NewTRADER[[#This Row],[Show]],TabCalc[Ticker],TabCalc[NAfter])+Tab_NewTRADER[[#This Row],[L_Sn]])*(Tab_NewTRADER[[#This Row],[Agiotage]]-Tab_NewTRADER[[#This Row],[M]]))/(Tab_NewTRADER[[#This Row],[L_Sn]]*_xlfn.XLOOKUP(Tab_NewTRADER[[#This Row],[Show]],TabCalc[Ticker],TabCalc[NAfter]))</f>
        <v>-0.1364534032808157</v>
      </c>
      <c r="CC91" s="1677">
        <f ca="1">INDEX(Tab1Price[Price19], MATCH(Tab_NewTRADER[[#This Row],[Show]], Tab_NewTRADER[Show], 0))</f>
        <v>63.6</v>
      </c>
      <c r="CD91" s="1679">
        <f ca="1">_xlfn.XMATCH(Tab_NewTRADER[[#This Row],[Show]]&amp;1, TabConsolid[#Headers])</f>
        <v>269</v>
      </c>
      <c r="CE91" s="1678"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78" t="str" cm="1">
        <f t="array" aca="1" ref="CF91" ca="1">_xlfn.LET(
    _xlpm.FMT, _xlfn.LAMBDA(_xlpm.n, REPT(" ", 7 - LEN(TEXT(_xlpm.n,"0.00"))) &amp; TEXT(_xlpm.n,"0.00")),
    _xlpm.FMT(Tab_NewTRADER[[#This Row],[A]]) &amp; " -" &amp; _xlpm.FMT(Tab_NewTRADER[[#This Row],[M]]) &amp; " -" &amp; _xlpm.FMT(Tab_NewTRADER[[#This Row],[Y]])
)</f>
        <v xml:space="preserve">  77.14 -  63.60 -  84.01</v>
      </c>
      <c r="CG91" s="1680" t="str" cm="1">
        <f t="array" aca="1" ref="CG91" ca="1">_xlfn.LET(
    _xlpm.W, 7,
    _xlpm.FMT, _xlfn.LAMBDA(_xlpm.n, REPT(" ", _xlpm.W - LEN(TEXT(_xlpm.n,"0.00"))) &amp; TEXT(_xlpm.n,"0.00")),
    _xlpm.FMT(Tab_NewTRADER[[#This Row],[A]]) &amp; " * " &amp; _xlpm.FMT(Tab_NewTRADER[[#This Row],[M]]) &amp; " * " &amp; _xlpm.FMT(Tab_NewTRADER[[#This Row],[Y]])
)</f>
        <v xml:space="preserve">  77.14 *   63.60 *   84.01</v>
      </c>
      <c r="CH91" s="1842">
        <f>0</f>
        <v>0</v>
      </c>
      <c r="CI91" t="str">
        <f ca="1">IF(ABS(NewTrader!$Q91)&gt;=NewTrader!$Y91,"OK")</f>
        <v>OK</v>
      </c>
    </row>
    <row r="92" spans="1:87" ht="23" hidden="1" thickBot="1">
      <c r="A92" s="1839">
        <f ca="1">IF(_xlfn.XLOOKUP(NewTrader!$V92,TabCalc[Ticker],TabCalc[Cur])="GBp",0.01,1)</f>
        <v>1</v>
      </c>
      <c r="B92" s="1681" t="str">
        <f ca="1">IFERROR(TRUNC(_xlfn.XLOOKUP(NewTrader!$V92,TabCalc[Ticker],ListLastBuyp),2)&amp;"x"&amp;_xlfn.XLOOKUP(NewTrader!$V92,TabCalc[Ticker],ListLastBuyn)&amp;"=    "&amp;IF(_xlfn.XLOOKUP(NewTrader!$V92,TabCalc[Ticker],ListReverseS)&gt;0,"+","")&amp;TEXT(_xlfn.XLOOKUP(NewTrader!$V92,TabCalc[Ticker],ListReverseS),"#,#0")&amp;" "&amp;#REF!,"")</f>
        <v/>
      </c>
      <c r="C92" s="1682" t="str">
        <f ca="1">_xlfn.XLOOKUP(NewTrader!$V92,TabCalc[Ticker],ListResale)&amp;" @ "&amp;TEXT((_xlfn.XLOOKUP(NewTrader!$V92,TabCalc[Ticker],TabCalc[L_Bp])+_xlfn.XLOOKUP(NewTrader!$V92,TabCalc[Ticker],TabCalc[M]))/_xlfn.XLOOKUP(NewTrader!$V92,TabCalc[Ticker],TabCalc[M]),"#0.0%")</f>
        <v>Sell @ -1.8%</v>
      </c>
      <c r="D92" s="1683"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84" t="str">
        <f ca="1">IF(      AND(NewTrader!$X92&lt;NewTrader!$Y92,    _xlfn.XLOOKUP(NewTrader!$V92,TabCalc[Ticker],TabCalc[L_Sp])&gt;NewTrader!$Y92),"BUY  "&amp;TEXT(DesiredBuyGain/NewTrader!$A92/(_xlfn.XLOOKUP(NewTrader!$V92,TabCalc[Ticker],TabCalc[L_Sp])-NewTrader!$Y92),"#,##0"),"")</f>
        <v>BUY  720</v>
      </c>
      <c r="F92" s="1681" t="str">
        <f ca="1">TRUNC(TabCalc[[#This Row],[L_B1p]],2)&amp;"x"&amp;TabCalc[[#This Row],[L_B1n]]&amp;"=   "&amp;TEXT(TabCalc[[#This Row],[ReverseS1]],"#,#0")&amp;"$"</f>
        <v>-152.18x1000=   45,415$</v>
      </c>
      <c r="G92" s="1685" t="str">
        <f ca="1">IFERROR(TRUNC(_xlfn.XLOOKUP(NewTrader!$V92,TabCalc[Ticker],ListLastSalep),2)&amp;"x"&amp;_xlfn.XLOOKUP(NewTrader!$V92,TabCalc[Ticker],ListLastSalen)&amp;"=   "&amp;TEXT(-_xlfn.XLOOKUP(NewTrader!$V92,TabCalc[Ticker],ListReverseB),"#,#0")&amp;"$","")</f>
        <v>204.54x1000=   -6,945$</v>
      </c>
      <c r="H92" s="1686"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3.5% = 720</v>
      </c>
      <c r="I92" s="1681" t="str">
        <f ca="1">IFERROR(TRUNC(TabCalc[[#This Row],[L_S1p]],2)&amp;"x"&amp;TabCalc[[#This Row],[L_S1n]]&amp;"=   "&amp;TEXT(TabCalc[[#This Row],[ReverseB1]],"#,#0"),"")</f>
        <v>194.28x250=   -829</v>
      </c>
      <c r="J92" s="1687">
        <f ca="1">_xlfn.XLOOKUP(NewTrader!$V92,TabCalc[Ticker],ListGravity)</f>
        <v>1.1859274273134441</v>
      </c>
      <c r="K92" s="1688" t="str" cm="1">
        <f t="array" aca="1" ref="K92" ca="1">IF(_xlfn.XLOOKUP(NewTrader!$V92,NewTrader!$V$3:$V$96,ListExtra_n)&gt;0,_xlfn.XLOOKUP(NewTrader!$V92,NewTrader!$V$3:$V$96,ListExtra_n),"")</f>
        <v/>
      </c>
      <c r="L92" s="1689" t="str">
        <f ca="1">IF(_xlfn.XLOOKUP(NewTrader!$V92,TabCalc[Ticker],ListExtra_n)&gt;0,_xlfn.XLOOKUP(NewTrader!$V92,TabCalc[Ticker],ListExtra_n)*NewTrader!$Y92*_xlfn.XLOOKUP(NewTrader!$V92,TabCalc[Ticker],ListScale),"")</f>
        <v/>
      </c>
      <c r="M92" s="1690">
        <f ca="1">_xlfn.XLOOKUP(NewTrader!$V92,TabCalc[Ticker],TabCalc[Agiotage])</f>
        <v>0.79188085697408961</v>
      </c>
      <c r="N92" s="1691" cm="1">
        <f t="array" aca="1" ref="N92" ca="1">_xlfn.XLOOKUP(NewTrader!$V92,ListTickers,Tab2RSIConventional[RSIConv20])</f>
        <v>31</v>
      </c>
      <c r="O92" s="1631" t="str">
        <f ca="1">TEXT(_xlfn.XLOOKUP(NewTrader!$V92,TabCalc[Ticker],TabCalc[Nbegin]),"#,#0")&amp;": "&amp;_xlfn.XLOOKUP(NewTrader!$V92,TabCalc[Ticker],TabCalc[Pile?])</f>
        <v>2,000: Pile</v>
      </c>
      <c r="P92" s="1691">
        <f ca="1">_xlfn.XLOOKUP(NewTrader!$V92,TabCalc[Ticker],TabCalc[L_Bn])</f>
        <v>300</v>
      </c>
      <c r="Q92" s="1731">
        <f ca="1">_xlfn.XLOOKUP(NewTrader!$V92,TabCalc[Ticker],TabCalc[L_Bp])</f>
        <v>-201.24</v>
      </c>
      <c r="R92" s="1694">
        <f ca="1">(NewTrader!$Y92+NewTrader!$Q92)/ABS(NewTrader!$Q92)</f>
        <v>-1.8112701252236185E-2</v>
      </c>
      <c r="S92" s="262">
        <f ca="1">INT(_xlfn.XLOOKUP(NewTrader!$V92,TabCalc[Ticker],TabCalc[Rev(MinStock)])*Comm_Net)</f>
        <v>-1089</v>
      </c>
      <c r="T92" s="1635">
        <f ca="1">_xlfn.XLOOKUP(NewTrader!$V92,TabCalc[Ticker],TabCalc[Agiotage])</f>
        <v>0.79188085697408961</v>
      </c>
      <c r="U92" s="1695"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-113/-113=&gt;0.1% / 0.1%</v>
      </c>
      <c r="V92" s="1578" t="str">
        <f ca="1">SORTING!B92</f>
        <v>THC</v>
      </c>
      <c r="W92" s="1637">
        <f ca="1">_xlfn.XLOOKUP(NewTrader!$V92,TabCalc[Ticker],TabCalc[Y])</f>
        <v>234.33332999999999</v>
      </c>
      <c r="X92" s="1639">
        <f ca="1">-_xlfn.XLOOKUP(NewTrader!$V92&amp;2,Consolid!B$3:JZ$3,Consolid!B$4:JZ$4)</f>
        <v>160.89850793399998</v>
      </c>
      <c r="Y92" s="1639">
        <f ca="1">_xlfn.XLOOKUP(NewTrader!$V92,TabCalc[Ticker],TabCalc[M])</f>
        <v>197.595</v>
      </c>
      <c r="Z92" s="1640">
        <f ca="1">_xlfn.XLOOKUP(NewTrader!$V92,[1]!RTData[Ticker_Symbol],[1]!RTData[YTChange])</f>
        <v>0.32234823091247661</v>
      </c>
      <c r="AA92" s="1640" cm="1">
        <f t="array" aca="1" ref="AA92" ca="1">_xlfn.XLOOKUP(NewTrader!$V92,ListTickers,Tab1ChangePercent[Change%19])</f>
        <v>6.3299999999999999E-4</v>
      </c>
      <c r="AB92" s="1641">
        <f ca="1">_xlfn.XLOOKUP(NewTrader!$V92,TabCalc[Ticker],TabCalc[NAfter])</f>
        <v>1500</v>
      </c>
      <c r="AC92" s="1641">
        <f ca="1">_xlfn.XLOOKUP(NewTrader!$V92,TabCalc[Ticker],TabCalc[Nbegin])</f>
        <v>2000</v>
      </c>
      <c r="AD92" s="1642" t="str">
        <f ca="1">_xlfn.LET(_xlpm.PILE,_xlfn.XLOOKUP(NewTrader!$V92,TabCalc[Ticker],TabCalc[Pile?]),                    _xlpm.GL,_xlfn.XLOOKUP(NewTrader!$V92,TabCalc[Ticker],TabCalc[GL]),                        _xlpm.GLK,_xlfn.XLOOKUP(NewTrader!$V92,TabCalc[Ticker],TabCalc[GL])/1000,                             _xlpm.MVal,_xlfn.XLOOKUP(NewTrader!$V92,TabCalc[Ticker],TabCalc[M_V])/1000,                   _xlpm.PILE&amp;" "&amp;IF(_xlpm.GL&lt;0,TEXT(_xlpm.GLK,"#,#0")&amp;"K /"&amp;TEXT(_xlpm.MVal,"#,#0")&amp;" K$","^"&amp;TEXT(_xlpm.GLK,"#,#0")&amp;"K / "&amp;TEXT(_xlpm.MVal,"#,#0")&amp;" K$"))</f>
        <v>Pile ^288K / 296 K$</v>
      </c>
      <c r="AE92" s="1643" t="str">
        <f ca="1">_xlfn.XLOOKUP(NewTrader!$V92,[1]!RTData[Ticker_Symbol],[1]!RTData[Currency])</f>
        <v>USD</v>
      </c>
      <c r="AF92" s="1696"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698" t="str" cm="1">
        <f t="array" aca="1" ref="AH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160.90 - 197.60 - 234.33</v>
      </c>
      <c r="AI9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2" s="1651" t="str" cm="1">
        <f t="array" aca="1" ref="AJ92" ca="1">_xlfn.IFS(Tab_NewTRADER[[#This Row],[State]]="Sell More",TEXT(MIN(Tab_NewTRADER[[#This Row],[N]],Tab_NewTRADER[[#This Row],[L_Bn]])*(Tab_NewTRADER[[#This Row],[M]]-Tab_NewTRADER[[#This Row],[L_Sp]])*Tab_NewTRADER[[#This Row],[Scale]]*ComFactor,"#,#0"), TRUE,"M= "&amp;TEXT(Tab_NewTRADER[[#This Row],[M]],"#,#0.00"))</f>
        <v>M= 197.60</v>
      </c>
      <c r="AK92" s="1699" t="str" cm="1">
        <f t="array" aca="1" ref="AK92" ca="1">_xlfn.IFS(Tab_NewTRADER[[#This Row],[Y]]&gt;Tab_NewTRADER[[#This Row],[A]],                 TEXT(MIN(Tab_NewTRADER[[#This Row],[L_Bn]],Tab_NewTRADER[[#This Row],[N]])*(Tab_NewTRADER[[#This Row],[M]]-Tab_NewTRADER[[#This Row],[A]])*Tab_NewTRADER[[#This Row],[Scale]]*ComFactor,"#,#0"), TRUE,0)</f>
        <v>10,980</v>
      </c>
      <c r="AL92" s="1700" cm="1">
        <f t="array" aca="1" ref="AL92" ca="1">_xlfn.IFS(Tab_NewTRADER[[#This Row],[M]]&gt;Tab_NewTRADER[[#This Row],[A]],                  Tab_NewTRADER[[#This Row],[N]]*(Tab_NewTRADER[[#This Row],[M]]-Tab_NewTRADER[[#This Row],[A]])*Tab_NewTRADER[[#This Row],[Scale]]*ComFactor, TRUE,0)</f>
        <v>54901.62177994263</v>
      </c>
      <c r="AM92" s="1592" t="str">
        <f ca="1">_xlfn.XLOOKUP(Tab_NewTRADER[[#This Row],[Show]],TabCalc[Ticker],TabCalc[Max_Bn])&amp;" x "&amp;TEXT(_xlfn.XLOOKUP(Tab_NewTRADER[[#This Row],[Show]],TabCalc[Ticker],TabCalc[Max_Bp]),"#,#0.00")</f>
        <v>300 x 201.24</v>
      </c>
      <c r="AN92" s="1650" t="str">
        <f ca="1">NewTrader!$V92</f>
        <v>THC</v>
      </c>
      <c r="AO92" s="1651" t="str">
        <f ca="1">TEXT(_xlfn.XLOOKUP(Tab_NewTRADER[[#This Row],[ClickTick]],TabCalc[Ticker],TabCalc[NAfter]),"#,#0")&amp;"x"&amp;_xlfn.XLOOKUP(Tab_NewTRADER[[#This Row],[ClickTick]],TabCalc[Ticker],TabCalc[M])&amp;"           (A: "&amp;TEXT(-_xlfn.XLOOKUP(Tab_NewTRADER[[#This Row],[ClickTick]]&amp;2,Consolid!B$3:JZ$3,Consolid!B$4:JZ$4),"#,??0.00")&amp;")"</f>
        <v>1,500x197.595           (A: 160.90)</v>
      </c>
      <c r="AP92" s="1592" t="str">
        <f ca="1">_xlfn.XLOOKUP(Tab_NewTRADER[[#This Row],[Show]],TabCalc[Ticker],TabCalc[Min_Sn])&amp;" x "&amp;TEXT(_xlfn.XLOOKUP(Tab_NewTRADER[[#This Row],[Show]],TabCalc[Ticker],TabCalc[Min_Sp]),"#,#0.00")</f>
        <v>200 x 80.45</v>
      </c>
      <c r="AQ9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702" t="str" cm="1">
        <f t="array" aca="1" ref="AR92" ca="1">_xlfn.IFS(Tab_NewTRADER[[#This Row],[State]]="Reverse Buy",TEXT(-Tab_NewTRADER[[#This Row],[Buy_Back]],"#,#0")&amp;" / "&amp;TEXT(Tab_NewTRADER[[#This Row],[Rev_Buy]],"#,#0.0%"),TRUE,Tab_NewTRADER[[#This Row],[AMY]])</f>
        <v xml:space="preserve"> 160.90 - 197.60 - 234.33</v>
      </c>
      <c r="AS92" s="1651"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99"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99" t="str" cm="1">
        <f t="array" aca="1" ref="AU92" ca="1">_xlfn.IFS(Tab_NewTRADER[[#This Row],[M]]&lt;Tab_NewTRADER[[#This Row],[A]],TEXT(Tab_NewTRADER[[#This Row],[N]]*Tab_NewTRADER[[#This Row],[M]]*Tab_NewTRADER[[#This Row],[Scale]]*Comm_Net,"#,#0")&amp;" @ "&amp;TEXT(Tab_NewTRADER[[#This Row],[M]],"#,#0.#0"),TRUE,"M: "&amp; Tab_NewTRADER[[#This Row],[M]])</f>
        <v>M: 197.595</v>
      </c>
      <c r="AV92" s="1703" cm="1">
        <f t="array" aca="1" ref="AV92" ca="1">-_xlfn.XLOOKUP(
    Tab_NewTRADER[[#This Row],[Show]] &amp; 2,
    TabConsolid[#Headers],
    INDEX(TabConsolid[], 1, 0)
)</f>
        <v>160.89850793399998</v>
      </c>
      <c r="AW92" s="1704">
        <f ca="1">Tab_NewTRADER[[#This Row],[M]]*Tab_NewTRADER[[#This Row],[N]]*(1-Commission)*Tab_NewTRADER[[#This Row],[Scale]]</f>
        <v>295621.87949999998</v>
      </c>
      <c r="AX92" s="1705"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705"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706" t="str" cm="1">
        <f t="array" aca="1" ref="AZ92" ca="1">_xlfn.IFS(   Tab_NewTRADER[[#This Row],[State]]=SellMorePercentGain,                     MIN(Tab_NewTRADER[[#This Row],[L_Sn]],Tab_NewTRADER[[#This Row],[N]])*(Tab_NewTRADER[[#This Row],[M]]-Tab_NewTRADER[[#This Row],[L_Sp]])*(1-Commission)*Tab_NewTRADER[[#This Row],[Scale]],                    TRUE,"")</f>
        <v/>
      </c>
      <c r="BA92" s="1707">
        <f ca="1">_xlfn.XLOOKUP(NewTrader!$V92,TabCalc[Ticker],TabCalc[Ann%RevLB])</f>
        <v>-0.10188394454382854</v>
      </c>
      <c r="BB92" s="1746">
        <f ca="1">_xlfn.XLOOKUP(NewTrader!$V92,TabCalc[Ticker],TabCalc[Up20])</f>
        <v>0</v>
      </c>
      <c r="BC92" s="1709"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706" t="str" cm="1">
        <f t="array" aca="1" ref="BD92" ca="1">_xlfn.IFS(         NewTrader!$AF92=MDown,NewTrader!$P92*NewTrader!$Y92*(-(NewTrader!$Q92+NewTrader!$Y92)/NewTrader!$Y92)*(1-Commission)*NewTrader!$A92,                               TRUE,"")</f>
        <v/>
      </c>
      <c r="BE92" s="1705" t="str" cm="1">
        <f t="array" aca="1" ref="BE92" ca="1">_xlfn.IFS(   NewTrader!$AF92=MUp,NewTrader!$BP92-Commission,        NewTrader!$AF92=MDown,(NewTrader!$X92-NewTrader!$Y92)/NewTrader!$Y92-Commission,                              TRUE,"")</f>
        <v/>
      </c>
      <c r="BF92" s="1710"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710" t="str" cm="1">
        <f t="array" aca="1" ref="BG92" ca="1">_xlfn.LET(_xlpm.SumChTxt,TEXT(_xlfn.XLOOKUP(NewTrader!$V92,ListTickers,Tab2SumChangePercent[AVGChan20]),"#0.0%"),
      _xlfn.IFS(NewTrader!$AF92=NoStock,_xlpm.SumChTxt,
      TRUE, IF(NewTrader!$AF92=SellMorePercentGain,             "SumChange "&amp;_xlpm.SumChTxt,                         "&lt;"&amp;INT(_xlfn.XLOOKUP(NewTrader!$V92,ListTickers,Tab2ReverseGL[Rev_GL19]))&amp;    "&lt;"&amp;INT(_xlfn.XLOOKUP(NewTrader!$V92,ListTickers,Tab2ReverseGL[Rev_GL18]))&amp;":      "&amp;_xlpm.SumChTxt)))</f>
        <v>&lt;-1&lt;-1:      -0.5%</v>
      </c>
      <c r="BH92" s="1711"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-3.64</v>
      </c>
      <c r="BI92" s="1712" cm="1">
        <f t="array" aca="1" ref="BI92" ca="1">_xlfn.IFS(NewTrader!$AF92=Sale_Back,"",         NewTrader!$AF92=MDown, (NewTrader!$Y92-NewTrader!$X92)/NewTrader!$X92*ComFactor,             TRUE, IFERROR((NewTrader!$Y92-NewTrader!$X92)/NewTrader!$X92*ComFactor,""))</f>
        <v>0.22747930764927948</v>
      </c>
      <c r="BJ92" s="1664" cm="1">
        <f t="array" aca="1" ref="BJ92" ca="1">_xlfn.IFS(               NewTrader!$AF92=NoStock,(NewTrader!$BL92-NewTrader!$Y92)/NewTrader!$Y92-Commission,             NewTrader!$X92&lt;&gt;0,(NewTrader!$X92-NewTrader!$Y92)/NewTrader!$Y92-Commission)</f>
        <v>-0.18831569152053451</v>
      </c>
      <c r="BK92" s="1713">
        <f ca="1">_xlfn.XLOOKUP(NewTrader!$V92,TabCalc[Ticker],TabCalc[L_Sn])</f>
        <v>1000</v>
      </c>
      <c r="BL92" s="1693">
        <f ca="1">_xlfn.XLOOKUP(NewTrader!$V92,TabCalc[Ticker],TabCalc[L_Sp])</f>
        <v>204.54</v>
      </c>
      <c r="BM92" s="1694">
        <f ca="1">-IFERROR((Tab_NewTRADER[[#This Row],[M]]-Tab_NewTRADER[[#This Row],[L_Sp]])/Tab_NewTRADER[[#This Row],[L_Sp]],0)</f>
        <v>3.395423877970076E-2</v>
      </c>
      <c r="BN92" s="1714">
        <f ca="1">MIN(Tab_NewTRADER[[#This Row],[L_Sn]],Tab_NewTRADER[[#This Row],[N]])*(Tab_NewTRADER[[#This Row],[M]]-Tab_NewTRADER[[#This Row],[L_Sp]])*Comm_Net*Tab_NewTRADER[[#This Row],[Scale]]</f>
        <v>-6926.2484999999924</v>
      </c>
      <c r="BO92" s="1715">
        <f ca="1">Tab_NewTRADER[[#This Row],[L_Sn]]*(Tab_NewTRADER[[#This Row],[Agiotage]]-Tab_NewTRADER[[#This Row],[M]])/(Tab_NewTRADER[[#This Row],[L_Bn]]*Tab_NewTRADER[[#This Row],[M]])</f>
        <v>-3.3199746812592408</v>
      </c>
      <c r="BP92" s="1716">
        <f ca="1">IFERROR((Tab_NewTRADER[[#This Row],[M]]-Tab_NewTRADER[[#This Row],[A]])/Tab_NewTRADER[[#This Row],[A]],0)</f>
        <v>0.228072295617886</v>
      </c>
      <c r="BQ92" s="1671" t="str">
        <f ca="1">TEXT(_xlfn.XLOOKUP(Tab_NewTRADER[[#This Row],[ClickTick]],TabCalc[Ticker],TabCalc[NAfter]),"#,#0")&amp;" : "&amp;TEXT(_xlfn.XLOOKUP(Tab_NewTRADER[[#This Row],[ClickTick]],TabCalc[Ticker],TabCalc[NAfter])*(Tab_NewTRADER[[#This Row],[M]]-Tab_NewTRADER[[#This Row],[A]])*(1-Commission)*Tab_NewTRADER[[#This Row],[Scale]],"#,#0$")</f>
        <v>1,500 : 54,902$</v>
      </c>
      <c r="BR92" s="262">
        <f ca="1">_xlfn.XLOOKUP(NewTrader!$V92,TabCalc[[#This Row],[Ticker]],TabCalc[[#This Row],[GL]])*(1-Commission)</f>
        <v>287223.05300311156</v>
      </c>
      <c r="BS92" s="262"/>
      <c r="BT92" s="1672" t="str">
        <f ca="1">Tab_NewTRADER[[#This Row],[Show]]&amp;": "&amp;_xlfn.XLOOKUP(Tab_NewTRADER[[#This Row],[Show]],TabCalc[Ticker],TabCalc[Pile?])</f>
        <v>THC: Pile</v>
      </c>
      <c r="BU92" s="1717" t="s">
        <v>2019</v>
      </c>
      <c r="BV92" s="1674" t="str" cm="1">
        <f t="array" aca="1" ref="BV92" ca="1">_xlfn.TEXTJOIN("",,INDEX({"M","A","Y"}, _xlfn.SORTBY({1,2,3}, -CHOOSE({1,2,3}, Tab_NewTRADER[[#This Row],[M]], Tab_NewTRADER[[#This Row],[A]], Tab_NewTRADER[[#This Row],[Y]]))))</f>
        <v>YMA</v>
      </c>
      <c r="BW92" s="1675"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76">
        <f ca="1">Tab_NewTRADER[[#This Row],[L_Sn]]*Tab_NewTRADER[[#This Row],[L_Sp]]+Tab_NewTRADER[[#This Row],[SellMore]]*Tab_NewTRADER[[#This Row],[M]]</f>
        <v>402135</v>
      </c>
      <c r="BY92" s="1676">
        <f ca="1">INDEX(
  INDEX(TabConsolid[], , _xlfn.XMATCH(Tab_NewTRADER[[#This Row],[ClickTick]]&amp;1, TabConsolid[#Headers])),
  MATCH(
    -Tab_NewTRADER[[#This Row],[M]],
    INDEX(TabConsolid[], , _xlfn.XMATCH(Tab_NewTRADER[[#This Row],[ClickTick]]&amp;2, TabConsolid[#Headers])),
    -1
  )
)</f>
        <v>1000</v>
      </c>
      <c r="BZ92" s="1676"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77">
        <f ca="1">Tab_NewTRADER[[#This Row],[ReBuy]]/(Tab_NewTRADER[[#This Row],[L_Sn]]+Tab_NewTRADER[[#This Row],[SellMore]])</f>
        <v>201.0675</v>
      </c>
      <c r="CB92" s="1678">
        <f ca="1">((_xlfn.XLOOKUP(Tab_NewTRADER[[#This Row],[Show]],TabCalc[Ticker],TabCalc[NAfter])+Tab_NewTRADER[[#This Row],[L_Sn]])*(Tab_NewTRADER[[#This Row],[Agiotage]]-Tab_NewTRADER[[#This Row],[M]]))/(Tab_NewTRADER[[#This Row],[L_Sn]]*_xlfn.XLOOKUP(Tab_NewTRADER[[#This Row],[Show]],TabCalc[Ticker],TabCalc[NAfter]))</f>
        <v>-0.32800519857170984</v>
      </c>
      <c r="CC92" s="1677">
        <f ca="1">INDEX(Tab1Price[Price19], MATCH(Tab_NewTRADER[[#This Row],[Show]], Tab_NewTRADER[Show], 0))</f>
        <v>197.595</v>
      </c>
      <c r="CD92" s="1679">
        <f ca="1">_xlfn.XMATCH(Tab_NewTRADER[[#This Row],[Show]]&amp;1, TabConsolid[#Headers])</f>
        <v>272</v>
      </c>
      <c r="CE92" s="1678"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78" t="str" cm="1">
        <f t="array" aca="1" ref="CF92" ca="1">_xlfn.LET(
    _xlpm.FMT, _xlfn.LAMBDA(_xlpm.n, REPT(" ", 7 - LEN(TEXT(_xlpm.n,"0.00"))) &amp; TEXT(_xlpm.n,"0.00")),
    _xlpm.FMT(Tab_NewTRADER[[#This Row],[A]]) &amp; " -" &amp; _xlpm.FMT(Tab_NewTRADER[[#This Row],[M]]) &amp; " -" &amp; _xlpm.FMT(Tab_NewTRADER[[#This Row],[Y]])
)</f>
        <v xml:space="preserve"> 160.90 - 197.60 - 234.33</v>
      </c>
      <c r="CG92" s="1680" t="str" cm="1">
        <f t="array" aca="1" ref="CG92" ca="1">_xlfn.LET(
    _xlpm.W, 7,
    _xlpm.FMT, _xlfn.LAMBDA(_xlpm.n, REPT(" ", _xlpm.W - LEN(TEXT(_xlpm.n,"0.00"))) &amp; TEXT(_xlpm.n,"0.00")),
    _xlpm.FMT(Tab_NewTRADER[[#This Row],[A]]) &amp; " * " &amp; _xlpm.FMT(Tab_NewTRADER[[#This Row],[M]]) &amp; " * " &amp; _xlpm.FMT(Tab_NewTRADER[[#This Row],[Y]])
)</f>
        <v xml:space="preserve"> 160.90 *  197.60 *  234.33</v>
      </c>
      <c r="CH92" s="1842">
        <f>0</f>
        <v>0</v>
      </c>
      <c r="CI92" t="str">
        <f ca="1">IF(ABS(NewTrader!$Q92)&gt;=NewTrader!$Y92,"OK")</f>
        <v>OK</v>
      </c>
    </row>
    <row r="93" spans="1:87" ht="23" thickBot="1">
      <c r="A93" s="1838">
        <f ca="1">IF(_xlfn.XLOOKUP(NewTrader!$V93,TabCalc[Ticker],TabCalc[Cur])="GBp",0.01,1)</f>
        <v>1</v>
      </c>
      <c r="B93" s="1620" t="str">
        <f ca="1">IFERROR(TRUNC(_xlfn.XLOOKUP(NewTrader!$V93,TabCalc[Ticker],ListLastBuyp),2)&amp;"x"&amp;_xlfn.XLOOKUP(NewTrader!$V93,TabCalc[Ticker],ListLastBuyn)&amp;"=    "&amp;IF(_xlfn.XLOOKUP(NewTrader!$V93,TabCalc[Ticker],ListReverseS)&gt;0,"+","")&amp;TEXT(_xlfn.XLOOKUP(NewTrader!$V93,TabCalc[Ticker],ListReverseS),"#,#0")&amp;" "&amp;#REF!,"")</f>
        <v/>
      </c>
      <c r="C93" s="1621" t="str">
        <f ca="1">_xlfn.XLOOKUP(NewTrader!$V93,TabCalc[Ticker],ListResale)&amp;" @ "&amp;TEXT((_xlfn.XLOOKUP(NewTrader!$V93,TabCalc[Ticker],TabCalc[L_Bp])+_xlfn.XLOOKUP(NewTrader!$V93,TabCalc[Ticker],TabCalc[M]))/_xlfn.XLOOKUP(NewTrader!$V93,TabCalc[Ticker],TabCalc[M]),"#0.0%")</f>
        <v>Resell @ 43.5%</v>
      </c>
      <c r="D93" s="1622"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718" t="str">
        <f ca="1">IF(      AND(NewTrader!$X93&lt;NewTrader!$Y93,    _xlfn.XLOOKUP(NewTrader!$V93,TabCalc[Ticker],TabCalc[L_Sp])&gt;NewTrader!$Y93),"BUY  "&amp;TEXT(DesiredBuyGain/NewTrader!$A93/(_xlfn.XLOOKUP(NewTrader!$V93,TabCalc[Ticker],TabCalc[L_Sp])-NewTrader!$Y93),"#,##0"),"")</f>
        <v/>
      </c>
      <c r="F93" s="1620" t="str">
        <f ca="1">TRUNC(TabCalc[[#This Row],[L_B1p]],2)&amp;"x"&amp;TabCalc[[#This Row],[L_B1n]]&amp;"=   "&amp;TEXT(TabCalc[[#This Row],[ReverseS1]],"#,#0")&amp;"$"</f>
        <v>-31.38x1400=   235$</v>
      </c>
      <c r="G93" s="1624" t="str">
        <f ca="1">IFERROR(TRUNC(_xlfn.XLOOKUP(NewTrader!$V93,TabCalc[Ticker],ListLastSalep),2)&amp;"x"&amp;_xlfn.XLOOKUP(NewTrader!$V93,TabCalc[Ticker],ListLastSalen)&amp;"=   "&amp;TEXT(-_xlfn.XLOOKUP(NewTrader!$V93,TabCalc[Ticker],ListReverseB),"#,#0")&amp;"$","")</f>
        <v>36.08x1590=   29,828$</v>
      </c>
      <c r="H93" s="1625"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620" t="str">
        <f ca="1">IFERROR(TRUNC(TabCalc[[#This Row],[L_S1p]],2)&amp;"x"&amp;TabCalc[[#This Row],[L_S1n]]&amp;"=   "&amp;TEXT(TabCalc[[#This Row],[ReverseB1]],"#,#0"),"")</f>
        <v>34.06x1600=   -33,248</v>
      </c>
      <c r="J93" s="1626">
        <f ca="1">_xlfn.XLOOKUP(NewTrader!$V93,TabCalc[Ticker],ListGravity)</f>
        <v>0</v>
      </c>
      <c r="K93" s="1627" t="str" cm="1">
        <f t="array" aca="1" ref="K93" ca="1">IF(_xlfn.XLOOKUP(NewTrader!$V93,NewTrader!$V$3:$V$96,ListExtra_n)&gt;0,_xlfn.XLOOKUP(NewTrader!$V93,NewTrader!$V$3:$V$96,ListExtra_n),"")</f>
        <v/>
      </c>
      <c r="L93" s="1628" t="str">
        <f ca="1">IF(_xlfn.XLOOKUP(NewTrader!$V93,TabCalc[Ticker],ListExtra_n)&gt;0,_xlfn.XLOOKUP(NewTrader!$V93,TabCalc[Ticker],ListExtra_n)*NewTrader!$Y93*_xlfn.XLOOKUP(NewTrader!$V93,TabCalc[Ticker],ListScale),"")</f>
        <v/>
      </c>
      <c r="M93" s="1629">
        <f ca="1">_xlfn.XLOOKUP(NewTrader!$V93,TabCalc[Ticker],TabCalc[Agiotage])</f>
        <v>7.2077806511077887E-5</v>
      </c>
      <c r="N93" s="1630" t="e" cm="1">
        <f t="array" aca="1" ref="N93" ca="1">_xlfn.XLOOKUP(NewTrader!$V93,ListTickers,Tab2RSIConventional[RSIConv20])</f>
        <v>#DIV/0!</v>
      </c>
      <c r="O93" s="1631" t="str">
        <f ca="1">TEXT(_xlfn.XLOOKUP(NewTrader!$V93,TabCalc[Ticker],TabCalc[Nbegin]),"#,#0")&amp;": "&amp;_xlfn.XLOOKUP(NewTrader!$V93,TabCalc[Ticker],TabCalc[Pile?])</f>
        <v>3,200: Pile</v>
      </c>
      <c r="P93" s="1632">
        <f ca="1">_xlfn.XLOOKUP(NewTrader!$V93,TabCalc[Ticker],TabCalc[L_Bn])</f>
        <v>1800</v>
      </c>
      <c r="Q93" s="1727">
        <f ca="1">_xlfn.XLOOKUP(NewTrader!$V93,TabCalc[Ticker],TabCalc[L_Bp])</f>
        <v>-30.957205999999999</v>
      </c>
      <c r="R93" s="1634">
        <f ca="1">(NewTrader!$Y93+NewTrader!$Q93)/ABS(NewTrader!$Q93)</f>
        <v>0.77147769730898852</v>
      </c>
      <c r="S93" s="259">
        <f ca="1">INT(_xlfn.XLOOKUP(NewTrader!$V93,TabCalc[Ticker],TabCalc[Rev(MinStock)])*Comm_Net)</f>
        <v>237</v>
      </c>
      <c r="T93" s="1635">
        <f ca="1">_xlfn.XLOOKUP(NewTrader!$V93,TabCalc[Ticker],TabCalc[Agiotage])</f>
        <v>7.2077806511077887E-5</v>
      </c>
      <c r="U93" s="1719"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78" t="str">
        <f ca="1">SORTING!B93</f>
        <v>X</v>
      </c>
      <c r="W93" s="1637">
        <f ca="1">_xlfn.XLOOKUP(NewTrader!$V93,TabCalc[Ticker],TabCalc[Y])</f>
        <v>0</v>
      </c>
      <c r="X93" s="1639">
        <f ca="1">-_xlfn.XLOOKUP(NewTrader!$V93&amp;2,Consolid!B$3:JZ$3,Consolid!B$4:JZ$4)</f>
        <v>31.037694735599995</v>
      </c>
      <c r="Y93" s="1639">
        <f ca="1">_xlfn.XLOOKUP(NewTrader!$V93,TabCalc[Ticker],TabCalc[M])</f>
        <v>54.84</v>
      </c>
      <c r="Z93" s="1640">
        <f ca="1">_xlfn.XLOOKUP(NewTrader!$V93,[1]!RTData[Ticker_Symbol],[1]!RTData[YTChange])</f>
        <v>0</v>
      </c>
      <c r="AA93" s="1640" cm="1">
        <f t="array" aca="1" ref="AA93" ca="1">_xlfn.XLOOKUP(NewTrader!$V93,ListTickers,Tab1ChangePercent[Change%19])</f>
        <v>0</v>
      </c>
      <c r="AB93" s="1641">
        <f ca="1">_xlfn.XLOOKUP(NewTrader!$V93,TabCalc[Ticker],TabCalc[NAfter])</f>
        <v>10</v>
      </c>
      <c r="AC93" s="1641">
        <f ca="1">_xlfn.XLOOKUP(NewTrader!$V93,TabCalc[Ticker],TabCalc[Nbegin])</f>
        <v>3200</v>
      </c>
      <c r="AD93" s="1642" t="str">
        <f ca="1">_xlfn.LET(_xlpm.PILE,_xlfn.XLOOKUP(NewTrader!$V93,TabCalc[Ticker],TabCalc[Pile?]),                    _xlpm.GL,_xlfn.XLOOKUP(NewTrader!$V93,TabCalc[Ticker],TabCalc[GL]),                        _xlpm.GLK,_xlfn.XLOOKUP(NewTrader!$V93,TabCalc[Ticker],TabCalc[GL])/1000,                             _xlpm.MVal,_xlfn.XLOOKUP(NewTrader!$V93,TabCalc[Ticker],TabCalc[M_V])/1000,                   _xlpm.PILE&amp;" "&amp;IF(_xlpm.GL&lt;0,TEXT(_xlpm.GLK,"#,#0")&amp;"K /"&amp;TEXT(_xlpm.MVal,"#,#0")&amp;" K$","^"&amp;TEXT(_xlpm.GLK,"#,#0")&amp;"K / "&amp;TEXT(_xlpm.MVal,"#,#0")&amp;" K$"))</f>
        <v>Pile ^60K / 1 K$</v>
      </c>
      <c r="AE93" s="1643" t="str">
        <f ca="1">_xlfn.XLOOKUP(NewTrader!$V93,[1]!RTData[Ticker_Symbol],[1]!RTData[Currency])</f>
        <v>USD</v>
      </c>
      <c r="AF93" s="1721"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733" t="str" cm="1">
        <f t="array" aca="1" ref="AH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739" t="str" cm="1">
        <f t="array" aca="1" ref="AJ93" ca="1">_xlfn.IFS(Tab_NewTRADER[[#This Row],[State]]="Sell More",TEXT(MIN(Tab_NewTRADER[[#This Row],[N]],Tab_NewTRADER[[#This Row],[L_Bn]])*(Tab_NewTRADER[[#This Row],[M]]-Tab_NewTRADER[[#This Row],[L_Sp]])*Tab_NewTRADER[[#This Row],[Scale]]*ComFactor,"#,#0"), TRUE,"M= "&amp;TEXT(Tab_NewTRADER[[#This Row],[M]],"#,#0.00"))</f>
        <v>187</v>
      </c>
      <c r="AK93" s="1699" cm="1">
        <f t="array" aca="1" ref="AK93" ca="1">_xlfn.IFS(Tab_NewTRADER[[#This Row],[Y]]&gt;Tab_NewTRADER[[#This Row],[A]],                 TEXT(MIN(Tab_NewTRADER[[#This Row],[L_Bn]],Tab_NewTRADER[[#This Row],[N]])*(Tab_NewTRADER[[#This Row],[M]]-Tab_NewTRADER[[#This Row],[A]])*Tab_NewTRADER[[#This Row],[Scale]]*ComFactor,"#,#0"), TRUE,0)</f>
        <v>0</v>
      </c>
      <c r="AL93" s="1700" cm="1">
        <f t="array" aca="1" ref="AL93" ca="1">_xlfn.IFS(Tab_NewTRADER[[#This Row],[M]]&gt;Tab_NewTRADER[[#This Row],[A]],                  Tab_NewTRADER[[#This Row],[N]]*(Tab_NewTRADER[[#This Row],[M]]-Tab_NewTRADER[[#This Row],[A]])*Tab_NewTRADER[[#This Row],[Scale]]*ComFactor, TRUE,0)</f>
        <v>237.40419270712567</v>
      </c>
      <c r="AM93" s="1592" t="str">
        <f ca="1">_xlfn.XLOOKUP(Tab_NewTRADER[[#This Row],[Show]],TabCalc[Ticker],TabCalc[Max_Bn])&amp;" x "&amp;TEXT(_xlfn.XLOOKUP(Tab_NewTRADER[[#This Row],[Show]],TabCalc[Ticker],TabCalc[Max_Bp]),"#,#0.00")</f>
        <v>10 x 31.04</v>
      </c>
      <c r="AN93" s="1650" t="str">
        <f ca="1">NewTrader!$V93</f>
        <v>X</v>
      </c>
      <c r="AO93" s="1651" t="str">
        <f ca="1">TEXT(_xlfn.XLOOKUP(Tab_NewTRADER[[#This Row],[ClickTick]],TabCalc[Ticker],TabCalc[NAfter]),"#,#0")&amp;"x"&amp;_xlfn.XLOOKUP(Tab_NewTRADER[[#This Row],[ClickTick]],TabCalc[Ticker],TabCalc[M])&amp;"           (A: "&amp;TEXT(-_xlfn.XLOOKUP(Tab_NewTRADER[[#This Row],[ClickTick]]&amp;2,Consolid!B$3:JZ$3,Consolid!B$4:JZ$4),"#,??0.00")&amp;")"</f>
        <v>10x54.84           (A:  31.04)</v>
      </c>
      <c r="AP93" s="1592" t="str">
        <f ca="1">_xlfn.XLOOKUP(Tab_NewTRADER[[#This Row],[Show]],TabCalc[Ticker],TabCalc[Min_Sn])&amp;" x "&amp;TEXT(_xlfn.XLOOKUP(Tab_NewTRADER[[#This Row],[Show]],TabCalc[Ticker],TabCalc[Min_Sp]),"#,#0.00")</f>
        <v>500 x 33.00</v>
      </c>
      <c r="AQ9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702" t="str" cm="1">
        <f t="array" aca="1" ref="AR93" ca="1">_xlfn.IFS(Tab_NewTRADER[[#This Row],[State]]="Reverse Buy",TEXT(-Tab_NewTRADER[[#This Row],[Buy_Back]],"#,#0")&amp;" / "&amp;TEXT(Tab_NewTRADER[[#This Row],[Rev_Buy]],"#,#0.0%"),TRUE,Tab_NewTRADER[[#This Row],[AMY]])</f>
        <v xml:space="preserve">  31.04 -  54.84 -   0.00</v>
      </c>
      <c r="AS93" s="1651"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99"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99" t="str" cm="1">
        <f t="array" aca="1" ref="AU93" ca="1">_xlfn.IFS(Tab_NewTRADER[[#This Row],[M]]&lt;Tab_NewTRADER[[#This Row],[A]],TEXT(Tab_NewTRADER[[#This Row],[N]]*Tab_NewTRADER[[#This Row],[M]]*Tab_NewTRADER[[#This Row],[Scale]]*Comm_Net,"#,#0")&amp;" @ "&amp;TEXT(Tab_NewTRADER[[#This Row],[M]],"#,#0.#0"),TRUE,"M: "&amp; Tab_NewTRADER[[#This Row],[M]])</f>
        <v>M: 54.84</v>
      </c>
      <c r="AV93" s="1740" cm="1">
        <f t="array" aca="1" ref="AV93" ca="1">-_xlfn.XLOOKUP(
    Tab_NewTRADER[[#This Row],[Show]] &amp; 2,
    TabConsolid[#Headers],
    INDEX(TabConsolid[], 1, 0)
)</f>
        <v>31.037694735599995</v>
      </c>
      <c r="AW93" s="1741">
        <f ca="1">Tab_NewTRADER[[#This Row],[M]]*Tab_NewTRADER[[#This Row],[N]]*(1-Commission)*Tab_NewTRADER[[#This Row],[Scale]]</f>
        <v>546.9741600000001</v>
      </c>
      <c r="AX93" s="1705"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705"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706" t="str" cm="1">
        <f t="array" aca="1" ref="AZ93" ca="1">_xlfn.IFS(   Tab_NewTRADER[[#This Row],[State]]=SellMorePercentGain,                     MIN(Tab_NewTRADER[[#This Row],[L_Sn]],Tab_NewTRADER[[#This Row],[N]])*(Tab_NewTRADER[[#This Row],[M]]-Tab_NewTRADER[[#This Row],[L_Sp]])*(1-Commission)*Tab_NewTRADER[[#This Row],[Scale]],                    TRUE,"")</f>
        <v/>
      </c>
      <c r="BA93" s="1707">
        <f ca="1">_xlfn.XLOOKUP(NewTrader!$V93,TabCalc[Ticker],TabCalc[Ann%RevLB])</f>
        <v>0.81208178664104047</v>
      </c>
      <c r="BB93" s="1708">
        <f ca="1">_xlfn.XLOOKUP(NewTrader!$V93,TabCalc[Ticker],TabCalc[Up20])</f>
        <v>0</v>
      </c>
      <c r="BC93" s="1725"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706" t="str" cm="1">
        <f t="array" aca="1" ref="BD93" ca="1">_xlfn.IFS(         NewTrader!$AF93=MDown,NewTrader!$P93*NewTrader!$Y93*(-(NewTrader!$Q93+NewTrader!$Y93)/NewTrader!$Y93)*(1-Commission)*NewTrader!$A93,                               TRUE,"")</f>
        <v/>
      </c>
      <c r="BE93" s="1705" t="str" cm="1">
        <f t="array" aca="1" ref="BE93" ca="1">_xlfn.IFS(   NewTrader!$AF93=MUp,NewTrader!$BP93-Commission,        NewTrader!$AF93=MDown,(NewTrader!$X93-NewTrader!$Y93)/NewTrader!$Y93-Commission,                              TRUE,"")</f>
        <v/>
      </c>
      <c r="BF93" s="1710"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710" t="str" cm="1">
        <f t="array" aca="1" ref="BG93" ca="1">_xlfn.LET(_xlpm.SumChTxt,TEXT(_xlfn.XLOOKUP(NewTrader!$V93,ListTickers,Tab2SumChangePercent[AVGChan20]),"#0.0%"),
      _xlfn.IFS(NewTrader!$AF93=NoStock,_xlpm.SumChTxt,
      TRUE, IF(NewTrader!$AF93=SellMorePercentGain,             "SumChange "&amp;_xlpm.SumChTxt,                         "&lt;"&amp;INT(_xlfn.XLOOKUP(NewTrader!$V93,ListTickers,Tab2ReverseGL[Rev_GL19]))&amp;    "&lt;"&amp;INT(_xlfn.XLOOKUP(NewTrader!$V93,ListTickers,Tab2ReverseGL[Rev_GL18]))&amp;":      "&amp;_xlpm.SumChTxt)))</f>
        <v>&lt;-1&lt;-1:      0.0%</v>
      </c>
      <c r="BH93" s="1711"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712" cm="1">
        <f t="array" aca="1" ref="BI93" ca="1">_xlfn.IFS(NewTrader!$AF93=Sale_Back,"",         NewTrader!$AF93=MDown, (NewTrader!$Y93-NewTrader!$X93)/NewTrader!$X93*ComFactor,             TRUE, IFERROR((NewTrader!$Y93-NewTrader!$X93)/NewTrader!$X93*ComFactor,""))</f>
        <v>0.76488990155195036</v>
      </c>
      <c r="BJ93" s="1664" cm="1">
        <f t="array" aca="1" ref="BJ93" ca="1">_xlfn.IFS(               NewTrader!$AF93=NoStock,(NewTrader!$BL93-NewTrader!$Y93)/NewTrader!$Y93-Commission,             NewTrader!$X93&lt;&gt;0,(NewTrader!$X93-NewTrader!$Y93)/NewTrader!$Y93-Commission)</f>
        <v>-0.43663182466083161</v>
      </c>
      <c r="BK93" s="1726">
        <f ca="1">_xlfn.XLOOKUP(NewTrader!$V93,TabCalc[Ticker],TabCalc[L_Sn])</f>
        <v>1590</v>
      </c>
      <c r="BL93" s="1727">
        <f ca="1">_xlfn.XLOOKUP(NewTrader!$V93,TabCalc[Ticker],TabCalc[L_Sp])</f>
        <v>36.08</v>
      </c>
      <c r="BM93" s="1634">
        <f ca="1">-IFERROR((Tab_NewTRADER[[#This Row],[M]]-Tab_NewTRADER[[#This Row],[L_Sp]])/Tab_NewTRADER[[#This Row],[L_Sp]],0)</f>
        <v>-0.51995565410199573</v>
      </c>
      <c r="BN93" s="1728">
        <f ca="1">MIN(Tab_NewTRADER[[#This Row],[L_Sn]],Tab_NewTRADER[[#This Row],[N]])*(Tab_NewTRADER[[#This Row],[M]]-Tab_NewTRADER[[#This Row],[L_Sp]])*Comm_Net*Tab_NewTRADER[[#This Row],[Scale]]</f>
        <v>187.09348000000006</v>
      </c>
      <c r="BO93" s="1715">
        <f ca="1">Tab_NewTRADER[[#This Row],[L_Sn]]*(Tab_NewTRADER[[#This Row],[Agiotage]]-Tab_NewTRADER[[#This Row],[M]])/(Tab_NewTRADER[[#This Row],[L_Bn]]*Tab_NewTRADER[[#This Row],[M]])</f>
        <v>-0.88333217234264982</v>
      </c>
      <c r="BP93" s="1670">
        <f ca="1">IFERROR((Tab_NewTRADER[[#This Row],[M]]-Tab_NewTRADER[[#This Row],[A]])/Tab_NewTRADER[[#This Row],[A]],0)</f>
        <v>0.76688379943046958</v>
      </c>
      <c r="BQ93" s="1671"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Row],[GL]])*(1-Commission)</f>
        <v>60203.38493707632</v>
      </c>
      <c r="BS93" s="259"/>
      <c r="BT93" s="1672" t="str">
        <f ca="1">Tab_NewTRADER[[#This Row],[Show]]&amp;": "&amp;_xlfn.XLOOKUP(Tab_NewTRADER[[#This Row],[Show]],TabCalc[Ticker],TabCalc[Pile?])</f>
        <v>X: Pile</v>
      </c>
      <c r="BU93" s="1717" t="s">
        <v>2020</v>
      </c>
      <c r="BV93" s="1674" t="str" cm="1">
        <f t="array" aca="1" ref="BV93" ca="1">_xlfn.TEXTJOIN("",,INDEX({"M","A","Y"}, _xlfn.SORTBY({1,2,3}, -CHOOSE({1,2,3}, Tab_NewTRADER[[#This Row],[M]], Tab_NewTRADER[[#This Row],[A]], Tab_NewTRADER[[#This Row],[Y]]))))</f>
        <v>MAY</v>
      </c>
      <c r="BW93" s="1675"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76">
        <f ca="1">Tab_NewTRADER[[#This Row],[L_Sn]]*Tab_NewTRADER[[#This Row],[L_Sp]]+Tab_NewTRADER[[#This Row],[SellMore]]*Tab_NewTRADER[[#This Row],[M]]</f>
        <v>57915.6</v>
      </c>
      <c r="BY93" s="1676">
        <f ca="1">INDEX(
  INDEX(TabConsolid[], , _xlfn.XMATCH(Tab_NewTRADER[[#This Row],[ClickTick]]&amp;1, TabConsolid[#Headers])),
  MATCH(
    -Tab_NewTRADER[[#This Row],[M]],
    INDEX(TabConsolid[], , _xlfn.XMATCH(Tab_NewTRADER[[#This Row],[ClickTick]]&amp;2, TabConsolid[#Headers])),
    -1
  )
)</f>
        <v>10</v>
      </c>
      <c r="BZ93" s="1676"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77">
        <f ca="1">Tab_NewTRADER[[#This Row],[ReBuy]]/(Tab_NewTRADER[[#This Row],[L_Sn]]+Tab_NewTRADER[[#This Row],[SellMore]])</f>
        <v>36.197249999999997</v>
      </c>
      <c r="CB93" s="1678">
        <f ca="1">((_xlfn.XLOOKUP(Tab_NewTRADER[[#This Row],[Show]],TabCalc[Ticker],TabCalc[NAfter])+Tab_NewTRADER[[#This Row],[L_Sn]])*(Tab_NewTRADER[[#This Row],[Agiotage]]-Tab_NewTRADER[[#This Row],[M]]))/(Tab_NewTRADER[[#This Row],[L_Sn]]*_xlfn.XLOOKUP(Tab_NewTRADER[[#This Row],[Show]],TabCalc[Ticker],TabCalc[NAfter]))</f>
        <v>-5.5184833129251309</v>
      </c>
      <c r="CC93" s="1677">
        <f ca="1">INDEX(Tab1Price[Price19], MATCH(Tab_NewTRADER[[#This Row],[Show]], Tab_NewTRADER[Show], 0))</f>
        <v>54.84</v>
      </c>
      <c r="CD93" s="1679">
        <f ca="1">_xlfn.XMATCH(Tab_NewTRADER[[#This Row],[Show]]&amp;1, TabConsolid[#Headers])</f>
        <v>275</v>
      </c>
      <c r="CE93" s="1678"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78" t="str" cm="1">
        <f t="array" aca="1" ref="CF93" ca="1">_xlfn.LET(
    _xlpm.FMT, _xlfn.LAMBDA(_xlpm.n, REPT(" ", 7 - LEN(TEXT(_xlpm.n,"0.00"))) &amp; TEXT(_xlpm.n,"0.00")),
    _xlpm.FMT(Tab_NewTRADER[[#This Row],[A]]) &amp; " -" &amp; _xlpm.FMT(Tab_NewTRADER[[#This Row],[M]]) &amp; " -" &amp; _xlpm.FMT(Tab_NewTRADER[[#This Row],[Y]])
)</f>
        <v xml:space="preserve">  31.04 -  54.84 -   0.00</v>
      </c>
      <c r="CG93" s="1680"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42">
        <f>0</f>
        <v>0</v>
      </c>
      <c r="CI93" t="b">
        <f ca="1">IF(ABS(NewTrader!$Q93)&gt;=NewTrader!$Y93,"OK")</f>
        <v>0</v>
      </c>
    </row>
    <row r="94" spans="1:87" ht="23" hidden="1" thickBot="1">
      <c r="A94" s="1839">
        <f ca="1">IF(_xlfn.XLOOKUP(NewTrader!$V94,TabCalc[Ticker],TabCalc[Cur])="GBp",0.01,1)</f>
        <v>1</v>
      </c>
      <c r="B94" s="1681" t="str">
        <f ca="1">IFERROR(TRUNC(_xlfn.XLOOKUP(NewTrader!$V94,TabCalc[Ticker],ListLastBuyp),2)&amp;"x"&amp;_xlfn.XLOOKUP(NewTrader!$V94,TabCalc[Ticker],ListLastBuyn)&amp;"=    "&amp;IF(_xlfn.XLOOKUP(NewTrader!$V94,TabCalc[Ticker],ListReverseS)&gt;0,"+","")&amp;TEXT(_xlfn.XLOOKUP(NewTrader!$V94,TabCalc[Ticker],ListReverseS),"#,#0")&amp;" "&amp;#REF!,"")</f>
        <v/>
      </c>
      <c r="C94" s="1682" t="str">
        <f ca="1">_xlfn.XLOOKUP(NewTrader!$V94,TabCalc[Ticker],ListResale)&amp;" @ "&amp;TEXT((_xlfn.XLOOKUP(NewTrader!$V94,TabCalc[Ticker],TabCalc[L_Bp])+_xlfn.XLOOKUP(NewTrader!$V94,TabCalc[Ticker],TabCalc[M]))/_xlfn.XLOOKUP(NewTrader!$V94,TabCalc[Ticker],TabCalc[M]),"#0.0%")</f>
        <v>Resell @ 48.3%</v>
      </c>
      <c r="D94" s="1683"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1,002/77,100=10,353</v>
      </c>
      <c r="E94" s="1684" t="str">
        <f ca="1">IF(      AND(NewTrader!$X94&lt;NewTrader!$Y94,    _xlfn.XLOOKUP(NewTrader!$V94,TabCalc[Ticker],TabCalc[L_Sp])&gt;NewTrader!$Y94),"BUY  "&amp;TEXT(DesiredBuyGain/NewTrader!$A94/(_xlfn.XLOOKUP(NewTrader!$V94,TabCalc[Ticker],TabCalc[L_Sp])-NewTrader!$Y94),"#,##0"),"")</f>
        <v/>
      </c>
      <c r="F94" s="1681" t="str">
        <f ca="1">TRUNC(TabCalc[[#This Row],[L_B1p]],2)&amp;"x"&amp;TabCalc[[#This Row],[L_B1n]]&amp;"=   "&amp;TEXT(TabCalc[[#This Row],[ReverseS1]],"#,#0")&amp;"$"</f>
        <v>0x0=   0$</v>
      </c>
      <c r="G94" s="1685" t="str">
        <f ca="1">IFERROR(TRUNC(_xlfn.XLOOKUP(NewTrader!$V94,TabCalc[Ticker],ListLastSalep),2)&amp;"x"&amp;_xlfn.XLOOKUP(NewTrader!$V94,TabCalc[Ticker],ListLastSalen)&amp;"=   "&amp;TEXT(-_xlfn.XLOOKUP(NewTrader!$V94,TabCalc[Ticker],ListReverseB),"#,#0")&amp;"$","")</f>
        <v>0x0=   0$</v>
      </c>
      <c r="H94" s="1686"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81" t="str">
        <f ca="1">IFERROR(TRUNC(TabCalc[[#This Row],[L_S1p]],2)&amp;"x"&amp;TabCalc[[#This Row],[L_S1n]]&amp;"=   "&amp;TEXT(TabCalc[[#This Row],[ReverseB1]],"#,#0"),"")</f>
        <v>0x0=   0</v>
      </c>
      <c r="J94" s="1687">
        <f ca="1">_xlfn.XLOOKUP(NewTrader!$V94,TabCalc[Ticker],ListGravity)</f>
        <v>0</v>
      </c>
      <c r="K94" s="1688" t="str" cm="1">
        <f t="array" aca="1" ref="K94" ca="1">IF(_xlfn.XLOOKUP(NewTrader!$V94,NewTrader!$V$3:$V$96,ListExtra_n)&gt;0,_xlfn.XLOOKUP(NewTrader!$V94,NewTrader!$V$3:$V$96,ListExtra_n),"")</f>
        <v/>
      </c>
      <c r="L94" s="1689" t="str">
        <f ca="1">IF(_xlfn.XLOOKUP(NewTrader!$V94,TabCalc[Ticker],ListExtra_n)&gt;0,_xlfn.XLOOKUP(NewTrader!$V94,TabCalc[Ticker],ListExtra_n)*NewTrader!$Y94*_xlfn.XLOOKUP(NewTrader!$V94,TabCalc[Ticker],ListScale),"")</f>
        <v/>
      </c>
      <c r="M94" s="1690">
        <f ca="1">_xlfn.XLOOKUP(NewTrader!$V94,TabCalc[Ticker],TabCalc[Agiotage])</f>
        <v>1</v>
      </c>
      <c r="N94" s="1691" cm="1">
        <f t="array" aca="1" ref="N94" ca="1">_xlfn.XLOOKUP(NewTrader!$V94,ListTickers,Tab2RSIConventional[RSIConv20])</f>
        <v>56</v>
      </c>
      <c r="O94" s="1631" t="str">
        <f ca="1">TEXT(_xlfn.XLOOKUP(NewTrader!$V94,TabCalc[Ticker],TabCalc[Nbegin]),"#,#0")&amp;": "&amp;_xlfn.XLOOKUP(NewTrader!$V94,TabCalc[Ticker],TabCalc[Pile?])</f>
        <v>77,100: Pile</v>
      </c>
      <c r="P94" s="1692">
        <f ca="1">_xlfn.XLOOKUP(NewTrader!$V94,TabCalc[Ticker],TabCalc[L_Bn])</f>
        <v>77100</v>
      </c>
      <c r="Q94" s="1693">
        <f ca="1">_xlfn.XLOOKUP(NewTrader!$V94,TabCalc[Ticker],TabCalc[L_Bp])</f>
        <v>-5.34</v>
      </c>
      <c r="R94" s="1694">
        <f ca="1">(NewTrader!$Y94+NewTrader!$Q94)/ABS(NewTrader!$Q94)</f>
        <v>0.93408239700374529</v>
      </c>
      <c r="S94" s="262">
        <f ca="1">INT(_xlfn.XLOOKUP(NewTrader!$V94,TabCalc[Ticker],TabCalc[Rev(MinStock)])*Comm_Net)</f>
        <v>382500</v>
      </c>
      <c r="T94" s="1635">
        <f ca="1">_xlfn.XLOOKUP(NewTrader!$V94,TabCalc[Ticker],TabCalc[Agiotage])</f>
        <v>1</v>
      </c>
      <c r="U94" s="1695"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6,939/6,939=&gt;0.9% / 0.9%</v>
      </c>
      <c r="V94" s="1578" t="str">
        <f ca="1">SORTING!B94</f>
        <v>LOCK</v>
      </c>
      <c r="W94" s="1637">
        <f ca="1">_xlfn.XLOOKUP(NewTrader!$V94,TabCalc[Ticker],TabCalc[Y])</f>
        <v>0</v>
      </c>
      <c r="X94" s="1639">
        <f ca="1">-_xlfn.XLOOKUP(NewTrader!$V94&amp;2,Consolid!B$3:JZ$3,Consolid!B$4:JZ$4)</f>
        <v>5.3538839999999999</v>
      </c>
      <c r="Y94" s="1639">
        <f ca="1">_xlfn.XLOOKUP(NewTrader!$V94,TabCalc[Ticker],TabCalc[M])</f>
        <v>10.327999999999999</v>
      </c>
      <c r="Z94" s="1640">
        <f ca="1">_xlfn.XLOOKUP(NewTrader!$V94,[1]!RTData[Ticker_Symbol],[1]!RTData[YTChange])</f>
        <v>0</v>
      </c>
      <c r="AA94" s="1640" cm="1">
        <f t="array" aca="1" ref="AA94" ca="1">_xlfn.XLOOKUP(NewTrader!$V94,ListTickers,Tab1ChangePercent[Change%19])</f>
        <v>8.9880000000000012E-3</v>
      </c>
      <c r="AB94" s="1641">
        <f ca="1">_xlfn.XLOOKUP(NewTrader!$V94,TabCalc[Ticker],TabCalc[NAfter])</f>
        <v>77100</v>
      </c>
      <c r="AC94" s="1641">
        <f ca="1">_xlfn.XLOOKUP(NewTrader!$V94,TabCalc[Ticker],TabCalc[Nbegin])</f>
        <v>77100</v>
      </c>
      <c r="AD94" s="1642" t="str">
        <f ca="1">_xlfn.LET(_xlpm.PILE,_xlfn.XLOOKUP(NewTrader!$V94,TabCalc[Ticker],TabCalc[Pile?]),                    _xlpm.GL,_xlfn.XLOOKUP(NewTrader!$V94,TabCalc[Ticker],TabCalc[GL]),                        _xlpm.GLK,_xlfn.XLOOKUP(NewTrader!$V94,TabCalc[Ticker],TabCalc[GL])/1000,                             _xlpm.MVal,_xlfn.XLOOKUP(NewTrader!$V94,TabCalc[Ticker],TabCalc[M_V])/1000,                   _xlpm.PILE&amp;" "&amp;IF(_xlpm.GL&lt;0,TEXT(_xlpm.GLK,"#,#0")&amp;"K /"&amp;TEXT(_xlpm.MVal,"#,#0")&amp;" K$","^"&amp;TEXT(_xlpm.GLK,"#,#0")&amp;"K / "&amp;TEXT(_xlpm.MVal,"#,#0")&amp;" K$"))</f>
        <v>Pile ^379K / 794 K$</v>
      </c>
      <c r="AE94" s="1643" t="str">
        <f ca="1">_xlfn.XLOOKUP(NewTrader!$V94,[1]!RTData[Ticker_Symbol],[1]!RTData[Currency])</f>
        <v>USD</v>
      </c>
      <c r="AF94" s="1721"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646" t="str" cm="1">
        <f t="array" aca="1" ref="AH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382,500 @ 10.33 : (48.3%, 25.9%)</v>
      </c>
      <c r="AI9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94" s="1651" t="str" cm="1">
        <f t="array" aca="1" ref="AJ94" ca="1">_xlfn.IFS(Tab_NewTRADER[[#This Row],[State]]="Sell More",TEXT(MIN(Tab_NewTRADER[[#This Row],[N]],Tab_NewTRADER[[#This Row],[L_Bn]])*(Tab_NewTRADER[[#This Row],[M]]-Tab_NewTRADER[[#This Row],[L_Sp]])*Tab_NewTRADER[[#This Row],[Scale]]*ComFactor,"#,#0"), TRUE,"M= "&amp;TEXT(Tab_NewTRADER[[#This Row],[M]],"#,#0.00"))</f>
        <v>M= 10.33</v>
      </c>
      <c r="AK94" s="1699" cm="1">
        <f t="array" aca="1" ref="AK94" ca="1">_xlfn.IFS(Tab_NewTRADER[[#This Row],[Y]]&gt;Tab_NewTRADER[[#This Row],[A]],                 TEXT(MIN(Tab_NewTRADER[[#This Row],[L_Bn]],Tab_NewTRADER[[#This Row],[N]])*(Tab_NewTRADER[[#This Row],[M]]-Tab_NewTRADER[[#This Row],[A]])*Tab_NewTRADER[[#This Row],[Scale]]*ComFactor,"#,#0"), TRUE,0)</f>
        <v>0</v>
      </c>
      <c r="AL94" s="1700" cm="1">
        <f t="array" aca="1" ref="AL94" ca="1">_xlfn.IFS(Tab_NewTRADER[[#This Row],[M]]&gt;Tab_NewTRADER[[#This Row],[A]],                  Tab_NewTRADER[[#This Row],[N]]*(Tab_NewTRADER[[#This Row],[M]]-Tab_NewTRADER[[#This Row],[A]])*Tab_NewTRADER[[#This Row],[Scale]]*ComFactor, TRUE,0)</f>
        <v>382507.23230663995</v>
      </c>
      <c r="AM94" s="1592" t="str">
        <f ca="1">_xlfn.XLOOKUP(Tab_NewTRADER[[#This Row],[Show]],TabCalc[Ticker],TabCalc[Max_Bn])&amp;" x "&amp;TEXT(_xlfn.XLOOKUP(Tab_NewTRADER[[#This Row],[Show]],TabCalc[Ticker],TabCalc[Max_Bp]),"#,#0.00")</f>
        <v>77100 x 5.35</v>
      </c>
      <c r="AN94" s="1650" t="str">
        <f ca="1">NewTrader!$V94</f>
        <v>LOCK</v>
      </c>
      <c r="AO94" s="1651" t="str">
        <f ca="1">TEXT(_xlfn.XLOOKUP(Tab_NewTRADER[[#This Row],[ClickTick]],TabCalc[Ticker],TabCalc[NAfter]),"#,#0")&amp;"x"&amp;_xlfn.XLOOKUP(Tab_NewTRADER[[#This Row],[ClickTick]],TabCalc[Ticker],TabCalc[M])&amp;"           (A: "&amp;TEXT(-_xlfn.XLOOKUP(Tab_NewTRADER[[#This Row],[ClickTick]]&amp;2,Consolid!B$3:JZ$3,Consolid!B$4:JZ$4),"#,??0.00")&amp;")"</f>
        <v>77,100x10.328           (A:   5.35)</v>
      </c>
      <c r="AP94" s="1592" t="str">
        <f ca="1">_xlfn.XLOOKUP(Tab_NewTRADER[[#This Row],[Show]],TabCalc[Ticker],TabCalc[Min_Sn])&amp;" x "&amp;TEXT(_xlfn.XLOOKUP(Tab_NewTRADER[[#This Row],[Show]],TabCalc[Ticker],TabCalc[Min_Sp]),"#,#0.00")</f>
        <v>0 x 0.00</v>
      </c>
      <c r="AQ9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702" t="str" cm="1">
        <f t="array" aca="1" ref="AR94" ca="1">_xlfn.IFS(Tab_NewTRADER[[#This Row],[State]]="Reverse Buy",TEXT(-Tab_NewTRADER[[#This Row],[Buy_Back]],"#,#0")&amp;" / "&amp;TEXT(Tab_NewTRADER[[#This Row],[Rev_Buy]],"#,#0.0%"),TRUE,Tab_NewTRADER[[#This Row],[AMY]])</f>
        <v xml:space="preserve">   5.35 -  10.33 -   0.00</v>
      </c>
      <c r="AS94" s="1651"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99"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99" t="str" cm="1">
        <f t="array" aca="1" ref="AU94" ca="1">_xlfn.IFS(Tab_NewTRADER[[#This Row],[M]]&lt;Tab_NewTRADER[[#This Row],[A]],TEXT(Tab_NewTRADER[[#This Row],[N]]*Tab_NewTRADER[[#This Row],[M]]*Tab_NewTRADER[[#This Row],[Scale]]*Comm_Net,"#,#0")&amp;" @ "&amp;TEXT(Tab_NewTRADER[[#This Row],[M]],"#,#0.#0"),TRUE,"M: "&amp; Tab_NewTRADER[[#This Row],[M]])</f>
        <v>M: 10.328</v>
      </c>
      <c r="AV94" s="1703" cm="1">
        <f t="array" aca="1" ref="AV94" ca="1">-_xlfn.XLOOKUP(
    Tab_NewTRADER[[#This Row],[Show]] &amp; 2,
    TabConsolid[#Headers],
    INDEX(TabConsolid[], 1, 0)
)</f>
        <v>5.3538839999999999</v>
      </c>
      <c r="AW94" s="1704">
        <f ca="1">Tab_NewTRADER[[#This Row],[M]]*Tab_NewTRADER[[#This Row],[N]]*(1-Commission)*Tab_NewTRADER[[#This Row],[Scale]]</f>
        <v>794218.44911999989</v>
      </c>
      <c r="AX94" s="1705"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705"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706" t="str" cm="1">
        <f t="array" aca="1" ref="AZ94" ca="1">_xlfn.IFS(   Tab_NewTRADER[[#This Row],[State]]=SellMorePercentGain,                     MIN(Tab_NewTRADER[[#This Row],[L_Sn]],Tab_NewTRADER[[#This Row],[N]])*(Tab_NewTRADER[[#This Row],[M]]-Tab_NewTRADER[[#This Row],[L_Sp]])*(1-Commission)*Tab_NewTRADER[[#This Row],[Scale]],                    TRUE,"")</f>
        <v/>
      </c>
      <c r="BA94" s="1707">
        <f ca="1">_xlfn.XLOOKUP(NewTrader!$V94,TabCalc[Ticker],TabCalc[Ann%RevLB])</f>
        <v>0.25946733250104037</v>
      </c>
      <c r="BB94" s="1708" t="str">
        <f ca="1">_xlfn.XLOOKUP(NewTrader!$V94,TabCalc[Ticker],TabCalc[Up20])</f>
        <v>/67/45%</v>
      </c>
      <c r="BC94" s="1709"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706" t="str" cm="1">
        <f t="array" aca="1" ref="BD94" ca="1">_xlfn.IFS(         NewTrader!$AF94=MDown,NewTrader!$P94*NewTrader!$Y94*(-(NewTrader!$Q94+NewTrader!$Y94)/NewTrader!$Y94)*(1-Commission)*NewTrader!$A94,                               TRUE,"")</f>
        <v/>
      </c>
      <c r="BE94" s="1705" t="str" cm="1">
        <f t="array" aca="1" ref="BE94" ca="1">_xlfn.IFS(   NewTrader!$AF94=MUp,NewTrader!$BP94-Commission,        NewTrader!$AF94=MDown,(NewTrader!$X94-NewTrader!$Y94)/NewTrader!$Y94-Commission,                              TRUE,"")</f>
        <v/>
      </c>
      <c r="BF94" s="1706"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710" t="e" cm="1">
        <f t="array" aca="1" ref="BG94" ca="1">_xlfn.LET(_xlpm.SumChTxt,TEXT(_xlfn.XLOOKUP(NewTrader!$V94,ListTickers,Tab2SumChangePercent[AVGChan20]),"#0.0%"),
      _xlfn.IFS(NewTrader!$AF94=NoStock,_xlpm.SumChTxt,
      TRUE, IF(NewTrader!$AF94=SellMorePercentGain,             "SumChange "&amp;_xlpm.SumChTxt,                         "&lt;"&amp;INT(_xlfn.XLOOKUP(NewTrader!$V94,ListTickers,Tab2ReverseGL[Rev_GL19]))&amp;    "&lt;"&amp;INT(_xlfn.XLOOKUP(NewTrader!$V94,ListTickers,Tab2ReverseGL[Rev_GL18]))&amp;":      "&amp;_xlpm.SumChTxt)))</f>
        <v>#VALUE!</v>
      </c>
      <c r="BH94" s="1711"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712" cm="1">
        <f t="array" aca="1" ref="BI94" ca="1">_xlfn.IFS(NewTrader!$AF94=Sale_Back,"",         NewTrader!$AF94=MDown, (NewTrader!$Y94-NewTrader!$X94)/NewTrader!$X94*ComFactor,             TRUE, IFERROR((NewTrader!$Y94-NewTrader!$X94)/NewTrader!$X94*ComFactor,""))</f>
        <v>0.92665124952277622</v>
      </c>
      <c r="BJ94" s="1664" cm="1">
        <f t="array" aca="1" ref="BJ94" ca="1">_xlfn.IFS(               NewTrader!$AF94=NoStock,(NewTrader!$BL94-NewTrader!$Y94)/NewTrader!$Y94-Commission,             NewTrader!$X94&lt;&gt;0,(NewTrader!$X94-NewTrader!$Y94)/NewTrader!$Y94-Commission)</f>
        <v>-0.48421463981409757</v>
      </c>
      <c r="BK94" s="1713">
        <f ca="1">_xlfn.XLOOKUP(NewTrader!$V94,TabCalc[Ticker],TabCalc[L_Sn])</f>
        <v>0</v>
      </c>
      <c r="BL94" s="1693">
        <f ca="1">_xlfn.XLOOKUP(NewTrader!$V94,TabCalc[Ticker],TabCalc[L_Sp])</f>
        <v>0</v>
      </c>
      <c r="BM94" s="1694">
        <f ca="1">-IFERROR((Tab_NewTRADER[[#This Row],[M]]-Tab_NewTRADER[[#This Row],[L_Sp]])/Tab_NewTRADER[[#This Row],[L_Sp]],0)</f>
        <v>0</v>
      </c>
      <c r="BN94" s="1714">
        <f ca="1">MIN(Tab_NewTRADER[[#This Row],[L_Sn]],Tab_NewTRADER[[#This Row],[N]])*(Tab_NewTRADER[[#This Row],[M]]-Tab_NewTRADER[[#This Row],[L_Sp]])*Comm_Net*Tab_NewTRADER[[#This Row],[Scale]]</f>
        <v>0</v>
      </c>
      <c r="BO94" s="1715">
        <f ca="1">Tab_NewTRADER[[#This Row],[L_Sn]]*(Tab_NewTRADER[[#This Row],[Agiotage]]-Tab_NewTRADER[[#This Row],[M]])/(Tab_NewTRADER[[#This Row],[L_Bn]]*Tab_NewTRADER[[#This Row],[M]])</f>
        <v>0</v>
      </c>
      <c r="BP94" s="1716">
        <f ca="1">IFERROR((Tab_NewTRADER[[#This Row],[M]]-Tab_NewTRADER[[#This Row],[A]])/Tab_NewTRADER[[#This Row],[A]],0)</f>
        <v>0.92906682326326073</v>
      </c>
      <c r="BQ94" s="1671" t="str">
        <f ca="1">TEXT(_xlfn.XLOOKUP(Tab_NewTRADER[[#This Row],[ClickTick]],TabCalc[Ticker],TabCalc[NAfter]),"#,#0")&amp;" : "&amp;TEXT(_xlfn.XLOOKUP(Tab_NewTRADER[[#This Row],[ClickTick]],TabCalc[Ticker],TabCalc[NAfter])*(Tab_NewTRADER[[#This Row],[M]]-Tab_NewTRADER[[#This Row],[A]])*(1-Commission)*Tab_NewTRADER[[#This Row],[Scale]],"#,#0$")</f>
        <v>77,100 : 382,507$</v>
      </c>
      <c r="BR94" s="262">
        <f ca="1">_xlfn.XLOOKUP(NewTrader!$V94,TabCalc[[#This Row],[Ticker]],TabCalc[[#This Row],[GL]])*(1-Commission)</f>
        <v>378303.44993981678</v>
      </c>
      <c r="BS94" s="262"/>
      <c r="BT94" s="1672" t="str">
        <f ca="1">Tab_NewTRADER[[#This Row],[Show]]&amp;": "&amp;_xlfn.XLOOKUP(Tab_NewTRADER[[#This Row],[Show]],TabCalc[Ticker],TabCalc[Pile?])</f>
        <v>LOCK: Pile</v>
      </c>
      <c r="BU94" s="1717" t="s">
        <v>2021</v>
      </c>
      <c r="BV94" s="1674" t="str" cm="1">
        <f t="array" aca="1" ref="BV94" ca="1">_xlfn.TEXTJOIN("",,INDEX({"M","A","Y"}, _xlfn.SORTBY({1,2,3}, -CHOOSE({1,2,3}, Tab_NewTRADER[[#This Row],[M]], Tab_NewTRADER[[#This Row],[A]], Tab_NewTRADER[[#This Row],[Y]]))))</f>
        <v>MAY</v>
      </c>
      <c r="BW94" s="1675"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76">
        <f ca="1">Tab_NewTRADER[[#This Row],[L_Sn]]*Tab_NewTRADER[[#This Row],[L_Sp]]+Tab_NewTRADER[[#This Row],[SellMore]]*Tab_NewTRADER[[#This Row],[M]]</f>
        <v>796288.79999999993</v>
      </c>
      <c r="BY94" s="1676">
        <f ca="1">INDEX(
  INDEX(TabConsolid[], , _xlfn.XMATCH(Tab_NewTRADER[[#This Row],[ClickTick]]&amp;1, TabConsolid[#Headers])),
  MATCH(
    -Tab_NewTRADER[[#This Row],[M]],
    INDEX(TabConsolid[], , _xlfn.XMATCH(Tab_NewTRADER[[#This Row],[ClickTick]]&amp;2, TabConsolid[#Headers])),
    -1
  )
)</f>
        <v>77100</v>
      </c>
      <c r="BZ94" s="1676"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77">
        <f ca="1">Tab_NewTRADER[[#This Row],[ReBuy]]/(Tab_NewTRADER[[#This Row],[L_Sn]]+Tab_NewTRADER[[#This Row],[SellMore]])</f>
        <v>10.327999999999999</v>
      </c>
      <c r="CB94" s="1678" t="e">
        <f ca="1">((_xlfn.XLOOKUP(Tab_NewTRADER[[#This Row],[Show]],TabCalc[Ticker],TabCalc[NAfter])+Tab_NewTRADER[[#This Row],[L_Sn]])*(Tab_NewTRADER[[#This Row],[Agiotage]]-Tab_NewTRADER[[#This Row],[M]]))/(Tab_NewTRADER[[#This Row],[L_Sn]]*_xlfn.XLOOKUP(Tab_NewTRADER[[#This Row],[Show]],TabCalc[Ticker],TabCalc[NAfter]))</f>
        <v>#DIV/0!</v>
      </c>
      <c r="CC94" s="1677">
        <f ca="1">INDEX(Tab1Price[Price19], MATCH(Tab_NewTRADER[[#This Row],[Show]], Tab_NewTRADER[Show], 0))</f>
        <v>10.327999999999999</v>
      </c>
      <c r="CD94" s="1679">
        <f ca="1">_xlfn.XMATCH(Tab_NewTRADER[[#This Row],[Show]]&amp;1, TabConsolid[#Headers])</f>
        <v>278</v>
      </c>
      <c r="CE94" s="1678"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78" t="str" cm="1">
        <f t="array" aca="1" ref="CF94" ca="1">_xlfn.LET(
    _xlpm.FMT, _xlfn.LAMBDA(_xlpm.n, REPT(" ", 7 - LEN(TEXT(_xlpm.n,"0.00"))) &amp; TEXT(_xlpm.n,"0.00")),
    _xlpm.FMT(Tab_NewTRADER[[#This Row],[A]]) &amp; " -" &amp; _xlpm.FMT(Tab_NewTRADER[[#This Row],[M]]) &amp; " -" &amp; _xlpm.FMT(Tab_NewTRADER[[#This Row],[Y]])
)</f>
        <v xml:space="preserve">   5.35 -  10.33 -   0.00</v>
      </c>
      <c r="CG94" s="1680" t="str" cm="1">
        <f t="array" aca="1" ref="CG94" ca="1">_xlfn.LET(
    _xlpm.W, 7,
    _xlpm.FMT, _xlfn.LAMBDA(_xlpm.n, REPT(" ", _xlpm.W - LEN(TEXT(_xlpm.n,"0.00"))) &amp; TEXT(_xlpm.n,"0.00")),
    _xlpm.FMT(Tab_NewTRADER[[#This Row],[A]]) &amp; " * " &amp; _xlpm.FMT(Tab_NewTRADER[[#This Row],[M]]) &amp; " * " &amp; _xlpm.FMT(Tab_NewTRADER[[#This Row],[Y]])
)</f>
        <v xml:space="preserve">   5.35 *   10.33 *    0.00</v>
      </c>
      <c r="CH94" s="1842">
        <f>0</f>
        <v>0</v>
      </c>
      <c r="CI94" t="b">
        <f ca="1">IF(ABS(NewTrader!$Q94)&gt;=NewTrader!$Y94,"OK")</f>
        <v>0</v>
      </c>
    </row>
    <row r="95" spans="1:87" ht="23" hidden="1" thickBot="1">
      <c r="A95" s="1838">
        <f ca="1">IF(_xlfn.XLOOKUP(NewTrader!$V95,TabCalc[Ticker],TabCalc[Cur])="GBp",0.01,1)</f>
        <v>1</v>
      </c>
      <c r="B95" s="1620" t="str">
        <f ca="1">IFERROR(TRUNC(_xlfn.XLOOKUP(NewTrader!$V95,TabCalc[Ticker],ListLastBuyp),2)&amp;"x"&amp;_xlfn.XLOOKUP(NewTrader!$V95,TabCalc[Ticker],ListLastBuyn)&amp;"=    "&amp;IF(_xlfn.XLOOKUP(NewTrader!$V95,TabCalc[Ticker],ListReverseS)&gt;0,"+","")&amp;TEXT(_xlfn.XLOOKUP(NewTrader!$V95,TabCalc[Ticker],ListReverseS),"#,#0")&amp;" "&amp;#REF!,"")</f>
        <v/>
      </c>
      <c r="C95" s="1621" t="str">
        <f ca="1">_xlfn.XLOOKUP(NewTrader!$V95,TabCalc[Ticker],ListResale)&amp;" @ "&amp;TEXT((_xlfn.XLOOKUP(NewTrader!$V95,TabCalc[Ticker],TabCalc[L_Bp])+_xlfn.XLOOKUP(NewTrader!$V95,TabCalc[Ticker],TabCalc[M]))/_xlfn.XLOOKUP(NewTrader!$V95,TabCalc[Ticker],TabCalc[M]),"#0.0%")</f>
        <v>Resell @ 23.1%</v>
      </c>
      <c r="D95" s="1622"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718" t="str">
        <f ca="1">IF(      AND(NewTrader!$X95&lt;NewTrader!$Y95,    _xlfn.XLOOKUP(NewTrader!$V95,TabCalc[Ticker],TabCalc[L_Sp])&gt;NewTrader!$Y95),"BUY  "&amp;TEXT(DesiredBuyGain/NewTrader!$A95/(_xlfn.XLOOKUP(NewTrader!$V95,TabCalc[Ticker],TabCalc[L_Sp])-NewTrader!$Y95),"#,##0"),"")</f>
        <v>BUY  228</v>
      </c>
      <c r="F95" s="1620" t="str">
        <f ca="1">TRUNC(TabCalc[[#This Row],[L_B1p]],2)&amp;"x"&amp;TabCalc[[#This Row],[L_B1n]]&amp;"=   "&amp;TEXT(TabCalc[[#This Row],[ReverseS1]],"#,#0")&amp;"$"</f>
        <v>0x0=   0$</v>
      </c>
      <c r="G95" s="1624" t="str">
        <f ca="1">IFERROR(TRUNC(_xlfn.XLOOKUP(NewTrader!$V95,TabCalc[Ticker],ListLastSalep),2)&amp;"x"&amp;_xlfn.XLOOKUP(NewTrader!$V95,TabCalc[Ticker],ListLastSalen)&amp;"=   "&amp;TEXT(-_xlfn.XLOOKUP(NewTrader!$V95,TabCalc[Ticker],ListReverseB),"#,#0")&amp;"$","")</f>
        <v>962.8x200=   -4,380$</v>
      </c>
      <c r="H95" s="1625"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2.3% = 228</v>
      </c>
      <c r="I95" s="1620" t="str">
        <f ca="1">IFERROR(TRUNC(TabCalc[[#This Row],[L_S1p]],2)&amp;"x"&amp;TabCalc[[#This Row],[L_S1n]]&amp;"=   "&amp;TEXT(TabCalc[[#This Row],[ReverseB1]],"#,#0"),"")</f>
        <v>828.2x300=   -33,810</v>
      </c>
      <c r="J95" s="1626">
        <f ca="1">_xlfn.XLOOKUP(NewTrader!$V95,TabCalc[Ticker],ListGravity)</f>
        <v>1.0451901371027739</v>
      </c>
      <c r="K95" s="1627" t="str" cm="1">
        <f t="array" aca="1" ref="K95" ca="1">IF(_xlfn.XLOOKUP(NewTrader!$V95,NewTrader!$V$3:$V$96,ListExtra_n)&gt;0,_xlfn.XLOOKUP(NewTrader!$V95,NewTrader!$V$3:$V$96,ListExtra_n),"")</f>
        <v/>
      </c>
      <c r="L95" s="1628" t="str">
        <f ca="1">IF(_xlfn.XLOOKUP(NewTrader!$V95,TabCalc[Ticker],ListExtra_n)&gt;0,_xlfn.XLOOKUP(NewTrader!$V95,TabCalc[Ticker],ListExtra_n)*NewTrader!$Y95*_xlfn.XLOOKUP(NewTrader!$V95,TabCalc[Ticker],ListScale),"")</f>
        <v/>
      </c>
      <c r="M95" s="1629">
        <f ca="1">_xlfn.XLOOKUP(NewTrader!$V95,TabCalc[Ticker],TabCalc[Agiotage])</f>
        <v>0.96938852069526071</v>
      </c>
      <c r="N95" s="1630" cm="1">
        <f t="array" aca="1" ref="N95" ca="1">_xlfn.XLOOKUP(NewTrader!$V95,ListTickers,Tab2RSIConventional[RSIConv20])</f>
        <v>57</v>
      </c>
      <c r="O95" s="1631" t="str">
        <f ca="1">TEXT(_xlfn.XLOOKUP(NewTrader!$V95,TabCalc[Ticker],TabCalc[Nbegin]),"#,#0")&amp;": "&amp;_xlfn.XLOOKUP(NewTrader!$V95,TabCalc[Ticker],TabCalc[Pile?])</f>
        <v>500: Pile</v>
      </c>
      <c r="P95" s="1632">
        <f ca="1">_xlfn.XLOOKUP(NewTrader!$V95,TabCalc[Ticker],TabCalc[L_Bn])</f>
        <v>500</v>
      </c>
      <c r="Q95" s="1727">
        <f ca="1">_xlfn.XLOOKUP(NewTrader!$V95,TabCalc[Ticker],TabCalc[L_Bp])</f>
        <v>-723.74</v>
      </c>
      <c r="R95" s="1634">
        <f ca="1">(NewTrader!$Y95+NewTrader!$Q95)/ABS(NewTrader!$Q95)</f>
        <v>0.30005250504324754</v>
      </c>
      <c r="S95" s="259">
        <f ca="1">INT(_xlfn.XLOOKUP(NewTrader!$V95,TabCalc[Ticker],TabCalc[Rev(MinStock)])*Comm_Net)</f>
        <v>0</v>
      </c>
      <c r="T95" s="1635">
        <f ca="1">_xlfn.XLOOKUP(NewTrader!$V95,TabCalc[Ticker],TabCalc[Agiotage])</f>
        <v>0.96938852069526071</v>
      </c>
      <c r="U95" s="1719"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0/0=&gt;-0.5% / -0.5%</v>
      </c>
      <c r="V95" s="1578" t="str">
        <f ca="1">SORTING!B95</f>
        <v>JBASML</v>
      </c>
      <c r="W95" s="1637">
        <f ca="1">_xlfn.XLOOKUP(NewTrader!$V95,TabCalc[Ticker],TabCalc[Y])</f>
        <v>983.4194</v>
      </c>
      <c r="X95" s="1639">
        <f ca="1">-_xlfn.XLOOKUP(NewTrader!$V95&amp;2,Consolid!B$3:JZ$3,Consolid!B$4:JZ$4)</f>
        <v>0</v>
      </c>
      <c r="Y95" s="1639">
        <f ca="1">_xlfn.XLOOKUP(NewTrader!$V95,TabCalc[Ticker],TabCalc[M])</f>
        <v>940.9</v>
      </c>
      <c r="Z95" s="1640">
        <f ca="1">_xlfn.XLOOKUP(NewTrader!$V95,[1]!RTData[Ticker_Symbol],[1]!RTData[YTChange])</f>
        <v>0.16026734939474735</v>
      </c>
      <c r="AA95" s="1640" cm="1">
        <f t="array" aca="1" ref="AA95" ca="1">_xlfn.XLOOKUP(NewTrader!$V95,ListTickers,Tab1ChangePercent[Change%19])</f>
        <v>-5.391E-3</v>
      </c>
      <c r="AB95" s="1641">
        <f ca="1">_xlfn.XLOOKUP(NewTrader!$V95,TabCalc[Ticker],TabCalc[NAfter])</f>
        <v>0</v>
      </c>
      <c r="AC95" s="1641">
        <f ca="1">_xlfn.XLOOKUP(NewTrader!$V95,TabCalc[Ticker],TabCalc[Nbegin])</f>
        <v>500</v>
      </c>
      <c r="AD95" s="1642" t="str">
        <f ca="1">_xlfn.LET(_xlpm.PILE,_xlfn.XLOOKUP(NewTrader!$V95,TabCalc[Ticker],TabCalc[Pile?]),                    _xlpm.GL,_xlfn.XLOOKUP(NewTrader!$V95,TabCalc[Ticker],TabCalc[GL]),                        _xlpm.GLK,_xlfn.XLOOKUP(NewTrader!$V95,TabCalc[Ticker],TabCalc[GL])/1000,                             _xlpm.MVal,_xlfn.XLOOKUP(NewTrader!$V95,TabCalc[Ticker],TabCalc[M_V])/1000,                   _xlpm.PILE&amp;" "&amp;IF(_xlpm.GL&lt;0,TEXT(_xlpm.GLK,"#,#0")&amp;"K /"&amp;TEXT(_xlpm.MVal,"#,#0")&amp;" K$","^"&amp;TEXT(_xlpm.GLK,"#,#0")&amp;"K / "&amp;TEXT(_xlpm.MVal,"#,#0")&amp;" K$"))</f>
        <v>Pile ^79K / 0 K$</v>
      </c>
      <c r="AE95" s="1720" t="str">
        <f ca="1">_xlfn.XLOOKUP(NewTrader!$V95,[1]!RTData[Ticker_Symbol],[1]!RTData[Currency])</f>
        <v>EUR</v>
      </c>
      <c r="AF95" s="1721"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698" t="str" cm="1">
        <f t="array" aca="1" ref="AH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0.00 - 940.90 - 983.42</v>
      </c>
      <c r="AI95" s="17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95" s="1699" t="str" cm="1">
        <f t="array" aca="1" ref="AJ95" ca="1">_xlfn.IFS(Tab_NewTRADER[[#This Row],[State]]="Sell More",TEXT(MIN(Tab_NewTRADER[[#This Row],[N]],Tab_NewTRADER[[#This Row],[L_Bn]])*(Tab_NewTRADER[[#This Row],[M]]-Tab_NewTRADER[[#This Row],[L_Sp]])*Tab_NewTRADER[[#This Row],[Scale]]*ComFactor,"#,#0"), TRUE,"M= "&amp;TEXT(Tab_NewTRADER[[#This Row],[M]],"#,#0.00"))</f>
        <v>M= 940.90</v>
      </c>
      <c r="AK95" s="1699" t="str" cm="1">
        <f t="array" aca="1" ref="AK95" ca="1">_xlfn.IFS(Tab_NewTRADER[[#This Row],[Y]]&gt;Tab_NewTRADER[[#This Row],[A]],                 TEXT(MIN(Tab_NewTRADER[[#This Row],[L_Bn]],Tab_NewTRADER[[#This Row],[N]])*(Tab_NewTRADER[[#This Row],[M]]-Tab_NewTRADER[[#This Row],[A]])*Tab_NewTRADER[[#This Row],[Scale]]*ComFactor,"#,#0"), TRUE,0)</f>
        <v>0</v>
      </c>
      <c r="AL95" s="1700" cm="1">
        <f t="array" aca="1" ref="AL95" ca="1">_xlfn.IFS(Tab_NewTRADER[[#This Row],[M]]&gt;Tab_NewTRADER[[#This Row],[A]],                  Tab_NewTRADER[[#This Row],[N]]*(Tab_NewTRADER[[#This Row],[M]]-Tab_NewTRADER[[#This Row],[A]])*Tab_NewTRADER[[#This Row],[Scale]]*ComFactor, TRUE,0)</f>
        <v>0</v>
      </c>
      <c r="AM95" s="1592" t="e">
        <f ca="1">_xlfn.XLOOKUP(Tab_NewTRADER[[#This Row],[Show]],TabCalc[Ticker],TabCalc[Max_Bn])&amp;" x "&amp;TEXT(_xlfn.XLOOKUP(Tab_NewTRADER[[#This Row],[Show]],TabCalc[Ticker],TabCalc[Max_Bp]),"#,#0.00")</f>
        <v>#N/A</v>
      </c>
      <c r="AN95" s="1650" t="str">
        <f ca="1">NewTrader!$V95</f>
        <v>JBASML</v>
      </c>
      <c r="AO95" s="1651" t="str">
        <f ca="1">TEXT(_xlfn.XLOOKUP(Tab_NewTRADER[[#This Row],[ClickTick]],TabCalc[Ticker],TabCalc[NAfter]),"#,#0")&amp;"x"&amp;_xlfn.XLOOKUP(Tab_NewTRADER[[#This Row],[ClickTick]],TabCalc[Ticker],TabCalc[M])&amp;"           (A: "&amp;TEXT(-_xlfn.XLOOKUP(Tab_NewTRADER[[#This Row],[ClickTick]]&amp;2,Consolid!B$3:JZ$3,Consolid!B$4:JZ$4),"#,??0.00")&amp;")"</f>
        <v>0x940.9           (A:   0.00)</v>
      </c>
      <c r="AP95" s="1592" t="str">
        <f ca="1">_xlfn.XLOOKUP(Tab_NewTRADER[[#This Row],[Show]],TabCalc[Ticker],TabCalc[Min_Sn])&amp;" x "&amp;TEXT(_xlfn.XLOOKUP(Tab_NewTRADER[[#This Row],[Show]],TabCalc[Ticker],TabCalc[Min_Sp]),"#,#0.00")</f>
        <v>200 x 828.20</v>
      </c>
      <c r="AQ9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702" t="str" cm="1">
        <f t="array" aca="1" ref="AR95" ca="1">_xlfn.IFS(Tab_NewTRADER[[#This Row],[State]]="Reverse Buy",TEXT(-Tab_NewTRADER[[#This Row],[Buy_Back]],"#,#0")&amp;" / "&amp;TEXT(Tab_NewTRADER[[#This Row],[Rev_Buy]],"#,#0.0%"),TRUE,Tab_NewTRADER[[#This Row],[AMY]])</f>
        <v xml:space="preserve">   0.00 - 940.90 - 983.42</v>
      </c>
      <c r="AS95" s="1651"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99"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99" t="str" cm="1">
        <f t="array" aca="1" ref="AU95" ca="1">_xlfn.IFS(Tab_NewTRADER[[#This Row],[M]]&lt;Tab_NewTRADER[[#This Row],[A]],TEXT(Tab_NewTRADER[[#This Row],[N]]*Tab_NewTRADER[[#This Row],[M]]*Tab_NewTRADER[[#This Row],[Scale]]*Comm_Net,"#,#0")&amp;" @ "&amp;TEXT(Tab_NewTRADER[[#This Row],[M]],"#,#0.#0"),TRUE,"M: "&amp; Tab_NewTRADER[[#This Row],[M]])</f>
        <v>M: 940.9</v>
      </c>
      <c r="AV95" s="1740" cm="1">
        <f t="array" aca="1" ref="AV95" ca="1">-_xlfn.XLOOKUP(
    Tab_NewTRADER[[#This Row],[Show]] &amp; 2,
    TabConsolid[#Headers],
    INDEX(TabConsolid[], 1, 0)
)</f>
        <v>0</v>
      </c>
      <c r="AW95" s="1741">
        <f ca="1">Tab_NewTRADER[[#This Row],[M]]*Tab_NewTRADER[[#This Row],[N]]*(1-Commission)*Tab_NewTRADER[[#This Row],[Scale]]</f>
        <v>0</v>
      </c>
      <c r="AX95" s="1705"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705"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706" t="str" cm="1">
        <f t="array" aca="1" ref="AZ95" ca="1">_xlfn.IFS(   Tab_NewTRADER[[#This Row],[State]]=SellMorePercentGain,                     MIN(Tab_NewTRADER[[#This Row],[L_Sn]],Tab_NewTRADER[[#This Row],[N]])*(Tab_NewTRADER[[#This Row],[M]]-Tab_NewTRADER[[#This Row],[L_Sp]])*(1-Commission)*Tab_NewTRADER[[#This Row],[Scale]],                    TRUE,"")</f>
        <v/>
      </c>
      <c r="BA95" s="1707">
        <f ca="1">_xlfn.XLOOKUP(NewTrader!$V95,TabCalc[Ticker],TabCalc[Ann%RevLB])</f>
        <v>0.32634109309839615</v>
      </c>
      <c r="BB95" s="1708">
        <f ca="1">_xlfn.XLOOKUP(NewTrader!$V95,TabCalc[Ticker],TabCalc[Up20])</f>
        <v>0</v>
      </c>
      <c r="BC95" s="1725"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706" t="str" cm="1">
        <f t="array" aca="1" ref="BD95" ca="1">_xlfn.IFS(         NewTrader!$AF95=MDown,NewTrader!$P95*NewTrader!$Y95*(-(NewTrader!$Q95+NewTrader!$Y95)/NewTrader!$Y95)*(1-Commission)*NewTrader!$A95,                               TRUE,"")</f>
        <v/>
      </c>
      <c r="BE95" s="1705" t="str" cm="1">
        <f t="array" aca="1" ref="BE95" ca="1">_xlfn.IFS(   NewTrader!$AF95=MUp,NewTrader!$BP95-Commission,        NewTrader!$AF95=MDown,(NewTrader!$X95-NewTrader!$Y95)/NewTrader!$Y95-Commission,                              TRUE,"")</f>
        <v/>
      </c>
      <c r="BF95" s="1706"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710" t="str" cm="1">
        <f t="array" aca="1" ref="BG95" ca="1">_xlfn.LET(_xlpm.SumChTxt,TEXT(_xlfn.XLOOKUP(NewTrader!$V95,ListTickers,Tab2SumChangePercent[AVGChan20]),"#0.0%"),
      _xlfn.IFS(NewTrader!$AF95=NoStock,_xlpm.SumChTxt,
      TRUE, IF(NewTrader!$AF95=SellMorePercentGain,             "SumChange "&amp;_xlpm.SumChTxt,                         "&lt;"&amp;INT(_xlfn.XLOOKUP(NewTrader!$V95,ListTickers,Tab2ReverseGL[Rev_GL19]))&amp;    "&lt;"&amp;INT(_xlfn.XLOOKUP(NewTrader!$V95,ListTickers,Tab2ReverseGL[Rev_GL18]))&amp;":      "&amp;_xlpm.SumChTxt)))</f>
        <v>0.1%</v>
      </c>
      <c r="BH95" s="1711"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712" t="str" cm="1">
        <f t="array" aca="1" ref="BI95" ca="1">_xlfn.IFS(NewTrader!$AF95=Sale_Back,"",         NewTrader!$AF95=MDown, (NewTrader!$Y95-NewTrader!$X95)/NewTrader!$X95*ComFactor,             TRUE, IFERROR((NewTrader!$Y95-NewTrader!$X95)/NewTrader!$X95*ComFactor,""))</f>
        <v/>
      </c>
      <c r="BJ95" s="1664" cm="1">
        <f t="array" aca="1" ref="BJ95" ca="1">_xlfn.IFS(               NewTrader!$AF95=NoStock,(NewTrader!$BL95-NewTrader!$Y95)/NewTrader!$Y95-Commission,             NewTrader!$X95&lt;&gt;0,(NewTrader!$X95-NewTrader!$Y95)/NewTrader!$Y95-Commission)</f>
        <v>2.0675587203741075E-2</v>
      </c>
      <c r="BK95" s="1726">
        <f ca="1">_xlfn.XLOOKUP(NewTrader!$V95,TabCalc[Ticker],TabCalc[L_Sn])</f>
        <v>200</v>
      </c>
      <c r="BL95" s="1727">
        <f ca="1">_xlfn.XLOOKUP(NewTrader!$V95,TabCalc[Ticker],TabCalc[L_Sp])</f>
        <v>962.8</v>
      </c>
      <c r="BM95" s="1634">
        <f ca="1">-IFERROR((Tab_NewTRADER[[#This Row],[M]]-Tab_NewTRADER[[#This Row],[L_Sp]])/Tab_NewTRADER[[#This Row],[L_Sp]],0)</f>
        <v>2.2746157041960924E-2</v>
      </c>
      <c r="BN95" s="1728">
        <f ca="1">MIN(Tab_NewTRADER[[#This Row],[L_Sn]],Tab_NewTRADER[[#This Row],[N]])*(Tab_NewTRADER[[#This Row],[M]]-Tab_NewTRADER[[#This Row],[L_Sp]])*Comm_Net*Tab_NewTRADER[[#This Row],[Scale]]</f>
        <v>0</v>
      </c>
      <c r="BO95" s="1715">
        <f ca="1">Tab_NewTRADER[[#This Row],[L_Sn]]*(Tab_NewTRADER[[#This Row],[Agiotage]]-Tab_NewTRADER[[#This Row],[M]])/(Tab_NewTRADER[[#This Row],[L_Bn]]*Tab_NewTRADER[[#This Row],[M]])</f>
        <v>-0.39958788882104573</v>
      </c>
      <c r="BP95" s="1670">
        <f ca="1">IFERROR((Tab_NewTRADER[[#This Row],[M]]-Tab_NewTRADER[[#This Row],[A]])/Tab_NewTRADER[[#This Row],[A]],0)</f>
        <v>0</v>
      </c>
      <c r="BQ95" s="1671"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Row],[GL]])*(1-Commission)</f>
        <v>79149.464945999993</v>
      </c>
      <c r="BS95" s="259"/>
      <c r="BT95" s="1672" t="str">
        <f ca="1">Tab_NewTRADER[[#This Row],[Show]]&amp;": "&amp;_xlfn.XLOOKUP(Tab_NewTRADER[[#This Row],[Show]],TabCalc[Ticker],TabCalc[Pile?])</f>
        <v>JBASML: Pile</v>
      </c>
      <c r="BU95" s="1717" t="s">
        <v>2022</v>
      </c>
      <c r="BV95" s="1674" t="str" cm="1">
        <f t="array" aca="1" ref="BV95" ca="1">_xlfn.TEXTJOIN("",,INDEX({"M","A","Y"}, _xlfn.SORTBY({1,2,3}, -CHOOSE({1,2,3}, Tab_NewTRADER[[#This Row],[M]], Tab_NewTRADER[[#This Row],[A]], Tab_NewTRADER[[#This Row],[Y]]))))</f>
        <v>YMA</v>
      </c>
      <c r="BW95" s="1675"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76" t="e">
        <f ca="1">Tab_NewTRADER[[#This Row],[L_Sn]]*Tab_NewTRADER[[#This Row],[L_Sp]]+Tab_NewTRADER[[#This Row],[SellMore]]*Tab_NewTRADER[[#This Row],[M]]</f>
        <v>#N/A</v>
      </c>
      <c r="BY95" s="1676" t="e">
        <f ca="1">INDEX(
  INDEX(TabConsolid[], , _xlfn.XMATCH(Tab_NewTRADER[[#This Row],[ClickTick]]&amp;1, TabConsolid[#Headers])),
  MATCH(
    -Tab_NewTRADER[[#This Row],[M]],
    INDEX(TabConsolid[], , _xlfn.XMATCH(Tab_NewTRADER[[#This Row],[ClickTick]]&amp;2, TabConsolid[#Headers])),
    -1
  )
)</f>
        <v>#N/A</v>
      </c>
      <c r="BZ95" s="1676"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77" t="e">
        <f ca="1">Tab_NewTRADER[[#This Row],[ReBuy]]/(Tab_NewTRADER[[#This Row],[L_Sn]]+Tab_NewTRADER[[#This Row],[SellMore]])</f>
        <v>#N/A</v>
      </c>
      <c r="CB95" s="1678" t="e">
        <f ca="1">((_xlfn.XLOOKUP(Tab_NewTRADER[[#This Row],[Show]],TabCalc[Ticker],TabCalc[NAfter])+Tab_NewTRADER[[#This Row],[L_Sn]])*(Tab_NewTRADER[[#This Row],[Agiotage]]-Tab_NewTRADER[[#This Row],[M]]))/(Tab_NewTRADER[[#This Row],[L_Sn]]*_xlfn.XLOOKUP(Tab_NewTRADER[[#This Row],[Show]],TabCalc[Ticker],TabCalc[NAfter]))</f>
        <v>#DIV/0!</v>
      </c>
      <c r="CC95" s="1677">
        <f ca="1">INDEX(Tab1Price[Price19], MATCH(Tab_NewTRADER[[#This Row],[Show]], Tab_NewTRADER[Show], 0))</f>
        <v>940.9</v>
      </c>
      <c r="CD95" s="1679">
        <f ca="1">_xlfn.XMATCH(Tab_NewTRADER[[#This Row],[Show]]&amp;1, TabConsolid[#Headers])</f>
        <v>281</v>
      </c>
      <c r="CE95" s="1678"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78" t="str" cm="1">
        <f t="array" aca="1" ref="CF95" ca="1">_xlfn.LET(
    _xlpm.FMT, _xlfn.LAMBDA(_xlpm.n, REPT(" ", 7 - LEN(TEXT(_xlpm.n,"0.00"))) &amp; TEXT(_xlpm.n,"0.00")),
    _xlpm.FMT(Tab_NewTRADER[[#This Row],[A]]) &amp; " -" &amp; _xlpm.FMT(Tab_NewTRADER[[#This Row],[M]]) &amp; " -" &amp; _xlpm.FMT(Tab_NewTRADER[[#This Row],[Y]])
)</f>
        <v xml:space="preserve">   0.00 - 940.90 - 983.42</v>
      </c>
      <c r="CG95" s="1680" t="str" cm="1">
        <f t="array" aca="1" ref="CG95" ca="1">_xlfn.LET(
    _xlpm.W, 7,
    _xlpm.FMT, _xlfn.LAMBDA(_xlpm.n, REPT(" ", _xlpm.W - LEN(TEXT(_xlpm.n,"0.00"))) &amp; TEXT(_xlpm.n,"0.00")),
    _xlpm.FMT(Tab_NewTRADER[[#This Row],[A]]) &amp; " * " &amp; _xlpm.FMT(Tab_NewTRADER[[#This Row],[M]]) &amp; " * " &amp; _xlpm.FMT(Tab_NewTRADER[[#This Row],[Y]])
)</f>
        <v xml:space="preserve">   0.00 *  940.90 *  983.42</v>
      </c>
      <c r="CH95" s="1842">
        <f>0</f>
        <v>0</v>
      </c>
      <c r="CI95" t="b">
        <f ca="1">IF(ABS(NewTrader!$Q95)&gt;=NewTrader!$Y95,"OK")</f>
        <v>0</v>
      </c>
    </row>
    <row r="96" spans="1:87" ht="23" hidden="1" thickBot="1">
      <c r="A96" s="1839">
        <f ca="1">IF(_xlfn.XLOOKUP(NewTrader!$V96,TabCalc[Ticker],TabCalc[Cur])="GBp",0.01,1)</f>
        <v>1</v>
      </c>
      <c r="B96" s="1681" t="str">
        <f ca="1">IFERROR(TRUNC(_xlfn.XLOOKUP(NewTrader!$V96,TabCalc[Ticker],ListLastBuyp),2)&amp;"x"&amp;_xlfn.XLOOKUP(NewTrader!$V96,TabCalc[Ticker],ListLastBuyn)&amp;"=    "&amp;IF(_xlfn.XLOOKUP(NewTrader!$V96,TabCalc[Ticker],ListReverseS)&gt;0,"+","")&amp;TEXT(_xlfn.XLOOKUP(NewTrader!$V96,TabCalc[Ticker],ListReverseS),"#,#0")&amp;" "&amp;#REF!,"")</f>
        <v/>
      </c>
      <c r="C96" s="1682" t="str">
        <f ca="1">_xlfn.XLOOKUP(NewTrader!$V96,TabCalc[Ticker],ListResale)&amp;" @ "&amp;TEXT((_xlfn.XLOOKUP(NewTrader!$V96,TabCalc[Ticker],TabCalc[L_Bp])+_xlfn.XLOOKUP(NewTrader!$V96,TabCalc[Ticker],TabCalc[M]))/_xlfn.XLOOKUP(NewTrader!$V96,TabCalc[Ticker],TabCalc[M]),"#0.0%")</f>
        <v>Sell @ -0.8%</v>
      </c>
      <c r="D96" s="1683"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84" t="str">
        <f ca="1">IF(      AND(NewTrader!$X96&lt;NewTrader!$Y96,    _xlfn.XLOOKUP(NewTrader!$V96,TabCalc[Ticker],TabCalc[L_Sp])&gt;NewTrader!$Y96),"BUY  "&amp;TEXT(DesiredBuyGain/NewTrader!$A96/(_xlfn.XLOOKUP(NewTrader!$V96,TabCalc[Ticker],TabCalc[L_Sp])-NewTrader!$Y96),"#,##0"),"")</f>
        <v>BUY  4,608</v>
      </c>
      <c r="F96" s="1681" t="str">
        <f ca="1">TRUNC(TabCalc[[#This Row],[L_B1p]],2)&amp;"x"&amp;TabCalc[[#This Row],[L_B1n]]&amp;"=   "&amp;TEXT(TabCalc[[#This Row],[ReverseS1]],"#,#0")&amp;"$"</f>
        <v>-14.82x5000=   1,075$</v>
      </c>
      <c r="G96" s="1685" t="str">
        <f ca="1">IFERROR(TRUNC(_xlfn.XLOOKUP(NewTrader!$V96,TabCalc[Ticker],ListLastSalep),2)&amp;"x"&amp;_xlfn.XLOOKUP(NewTrader!$V96,TabCalc[Ticker],ListLastSalen)&amp;"=   "&amp;TEXT(-_xlfn.XLOOKUP(NewTrader!$V96,TabCalc[Ticker],ListReverseB),"#,#0")&amp;"$","")</f>
        <v>16.12x3000=   -3,255$</v>
      </c>
      <c r="H96" s="1686"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7.2% = 4,608</v>
      </c>
      <c r="I96" s="1681" t="str">
        <f ca="1">IFERROR(TRUNC(TabCalc[[#This Row],[L_S1p]],2)&amp;"x"&amp;TabCalc[[#This Row],[L_S1n]]&amp;"=   "&amp;TEXT(TabCalc[[#This Row],[ReverseB1]],"#,#0"),"")</f>
        <v>15.96x12000=   11,100</v>
      </c>
      <c r="J96" s="1687">
        <f ca="1">_xlfn.XLOOKUP(NewTrader!$V96,TabCalc[Ticker],ListGravity)</f>
        <v>1.126317259727303</v>
      </c>
      <c r="K96" s="1688" t="str" cm="1">
        <f t="array" aca="1" ref="K96" ca="1">IF(_xlfn.XLOOKUP(NewTrader!$V96,NewTrader!$V$3:$V$96,ListExtra_n)&gt;0,_xlfn.XLOOKUP(NewTrader!$V96,NewTrader!$V$3:$V$96,ListExtra_n),"")</f>
        <v/>
      </c>
      <c r="L96" s="1689" t="str">
        <f ca="1">IF(_xlfn.XLOOKUP(NewTrader!$V96,TabCalc[Ticker],ListExtra_n)&gt;0,_xlfn.XLOOKUP(NewTrader!$V96,TabCalc[Ticker],ListExtra_n)*NewTrader!$Y96*_xlfn.XLOOKUP(NewTrader!$V96,TabCalc[Ticker],ListScale),"")</f>
        <v/>
      </c>
      <c r="M96" s="1690">
        <f ca="1">_xlfn.XLOOKUP(NewTrader!$V96,TabCalc[Ticker],TabCalc[Agiotage])</f>
        <v>8.077429734486519E-3</v>
      </c>
      <c r="N96" s="1691" cm="1">
        <f t="array" aca="1" ref="N96" ca="1">_xlfn.XLOOKUP(NewTrader!$V96,ListTickers,Tab2RSIConventional[RSIConv20])</f>
        <v>54</v>
      </c>
      <c r="O96" s="1631" t="str">
        <f ca="1">TEXT(_xlfn.XLOOKUP(NewTrader!$V96,TabCalc[Ticker],TabCalc[Nbegin]),"#,#0")&amp;": "&amp;_xlfn.XLOOKUP(NewTrader!$V96,TabCalc[Ticker],TabCalc[Pile?])</f>
        <v>50,000: Pile</v>
      </c>
      <c r="P96" s="1692">
        <f ca="1">_xlfn.XLOOKUP(NewTrader!$V96,TabCalc[Ticker],TabCalc[L_Bn])</f>
        <v>3000</v>
      </c>
      <c r="Q96" s="1693">
        <f ca="1">_xlfn.XLOOKUP(NewTrader!$V96,TabCalc[Ticker],TabCalc[L_Bp])</f>
        <v>-15.15</v>
      </c>
      <c r="R96" s="1694">
        <f ca="1">(NewTrader!$Y96+NewTrader!$Q96)/ABS(NewTrader!$Q96)</f>
        <v>-7.5907590759076047E-3</v>
      </c>
      <c r="S96" s="262">
        <f ca="1">INT(_xlfn.XLOOKUP(NewTrader!$V96,TabCalc[Ticker],TabCalc[Rev(MinStock)])*Comm_Net)</f>
        <v>-345</v>
      </c>
      <c r="T96" s="1635">
        <f ca="1">_xlfn.XLOOKUP(NewTrader!$V96,TabCalc[Ticker],TabCalc[Agiotage])</f>
        <v>8.077429734486519E-3</v>
      </c>
      <c r="U96" s="1695"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-8,925/-8,925=&gt;-3.3% / -3.3%</v>
      </c>
      <c r="V96" s="1578" t="str">
        <f ca="1">SORTING!B96</f>
        <v>JBEOAN</v>
      </c>
      <c r="W96" s="1637">
        <f ca="1">_xlfn.XLOOKUP(NewTrader!$V96,TabCalc[Ticker],TabCalc[Y])</f>
        <v>16.934180000000001</v>
      </c>
      <c r="X96" s="1639">
        <f ca="1">-_xlfn.XLOOKUP(NewTrader!$V96&amp;2,Consolid!B$3:JZ$3,Consolid!B$4:JZ$4)</f>
        <v>14.490794504828571</v>
      </c>
      <c r="Y96" s="1639">
        <f ca="1">_xlfn.XLOOKUP(NewTrader!$V96,TabCalc[Ticker],TabCalc[M])</f>
        <v>15.035</v>
      </c>
      <c r="Z96" s="1640">
        <f ca="1">_xlfn.XLOOKUP(NewTrader!$V96,[1]!RTData[Ticker_Symbol],[1]!RTData[YTChange])</f>
        <v>3.8906748466257704E-2</v>
      </c>
      <c r="AA96" s="1640" cm="1">
        <f t="array" aca="1" ref="AA96" ca="1">_xlfn.XLOOKUP(NewTrader!$V96,ListTickers,Tab1ChangePercent[Change%19])</f>
        <v>-3.3119000000000003E-2</v>
      </c>
      <c r="AB96" s="1641">
        <f ca="1">_xlfn.XLOOKUP(NewTrader!$V96,TabCalc[Ticker],TabCalc[NAfter])</f>
        <v>21000</v>
      </c>
      <c r="AC96" s="1641">
        <f ca="1">_xlfn.XLOOKUP(NewTrader!$V96,TabCalc[Ticker],TabCalc[Nbegin])</f>
        <v>50000</v>
      </c>
      <c r="AD96" s="1642" t="str">
        <f ca="1">_xlfn.LET(_xlpm.PILE,_xlfn.XLOOKUP(NewTrader!$V96,TabCalc[Ticker],TabCalc[Pile?]),                    _xlpm.GL,_xlfn.XLOOKUP(NewTrader!$V96,TabCalc[Ticker],TabCalc[GL]),                        _xlpm.GLK,_xlfn.XLOOKUP(NewTrader!$V96,TabCalc[Ticker],TabCalc[GL])/1000,                             _xlpm.MVal,_xlfn.XLOOKUP(NewTrader!$V96,TabCalc[Ticker],TabCalc[M_V])/1000,                   _xlpm.PILE&amp;" "&amp;IF(_xlpm.GL&lt;0,TEXT(_xlpm.GLK,"#,#0")&amp;"K /"&amp;TEXT(_xlpm.MVal,"#,#0")&amp;" K$","^"&amp;TEXT(_xlpm.GLK,"#,#0")&amp;"K / "&amp;TEXT(_xlpm.MVal,"#,#0")&amp;" K$"))</f>
        <v>Pile ^298K / 315 K$</v>
      </c>
      <c r="AE96" s="1643" t="str">
        <f ca="1">_xlfn.XLOOKUP(NewTrader!$V96,[1]!RTData[Ticker_Symbol],[1]!RTData[Currency])</f>
        <v>EUR</v>
      </c>
      <c r="AF96" s="1774"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Buy More</v>
      </c>
      <c r="AG9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698" t="str" cm="1">
        <f t="array" aca="1" ref="AH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14.49 -  15.04 -  16.93</v>
      </c>
      <c r="AI9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96" s="1651" t="str" cm="1">
        <f t="array" aca="1" ref="AJ96" ca="1">_xlfn.IFS(Tab_NewTRADER[[#This Row],[State]]="Sell More",TEXT(MIN(Tab_NewTRADER[[#This Row],[N]],Tab_NewTRADER[[#This Row],[L_Bn]])*(Tab_NewTRADER[[#This Row],[M]]-Tab_NewTRADER[[#This Row],[L_Sp]])*Tab_NewTRADER[[#This Row],[Scale]]*ComFactor,"#,#0"), TRUE,"M= "&amp;TEXT(Tab_NewTRADER[[#This Row],[M]],"#,#0.00"))</f>
        <v>M= 15.04</v>
      </c>
      <c r="AK96" s="1699" t="str" cm="1">
        <f t="array" aca="1" ref="AK96" ca="1">_xlfn.IFS(Tab_NewTRADER[[#This Row],[Y]]&gt;Tab_NewTRADER[[#This Row],[A]],                 TEXT(MIN(Tab_NewTRADER[[#This Row],[L_Bn]],Tab_NewTRADER[[#This Row],[N]])*(Tab_NewTRADER[[#This Row],[M]]-Tab_NewTRADER[[#This Row],[A]])*Tab_NewTRADER[[#This Row],[Scale]]*ComFactor,"#,#0"), TRUE,0)</f>
        <v>1,628</v>
      </c>
      <c r="AL96" s="1700" cm="1">
        <f t="array" aca="1" ref="AL96" ca="1">_xlfn.IFS(Tab_NewTRADER[[#This Row],[M]]&gt;Tab_NewTRADER[[#This Row],[A]],                  Tab_NewTRADER[[#This Row],[N]]*(Tab_NewTRADER[[#This Row],[M]]-Tab_NewTRADER[[#This Row],[A]])*Tab_NewTRADER[[#This Row],[Scale]]*ComFactor, TRUE,0)</f>
        <v>11398.601778563649</v>
      </c>
      <c r="AM96" s="1592" t="str">
        <f ca="1">_xlfn.XLOOKUP(Tab_NewTRADER[[#This Row],[Show]],TabCalc[Ticker],TabCalc[Max_Bn])&amp;" x "&amp;TEXT(_xlfn.XLOOKUP(Tab_NewTRADER[[#This Row],[Show]],TabCalc[Ticker],TabCalc[Max_Bp]),"#,#0.00")</f>
        <v>3000 x 15.55</v>
      </c>
      <c r="AN96" s="1650" t="str">
        <f ca="1">NewTrader!$V96</f>
        <v>JBEOAN</v>
      </c>
      <c r="AO96" s="1651" t="str">
        <f ca="1">TEXT(_xlfn.XLOOKUP(Tab_NewTRADER[[#This Row],[ClickTick]],TabCalc[Ticker],TabCalc[NAfter]),"#,#0")&amp;"x"&amp;_xlfn.XLOOKUP(Tab_NewTRADER[[#This Row],[ClickTick]],TabCalc[Ticker],TabCalc[M])&amp;"           (A: "&amp;TEXT(-_xlfn.XLOOKUP(Tab_NewTRADER[[#This Row],[ClickTick]]&amp;2,Consolid!B$3:JZ$3,Consolid!B$4:JZ$4),"#,??0.00")&amp;")"</f>
        <v>21,000x15.035           (A:  14.49)</v>
      </c>
      <c r="AP96" s="1592" t="str">
        <f ca="1">_xlfn.XLOOKUP(Tab_NewTRADER[[#This Row],[Show]],TabCalc[Ticker],TabCalc[Min_Sn])&amp;" x "&amp;TEXT(_xlfn.XLOOKUP(Tab_NewTRADER[[#This Row],[Show]],TabCalc[Ticker],TabCalc[Min_Sp]),"#,#0.00")</f>
        <v>2000 x 12.32</v>
      </c>
      <c r="AQ9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702" t="str" cm="1">
        <f t="array" aca="1" ref="AR96" ca="1">_xlfn.IFS(Tab_NewTRADER[[#This Row],[State]]="Reverse Buy",TEXT(-Tab_NewTRADER[[#This Row],[Buy_Back]],"#,#0")&amp;" / "&amp;TEXT(Tab_NewTRADER[[#This Row],[Rev_Buy]],"#,#0.0%"),TRUE,Tab_NewTRADER[[#This Row],[AMY]])</f>
        <v xml:space="preserve">  14.49 -  15.04 -  16.93</v>
      </c>
      <c r="AS96" s="1651"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99"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99" t="str" cm="1">
        <f t="array" aca="1" ref="AU96" ca="1">_xlfn.IFS(Tab_NewTRADER[[#This Row],[M]]&lt;Tab_NewTRADER[[#This Row],[A]],TEXT(Tab_NewTRADER[[#This Row],[N]]*Tab_NewTRADER[[#This Row],[M]]*Tab_NewTRADER[[#This Row],[Scale]]*Comm_Net,"#,#0")&amp;" @ "&amp;TEXT(Tab_NewTRADER[[#This Row],[M]],"#,#0.#0"),TRUE,"M: "&amp; Tab_NewTRADER[[#This Row],[M]])</f>
        <v>M: 15.035</v>
      </c>
      <c r="AV96" s="1703" cm="1">
        <f t="array" aca="1" ref="AV96" ca="1">-_xlfn.XLOOKUP(
    Tab_NewTRADER[[#This Row],[Show]] &amp; 2,
    TabConsolid[#Headers],
    INDEX(TabConsolid[], 1, 0)
)</f>
        <v>14.490794504828571</v>
      </c>
      <c r="AW96" s="1704">
        <f ca="1">Tab_NewTRADER[[#This Row],[M]]*Tab_NewTRADER[[#This Row],[N]]*(1-Commission)*Tab_NewTRADER[[#This Row],[Scale]]</f>
        <v>314914.08899999998</v>
      </c>
      <c r="AX96" s="1705"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705"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706" t="str" cm="1">
        <f t="array" aca="1" ref="AZ96" ca="1">_xlfn.IFS(   Tab_NewTRADER[[#This Row],[State]]=SellMorePercentGain,                     MIN(Tab_NewTRADER[[#This Row],[L_Sn]],Tab_NewTRADER[[#This Row],[N]])*(Tab_NewTRADER[[#This Row],[M]]-Tab_NewTRADER[[#This Row],[L_Sp]])*(1-Commission)*Tab_NewTRADER[[#This Row],[Scale]],                    TRUE,"")</f>
        <v/>
      </c>
      <c r="BA96" s="1707">
        <f ca="1">_xlfn.XLOOKUP(NewTrader!$V96,TabCalc[Ticker],TabCalc[Ann%RevLB])</f>
        <v>-9.7595473833097773E-2</v>
      </c>
      <c r="BB96" s="1708" t="str">
        <f ca="1">_xlfn.XLOOKUP(NewTrader!$V96,TabCalc[Ticker],TabCalc[Up20])</f>
        <v>/50/50%</v>
      </c>
      <c r="BC96" s="1775"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706" t="str" cm="1">
        <f t="array" aca="1" ref="BD96" ca="1">_xlfn.IFS(         NewTrader!$AF96=MDown,NewTrader!$P96*NewTrader!$Y96*(-(NewTrader!$Q96+NewTrader!$Y96)/NewTrader!$Y96)*(1-Commission)*NewTrader!$A96,                               TRUE,"")</f>
        <v/>
      </c>
      <c r="BE96" s="1705" t="str" cm="1">
        <f t="array" aca="1" ref="BE96" ca="1">_xlfn.IFS(   NewTrader!$AF96=MUp,NewTrader!$BP96-Commission,        NewTrader!$AF96=MDown,(NewTrader!$X96-NewTrader!$Y96)/NewTrader!$Y96-Commission,                              TRUE,"")</f>
        <v/>
      </c>
      <c r="BF96" s="1710"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710" t="e" cm="1">
        <f t="array" aca="1" ref="BG96" ca="1">_xlfn.LET(_xlpm.SumChTxt,TEXT(_xlfn.XLOOKUP(NewTrader!$V96,ListTickers,Tab2SumChangePercent[AVGChan20]),"#0.0%"),
      _xlfn.IFS(NewTrader!$AF96=NoStock,_xlpm.SumChTxt,
      TRUE, IF(NewTrader!$AF96=SellMorePercentGain,             "SumChange "&amp;_xlpm.SumChTxt,                         "&lt;"&amp;INT(_xlfn.XLOOKUP(NewTrader!$V96,ListTickers,Tab2ReverseGL[Rev_GL19]))&amp;    "&lt;"&amp;INT(_xlfn.XLOOKUP(NewTrader!$V96,ListTickers,Tab2ReverseGL[Rev_GL18]))&amp;":      "&amp;_xlpm.SumChTxt)))</f>
        <v>#VALUE!</v>
      </c>
      <c r="BH96" s="1776"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-0.11</v>
      </c>
      <c r="BI96" s="1712" cm="1">
        <f t="array" aca="1" ref="BI96" ca="1">_xlfn.IFS(NewTrader!$AF96=Sale_Back,"",         NewTrader!$AF96=MDown, (NewTrader!$Y96-NewTrader!$X96)/NewTrader!$X96*ComFactor,             TRUE, IFERROR((NewTrader!$Y96-NewTrader!$X96)/NewTrader!$X96*ComFactor,""))</f>
        <v>3.7457612189802057E-2</v>
      </c>
      <c r="BJ96" s="1777" cm="1">
        <f t="array" aca="1" ref="BJ96" ca="1">_xlfn.IFS(               NewTrader!$AF96=NoStock,(NewTrader!$BL96-NewTrader!$Y96)/NewTrader!$Y96-Commission,             NewTrader!$X96&lt;&gt;0,(NewTrader!$X96-NewTrader!$Y96)/NewTrader!$Y96-Commission)</f>
        <v>-3.879590922324104E-2</v>
      </c>
      <c r="BK96" s="1713">
        <f ca="1">_xlfn.XLOOKUP(NewTrader!$V96,TabCalc[Ticker],TabCalc[L_Sn])</f>
        <v>3000</v>
      </c>
      <c r="BL96" s="1693">
        <f ca="1">_xlfn.XLOOKUP(NewTrader!$V96,TabCalc[Ticker],TabCalc[L_Sp])</f>
        <v>16.12</v>
      </c>
      <c r="BM96" s="1694">
        <f ca="1">-IFERROR((Tab_NewTRADER[[#This Row],[M]]-Tab_NewTRADER[[#This Row],[L_Sp]])/Tab_NewTRADER[[#This Row],[L_Sp]],0)</f>
        <v>6.730769230769236E-2</v>
      </c>
      <c r="BN96" s="1714">
        <f ca="1">MIN(Tab_NewTRADER[[#This Row],[L_Sn]],Tab_NewTRADER[[#This Row],[N]])*(Tab_NewTRADER[[#This Row],[M]]-Tab_NewTRADER[[#This Row],[L_Sp]])*Comm_Net*Tab_NewTRADER[[#This Row],[Scale]]</f>
        <v>-3246.2115000000026</v>
      </c>
      <c r="BO96" s="1715">
        <f ca="1">Tab_NewTRADER[[#This Row],[L_Sn]]*(Tab_NewTRADER[[#This Row],[Agiotage]]-Tab_NewTRADER[[#This Row],[M]])/(Tab_NewTRADER[[#This Row],[L_Bn]]*Tab_NewTRADER[[#This Row],[M]])</f>
        <v>-0.99946275824845454</v>
      </c>
      <c r="BP96" s="1716">
        <f ca="1">IFERROR((Tab_NewTRADER[[#This Row],[M]]-Tab_NewTRADER[[#This Row],[A]])/Tab_NewTRADER[[#This Row],[A]],0)</f>
        <v>3.7555255855025123E-2</v>
      </c>
      <c r="BQ96" s="1671" t="str">
        <f ca="1">TEXT(_xlfn.XLOOKUP(Tab_NewTRADER[[#This Row],[ClickTick]],TabCalc[Ticker],TabCalc[NAfter]),"#,#0")&amp;" : "&amp;TEXT(_xlfn.XLOOKUP(Tab_NewTRADER[[#This Row],[ClickTick]],TabCalc[Ticker],TabCalc[NAfter])*(Tab_NewTRADER[[#This Row],[M]]-Tab_NewTRADER[[#This Row],[A]])*(1-Commission)*Tab_NewTRADER[[#This Row],[Scale]],"#,#0$")</f>
        <v>21,000 : 11,399$</v>
      </c>
      <c r="BR96" s="262">
        <f ca="1">_xlfn.XLOOKUP(NewTrader!$V96,TabCalc[[#This Row],[Ticker]],TabCalc[[#This Row],[GL]])*(1-Commission)</f>
        <v>296950.38619278284</v>
      </c>
      <c r="BS96" s="262"/>
      <c r="BT96" s="1672" t="str">
        <f ca="1">Tab_NewTRADER[[#This Row],[Show]]&amp;": "&amp;_xlfn.XLOOKUP(Tab_NewTRADER[[#This Row],[Show]],TabCalc[Ticker],TabCalc[Pile?])</f>
        <v>JBEOAN: Pile</v>
      </c>
      <c r="BU96" s="1673" t="s">
        <v>2023</v>
      </c>
      <c r="BV96" s="1674" t="str" cm="1">
        <f t="array" aca="1" ref="BV96" ca="1">_xlfn.TEXTJOIN("",,INDEX({"M","A","Y"}, _xlfn.SORTBY({1,2,3}, -CHOOSE({1,2,3}, Tab_NewTRADER[[#This Row],[M]], Tab_NewTRADER[[#This Row],[A]], Tab_NewTRADER[[#This Row],[Y]]))))</f>
        <v>YMA</v>
      </c>
      <c r="BW96" s="1778"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76">
        <f ca="1">Tab_NewTRADER[[#This Row],[L_Sn]]*Tab_NewTRADER[[#This Row],[L_Sp]]+Tab_NewTRADER[[#This Row],[SellMore]]*Tab_NewTRADER[[#This Row],[M]]</f>
        <v>123535</v>
      </c>
      <c r="BY96" s="1676">
        <f ca="1">INDEX(
  INDEX(TabConsolid[], , _xlfn.XMATCH(Tab_NewTRADER[[#This Row],[ClickTick]]&amp;1, TabConsolid[#Headers])),
  MATCH(
    -Tab_NewTRADER[[#This Row],[M]],
    INDEX(TabConsolid[], , _xlfn.XMATCH(Tab_NewTRADER[[#This Row],[ClickTick]]&amp;2, TabConsolid[#Headers])),
    -1
  )
)</f>
        <v>5000</v>
      </c>
      <c r="BZ96" s="1676"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5000</v>
      </c>
      <c r="CA96" s="1677">
        <f ca="1">Tab_NewTRADER[[#This Row],[ReBuy]]/(Tab_NewTRADER[[#This Row],[L_Sn]]+Tab_NewTRADER[[#This Row],[SellMore]])</f>
        <v>15.441875</v>
      </c>
      <c r="CB96" s="1678">
        <f ca="1">((_xlfn.XLOOKUP(Tab_NewTRADER[[#This Row],[Show]],TabCalc[Ticker],TabCalc[NAfter])+Tab_NewTRADER[[#This Row],[L_Sn]])*(Tab_NewTRADER[[#This Row],[Agiotage]]-Tab_NewTRADER[[#This Row],[M]]))/(Tab_NewTRADER[[#This Row],[L_Sn]]*_xlfn.XLOOKUP(Tab_NewTRADER[[#This Row],[Show]],TabCalc[Ticker],TabCalc[NAfter]))</f>
        <v>-5.7245419315297193E-3</v>
      </c>
      <c r="CC96" s="1677">
        <f ca="1">INDEX(Tab1Price[Price19], MATCH(Tab_NewTRADER[[#This Row],[Show]], Tab_NewTRADER[Show], 0))</f>
        <v>15.035</v>
      </c>
      <c r="CD96" s="1679">
        <f ca="1">_xlfn.XMATCH(Tab_NewTRADER[[#This Row],[Show]]&amp;1, TabConsolid[#Headers])</f>
        <v>284</v>
      </c>
      <c r="CE96" s="1678"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6" s="1678" t="str" cm="1">
        <f t="array" aca="1" ref="CF96" ca="1">_xlfn.LET(
    _xlpm.FMT, _xlfn.LAMBDA(_xlpm.n, REPT(" ", 7 - LEN(TEXT(_xlpm.n,"0.00"))) &amp; TEXT(_xlpm.n,"0.00")),
    _xlpm.FMT(Tab_NewTRADER[[#This Row],[A]]) &amp; " -" &amp; _xlpm.FMT(Tab_NewTRADER[[#This Row],[M]]) &amp; " -" &amp; _xlpm.FMT(Tab_NewTRADER[[#This Row],[Y]])
)</f>
        <v xml:space="preserve">  14.49 -  15.04 -  16.93</v>
      </c>
      <c r="CG96" s="1680" t="str" cm="1">
        <f t="array" aca="1" ref="CG96" ca="1">_xlfn.LET(
    _xlpm.W, 7,
    _xlpm.FMT, _xlfn.LAMBDA(_xlpm.n, REPT(" ", _xlpm.W - LEN(TEXT(_xlpm.n,"0.00"))) &amp; TEXT(_xlpm.n,"0.00")),
    _xlpm.FMT(Tab_NewTRADER[[#This Row],[A]]) &amp; " * " &amp; _xlpm.FMT(Tab_NewTRADER[[#This Row],[M]]) &amp; " * " &amp; _xlpm.FMT(Tab_NewTRADER[[#This Row],[Y]])
)</f>
        <v xml:space="preserve">  14.49 *   15.04 *   16.93</v>
      </c>
      <c r="CH96" s="1842">
        <f>0</f>
        <v>0</v>
      </c>
    </row>
    <row r="97" spans="1:85" ht="29" thickTop="1" thickBot="1">
      <c r="A97" s="1779" t="s">
        <v>1085</v>
      </c>
      <c r="B97" s="1780"/>
      <c r="C97" s="1781"/>
      <c r="D97" s="1782"/>
      <c r="E97" s="1783"/>
      <c r="F97" s="1784"/>
      <c r="G97" s="1785"/>
      <c r="H97" s="1786"/>
      <c r="I97" s="1786"/>
      <c r="J97" s="1781"/>
      <c r="K97" s="1786"/>
      <c r="L97" s="1787"/>
      <c r="M97" s="1786"/>
      <c r="N97" s="1788"/>
      <c r="O97" s="1789"/>
      <c r="P97" s="1790"/>
      <c r="Q97" s="1791"/>
      <c r="R97" s="1792"/>
      <c r="S97" s="1793">
        <f ca="1">SUBTOTAL(109,NewTrader!$S$3:$S$96)</f>
        <v>206436</v>
      </c>
      <c r="T97" s="1794"/>
      <c r="U97" s="1795">
        <f ca="1">SUBTOTAL(109,NewTrader!$U$3:$U$96)</f>
        <v>0</v>
      </c>
      <c r="V97" s="1796"/>
      <c r="W97" s="1797"/>
      <c r="X97" s="1798"/>
      <c r="Y97" s="1798"/>
      <c r="Z97" s="1799"/>
      <c r="AA97" s="1798"/>
      <c r="AB97" s="1800"/>
      <c r="AC97" s="1800"/>
      <c r="AD97" s="1801"/>
      <c r="AE97" s="1802"/>
      <c r="AF97" s="1803"/>
      <c r="AG97" s="1804"/>
      <c r="AH97" s="1805">
        <f ca="1">SUBTOTAL(109,NewTrader!$AH$3:$AH$96)</f>
        <v>0</v>
      </c>
      <c r="AI97" s="1805"/>
      <c r="AJ97" s="1806">
        <f ca="1">SUBTOTAL(109,NewTrader!$AJ$3:$AJ$96)</f>
        <v>0</v>
      </c>
      <c r="AK97" s="1806">
        <f ca="1">SUBTOTAL(109,NewTrader!$AK$3:$AK$96)</f>
        <v>0</v>
      </c>
      <c r="AL97" s="1806">
        <f ca="1">SUBTOTAL(109,NewTrader!$AL$3:$AL$96)</f>
        <v>2086312.9401108429</v>
      </c>
      <c r="AM97" s="1807"/>
      <c r="AN97" s="1808"/>
      <c r="AO97" s="1809"/>
      <c r="AP97" s="1807"/>
      <c r="AQ97" s="1810"/>
      <c r="AR97" s="1811">
        <f ca="1">SUBTOTAL(103,NewTrader!$AR$3:$AR$96)</f>
        <v>19</v>
      </c>
      <c r="AS97" s="1812">
        <f ca="1">SUBTOTAL(109,NewTrader!$AS$3:$AS$96)</f>
        <v>0</v>
      </c>
      <c r="AT97" s="1813">
        <f ca="1">SUBTOTAL(109,NewTrader!$AT$3:$AT$96)</f>
        <v>0</v>
      </c>
      <c r="AU97" s="1814">
        <f ca="1">SUBTOTAL(109,NewTrader!$AU$3:$AU$96)</f>
        <v>0</v>
      </c>
      <c r="AV97" s="1815">
        <f ca="1">SUBTOTAL(109,NewTrader!$AV$3:$AV$96)</f>
        <v>2128.6768367537907</v>
      </c>
      <c r="AW97" s="1816">
        <f ca="1">SUBTOTAL(109,NewTrader!$AW$3:$AW$96)</f>
        <v>9349652.4760536607</v>
      </c>
      <c r="AX97" s="1817"/>
      <c r="AY97" s="1818"/>
      <c r="AZ97" s="1816">
        <f ca="1">SUBTOTAL(109,NewTrader!$AZ$3:$AZ$96)</f>
        <v>0</v>
      </c>
      <c r="BA97" s="1819"/>
      <c r="BB97" s="1819"/>
      <c r="BC97" s="1817"/>
      <c r="BD97" s="1816">
        <f ca="1">SUBTOTAL(109,NewTrader!$BD$3:$BD$96)</f>
        <v>0</v>
      </c>
      <c r="BE97" s="1817"/>
      <c r="BF97" s="1817"/>
      <c r="BG97" s="1817"/>
      <c r="BH97" s="1820"/>
      <c r="BI97" s="1821">
        <f ca="1">SUBTOTAL(109,NewTrader!$BI$3:$BI$96)</f>
        <v>6.9940189077209149</v>
      </c>
      <c r="BJ97" s="1822">
        <f ca="1">SUBTOTAL(109,NewTrader!$BJ$3:$BJ$96)</f>
        <v>-4.9142787245082555</v>
      </c>
      <c r="BK97" s="1823"/>
      <c r="BL97" s="1824"/>
      <c r="BM97" s="1825"/>
      <c r="BN97" s="1826">
        <f ca="1">SUBTOTAL(109,NewTrader!$BN$3:$BN$96)</f>
        <v>61040.400629069984</v>
      </c>
      <c r="BO97" s="1827">
        <f ca="1">SUBTOTAL(104,NewTrader!$BO$3:$BO$96)</f>
        <v>0.15441291211435451</v>
      </c>
      <c r="BP97" s="1781"/>
      <c r="BQ97" s="1828"/>
      <c r="BR97" s="1793">
        <f ca="1">SUBTOTAL(109,NewTrader!$BR$3:$BR$96)</f>
        <v>4394846.1609668387</v>
      </c>
      <c r="BS97" s="1793"/>
      <c r="BT97" s="1829"/>
      <c r="BU97" s="1830">
        <f>SUBTOTAL(103,NewTrader!$BU$3:$BU$96)</f>
        <v>18</v>
      </c>
      <c r="BV97" s="1831"/>
      <c r="BW97" s="1832"/>
      <c r="BX97" s="1833"/>
      <c r="BY97" s="1833"/>
      <c r="BZ97" s="1833"/>
      <c r="CA97" s="1834"/>
      <c r="CB97" s="1833"/>
      <c r="CC97" s="1833"/>
      <c r="CD97" s="1835"/>
      <c r="CE97" s="1833"/>
      <c r="CF97" s="1833"/>
      <c r="CG97" s="1836"/>
    </row>
    <row r="98" spans="1:85"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COUNTA(NewTrader!$V$3:$V$96)</f>
        <v>94</v>
      </c>
      <c r="X98" s="327"/>
      <c r="Y98" s="327"/>
      <c r="Z98" s="327"/>
      <c r="AA98" s="327"/>
      <c r="AB98" s="327"/>
      <c r="AC98" s="327"/>
      <c r="AD98" s="327"/>
      <c r="AE98" s="327"/>
      <c r="AF98" s="327"/>
      <c r="AV98" s="1278"/>
      <c r="AW98" s="1277"/>
      <c r="AX98" s="1277"/>
      <c r="AZ98" s="793"/>
      <c r="BA98" s="793"/>
      <c r="BB98" s="793"/>
      <c r="BC98" s="793"/>
      <c r="BD98" s="793"/>
      <c r="BE98" s="793"/>
      <c r="BF98" s="793"/>
      <c r="BG98" s="793"/>
      <c r="BH98" s="325"/>
      <c r="BI98" s="327"/>
      <c r="BJ98" s="328"/>
      <c r="BK98" s="802">
        <f ca="1">SUM(NewTrader!$BI$3:$BI$96)</f>
        <v>1.4769656044223056</v>
      </c>
      <c r="BL98" s="803">
        <f ca="1">SUM(NewTrader!$BJ$3:$BJ$96)</f>
        <v>51.342212056467773</v>
      </c>
      <c r="BM98" s="665"/>
      <c r="BN98" s="309"/>
    </row>
    <row r="99" spans="1:85" ht="23" thickBot="1">
      <c r="A99" s="325"/>
      <c r="B99" s="326"/>
      <c r="C99" s="325"/>
      <c r="D99" s="325"/>
      <c r="E99" s="325"/>
      <c r="F99" s="301"/>
      <c r="G99" s="325"/>
      <c r="H99" s="565" t="s">
        <v>1775</v>
      </c>
      <c r="I99" s="310"/>
      <c r="J99" s="528"/>
      <c r="K99" s="301"/>
      <c r="L99" s="301"/>
      <c r="M99" s="291"/>
      <c r="N99" s="1"/>
      <c r="O99" s="301"/>
      <c r="P99" s="325"/>
      <c r="Q99" s="675"/>
      <c r="R99" s="675"/>
      <c r="S99" s="311"/>
      <c r="T99" s="327"/>
      <c r="U99" s="736"/>
      <c r="X99" s="660"/>
      <c r="Y99" s="660"/>
      <c r="Z99" s="660"/>
      <c r="AA99" s="660"/>
      <c r="AB99" s="660"/>
      <c r="AU99" s="1"/>
      <c r="BD99" s="1280" t="s">
        <v>2589</v>
      </c>
      <c r="BE99" s="500" t="s">
        <v>2588</v>
      </c>
      <c r="BF99" s="1279">
        <f ca="1">NewTrader!$AV$97/NewTrader!$AW$97</f>
        <v>2.2767443412530678E-4</v>
      </c>
      <c r="BG99" s="934"/>
      <c r="BJ99" s="91">
        <f ca="1">SUM(AZ3:AZ96)</f>
        <v>0</v>
      </c>
      <c r="BL99" s="91"/>
      <c r="BM99" s="91"/>
      <c r="BN99" s="91"/>
      <c r="BP99" s="91">
        <f ca="1">SUM(BF3:BF96)</f>
        <v>0</v>
      </c>
      <c r="BT99" s="91"/>
      <c r="BW99" s="407"/>
    </row>
    <row r="100" spans="1:85" ht="24" thickTop="1" thickBot="1">
      <c r="A100" s="478"/>
      <c r="B100" s="478"/>
      <c r="C100" s="616" t="s">
        <v>1846</v>
      </c>
      <c r="D100" s="617" t="s">
        <v>1862</v>
      </c>
      <c r="E100" s="616" t="s">
        <v>144</v>
      </c>
      <c r="F100" s="616" t="s">
        <v>1772</v>
      </c>
      <c r="H100" s="616" t="s">
        <v>1538</v>
      </c>
      <c r="I100" s="616" t="s">
        <v>1565</v>
      </c>
      <c r="J100" s="616" t="s">
        <v>676</v>
      </c>
      <c r="K100" s="618"/>
      <c r="L100" s="618"/>
      <c r="M100" s="616" t="s">
        <v>1849</v>
      </c>
      <c r="AG100" s="33"/>
      <c r="AH100" s="33"/>
      <c r="AI100" s="33"/>
      <c r="AU100" s="1"/>
      <c r="BD100" s="934" t="s">
        <v>2587</v>
      </c>
      <c r="BG100" s="934"/>
      <c r="BK100"/>
      <c r="BN100"/>
      <c r="BT100" s="91"/>
      <c r="BW100" s="407"/>
    </row>
    <row r="101" spans="1:85" ht="23" thickBot="1">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V101" s="1132" t="s">
        <v>2514</v>
      </c>
      <c r="Z101" s="1409" t="s">
        <v>2816</v>
      </c>
      <c r="AE101" s="1215" t="str">
        <f>Sale_Back</f>
        <v>Sale Back</v>
      </c>
      <c r="AF101" s="1440"/>
      <c r="AU101" s="1281">
        <f ca="1">SUM(NewTrader!$AT$3:$AT$96)</f>
        <v>0</v>
      </c>
      <c r="AV101" s="1282">
        <f ca="1">SUM(AV3:AV96)</f>
        <v>7124.4418283325831</v>
      </c>
      <c r="AW101" s="1283">
        <f ca="1">SUM(AW3:AW96)</f>
        <v>32907129.623399496</v>
      </c>
    </row>
    <row r="102" spans="1:85" ht="23" thickBot="1">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V102" s="1133" t="s">
        <v>1133</v>
      </c>
      <c r="W102" s="1134" t="e">
        <f>COUNTIFS(#REF!, "EUR", NewTrader!$V$3:$V$96, "?*")</f>
        <v>#REF!</v>
      </c>
      <c r="Z102" s="1410" t="str">
        <f ca="1">"&gt;" &amp; _xlfn.XLOOKUP("VONN", TabCalc[Ticker], TabCalc[TradeType]) &amp; "&lt;"</f>
        <v>&gt;Sale&lt;</v>
      </c>
      <c r="AD102" s="1362"/>
      <c r="AE102" s="1214" t="str">
        <f>MUp</f>
        <v>M Higher</v>
      </c>
      <c r="AF102" s="1441"/>
      <c r="AU102" s="19"/>
      <c r="AV102" s="1284">
        <f ca="1">NewTrader!$AV$97/AV101</f>
        <v>0.29878506808609734</v>
      </c>
      <c r="AW102" s="1285">
        <f ca="1">NewTrader!$AW$97/AW101</f>
        <v>0.28412239484434826</v>
      </c>
      <c r="BG102" s="894"/>
      <c r="BJ102" s="894"/>
      <c r="BN102" s="407" cm="1">
        <f t="array" ref="BN102">_xlfn.LAMBDA(_xlpm.x, _xlpm.x+1)(5)</f>
        <v>6</v>
      </c>
    </row>
    <row r="103" spans="1:85" ht="23" thickBot="1">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V103" s="1135" t="s">
        <v>1431</v>
      </c>
      <c r="W103" s="1136" t="e">
        <f>COUNTIFS(#REF!, "GBp", NewTrader!$V$3:$V$96, "?*")</f>
        <v>#REF!</v>
      </c>
      <c r="AE103" s="1213" t="str">
        <f>SeeDelta</f>
        <v>See Rev%</v>
      </c>
    </row>
    <row r="104" spans="1:85" ht="23" thickBot="1">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V104" s="1135" t="s">
        <v>1130</v>
      </c>
      <c r="W104" s="1136" t="e">
        <f>COUNTIFS(#REF!, "USD", NewTrader!$V$3:$V$96, "?*")</f>
        <v>#REF!</v>
      </c>
      <c r="AJ104" s="1419" t="s">
        <v>2691</v>
      </c>
      <c r="AK104" s="958"/>
      <c r="AL104" s="958" t="s">
        <v>2813</v>
      </c>
      <c r="AM104" s="958"/>
      <c r="AN104" s="958"/>
      <c r="AQ104" s="1418" t="s">
        <v>2692</v>
      </c>
      <c r="AR104" s="958"/>
      <c r="AS104" t="s">
        <v>2814</v>
      </c>
    </row>
    <row r="105" spans="1:85" ht="23" thickBot="1">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V105" s="1137" t="s">
        <v>1132</v>
      </c>
      <c r="W105" s="1138" t="e">
        <f>COUNTIFS(#REF!, "CHF", NewTrader!$V$3:$V$96, "?*")</f>
        <v>#REF!</v>
      </c>
      <c r="AE105" s="1212" t="str">
        <f>RePurchaseGain</f>
        <v>Buy Back</v>
      </c>
      <c r="AF105" s="1440"/>
      <c r="AJ105" s="1414" t="s">
        <v>2810</v>
      </c>
      <c r="AK105" s="1420" t="s">
        <v>2665</v>
      </c>
      <c r="AL105" t="s">
        <v>2811</v>
      </c>
      <c r="AM105" t="s">
        <v>2812</v>
      </c>
      <c r="AQ105" s="1426" t="s">
        <v>2810</v>
      </c>
      <c r="AR105" s="1426" t="s">
        <v>2665</v>
      </c>
      <c r="AS105" t="s">
        <v>2811</v>
      </c>
      <c r="AT105" t="s">
        <v>2812</v>
      </c>
      <c r="AY105" s="1518" t="s">
        <v>2908</v>
      </c>
      <c r="AZ105" s="1519"/>
      <c r="BA105" s="1519"/>
      <c r="BB105" s="1520"/>
      <c r="BD105" s="1540" t="s">
        <v>2909</v>
      </c>
      <c r="BE105" s="1541" t="s">
        <v>1656</v>
      </c>
      <c r="BF105" s="1541" t="s">
        <v>1878</v>
      </c>
      <c r="BG105" s="1542" t="s">
        <v>1655</v>
      </c>
    </row>
    <row r="106" spans="1:85" ht="23" customHeight="1" thickBot="1">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E106" s="1211" t="str">
        <f>MDown</f>
        <v>M Lower</v>
      </c>
      <c r="AF106" s="1440"/>
      <c r="AJ106" s="1412"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DDD: 11.0% - -1.9%</v>
      </c>
      <c r="AK106" s="1421" t="str">
        <f ca="1">_xlfn.TEXTJOIN(": ",,SORTING!K3,TEXT(SORTING!L3,"#.0%"))</f>
        <v>DDD: 11.0%</v>
      </c>
      <c r="AL106" t="str" cm="1">
        <f t="array" aca="1" ref="AL106:AL123" ca="1">_xlfn.UNIQUE(_xlfn._xlws.FILTER(SORTING!I3:I20, COUNTIF(SORTING!K3:K20, SORTING!I3:I20)))</f>
        <v>DDD</v>
      </c>
      <c r="AM106" s="308" cm="1">
        <f t="array" aca="1" ref="AM106" ca="1">IFERROR(TEXT(_xlfn.XLOOKUP(AL106,DataShift!AX$405:AX$498,Tab2Saldo5Days[AvCh%_5d20]),"#.0%")+_xlfn.XLOOKUP(AL106,SORTING!K$3:K$96,SORTING!L$3:L$96)/6,"")</f>
        <v>-6.3850000000000018E-4</v>
      </c>
      <c r="AN106" t="str">
        <f ca="1">IFERROR(_xlfn.XLOOKUP(AL106,NewTrader!$AN$3:$AN$96,NewTrader!$AF$3:$AF$96),"")</f>
        <v>Reverse Buy</v>
      </c>
      <c r="AO106">
        <f ca="1">IFERROR(_xlfn.XLOOKUP(AL106,TabCalc[Ticker],TabCalc[Up20]),"")</f>
        <v>0</v>
      </c>
      <c r="AQ106" s="142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MVEENI: -0.7%/-0.5%</v>
      </c>
      <c r="AR106" s="1424" t="str">
        <f ca="1">_xlfn.TEXTJOIN(": ",,SORTING!K72,TEXT(SORTING!L72,"#0.0%"))</f>
        <v>MVEENI: -0.7%</v>
      </c>
      <c r="AS106" t="str" cm="1">
        <f t="array" aca="1" ref="AS106:AS130" ca="1">_xlfn.UNIQUE(_xlfn._xlws.FILTER(SORTING!I72:I96, COUNTIF(SORTING!K72:K96, SORTING!I72:I96)))</f>
        <v>MVEENI</v>
      </c>
      <c r="AT106" s="308" cm="1">
        <f t="array" aca="1" ref="AT106" ca="1">IFERROR(TEXT(_xlfn.XLOOKUP(AS106,DataShift!AX$405:AX$498,Tab2Saldo5Days[AvCh%_5d20]),"#.0%")+_xlfn.XLOOKUP(AS106,SORTING!K$3:K$96,SORTING!L$3:L$96)/6,"")</f>
        <v>-6.1448333333333337E-3</v>
      </c>
      <c r="AU106" t="str">
        <f ca="1">IFERROR(_xlfn.XLOOKUP(AS106,NewTrader!$AN$3:$AN$96,NewTrader!$AF$3:$AF$96),"")</f>
        <v>Reverse Buy</v>
      </c>
      <c r="AV106">
        <f ca="1">IFERROR(_xlfn.XLOOKUP(AS106,TabCalc[Ticker],TabCalc[Up20]),"")</f>
        <v>0</v>
      </c>
      <c r="AY106" s="1521" t="str" cm="1">
        <f t="array" aca="1" ref="AY106:AZ130" ca="1">_xlfn.TAKE(SortedYChange,25,2)</f>
        <v>DDD</v>
      </c>
      <c r="AZ106" s="1522">
        <f ca="1"/>
        <v>0.110169</v>
      </c>
      <c r="BA106" s="151" t="str" cm="1">
        <f t="array" aca="1" ref="BA106:BB130" ca="1">_xlfn.TAKE(SortedYChange,-25,2)</f>
        <v>MVEENI</v>
      </c>
      <c r="BB106" s="1523">
        <f ca="1"/>
        <v>-6.8689999999999992E-3</v>
      </c>
      <c r="BD106" s="1532" t="str" cm="1">
        <f t="array" aca="1" ref="BD106:BE130" ca="1">_xlfn.TAKE(_xlfn.ANCHORARRAY(SORTING!S3),25,2)</f>
        <v>NEM</v>
      </c>
      <c r="BE106" s="1528">
        <f ca="1"/>
        <v>75310</v>
      </c>
      <c r="BF106" s="1533" t="str" cm="1">
        <f t="array" aca="1" ref="BF106:BG130" ca="1">_xlfn.TAKE(_xlfn.ANCHORARRAY(SORTING!S3),-25,2)</f>
        <v>THC</v>
      </c>
      <c r="BG106" s="1529">
        <f ca="1"/>
        <v>-112.5</v>
      </c>
    </row>
    <row r="107" spans="1:85" ht="23" thickBot="1">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81"/>
      <c r="AE107" s="1206" t="str">
        <f>MgtY</f>
        <v>Buy:@M&gt;@Y?</v>
      </c>
      <c r="AJ107" s="1412"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MVEDDD: 11.0% - -1.9%</v>
      </c>
      <c r="AK107" s="1422" t="str">
        <f ca="1">_xlfn.TEXTJOIN(": ",,SORTING!K4,TEXT(SORTING!L4,"#.0%"))</f>
        <v>MVEDDD: 11.0%</v>
      </c>
      <c r="AL107" t="str">
        <f ca="1"/>
        <v>MVEDDD</v>
      </c>
      <c r="AM107" s="308" cm="1">
        <f t="array" aca="1" ref="AM107" ca="1">IFERROR(TEXT(_xlfn.XLOOKUP(AL107,DataShift!AX$405:AX$498,Tab2Saldo5Days[AvCh%_5d20]),"#.0%")+_xlfn.XLOOKUP(AL107,SORTING!K$3:K$96,SORTING!L$3:L$96)/6,"")</f>
        <v>-6.3850000000000018E-4</v>
      </c>
      <c r="AN107" t="str">
        <f ca="1">IFERROR(_xlfn.XLOOKUP(AL107,NewTrader!$AN$3:$AN$96,NewTrader!$AF$3:$AF$96),"")</f>
        <v>Reverse Buy</v>
      </c>
      <c r="AO107">
        <f ca="1">IFERROR(_xlfn.XLOOKUP(AL107,TabCalc[Ticker],TabCalc[Up20]),"")</f>
        <v>0</v>
      </c>
      <c r="AQ107" s="142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ENI: -0.7%/-0.5%</v>
      </c>
      <c r="AR107" s="1424" t="str">
        <f ca="1">_xlfn.TEXTJOIN(": ",,SORTING!K73,TEXT(SORTING!L73,"#0.0%"))</f>
        <v>ENI: -0.7%</v>
      </c>
      <c r="AS107" t="str">
        <f ca="1"/>
        <v>ENI</v>
      </c>
      <c r="AT107" s="308" cm="1">
        <f t="array" aca="1" ref="AT107" ca="1">IFERROR(TEXT(_xlfn.XLOOKUP(AS107,DataShift!AX$405:AX$498,Tab2Saldo5Days[AvCh%_5d20]),"#.0%")+_xlfn.XLOOKUP(AS107,SORTING!K$3:K$96,SORTING!L$3:L$96)/6,"")</f>
        <v>-6.1448333333333337E-3</v>
      </c>
      <c r="AU107" t="str">
        <f ca="1">IFERROR(_xlfn.XLOOKUP(AS107,NewTrader!$AN$3:$AN$96,NewTrader!$AF$3:$AF$96),"")</f>
        <v>Reverse Buy</v>
      </c>
      <c r="AV107">
        <f ca="1">IFERROR(_xlfn.XLOOKUP(AS107,TabCalc[Ticker],TabCalc[Up20]),"")</f>
        <v>0</v>
      </c>
      <c r="AY107" s="1521" t="str">
        <f ca="1"/>
        <v>MVEDDD</v>
      </c>
      <c r="AZ107" s="1522">
        <f ca="1"/>
        <v>0.110169</v>
      </c>
      <c r="BA107" s="151" t="str">
        <f ca="1"/>
        <v>ENI</v>
      </c>
      <c r="BB107" s="1523">
        <f ca="1"/>
        <v>-6.8689999999999992E-3</v>
      </c>
      <c r="BD107" s="1534" t="str">
        <f ca="1"/>
        <v>MSFT</v>
      </c>
      <c r="BE107" s="1530">
        <f ca="1"/>
        <v>70700</v>
      </c>
      <c r="BF107" s="1533" t="str">
        <f ca="1"/>
        <v>NVAX</v>
      </c>
      <c r="BG107" s="1531">
        <f ca="1"/>
        <v>-135</v>
      </c>
    </row>
    <row r="108" spans="1:85" ht="23" thickBot="1">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E108" s="1207">
        <f>Trader!AD108</f>
        <v>0</v>
      </c>
      <c r="AJ108" s="1412"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SAFDDD: 11.0% - -1.9%</v>
      </c>
      <c r="AK108" s="1422" t="str">
        <f ca="1">_xlfn.TEXTJOIN(": ",,SORTING!K5,TEXT(SORTING!L5,"#.0%"))</f>
        <v>SAFDDD: 11.0%</v>
      </c>
      <c r="AL108" t="str">
        <f ca="1"/>
        <v>SAFDDD</v>
      </c>
      <c r="AM108" s="308" cm="1">
        <f t="array" aca="1" ref="AM108" ca="1">IFERROR(TEXT(_xlfn.XLOOKUP(AL108,DataShift!AX$405:AX$498,Tab2Saldo5Days[AvCh%_5d20]),"#.0%")+_xlfn.XLOOKUP(AL108,SORTING!K$3:K$96,SORTING!L$3:L$96)/6,"")</f>
        <v>-6.3850000000000018E-4</v>
      </c>
      <c r="AN108" t="str">
        <f ca="1">IFERROR(_xlfn.XLOOKUP(AL108,NewTrader!$AN$3:$AN$96,NewTrader!$AF$3:$AF$96),"")</f>
        <v>Reverse Buy</v>
      </c>
      <c r="AO108">
        <f ca="1">IFERROR(_xlfn.XLOOKUP(AL108,TabCalc[Ticker],TabCalc[Up20]),"")</f>
        <v>0</v>
      </c>
      <c r="AQ108" s="142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NVAX: -0.7%/0.3%</v>
      </c>
      <c r="AR108" s="1424" t="str">
        <f ca="1">_xlfn.TEXTJOIN(": ",,SORTING!K74,TEXT(SORTING!L74,"#0.0%"))</f>
        <v>NVAX: -0.7%</v>
      </c>
      <c r="AS108" t="str">
        <f ca="1"/>
        <v>NVAX</v>
      </c>
      <c r="AT108" s="308" cm="1">
        <f t="array" aca="1" ref="AT108" ca="1">IFERROR(TEXT(_xlfn.XLOOKUP(AS108,DataShift!AX$405:AX$498,Tab2Saldo5Days[AvCh%_5d20]),"#.0%")+_xlfn.XLOOKUP(AS108,SORTING!K$3:K$96,SORTING!L$3:L$96)/6,"")</f>
        <v>1.7636666666666666E-3</v>
      </c>
      <c r="AU108" t="str">
        <f ca="1">IFERROR(_xlfn.XLOOKUP(AS108,NewTrader!$AN$3:$AN$96,NewTrader!$AF$3:$AF$96),"")</f>
        <v>Buy More</v>
      </c>
      <c r="AV108">
        <f ca="1">IFERROR(_xlfn.XLOOKUP(AS108,TabCalc[Ticker],TabCalc[Up20]),"")</f>
        <v>0</v>
      </c>
      <c r="AY108" s="1521" t="str">
        <f ca="1"/>
        <v>SAFDDD</v>
      </c>
      <c r="AZ108" s="1522">
        <f ca="1"/>
        <v>0.110169</v>
      </c>
      <c r="BA108" s="151" t="str">
        <f ca="1"/>
        <v>NVAX</v>
      </c>
      <c r="BB108" s="1523">
        <f ca="1"/>
        <v>-7.4180000000000001E-3</v>
      </c>
      <c r="BD108" s="1534" t="str">
        <f ca="1"/>
        <v>SAP</v>
      </c>
      <c r="BE108" s="1530">
        <f ca="1"/>
        <v>20140</v>
      </c>
      <c r="BF108" s="1533" t="str">
        <f ca="1"/>
        <v>PFE</v>
      </c>
      <c r="BG108" s="1531">
        <f ca="1"/>
        <v>-140</v>
      </c>
    </row>
    <row r="109" spans="1:85" ht="23" thickBot="1">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E109" s="1210" t="str">
        <f>NoStock</f>
        <v>No Stock</v>
      </c>
      <c r="AJ109" s="1412"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LAZR: 10.6% - 5.5%</v>
      </c>
      <c r="AK109" s="1422" t="str">
        <f ca="1">_xlfn.TEXTJOIN(": ",,SORTING!K6,TEXT(SORTING!L6,"#.0%"))</f>
        <v>LAZR: 10.6%</v>
      </c>
      <c r="AL109" t="str">
        <f ca="1"/>
        <v>LAZR</v>
      </c>
      <c r="AM109" s="308" cm="1">
        <f t="array" aca="1" ref="AM109" ca="1">IFERROR(TEXT(_xlfn.XLOOKUP(AL109,DataShift!AX$405:AX$498,Tab2Saldo5Days[AvCh%_5d20]),"#.0%")+_xlfn.XLOOKUP(AL109,SORTING!K$3:K$96,SORTING!L$3:L$96)/6,"")</f>
        <v>7.2687500000000002E-2</v>
      </c>
      <c r="AN109" t="str">
        <f ca="1">IFERROR(_xlfn.XLOOKUP(AL109,NewTrader!$AN$3:$AN$96,NewTrader!$AF$3:$AF$96),"")</f>
        <v>Buy More</v>
      </c>
      <c r="AO109">
        <f ca="1">IFERROR(_xlfn.XLOOKUP(AL109,TabCalc[Ticker],TabCalc[Up20]),"")</f>
        <v>0</v>
      </c>
      <c r="AQ109" s="142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SAP: -0.8%/0.6%</v>
      </c>
      <c r="AR109" s="1424" t="str">
        <f ca="1">_xlfn.TEXTJOIN(": ",,SORTING!K75,TEXT(SORTING!L75,"#0.0%"))</f>
        <v>SAP: -0.8%</v>
      </c>
      <c r="AS109" t="str">
        <f ca="1"/>
        <v>SAP</v>
      </c>
      <c r="AT109" s="308" cm="1">
        <f t="array" aca="1" ref="AT109" ca="1">IFERROR(TEXT(_xlfn.XLOOKUP(AS109,DataShift!AX$405:AX$498,Tab2Saldo5Days[AvCh%_5d20]),"#.0%")+_xlfn.XLOOKUP(AS109,SORTING!K$3:K$96,SORTING!L$3:L$96)/6,"")</f>
        <v>4.6963333333333336E-3</v>
      </c>
      <c r="AU109" t="str">
        <f ca="1">IFERROR(_xlfn.XLOOKUP(AS109,NewTrader!$AN$3:$AN$96,NewTrader!$AF$3:$AF$96),"")</f>
        <v>Reverse Buy</v>
      </c>
      <c r="AV109">
        <f ca="1">IFERROR(_xlfn.XLOOKUP(AS109,TabCalc[Ticker],TabCalc[Up20]),"")</f>
        <v>0</v>
      </c>
      <c r="AY109" s="1521" t="str">
        <f ca="1"/>
        <v>LAZR</v>
      </c>
      <c r="AZ109" s="1522">
        <f ca="1"/>
        <v>0.10612500000000001</v>
      </c>
      <c r="BA109" s="151" t="str">
        <f ca="1"/>
        <v>SAP</v>
      </c>
      <c r="BB109" s="1523">
        <f ca="1"/>
        <v>-7.8220000000000008E-3</v>
      </c>
      <c r="BD109" s="1534" t="str">
        <f ca="1"/>
        <v>SAFDDD</v>
      </c>
      <c r="BE109" s="1530">
        <f ca="1"/>
        <v>19250</v>
      </c>
      <c r="BF109" s="1533" t="str">
        <f ca="1"/>
        <v>AZN</v>
      </c>
      <c r="BG109" s="1531">
        <f ca="1"/>
        <v>-170</v>
      </c>
    </row>
    <row r="110" spans="1:85" ht="23" thickBot="1">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J110" s="1412"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UNIT: 7.3% - 1.7%</v>
      </c>
      <c r="AK110" s="1422" t="str">
        <f ca="1">_xlfn.TEXTJOIN(": ",,SORTING!K7,TEXT(SORTING!L7,"#.0%"))</f>
        <v>UNIT: 7.3%</v>
      </c>
      <c r="AL110" t="str">
        <f ca="1"/>
        <v>UNIT</v>
      </c>
      <c r="AM110" s="308" cm="1">
        <f t="array" aca="1" ref="AM110" ca="1">IFERROR(TEXT(_xlfn.XLOOKUP(AL110,DataShift!AX$405:AX$498,Tab2Saldo5Days[AvCh%_5d20]),"#.0%")+_xlfn.XLOOKUP(AL110,SORTING!K$3:K$96,SORTING!L$3:L$96)/6,"")</f>
        <v>2.9098833333333331E-2</v>
      </c>
      <c r="AN110" t="str">
        <f ca="1">IFERROR(_xlfn.XLOOKUP(AL110,NewTrader!$AN$3:$AN$96,NewTrader!$AF$3:$AF$96),"")</f>
        <v>Buy More</v>
      </c>
      <c r="AO110" t="str">
        <f ca="1">IFERROR(_xlfn.XLOOKUP(AL110,TabCalc[Ticker],TabCalc[Up20]),"")</f>
        <v>/100/%</v>
      </c>
      <c r="AQ110" s="142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MVESAP: -0.8%/0.6%</v>
      </c>
      <c r="AR110" s="1424" t="str">
        <f ca="1">_xlfn.TEXTJOIN(": ",,SORTING!K76,TEXT(SORTING!L76,"#0.0%"))</f>
        <v>MVESAP: -0.8%</v>
      </c>
      <c r="AS110" t="str">
        <f ca="1"/>
        <v>MVESAP</v>
      </c>
      <c r="AT110" s="308" cm="1">
        <f t="array" aca="1" ref="AT110" ca="1">IFERROR(TEXT(_xlfn.XLOOKUP(AS110,DataShift!AX$405:AX$498,Tab2Saldo5Days[AvCh%_5d20]),"#.0%")+_xlfn.XLOOKUP(AS110,SORTING!K$3:K$96,SORTING!L$3:L$96)/6,"")</f>
        <v>4.6963333333333336E-3</v>
      </c>
      <c r="AU110" t="str">
        <f ca="1">IFERROR(_xlfn.XLOOKUP(AS110,NewTrader!$AN$3:$AN$96,NewTrader!$AF$3:$AF$96),"")</f>
        <v>Reverse Sale</v>
      </c>
      <c r="AV110" t="str">
        <f ca="1">IFERROR(_xlfn.XLOOKUP(AS110,TabCalc[Ticker],TabCalc[Up20]),"")</f>
        <v>//56%</v>
      </c>
      <c r="AY110" s="1521" t="str">
        <f ca="1"/>
        <v>UNIT</v>
      </c>
      <c r="AZ110" s="1522">
        <f ca="1"/>
        <v>7.2592999999999991E-2</v>
      </c>
      <c r="BA110" s="151" t="str">
        <f ca="1"/>
        <v>MVESAP</v>
      </c>
      <c r="BB110" s="1523">
        <f ca="1"/>
        <v>-7.8220000000000008E-3</v>
      </c>
      <c r="BD110" s="1534" t="str">
        <f ca="1"/>
        <v>DDD</v>
      </c>
      <c r="BE110" s="1530">
        <f ca="1"/>
        <v>14875</v>
      </c>
      <c r="BF110" s="1533" t="str">
        <f ca="1"/>
        <v>NEE</v>
      </c>
      <c r="BG110" s="1531">
        <f ca="1"/>
        <v>-180.05999999999767</v>
      </c>
    </row>
    <row r="111" spans="1:85" ht="23" thickBot="1">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373" t="str">
        <f>Trader!AD110</f>
        <v>Commission</v>
      </c>
      <c r="AE111" s="1209">
        <f>Commission+Stamp_Duty</f>
        <v>2.6999999999999997E-3</v>
      </c>
      <c r="AF111" s="1442"/>
      <c r="AJ111" s="1412"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NEM: 5.3% - 1.9%</v>
      </c>
      <c r="AK111" s="1422" t="str">
        <f ca="1">_xlfn.TEXTJOIN(": ",,SORTING!K8,TEXT(SORTING!L8,"#.0%"))</f>
        <v>NEM: 5.3%</v>
      </c>
      <c r="AL111" t="str">
        <f ca="1"/>
        <v>NEM</v>
      </c>
      <c r="AM111" s="308" cm="1">
        <f t="array" aca="1" ref="AM111" ca="1">IFERROR(TEXT(_xlfn.XLOOKUP(AL111,DataShift!AX$405:AX$498,Tab2Saldo5Days[AvCh%_5d20]),"#.0%")+_xlfn.XLOOKUP(AL111,SORTING!K$3:K$96,SORTING!L$3:L$96)/6,"")</f>
        <v>2.7880666666666665E-2</v>
      </c>
      <c r="AN111" t="str">
        <f ca="1">IFERROR(_xlfn.XLOOKUP(AL111,NewTrader!$AN$3:$AN$96,NewTrader!$AF$3:$AF$96),"")</f>
        <v>Sell More</v>
      </c>
      <c r="AO111" t="str">
        <f ca="1">IFERROR(_xlfn.XLOOKUP(AL111,TabCalc[Ticker],TabCalc[Up20]),"")</f>
        <v>/100/80%</v>
      </c>
      <c r="AQ111" s="142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UN0: -0.8%/1.2%</v>
      </c>
      <c r="AR111" s="1424" t="str">
        <f ca="1">_xlfn.TEXTJOIN(": ",,SORTING!K77,TEXT(SORTING!L77,"#0.0%"))</f>
        <v>UN0: -0.8%</v>
      </c>
      <c r="AS111" t="str">
        <f ca="1"/>
        <v>UN0</v>
      </c>
      <c r="AT111" s="308" cm="1">
        <f t="array" aca="1" ref="AT111" ca="1">IFERROR(TEXT(_xlfn.XLOOKUP(AS111,DataShift!AX$405:AX$498,Tab2Saldo5Days[AvCh%_5d20]),"#.0%")+_xlfn.XLOOKUP(AS111,SORTING!K$3:K$96,SORTING!L$3:L$96)/6,"")</f>
        <v>1.0686000000000001E-2</v>
      </c>
      <c r="AU111" t="str">
        <f ca="1">IFERROR(_xlfn.XLOOKUP(AS111,NewTrader!$AN$3:$AN$96,NewTrader!$AF$3:$AF$96),"")</f>
        <v>Reverse Sale</v>
      </c>
      <c r="AV111" t="str">
        <f ca="1">IFERROR(_xlfn.XLOOKUP(AS111,TabCalc[Ticker],TabCalc[Up20]),"")</f>
        <v>//56%</v>
      </c>
      <c r="AY111" s="1521" t="str">
        <f ca="1"/>
        <v>NEM</v>
      </c>
      <c r="AZ111" s="1522">
        <f ca="1"/>
        <v>5.3284000000000005E-2</v>
      </c>
      <c r="BA111" s="151" t="str">
        <f ca="1"/>
        <v>UN0</v>
      </c>
      <c r="BB111" s="1523">
        <f ca="1"/>
        <v>-7.8840000000000004E-3</v>
      </c>
      <c r="BD111" s="1535" t="str">
        <f ca="1"/>
        <v>SHECY</v>
      </c>
      <c r="BE111" s="1530">
        <f ca="1"/>
        <v>12750</v>
      </c>
      <c r="BF111" s="1533" t="str">
        <f ca="1"/>
        <v>SAFAAPL</v>
      </c>
      <c r="BG111" s="1531">
        <f ca="1"/>
        <v>-336.00000000001455</v>
      </c>
    </row>
    <row r="112" spans="1:85" ht="23" thickBot="1">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411" t="s">
        <v>2560</v>
      </c>
      <c r="AE112" s="1216">
        <f>1-AE111</f>
        <v>0.99729999999999996</v>
      </c>
      <c r="AF112" s="1443"/>
      <c r="AJ112" s="1412"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MA: 4.6% - .6%</v>
      </c>
      <c r="AK112" s="1422" t="str">
        <f ca="1">_xlfn.TEXTJOIN(": ",,SORTING!K9,TEXT(SORTING!L9,"#.0%"))</f>
        <v>MA: 4.6%</v>
      </c>
      <c r="AL112" t="str">
        <f ca="1"/>
        <v>MA</v>
      </c>
      <c r="AM112" s="308" cm="1">
        <f t="array" aca="1" ref="AM112" ca="1">IFERROR(TEXT(_xlfn.XLOOKUP(AL112,DataShift!AX$405:AX$498,Tab2Saldo5Days[AvCh%_5d20]),"#.0%")+_xlfn.XLOOKUP(AL112,SORTING!K$3:K$96,SORTING!L$3:L$96)/6,"")</f>
        <v>1.3642666666666668E-2</v>
      </c>
      <c r="AN112" t="str">
        <f ca="1">IFERROR(_xlfn.XLOOKUP(AL112,NewTrader!$AN$3:$AN$96,NewTrader!$AF$3:$AF$96),"")</f>
        <v>Buy More</v>
      </c>
      <c r="AO112">
        <f ca="1">IFERROR(_xlfn.XLOOKUP(AL112,TabCalc[Ticker],TabCalc[Up20]),"")</f>
        <v>0</v>
      </c>
      <c r="AQ112" s="142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MVEUN0: -0.8%/1.2%</v>
      </c>
      <c r="AR112" s="1424" t="str">
        <f ca="1">_xlfn.TEXTJOIN(": ",,SORTING!K78,TEXT(SORTING!L78,"#0.0%"))</f>
        <v>MVEUN0: -0.8%</v>
      </c>
      <c r="AS112" t="str">
        <f ca="1"/>
        <v>MVEUN0</v>
      </c>
      <c r="AT112" s="308" cm="1">
        <f t="array" aca="1" ref="AT112" ca="1">IFERROR(TEXT(_xlfn.XLOOKUP(AS112,DataShift!AX$405:AX$498,Tab2Saldo5Days[AvCh%_5d20]),"#.0%")+_xlfn.XLOOKUP(AS112,SORTING!K$3:K$96,SORTING!L$3:L$96)/6,"")</f>
        <v>1.0686000000000001E-2</v>
      </c>
      <c r="AU112" t="str">
        <f ca="1">IFERROR(_xlfn.XLOOKUP(AS112,NewTrader!$AN$3:$AN$96,NewTrader!$AF$3:$AF$96),"")</f>
        <v>Reverse Sale</v>
      </c>
      <c r="AV112">
        <f ca="1">IFERROR(_xlfn.XLOOKUP(AS112,TabCalc[Ticker],TabCalc[Up20]),"")</f>
        <v>0</v>
      </c>
      <c r="AY112" s="1521" t="str">
        <f ca="1"/>
        <v>MA</v>
      </c>
      <c r="AZ112" s="1522">
        <f ca="1"/>
        <v>4.5856000000000001E-2</v>
      </c>
      <c r="BA112" s="151" t="str">
        <f ca="1"/>
        <v>MVEUN0</v>
      </c>
      <c r="BB112" s="1523">
        <f ca="1"/>
        <v>-7.8840000000000004E-3</v>
      </c>
      <c r="BD112" s="1535" t="str">
        <f ca="1"/>
        <v>NFLX</v>
      </c>
      <c r="BE112" s="1530">
        <f ca="1"/>
        <v>10800</v>
      </c>
      <c r="BF112" s="1533" t="str">
        <f ca="1"/>
        <v>NOTE</v>
      </c>
      <c r="BG112" s="1531">
        <f ca="1"/>
        <v>-500</v>
      </c>
    </row>
    <row r="113" spans="1:59" ht="23" thickBot="1">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t="s">
        <v>2815</v>
      </c>
      <c r="AE113" s="1439">
        <v>1E-4</v>
      </c>
      <c r="AF113" s="1439"/>
      <c r="AJ113" s="1412"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BLDP: 4.0% - 1.5%</v>
      </c>
      <c r="AK113" s="1422" t="str">
        <f ca="1">_xlfn.TEXTJOIN(": ",,SORTING!K10,TEXT(SORTING!L10,"#.0%"))</f>
        <v>BLDP: 4.0%</v>
      </c>
      <c r="AL113" t="str">
        <f ca="1"/>
        <v>BLDP</v>
      </c>
      <c r="AM113" s="308" cm="1">
        <f t="array" aca="1" ref="AM113" ca="1">IFERROR(TEXT(_xlfn.XLOOKUP(AL113,DataShift!AX$405:AX$498,Tab2Saldo5Days[AvCh%_5d20]),"#.0%")+_xlfn.XLOOKUP(AL113,SORTING!K$3:K$96,SORTING!L$3:L$96)/6,"")</f>
        <v>2.1594666666666665E-2</v>
      </c>
      <c r="AN113" t="str">
        <f ca="1">IFERROR(_xlfn.XLOOKUP(AL113,NewTrader!$AN$3:$AN$96,NewTrader!$AF$3:$AF$96),"")</f>
        <v>Reverse Buy</v>
      </c>
      <c r="AO113">
        <f ca="1">IFERROR(_xlfn.XLOOKUP(AL113,TabCalc[Ticker],TabCalc[Up20]),"")</f>
        <v>0</v>
      </c>
      <c r="AQ113" s="142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TSLA: -1.0%/0.7%</v>
      </c>
      <c r="AR113" s="1424" t="str">
        <f ca="1">_xlfn.TEXTJOIN(": ",,SORTING!K79,TEXT(SORTING!L79,"#0.0%"))</f>
        <v>TSLA: -1.0%</v>
      </c>
      <c r="AS113" t="str">
        <f ca="1"/>
        <v>TSLA</v>
      </c>
      <c r="AT113" s="308" cm="1">
        <f t="array" aca="1" ref="AT113" ca="1">IFERROR(TEXT(_xlfn.XLOOKUP(AS113,DataShift!AX$405:AX$498,Tab2Saldo5Days[AvCh%_5d20]),"#.0%")+_xlfn.XLOOKUP(AS113,SORTING!K$3:K$96,SORTING!L$3:L$96)/6,"")</f>
        <v>5.3076666666666663E-3</v>
      </c>
      <c r="AU113" t="str">
        <f ca="1">IFERROR(_xlfn.XLOOKUP(AS113,NewTrader!$AN$3:$AN$96,NewTrader!$AF$3:$AF$96),"")</f>
        <v>Sell More</v>
      </c>
      <c r="AV113">
        <f ca="1">IFERROR(_xlfn.XLOOKUP(AS113,TabCalc[Ticker],TabCalc[Up20]),"")</f>
        <v>0</v>
      </c>
      <c r="AY113" s="1521" t="str">
        <f ca="1"/>
        <v>BLDP</v>
      </c>
      <c r="AZ113" s="1522">
        <f ca="1"/>
        <v>3.9567999999999999E-2</v>
      </c>
      <c r="BA113" s="151" t="str">
        <f ca="1"/>
        <v>TSLA</v>
      </c>
      <c r="BB113" s="1523">
        <f ca="1"/>
        <v>-1.0154000000000002E-2</v>
      </c>
      <c r="BD113" s="1535" t="str">
        <f ca="1"/>
        <v>IAG</v>
      </c>
      <c r="BE113" s="1530">
        <f ca="1"/>
        <v>8700</v>
      </c>
      <c r="BF113" s="1533" t="str">
        <f ca="1"/>
        <v>MVEUN0</v>
      </c>
      <c r="BG113" s="1531">
        <f ca="1"/>
        <v>-560</v>
      </c>
    </row>
    <row r="114" spans="1:59" ht="23" thickBot="1">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E114" s="1"/>
      <c r="AF114" s="1"/>
      <c r="AG114" s="33"/>
      <c r="AH114" s="33"/>
      <c r="AI114" s="33"/>
      <c r="AJ114" s="1412"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BMRA: 3.6% - 1.0%</v>
      </c>
      <c r="AK114" s="1422" t="str">
        <f ca="1">_xlfn.TEXTJOIN(": ",,SORTING!K11,TEXT(SORTING!L11,"#.0%"))</f>
        <v>BMRA: 3.6%</v>
      </c>
      <c r="AL114" t="str">
        <f ca="1"/>
        <v>BMRA</v>
      </c>
      <c r="AM114" s="308" cm="1">
        <f t="array" aca="1" ref="AM114" ca="1">IFERROR(TEXT(_xlfn.XLOOKUP(AL114,DataShift!AX$405:AX$498,Tab2Saldo5Days[AvCh%_5d20]),"#.0%")+_xlfn.XLOOKUP(AL114,SORTING!K$3:K$96,SORTING!L$3:L$96)/6,"")</f>
        <v>1.6E-2</v>
      </c>
      <c r="AN114" t="str">
        <f ca="1">IFERROR(_xlfn.XLOOKUP(AL114,NewTrader!$AN$3:$AN$96,NewTrader!$AF$3:$AF$96),"")</f>
        <v>Buy More</v>
      </c>
      <c r="AO114">
        <f ca="1">IFERROR(_xlfn.XLOOKUP(AL114,TabCalc[Ticker],TabCalc[Up20]),"")</f>
        <v>0</v>
      </c>
      <c r="AQ114" s="142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CSCO: -1.2%/0.1%</v>
      </c>
      <c r="AR114" s="1424" t="str">
        <f ca="1">_xlfn.TEXTJOIN(": ",,SORTING!K80,TEXT(SORTING!L80,"#0.0%"))</f>
        <v>CSCO: -1.2%</v>
      </c>
      <c r="AS114" t="str">
        <f ca="1"/>
        <v>CSCO</v>
      </c>
      <c r="AT114" s="308" cm="1">
        <f t="array" aca="1" ref="AT114" ca="1">IFERROR(TEXT(_xlfn.XLOOKUP(AS114,DataShift!AX$405:AX$498,Tab2Saldo5Days[AvCh%_5d20]),"#.0%")+_xlfn.XLOOKUP(AS114,SORTING!K$3:K$96,SORTING!L$3:L$96)/6,"")</f>
        <v>-1.0353333333333334E-3</v>
      </c>
      <c r="AU114" t="str">
        <f ca="1">IFERROR(_xlfn.XLOOKUP(AS114,NewTrader!$AN$3:$AN$96,NewTrader!$AF$3:$AF$96),"")</f>
        <v>Sell More</v>
      </c>
      <c r="AV114">
        <f ca="1">IFERROR(_xlfn.XLOOKUP(AS114,TabCalc[Ticker],TabCalc[Up20]),"")</f>
        <v>0</v>
      </c>
      <c r="AY114" s="1521" t="str">
        <f ca="1"/>
        <v>BMRA</v>
      </c>
      <c r="AZ114" s="1522">
        <f ca="1"/>
        <v>3.6000000000000004E-2</v>
      </c>
      <c r="BA114" s="151" t="str">
        <f ca="1"/>
        <v>CSCO</v>
      </c>
      <c r="BB114" s="1523">
        <f ca="1"/>
        <v>-1.2212000000000001E-2</v>
      </c>
      <c r="BD114" s="1535" t="str">
        <f ca="1"/>
        <v>MRNA</v>
      </c>
      <c r="BE114" s="1530">
        <f ca="1"/>
        <v>7560</v>
      </c>
      <c r="BF114" s="1533" t="str">
        <f ca="1"/>
        <v>XPER</v>
      </c>
      <c r="BG114" s="1531">
        <f ca="1"/>
        <v>-950</v>
      </c>
    </row>
    <row r="115" spans="1:59" ht="23" thickBot="1">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E115" s="1"/>
      <c r="AF115" s="1"/>
      <c r="AG115" s="33"/>
      <c r="AH115" s="33"/>
      <c r="AI115" s="33"/>
      <c r="AJ115" s="1412"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PAAS: 3.5% - 2.9%</v>
      </c>
      <c r="AK115" s="1422" t="str">
        <f ca="1">_xlfn.TEXTJOIN(": ",,SORTING!K12,TEXT(SORTING!L12,"#.0%"))</f>
        <v>PAAS: 3.5%</v>
      </c>
      <c r="AL115" t="str">
        <f ca="1"/>
        <v>PAAS</v>
      </c>
      <c r="AM115" s="308" cm="1">
        <f t="array" aca="1" ref="AM115" ca="1">IFERROR(TEXT(_xlfn.XLOOKUP(AL115,DataShift!AX$405:AX$498,Tab2Saldo5Days[AvCh%_5d20]),"#.0%")+_xlfn.XLOOKUP(AL115,SORTING!K$3:K$96,SORTING!L$3:L$96)/6,"")</f>
        <v>3.4754166666666669E-2</v>
      </c>
      <c r="AN115" t="str">
        <f ca="1">IFERROR(_xlfn.XLOOKUP(AL115,NewTrader!$AN$3:$AN$96,NewTrader!$AF$3:$AF$96),"")</f>
        <v>Sell More</v>
      </c>
      <c r="AO115">
        <f ca="1">IFERROR(_xlfn.XLOOKUP(AL115,TabCalc[Ticker],TabCalc[Up20]),"")</f>
        <v>0</v>
      </c>
      <c r="AQ115" s="142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OXY: -1.3%/0.1%</v>
      </c>
      <c r="AR115" s="1427" t="str">
        <f ca="1">_xlfn.TEXTJOIN(": ",,SORTING!K81,TEXT(SORTING!L81,"#0.0%"))</f>
        <v>OXY: -1.3%</v>
      </c>
      <c r="AS115" t="str">
        <f ca="1"/>
        <v>OXY</v>
      </c>
      <c r="AT115" s="308" cm="1">
        <f t="array" aca="1" ref="AT115" ca="1">IFERROR(TEXT(_xlfn.XLOOKUP(AS115,DataShift!AX$405:AX$498,Tab2Saldo5Days[AvCh%_5d20]),"#.0%")+_xlfn.XLOOKUP(AS115,SORTING!K$3:K$96,SORTING!L$3:L$96)/6,"")</f>
        <v>-1.1956666666666665E-3</v>
      </c>
      <c r="AU115" t="str">
        <f ca="1">IFERROR(_xlfn.XLOOKUP(AS115,NewTrader!$AN$3:$AN$96,NewTrader!$AF$3:$AF$96),"")</f>
        <v>Buy More</v>
      </c>
      <c r="AV115">
        <f ca="1">IFERROR(_xlfn.XLOOKUP(AS115,TabCalc[Ticker],TabCalc[Up20]),"")</f>
        <v>0</v>
      </c>
      <c r="AY115" s="1521" t="str">
        <f ca="1"/>
        <v>PAAS</v>
      </c>
      <c r="AZ115" s="1522">
        <f ca="1"/>
        <v>3.4525E-2</v>
      </c>
      <c r="BA115" s="151" t="str">
        <f ca="1"/>
        <v>OXY</v>
      </c>
      <c r="BB115" s="1523">
        <f ca="1"/>
        <v>-1.3173999999999998E-2</v>
      </c>
      <c r="BD115" s="1535" t="str">
        <f ca="1"/>
        <v>LOCK</v>
      </c>
      <c r="BE115" s="1530">
        <f ca="1"/>
        <v>6939</v>
      </c>
      <c r="BF115" s="1533" t="str">
        <f ca="1"/>
        <v>ENI</v>
      </c>
      <c r="BG115" s="1531">
        <f ca="1"/>
        <v>-960</v>
      </c>
    </row>
    <row r="116" spans="1:59" ht="23" thickBot="1">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E116" s="1"/>
      <c r="AF116" s="1"/>
      <c r="AG116" s="33"/>
      <c r="AH116" s="33"/>
      <c r="AI116" s="33"/>
      <c r="AJ116" s="1412"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IAG: 3.1% - .1%</v>
      </c>
      <c r="AK116" s="1422" t="str">
        <f ca="1">_xlfn.TEXTJOIN(": ",,SORTING!K13,TEXT(SORTING!L13,"#.0%"))</f>
        <v>IAG: 3.1%</v>
      </c>
      <c r="AL116" t="str">
        <f ca="1"/>
        <v>IAG</v>
      </c>
      <c r="AM116" s="308" cm="1">
        <f t="array" aca="1" ref="AM116" ca="1">IFERROR(TEXT(_xlfn.XLOOKUP(AL116,DataShift!AX$405:AX$498,Tab2Saldo5Days[AvCh%_5d20]),"#.0%")+_xlfn.XLOOKUP(AL116,SORTING!K$3:K$96,SORTING!L$3:L$96)/6,"")</f>
        <v>6.1866666666666667E-3</v>
      </c>
      <c r="AN116" t="str">
        <f ca="1">IFERROR(_xlfn.XLOOKUP(AL116,NewTrader!$AN$3:$AN$96,NewTrader!$AF$3:$AF$96),"")</f>
        <v>Reverse Buy</v>
      </c>
      <c r="AO116">
        <f ca="1">IFERROR(_xlfn.XLOOKUP(AL116,TabCalc[Ticker],TabCalc[Up20]),"")</f>
        <v>0</v>
      </c>
      <c r="AQ116" s="142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AZN: -1.3%/-0.3%</v>
      </c>
      <c r="AR116" s="1427" t="str">
        <f ca="1">_xlfn.TEXTJOIN(": ",,SORTING!K82,TEXT(SORTING!L82,"#0.0%"))</f>
        <v>AZN: -1.3%</v>
      </c>
      <c r="AS116" t="str">
        <f ca="1"/>
        <v>AZN</v>
      </c>
      <c r="AT116" s="308" cm="1">
        <f t="array" aca="1" ref="AT116" ca="1">IFERROR(TEXT(_xlfn.XLOOKUP(AS116,DataShift!AX$405:AX$498,Tab2Saldo5Days[AvCh%_5d20]),"#.0%")+_xlfn.XLOOKUP(AS116,SORTING!K$3:K$96,SORTING!L$3:L$96)/6,"")</f>
        <v>-5.2220000000000001E-3</v>
      </c>
      <c r="AU116" t="str">
        <f ca="1">IFERROR(_xlfn.XLOOKUP(AS116,NewTrader!$AN$3:$AN$96,NewTrader!$AF$3:$AF$96),"")</f>
        <v>Sell More</v>
      </c>
      <c r="AV116">
        <f ca="1">IFERROR(_xlfn.XLOOKUP(AS116,TabCalc[Ticker],TabCalc[Up20]),"")</f>
        <v>0</v>
      </c>
      <c r="AY116" s="1521" t="str">
        <f ca="1"/>
        <v>IAG</v>
      </c>
      <c r="AZ116" s="1522">
        <f ca="1"/>
        <v>3.1120000000000002E-2</v>
      </c>
      <c r="BA116" s="151" t="str">
        <f ca="1"/>
        <v>AZN</v>
      </c>
      <c r="BB116" s="1523">
        <f ca="1"/>
        <v>-1.3332E-2</v>
      </c>
      <c r="BD116" s="1535" t="str">
        <f ca="1"/>
        <v>POET</v>
      </c>
      <c r="BE116" s="1530">
        <f ca="1"/>
        <v>6175</v>
      </c>
      <c r="BF116" s="1533" t="str">
        <f ca="1"/>
        <v>SAFAMZN</v>
      </c>
      <c r="BG116" s="1531">
        <f ca="1"/>
        <v>-1005</v>
      </c>
    </row>
    <row r="117" spans="1:59" ht="23" thickBot="1">
      <c r="A117" s="325"/>
      <c r="B117" s="326"/>
      <c r="C117" s="326"/>
      <c r="D117" s="326"/>
      <c r="E117" s="325"/>
      <c r="F117" s="301"/>
      <c r="G117" s="310"/>
      <c r="H117" s="310"/>
      <c r="I117" s="626"/>
      <c r="J117" s="627"/>
      <c r="K117" s="1"/>
      <c r="L117" s="1"/>
      <c r="M117" s="590"/>
      <c r="AE117" s="1"/>
      <c r="AF117" s="1"/>
      <c r="AG117" s="33"/>
      <c r="AH117" s="33"/>
      <c r="AI117" s="33"/>
      <c r="AJ117" s="1412"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SAFIAG: 3.1% - .1%</v>
      </c>
      <c r="AK117" s="1422" t="str">
        <f ca="1">_xlfn.TEXTJOIN(": ",,SORTING!K14,TEXT(SORTING!L14,"#.0%"))</f>
        <v>SAFIAG: 3.1%</v>
      </c>
      <c r="AL117" t="str">
        <f ca="1"/>
        <v>SAFIAG</v>
      </c>
      <c r="AM117" s="308" cm="1">
        <f t="array" aca="1" ref="AM117" ca="1">IFERROR(TEXT(_xlfn.XLOOKUP(AL117,DataShift!AX$405:AX$498,Tab2Saldo5Days[AvCh%_5d20]),"#.0%")+_xlfn.XLOOKUP(AL117,SORTING!K$3:K$96,SORTING!L$3:L$96)/6,"")</f>
        <v>6.1866666666666667E-3</v>
      </c>
      <c r="AN117" t="str">
        <f ca="1">IFERROR(_xlfn.XLOOKUP(AL117,NewTrader!$AN$3:$AN$96,NewTrader!$AF$3:$AF$96),"")</f>
        <v>No Stock</v>
      </c>
      <c r="AO117">
        <f ca="1">IFERROR(_xlfn.XLOOKUP(AL117,TabCalc[Ticker],TabCalc[Up20]),"")</f>
        <v>0.42857142857142855</v>
      </c>
      <c r="AQ117" s="142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TSM: -1.4%/0.1%</v>
      </c>
      <c r="AR117" s="1427" t="str">
        <f ca="1">_xlfn.TEXTJOIN(": ",,SORTING!K83,TEXT(SORTING!L83,"#0.0%"))</f>
        <v>TSM: -1.4%</v>
      </c>
      <c r="AS117" t="str">
        <f ca="1"/>
        <v>TSM</v>
      </c>
      <c r="AT117" s="308" cm="1">
        <f t="array" aca="1" ref="AT117" ca="1">IFERROR(TEXT(_xlfn.XLOOKUP(AS117,DataShift!AX$405:AX$498,Tab2Saldo5Days[AvCh%_5d20]),"#.0%")+_xlfn.XLOOKUP(AS117,SORTING!K$3:K$96,SORTING!L$3:L$96)/6,"")</f>
        <v>-1.3828333333333331E-3</v>
      </c>
      <c r="AU117" t="str">
        <f ca="1">IFERROR(_xlfn.XLOOKUP(AS117,NewTrader!$AN$3:$AN$96,NewTrader!$AF$3:$AF$96),"")</f>
        <v>Sell More</v>
      </c>
      <c r="AV117" t="str">
        <f ca="1">IFERROR(_xlfn.XLOOKUP(AS117,TabCalc[Ticker],TabCalc[Up20]),"")</f>
        <v>/33/%</v>
      </c>
      <c r="AY117" s="1521" t="str">
        <f ca="1"/>
        <v>SAFIAG</v>
      </c>
      <c r="AZ117" s="1522">
        <f ca="1"/>
        <v>3.1120000000000002E-2</v>
      </c>
      <c r="BA117" s="151" t="str">
        <f ca="1"/>
        <v>TSM</v>
      </c>
      <c r="BB117" s="1523">
        <f ca="1"/>
        <v>-1.4296999999999999E-2</v>
      </c>
      <c r="BD117" s="1535" t="str">
        <f ca="1"/>
        <v>MVESAP</v>
      </c>
      <c r="BE117" s="1530">
        <f ca="1"/>
        <v>4770</v>
      </c>
      <c r="BF117" s="1533" t="str">
        <f ca="1"/>
        <v>CSCO</v>
      </c>
      <c r="BG117" s="1531">
        <f ca="1"/>
        <v>-1060</v>
      </c>
    </row>
    <row r="118" spans="1:59" ht="23" thickBot="1">
      <c r="A118" s="325"/>
      <c r="B118" s="326"/>
      <c r="C118" s="326"/>
      <c r="D118" s="326"/>
      <c r="E118" s="325"/>
      <c r="F118" s="301"/>
      <c r="G118" s="310"/>
      <c r="H118" s="310"/>
      <c r="I118" s="626"/>
      <c r="J118" s="627"/>
      <c r="K118" s="1"/>
      <c r="L118" s="1"/>
      <c r="M118" s="590"/>
      <c r="AG118" s="33"/>
      <c r="AH118" s="33"/>
      <c r="AI118" s="33"/>
      <c r="AJ118" s="1412"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PROF: 2.6% - .9%</v>
      </c>
      <c r="AK118" s="1422" t="str">
        <f ca="1">_xlfn.TEXTJOIN(": ",,SORTING!K15,TEXT(SORTING!L15,"#.0%"))</f>
        <v>PROF: 2.6%</v>
      </c>
      <c r="AL118" t="str">
        <f ca="1"/>
        <v>PROF</v>
      </c>
      <c r="AM118" s="308" cm="1">
        <f t="array" aca="1" ref="AM118" ca="1">IFERROR(TEXT(_xlfn.XLOOKUP(AL118,DataShift!AX$405:AX$498,Tab2Saldo5Days[AvCh%_5d20]),"#.0%")+_xlfn.XLOOKUP(AL118,SORTING!K$3:K$96,SORTING!L$3:L$96)/6,"")</f>
        <v>1.3373833333333331E-2</v>
      </c>
      <c r="AN118" t="str">
        <f ca="1">IFERROR(_xlfn.XLOOKUP(AL118,NewTrader!$AN$3:$AN$96,NewTrader!$AF$3:$AF$96),"")</f>
        <v>Sell More</v>
      </c>
      <c r="AO118">
        <f ca="1">IFERROR(_xlfn.XLOOKUP(AL118,TabCalc[Ticker],TabCalc[Up20]),"")</f>
        <v>0</v>
      </c>
      <c r="AQ118" s="142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XPER: -1.4%/0.5%</v>
      </c>
      <c r="AR118" s="1424" t="str">
        <f ca="1">_xlfn.TEXTJOIN(": ",,SORTING!K84,TEXT(SORTING!L84,"#0.0%"))</f>
        <v>XPER: -1.4%</v>
      </c>
      <c r="AS118" t="str">
        <f ca="1"/>
        <v>XPER</v>
      </c>
      <c r="AT118" s="308" cm="1">
        <f t="array" aca="1" ref="AT118" ca="1">IFERROR(TEXT(_xlfn.XLOOKUP(AS118,DataShift!AX$405:AX$498,Tab2Saldo5Days[AvCh%_5d20]),"#.0%")+_xlfn.XLOOKUP(AS118,SORTING!K$3:K$96,SORTING!L$3:L$96)/6,"")</f>
        <v>2.6000000000000003E-3</v>
      </c>
      <c r="AU118" t="str">
        <f ca="1">IFERROR(_xlfn.XLOOKUP(AS118,NewTrader!$AN$3:$AN$96,NewTrader!$AF$3:$AF$96),"")</f>
        <v>Buy More</v>
      </c>
      <c r="AV118">
        <f ca="1">IFERROR(_xlfn.XLOOKUP(AS118,TabCalc[Ticker],TabCalc[Up20]),"")</f>
        <v>0</v>
      </c>
      <c r="AY118" s="1521" t="str">
        <f ca="1"/>
        <v>PROF</v>
      </c>
      <c r="AZ118" s="1522">
        <f ca="1"/>
        <v>2.6242999999999999E-2</v>
      </c>
      <c r="BA118" s="151" t="str">
        <f ca="1"/>
        <v>XPER</v>
      </c>
      <c r="BB118" s="1523">
        <f ca="1"/>
        <v>-1.44E-2</v>
      </c>
      <c r="BD118" s="1535" t="str">
        <f ca="1"/>
        <v>KR</v>
      </c>
      <c r="BE118" s="1530">
        <f ca="1"/>
        <v>4235</v>
      </c>
      <c r="BF118" s="1533" t="str">
        <f ca="1"/>
        <v>BLNK</v>
      </c>
      <c r="BG118" s="1531">
        <f ca="1"/>
        <v>-1164</v>
      </c>
    </row>
    <row r="119" spans="1:59" ht="23" thickBot="1">
      <c r="A119" s="325"/>
      <c r="B119" s="326"/>
      <c r="C119" s="326"/>
      <c r="D119" s="326"/>
      <c r="E119" s="325"/>
      <c r="F119" s="301"/>
      <c r="G119" s="310"/>
      <c r="H119" s="310"/>
      <c r="I119" s="626"/>
      <c r="J119" s="627"/>
      <c r="K119" s="1"/>
      <c r="L119" s="1"/>
      <c r="M119" s="590"/>
      <c r="AG119" s="33"/>
      <c r="AH119" s="33"/>
      <c r="AI119" s="33"/>
      <c r="AJ119" s="1412"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GS: 2.4% - 1.4%</v>
      </c>
      <c r="AK119" s="1422" t="str">
        <f ca="1">_xlfn.TEXTJOIN(": ",,SORTING!K16,TEXT(SORTING!L16,"#.0%"))</f>
        <v>GS: 2.4%</v>
      </c>
      <c r="AL119" t="str">
        <f ca="1"/>
        <v>GS</v>
      </c>
      <c r="AM119" s="308" cm="1">
        <f t="array" aca="1" ref="AM119" ca="1">IFERROR(TEXT(_xlfn.XLOOKUP(AL119,DataShift!AX$405:AX$498,Tab2Saldo5Days[AvCh%_5d20]),"#.0%")+_xlfn.XLOOKUP(AL119,SORTING!K$3:K$96,SORTING!L$3:L$96)/6,"")</f>
        <v>1.8067166666666669E-2</v>
      </c>
      <c r="AN119" t="str">
        <f ca="1">IFERROR(_xlfn.XLOOKUP(AL119,NewTrader!$AN$3:$AN$96,NewTrader!$AF$3:$AF$96),"")</f>
        <v>No Stock</v>
      </c>
      <c r="AO119">
        <f ca="1">IFERROR(_xlfn.XLOOKUP(AL119,TabCalc[Ticker],TabCalc[Up20]),"")</f>
        <v>0.5714285714285714</v>
      </c>
      <c r="AQ119" s="142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AVGO: -1.6%/0.8%</v>
      </c>
      <c r="AR119" s="1424" t="str">
        <f ca="1">_xlfn.TEXTJOIN(": ",,SORTING!K85,TEXT(SORTING!L85,"#0.0%"))</f>
        <v>AVGO: -1.6%</v>
      </c>
      <c r="AS119" t="str">
        <f ca="1"/>
        <v>AVGO</v>
      </c>
      <c r="AT119" s="308" cm="1">
        <f t="array" aca="1" ref="AT119" ca="1">IFERROR(TEXT(_xlfn.XLOOKUP(AS119,DataShift!AX$405:AX$498,Tab2Saldo5Days[AvCh%_5d20]),"#.0%")+_xlfn.XLOOKUP(AS119,SORTING!K$3:K$96,SORTING!L$3:L$96)/6,"")</f>
        <v>5.3363333333333336E-3</v>
      </c>
      <c r="AU119" t="str">
        <f ca="1">IFERROR(_xlfn.XLOOKUP(AS119,NewTrader!$AN$3:$AN$96,NewTrader!$AF$3:$AF$96),"")</f>
        <v>Sell More</v>
      </c>
      <c r="AV119">
        <f ca="1">IFERROR(_xlfn.XLOOKUP(AS119,TabCalc[Ticker],TabCalc[Up20]),"")</f>
        <v>0</v>
      </c>
      <c r="AY119" s="1521" t="str">
        <f ca="1"/>
        <v>GS</v>
      </c>
      <c r="AZ119" s="1522">
        <f ca="1"/>
        <v>2.4403000000000001E-2</v>
      </c>
      <c r="BA119" s="151" t="str">
        <f ca="1"/>
        <v>AVGO</v>
      </c>
      <c r="BB119" s="1523">
        <f ca="1"/>
        <v>-1.5982E-2</v>
      </c>
      <c r="BD119" s="1535" t="str">
        <f ca="1"/>
        <v>MA</v>
      </c>
      <c r="BE119" s="1530">
        <f ca="1"/>
        <v>3958.0000000000146</v>
      </c>
      <c r="BF119" s="1533" t="str">
        <f ca="1"/>
        <v>TSM</v>
      </c>
      <c r="BG119" s="1531">
        <f ca="1"/>
        <v>-1800</v>
      </c>
    </row>
    <row r="120" spans="1:59" ht="23" thickBot="1">
      <c r="A120" s="325"/>
      <c r="B120" s="326"/>
      <c r="C120" s="326"/>
      <c r="D120" s="326"/>
      <c r="E120" s="325"/>
      <c r="F120" s="301"/>
      <c r="G120" s="310"/>
      <c r="H120" s="310"/>
      <c r="I120" s="626"/>
      <c r="J120" s="627"/>
      <c r="K120" s="1"/>
      <c r="L120" s="1"/>
      <c r="M120" s="590"/>
      <c r="AG120" s="33"/>
      <c r="AH120" s="33"/>
      <c r="AI120" s="33"/>
      <c r="AJ120" s="1412"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DIS: 2.4% - .5%</v>
      </c>
      <c r="AK120" s="1422" t="str">
        <f ca="1">_xlfn.TEXTJOIN(": ",,SORTING!K17,TEXT(SORTING!L17,"#.0%"))</f>
        <v>DIS: 2.4%</v>
      </c>
      <c r="AL120" t="str">
        <f ca="1"/>
        <v>DIS</v>
      </c>
      <c r="AM120" s="308" cm="1">
        <f t="array" aca="1" ref="AM120" ca="1">IFERROR(TEXT(_xlfn.XLOOKUP(AL120,DataShift!AX$405:AX$498,Tab2Saldo5Days[AvCh%_5d20]),"#.0%")+_xlfn.XLOOKUP(AL120,SORTING!K$3:K$96,SORTING!L$3:L$96)/6,"")</f>
        <v>9.0583333333333332E-3</v>
      </c>
      <c r="AN120" t="str">
        <f ca="1">IFERROR(_xlfn.XLOOKUP(AL120,NewTrader!$AN$3:$AN$96,NewTrader!$AF$3:$AF$96),"")</f>
        <v>Buy More</v>
      </c>
      <c r="AO120">
        <f ca="1">IFERROR(_xlfn.XLOOKUP(AL120,TabCalc[Ticker],TabCalc[Up20]),"")</f>
        <v>0</v>
      </c>
      <c r="AQ120" s="142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RRC: -2.7%/-0.4%</v>
      </c>
      <c r="AR120" s="1424" t="str">
        <f ca="1">_xlfn.TEXTJOIN(": ",,SORTING!K86,TEXT(SORTING!L86,"#0.0%"))</f>
        <v>RRC: -2.7%</v>
      </c>
      <c r="AS120" t="str">
        <f ca="1"/>
        <v>RRC</v>
      </c>
      <c r="AT120" s="308" cm="1">
        <f t="array" aca="1" ref="AT120" ca="1">IFERROR(TEXT(_xlfn.XLOOKUP(AS120,DataShift!AX$405:AX$498,Tab2Saldo5Days[AvCh%_5d20]),"#.0%")+_xlfn.XLOOKUP(AS120,SORTING!K$3:K$96,SORTING!L$3:L$96)/6,"")</f>
        <v>-8.4248333333333328E-3</v>
      </c>
      <c r="AU120" t="str">
        <f ca="1">IFERROR(_xlfn.XLOOKUP(AS120,NewTrader!$AN$3:$AN$96,NewTrader!$AF$3:$AF$96),"")</f>
        <v>No Stock</v>
      </c>
      <c r="AV120">
        <f ca="1">IFERROR(_xlfn.XLOOKUP(AS120,TabCalc[Ticker],TabCalc[Up20]),"")</f>
        <v>0.5</v>
      </c>
      <c r="AY120" s="1521" t="str">
        <f ca="1"/>
        <v>DIS</v>
      </c>
      <c r="AZ120" s="1522">
        <f ca="1"/>
        <v>2.435E-2</v>
      </c>
      <c r="BA120" s="151" t="str">
        <f ca="1"/>
        <v>RRC</v>
      </c>
      <c r="BB120" s="1523">
        <f ca="1"/>
        <v>-2.6549E-2</v>
      </c>
      <c r="BD120" s="1535" t="str">
        <f ca="1"/>
        <v>UNIT</v>
      </c>
      <c r="BE120" s="1530">
        <f ca="1"/>
        <v>3328.0999999999985</v>
      </c>
      <c r="BF120" s="1533" t="str">
        <f ca="1"/>
        <v>HPE</v>
      </c>
      <c r="BG120" s="1531">
        <f ca="1"/>
        <v>-2272</v>
      </c>
    </row>
    <row r="121" spans="1:59" ht="23" thickBot="1">
      <c r="A121" s="325"/>
      <c r="B121" s="326"/>
      <c r="C121" s="326"/>
      <c r="D121" s="326"/>
      <c r="E121" s="325"/>
      <c r="F121" s="301"/>
      <c r="G121" s="310"/>
      <c r="H121" s="310"/>
      <c r="I121" s="626"/>
      <c r="J121" s="627"/>
      <c r="K121" s="1"/>
      <c r="L121" s="1"/>
      <c r="M121" s="590"/>
      <c r="AG121" s="33"/>
      <c r="AH121" s="33"/>
      <c r="AI121" s="33"/>
      <c r="AJ121" s="1412"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SAFDIS: 2.4% - .5%</v>
      </c>
      <c r="AK121" s="1422" t="str">
        <f ca="1">_xlfn.TEXTJOIN(": ",,SORTING!K18,TEXT(SORTING!L18,"#.0%"))</f>
        <v>SAFDIS: 2.4%</v>
      </c>
      <c r="AL121" t="str">
        <f ca="1"/>
        <v>SAFDIS</v>
      </c>
      <c r="AM121" s="308" cm="1">
        <f t="array" aca="1" ref="AM121" ca="1">IFERROR(TEXT(_xlfn.XLOOKUP(AL121,DataShift!AX$405:AX$498,Tab2Saldo5Days[AvCh%_5d20]),"#.0%")+_xlfn.XLOOKUP(AL121,SORTING!K$3:K$96,SORTING!L$3:L$96)/6,"")</f>
        <v>9.0583333333333332E-3</v>
      </c>
      <c r="AN121" t="str">
        <f ca="1">IFERROR(_xlfn.XLOOKUP(AL121,NewTrader!$AN$3:$AN$96,NewTrader!$AF$3:$AF$96),"")</f>
        <v>Buy More</v>
      </c>
      <c r="AO121">
        <f ca="1">IFERROR(_xlfn.XLOOKUP(AL121,TabCalc[Ticker],TabCalc[Up20]),"")</f>
        <v>0</v>
      </c>
      <c r="AQ121" s="142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AET: -2.7%/0.4%</v>
      </c>
      <c r="AR121" s="1424" t="str">
        <f ca="1">_xlfn.TEXTJOIN(": ",,SORTING!K87,TEXT(SORTING!L87,"#0.0%"))</f>
        <v>AET: -2.7%</v>
      </c>
      <c r="AS121" t="str">
        <f ca="1"/>
        <v>AET</v>
      </c>
      <c r="AT121" s="308" cm="1">
        <f t="array" aca="1" ref="AT121" ca="1">IFERROR(TEXT(_xlfn.XLOOKUP(AS121,DataShift!AX$405:AX$498,Tab2Saldo5Days[AvCh%_5d20]),"#.0%")+_xlfn.XLOOKUP(AS121,SORTING!K$3:K$96,SORTING!L$3:L$96)/6,"")</f>
        <v>-5.7183333333333305E-4</v>
      </c>
      <c r="AU121" t="str">
        <f ca="1">IFERROR(_xlfn.XLOOKUP(AS121,NewTrader!$AN$3:$AN$96,NewTrader!$AF$3:$AF$96),"")</f>
        <v>Buy More</v>
      </c>
      <c r="AV121" t="str">
        <f ca="1">IFERROR(_xlfn.XLOOKUP(AS121,TabCalc[Ticker],TabCalc[Up20]),"")</f>
        <v>/25/%</v>
      </c>
      <c r="AY121" s="1521" t="str">
        <f ca="1"/>
        <v>SAFDIS</v>
      </c>
      <c r="AZ121" s="1522">
        <f ca="1"/>
        <v>2.435E-2</v>
      </c>
      <c r="BA121" s="151" t="str">
        <f ca="1"/>
        <v>AET</v>
      </c>
      <c r="BB121" s="1523">
        <f ca="1"/>
        <v>-2.7431000000000001E-2</v>
      </c>
      <c r="BD121" s="1535" t="str">
        <f ca="1"/>
        <v>VONN</v>
      </c>
      <c r="BE121" s="1530">
        <f ca="1"/>
        <v>3300</v>
      </c>
      <c r="BF121" s="1533" t="str">
        <f ca="1"/>
        <v>UN0</v>
      </c>
      <c r="BG121" s="1531">
        <f ca="1"/>
        <v>-3000</v>
      </c>
    </row>
    <row r="122" spans="1:59" ht="23" thickBot="1">
      <c r="A122" s="325"/>
      <c r="B122" s="326"/>
      <c r="C122" s="326"/>
      <c r="D122" s="326"/>
      <c r="E122" s="325"/>
      <c r="F122" s="301"/>
      <c r="G122" s="310"/>
      <c r="H122" s="310"/>
      <c r="I122" s="626"/>
      <c r="J122" s="627"/>
      <c r="K122" s="1"/>
      <c r="L122" s="1"/>
      <c r="M122" s="590"/>
      <c r="AJ122" s="1412"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CVS: 2.4% - .9%</v>
      </c>
      <c r="AK122" s="1422" t="str">
        <f ca="1">_xlfn.TEXTJOIN(": ",,SORTING!K19,TEXT(SORTING!L19,"#.0%"))</f>
        <v>CVS: 2.4%</v>
      </c>
      <c r="AL122" t="str">
        <f ca="1"/>
        <v>CVS</v>
      </c>
      <c r="AM122" s="308" cm="1">
        <f t="array" aca="1" ref="AM122" ca="1">IFERROR(TEXT(_xlfn.XLOOKUP(AL122,DataShift!AX$405:AX$498,Tab2Saldo5Days[AvCh%_5d20]),"#.0%")+_xlfn.XLOOKUP(AL122,SORTING!K$3:K$96,SORTING!L$3:L$96)/6,"")</f>
        <v>1.2925499999999999E-2</v>
      </c>
      <c r="AN122" t="str">
        <f ca="1">IFERROR(_xlfn.XLOOKUP(AL122,NewTrader!$AN$3:$AN$96,NewTrader!$AF$3:$AF$96),"")</f>
        <v>Sell More</v>
      </c>
      <c r="AO122">
        <f ca="1">IFERROR(_xlfn.XLOOKUP(AL122,TabCalc[Ticker],TabCalc[Up20]),"")</f>
        <v>0</v>
      </c>
      <c r="AQ122" s="142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HPE: -2.9%/1.3%</v>
      </c>
      <c r="AR122" s="1424" t="str">
        <f ca="1">_xlfn.TEXTJOIN(": ",,SORTING!K88,TEXT(SORTING!L88,"#0.0%"))</f>
        <v>HPE: -2.9%</v>
      </c>
      <c r="AS122" t="str">
        <f ca="1"/>
        <v>HPE</v>
      </c>
      <c r="AT122" s="308" cm="1">
        <f t="array" aca="1" ref="AT122" ca="1">IFERROR(TEXT(_xlfn.XLOOKUP(AS122,DataShift!AX$405:AX$498,Tab2Saldo5Days[AvCh%_5d20]),"#.0%")+_xlfn.XLOOKUP(AS122,SORTING!K$3:K$96,SORTING!L$3:L$96)/6,"")</f>
        <v>8.2493333333333325E-3</v>
      </c>
      <c r="AU122" t="str">
        <f ca="1">IFERROR(_xlfn.XLOOKUP(AS122,NewTrader!$AN$3:$AN$96,NewTrader!$AF$3:$AF$96),"")</f>
        <v>Reverse Sale</v>
      </c>
      <c r="AV122">
        <f ca="1">IFERROR(_xlfn.XLOOKUP(AS122,TabCalc[Ticker],TabCalc[Up20]),"")</f>
        <v>0</v>
      </c>
      <c r="AY122" s="1521" t="str">
        <f ca="1"/>
        <v>CVS</v>
      </c>
      <c r="AZ122" s="1522">
        <f ca="1"/>
        <v>2.3553000000000001E-2</v>
      </c>
      <c r="BA122" s="151" t="str">
        <f ca="1"/>
        <v>HPE</v>
      </c>
      <c r="BB122" s="1523">
        <f ca="1"/>
        <v>-2.8504000000000002E-2</v>
      </c>
      <c r="BD122" s="1535" t="str">
        <f ca="1"/>
        <v>SAFMRNA</v>
      </c>
      <c r="BE122" s="1530">
        <f ca="1"/>
        <v>3150</v>
      </c>
      <c r="BF122" s="1533" t="str">
        <f ca="1"/>
        <v>MVEENI</v>
      </c>
      <c r="BG122" s="1531">
        <f ca="1"/>
        <v>-3072</v>
      </c>
    </row>
    <row r="123" spans="1:59" ht="23" thickBot="1">
      <c r="A123" s="325"/>
      <c r="B123" s="326"/>
      <c r="C123" s="326"/>
      <c r="D123" s="326"/>
      <c r="E123" s="325"/>
      <c r="F123" s="301"/>
      <c r="G123" s="310"/>
      <c r="H123" s="310"/>
      <c r="I123" s="626"/>
      <c r="J123" s="627"/>
      <c r="K123" s="1"/>
      <c r="L123" s="1"/>
      <c r="M123" s="590"/>
      <c r="AJ123" s="1412"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LUV: 2.3% - 2.8%</v>
      </c>
      <c r="AK123" s="1422" t="str">
        <f ca="1">_xlfn.TEXTJOIN(": ",,SORTING!K20,TEXT(SORTING!L20,"#.0%"))</f>
        <v>LUV: 2.3%</v>
      </c>
      <c r="AL123" t="str">
        <f ca="1"/>
        <v>LUV</v>
      </c>
      <c r="AM123" s="308" cm="1">
        <f t="array" aca="1" ref="AM123" ca="1">IFERROR(TEXT(_xlfn.XLOOKUP(AL123,DataShift!AX$405:AX$498,Tab2Saldo5Days[AvCh%_5d20]),"#.0%")+_xlfn.XLOOKUP(AL123,SORTING!K$3:K$96,SORTING!L$3:L$96)/6,"")</f>
        <v>3.1807833333333334E-2</v>
      </c>
      <c r="AN123" t="str">
        <f ca="1">IFERROR(_xlfn.XLOOKUP(AL123,NewTrader!$AN$3:$AN$96,NewTrader!$AF$3:$AF$96),"")</f>
        <v>Reverse Sale</v>
      </c>
      <c r="AO123" t="str">
        <f ca="1">IFERROR(_xlfn.XLOOKUP(AL123,TabCalc[Ticker],TabCalc[Up20]),"")</f>
        <v>/50/%</v>
      </c>
      <c r="AQ123" s="142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EOAN: -3.3%/-1.2%</v>
      </c>
      <c r="AR123" s="1424" t="str">
        <f ca="1">_xlfn.TEXTJOIN(": ",,SORTING!K89,TEXT(SORTING!L89,"#0.0%"))</f>
        <v>EOAN: -3.3%</v>
      </c>
      <c r="AS123" t="str">
        <f ca="1"/>
        <v>EOAN</v>
      </c>
      <c r="AT123" s="308" cm="1">
        <f t="array" aca="1" ref="AT123" ca="1">IFERROR(TEXT(_xlfn.XLOOKUP(AS123,DataShift!AX$405:AX$498,Tab2Saldo5Days[AvCh%_5d20]),"#.0%")+_xlfn.XLOOKUP(AS123,SORTING!K$3:K$96,SORTING!L$3:L$96)/6,"")</f>
        <v>-1.7519833333333335E-2</v>
      </c>
      <c r="AU123" t="str">
        <f ca="1">IFERROR(_xlfn.XLOOKUP(AS123,NewTrader!$AN$3:$AN$96,NewTrader!$AF$3:$AF$96),"")</f>
        <v>Buy More</v>
      </c>
      <c r="AV123">
        <f ca="1">IFERROR(_xlfn.XLOOKUP(AS123,TabCalc[Ticker],TabCalc[Up20]),"")</f>
        <v>0</v>
      </c>
      <c r="AY123" s="1521" t="str">
        <f ca="1"/>
        <v>LUV</v>
      </c>
      <c r="AZ123" s="1522">
        <f ca="1"/>
        <v>2.2846999999999999E-2</v>
      </c>
      <c r="BA123" s="151" t="str">
        <f ca="1"/>
        <v>EOAN</v>
      </c>
      <c r="BB123" s="1523">
        <f ca="1"/>
        <v>-3.3119000000000003E-2</v>
      </c>
      <c r="BD123" s="1535" t="str">
        <f ca="1"/>
        <v>BLDP</v>
      </c>
      <c r="BE123" s="1530">
        <f ca="1"/>
        <v>2999.9999999999927</v>
      </c>
      <c r="BF123" s="1533" t="str">
        <f ca="1"/>
        <v>AMZN</v>
      </c>
      <c r="BG123" s="1531">
        <f ca="1"/>
        <v>-8040</v>
      </c>
    </row>
    <row r="124" spans="1:59" ht="23" thickBot="1">
      <c r="A124" s="325"/>
      <c r="B124" s="326"/>
      <c r="C124" s="326"/>
      <c r="D124" s="326"/>
      <c r="E124" s="325"/>
      <c r="F124" s="301"/>
      <c r="G124" s="310"/>
      <c r="H124" s="310"/>
      <c r="I124" s="626"/>
      <c r="J124" s="627"/>
      <c r="K124" s="1"/>
      <c r="L124" s="1"/>
      <c r="M124" s="590"/>
      <c r="AJ124" s="1412"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VLVLY: 2.2% - 1.5%</v>
      </c>
      <c r="AK124" s="1422" t="str">
        <f ca="1">_xlfn.TEXTJOIN(": ",,SORTING!K21,TEXT(SORTING!L21,"#.0%"))</f>
        <v>VLVLY: 2.2%</v>
      </c>
      <c r="AM124" s="308" t="str" cm="1">
        <f t="array" aca="1" ref="AM124" ca="1">IFERROR(TEXT(_xlfn.XLOOKUP(AL124,DataShift!AX$405:AX$498,Tab2Saldo5Days[AvCh%_5d20]),"#.0%")+_xlfn.XLOOKUP(AL124,SORTING!K$3:K$96,SORTING!L$3:L$96)/6,"")</f>
        <v/>
      </c>
      <c r="AN124" t="str">
        <f ca="1">IFERROR(_xlfn.XLOOKUP(AL124,NewTrader!$AN$3:$AN$96,NewTrader!$AF$3:$AF$96),"")</f>
        <v/>
      </c>
      <c r="AO124" t="str">
        <f ca="1">IFERROR(_xlfn.XLOOKUP(AL124,TabCalc[Ticker],TabCalc[Up20]),"")</f>
        <v/>
      </c>
      <c r="AQ124" s="142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MVEEOAN: -3.3%/-1.2%</v>
      </c>
      <c r="AR124" s="1424" t="str">
        <f ca="1">_xlfn.TEXTJOIN(": ",,SORTING!K90,TEXT(SORTING!L90,"#0.0%"))</f>
        <v>MVEEOAN: -3.3%</v>
      </c>
      <c r="AS124" t="str">
        <f ca="1"/>
        <v>MVEEOAN</v>
      </c>
      <c r="AT124" s="308" cm="1">
        <f t="array" aca="1" ref="AT124" ca="1">IFERROR(TEXT(_xlfn.XLOOKUP(AS124,DataShift!AX$405:AX$498,Tab2Saldo5Days[AvCh%_5d20]),"#.0%")+_xlfn.XLOOKUP(AS124,SORTING!K$3:K$96,SORTING!L$3:L$96)/6,"")</f>
        <v>-1.7519833333333335E-2</v>
      </c>
      <c r="AU124" t="str">
        <f ca="1">IFERROR(_xlfn.XLOOKUP(AS124,NewTrader!$AN$3:$AN$96,NewTrader!$AF$3:$AF$96),"")</f>
        <v>Sell More</v>
      </c>
      <c r="AV124">
        <f ca="1">IFERROR(_xlfn.XLOOKUP(AS124,TabCalc[Ticker],TabCalc[Up20]),"")</f>
        <v>0</v>
      </c>
      <c r="AY124" s="1521" t="str">
        <f ca="1"/>
        <v>VLVLY</v>
      </c>
      <c r="AZ124" s="1522">
        <f ca="1"/>
        <v>2.1842999999999998E-2</v>
      </c>
      <c r="BA124" s="151" t="str">
        <f ca="1"/>
        <v>MVEEOAN</v>
      </c>
      <c r="BB124" s="1523">
        <f ca="1"/>
        <v>-3.3119000000000003E-2</v>
      </c>
      <c r="BD124" s="1535" t="str">
        <f ca="1"/>
        <v>SAFDIS</v>
      </c>
      <c r="BE124" s="1530">
        <f ca="1"/>
        <v>2832</v>
      </c>
      <c r="BF124" s="1533" t="str">
        <f ca="1"/>
        <v>AET</v>
      </c>
      <c r="BG124" s="1531">
        <f ca="1"/>
        <v>-8200</v>
      </c>
    </row>
    <row r="125" spans="1:59" ht="23" thickBot="1">
      <c r="A125" s="325"/>
      <c r="B125" s="326"/>
      <c r="C125" s="326"/>
      <c r="D125" s="326"/>
      <c r="E125" s="325"/>
      <c r="F125" s="301"/>
      <c r="G125" s="310"/>
      <c r="H125" s="310"/>
      <c r="I125" s="626"/>
      <c r="J125" s="627"/>
      <c r="K125" s="1"/>
      <c r="L125" s="1"/>
      <c r="M125" s="590"/>
      <c r="AJ125" s="1412"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MRNA: 2.1% - 3.5%</v>
      </c>
      <c r="AK125" s="1422" t="str">
        <f ca="1">_xlfn.TEXTJOIN(": ",,SORTING!K22,TEXT(SORTING!L22,"#.0%"))</f>
        <v>MRNA: 2.1%</v>
      </c>
      <c r="AM125" s="308" t="str" cm="1">
        <f t="array" aca="1" ref="AM125" ca="1">IFERROR(TEXT(_xlfn.XLOOKUP(AL125,DataShift!AX$405:AX$498,Tab2Saldo5Days[AvCh%_5d20]),"#.0%")+_xlfn.XLOOKUP(AL125,SORTING!K$3:K$96,SORTING!L$3:L$96)/6,"")</f>
        <v/>
      </c>
      <c r="AN125" t="str">
        <f ca="1">IFERROR(_xlfn.XLOOKUP(AL125,NewTrader!$AN$3:$AN$96,NewTrader!$AF$3:$AF$96),"")</f>
        <v/>
      </c>
      <c r="AO125" t="str">
        <f ca="1">IFERROR(_xlfn.XLOOKUP(AL125,TabCalc[Ticker],TabCalc[Up20]),"")</f>
        <v/>
      </c>
      <c r="AQ125" s="142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JBEOAN: -3.3%/-1.2%</v>
      </c>
      <c r="AR125" s="1424" t="str">
        <f ca="1">_xlfn.TEXTJOIN(": ",,SORTING!K91,TEXT(SORTING!L91,"#0.0%"))</f>
        <v>JBEOAN: -3.3%</v>
      </c>
      <c r="AS125" t="str">
        <f ca="1"/>
        <v>JBEOAN</v>
      </c>
      <c r="AT125" s="308" cm="1">
        <f t="array" aca="1" ref="AT125" ca="1">IFERROR(TEXT(_xlfn.XLOOKUP(AS125,DataShift!AX$405:AX$498,Tab2Saldo5Days[AvCh%_5d20]),"#.0%")+_xlfn.XLOOKUP(AS125,SORTING!K$3:K$96,SORTING!L$3:L$96)/6,"")</f>
        <v>-1.7519833333333335E-2</v>
      </c>
      <c r="AU125" t="str">
        <f ca="1">IFERROR(_xlfn.XLOOKUP(AS125,NewTrader!$AN$3:$AN$96,NewTrader!$AF$3:$AF$96),"")</f>
        <v>Buy More</v>
      </c>
      <c r="AV125" t="str">
        <f ca="1">IFERROR(_xlfn.XLOOKUP(AS125,TabCalc[Ticker],TabCalc[Up20]),"")</f>
        <v>/50/50%</v>
      </c>
      <c r="AY125" s="1521" t="str">
        <f ca="1"/>
        <v>MRNA</v>
      </c>
      <c r="AZ125" s="1522">
        <f ca="1"/>
        <v>2.0668000000000002E-2</v>
      </c>
      <c r="BA125" s="151" t="str">
        <f ca="1"/>
        <v>JBEOAN</v>
      </c>
      <c r="BB125" s="1523">
        <f ca="1"/>
        <v>-3.3119000000000003E-2</v>
      </c>
      <c r="BD125" s="1535" t="str">
        <f ca="1"/>
        <v>MVEDSY</v>
      </c>
      <c r="BE125" s="1530">
        <f ca="1"/>
        <v>2760</v>
      </c>
      <c r="BF125" s="1533" t="str">
        <f ca="1"/>
        <v>JBEOAN</v>
      </c>
      <c r="BG125" s="1531">
        <f ca="1"/>
        <v>-8925</v>
      </c>
    </row>
    <row r="126" spans="1:59" ht="23" thickBot="1">
      <c r="A126" s="325"/>
      <c r="B126" s="326"/>
      <c r="C126" s="326"/>
      <c r="D126" s="326"/>
      <c r="E126" s="325"/>
      <c r="F126" s="301"/>
      <c r="G126" s="310"/>
      <c r="H126" s="310"/>
      <c r="I126" s="626"/>
      <c r="J126" s="627"/>
      <c r="K126" s="1"/>
      <c r="L126" s="1"/>
      <c r="M126" s="590"/>
      <c r="AJ126" s="1412"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SAFMRNA: 2.1% - 3.5%</v>
      </c>
      <c r="AK126" s="1422" t="str">
        <f ca="1">_xlfn.TEXTJOIN(": ",,SORTING!K23,TEXT(SORTING!L23,"#.0%"))</f>
        <v>SAFMRNA: 2.1%</v>
      </c>
      <c r="AM126" s="308" t="str" cm="1">
        <f t="array" aca="1" ref="AM126" ca="1">IFERROR(TEXT(_xlfn.XLOOKUP(AL126,DataShift!AX$405:AX$498,Tab2Saldo5Days[AvCh%_5d20]),"#.0%")+_xlfn.XLOOKUP(AL126,SORTING!K$3:K$96,SORTING!L$3:L$96)/6,"")</f>
        <v/>
      </c>
      <c r="AN126" t="str">
        <f ca="1">IFERROR(_xlfn.XLOOKUP(AL126,NewTrader!$AN$3:$AN$96,NewTrader!$AF$3:$AF$96),"")</f>
        <v/>
      </c>
      <c r="AO126" t="str">
        <f ca="1">IFERROR(_xlfn.XLOOKUP(AL126,TabCalc[Ticker],TabCalc[Up20]),"")</f>
        <v/>
      </c>
      <c r="AQ126" s="142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SHECY: -3.6%/0.1%</v>
      </c>
      <c r="AR126" s="1427" t="str">
        <f ca="1">_xlfn.TEXTJOIN(": ",,SORTING!K92,TEXT(SORTING!L92,"#0.0%"))</f>
        <v>SHECY: -3.6%</v>
      </c>
      <c r="AS126" t="str">
        <f ca="1"/>
        <v>SHECY</v>
      </c>
      <c r="AT126" s="308" cm="1">
        <f t="array" aca="1" ref="AT126" ca="1">IFERROR(TEXT(_xlfn.XLOOKUP(AS126,DataShift!AX$405:AX$498,Tab2Saldo5Days[AvCh%_5d20]),"#.0%")+_xlfn.XLOOKUP(AS126,SORTING!K$3:K$96,SORTING!L$3:L$96)/6,"")</f>
        <v>-4.9293333333333324E-3</v>
      </c>
      <c r="AU126" t="str">
        <f ca="1">IFERROR(_xlfn.XLOOKUP(AS126,NewTrader!$AN$3:$AN$96,NewTrader!$AF$3:$AF$96),"")</f>
        <v>Buy More</v>
      </c>
      <c r="AV126">
        <f ca="1">IFERROR(_xlfn.XLOOKUP(AS126,TabCalc[Ticker],TabCalc[Up20]),"")</f>
        <v>0</v>
      </c>
      <c r="AY126" s="1521" t="str">
        <f ca="1"/>
        <v>SAFMRNA</v>
      </c>
      <c r="AZ126" s="1522">
        <f ca="1"/>
        <v>2.0668000000000002E-2</v>
      </c>
      <c r="BA126" s="151" t="str">
        <f ca="1"/>
        <v>SHECY</v>
      </c>
      <c r="BB126" s="1523">
        <f ca="1"/>
        <v>-3.5575999999999997E-2</v>
      </c>
      <c r="BD126" s="1535" t="str">
        <f ca="1"/>
        <v>HPQ</v>
      </c>
      <c r="BE126" s="1530">
        <f ca="1"/>
        <v>2655</v>
      </c>
      <c r="BF126" s="1533" t="str">
        <f ca="1"/>
        <v>AAPL</v>
      </c>
      <c r="BG126" s="1531">
        <f ca="1"/>
        <v>-9120.0000000004657</v>
      </c>
    </row>
    <row r="127" spans="1:59" ht="23" thickBot="1">
      <c r="A127" s="325"/>
      <c r="B127" s="326"/>
      <c r="C127" s="326"/>
      <c r="D127" s="326"/>
      <c r="E127" s="325"/>
      <c r="F127" s="301"/>
      <c r="G127" s="310"/>
      <c r="H127" s="310"/>
      <c r="I127" s="626"/>
      <c r="J127" s="627"/>
      <c r="K127" s="1"/>
      <c r="L127" s="1"/>
      <c r="M127" s="590"/>
      <c r="AJ127" s="1412"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RIGL: 2.0% - .4%</v>
      </c>
      <c r="AK127" s="1422" t="str">
        <f ca="1">_xlfn.TEXTJOIN(": ",,SORTING!K24,TEXT(SORTING!L24,"#.0%"))</f>
        <v>RIGL: 2.0%</v>
      </c>
      <c r="AM127" s="308" t="str" cm="1">
        <f t="array" aca="1" ref="AM127" ca="1">IFERROR(TEXT(_xlfn.XLOOKUP(AL127,DataShift!AX$405:AX$498,Tab2Saldo5Days[AvCh%_5d20]),"#.0%")+_xlfn.XLOOKUP(AL127,SORTING!K$3:K$96,SORTING!L$3:L$96)/6,"")</f>
        <v/>
      </c>
      <c r="AN127" t="str">
        <f ca="1">IFERROR(_xlfn.XLOOKUP(AL127,NewTrader!$AN$3:$AN$96,NewTrader!$AF$3:$AF$96),"")</f>
        <v/>
      </c>
      <c r="AO127" t="str">
        <f ca="1">IFERROR(_xlfn.XLOOKUP(AL127,TabCalc[Ticker],TabCalc[Up20]),"")</f>
        <v/>
      </c>
      <c r="AQ127" s="142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PW: -3.6%/-0.8%</v>
      </c>
      <c r="AR127" s="1427" t="str">
        <f ca="1">_xlfn.TEXTJOIN(": ",,SORTING!K93,TEXT(SORTING!L93,"#0.0%"))</f>
        <v>PW: -3.6%</v>
      </c>
      <c r="AS127" t="str">
        <f ca="1"/>
        <v>PW</v>
      </c>
      <c r="AT127" s="308" cm="1">
        <f t="array" aca="1" ref="AT127" ca="1">IFERROR(TEXT(_xlfn.XLOOKUP(AS127,DataShift!AX$405:AX$498,Tab2Saldo5Days[AvCh%_5d20]),"#.0%")+_xlfn.XLOOKUP(AS127,SORTING!K$3:K$96,SORTING!L$3:L$96)/6,"")</f>
        <v>-1.3947666666666667E-2</v>
      </c>
      <c r="AU127" t="str">
        <f ca="1">IFERROR(_xlfn.XLOOKUP(AS127,NewTrader!$AN$3:$AN$96,NewTrader!$AF$3:$AF$96),"")</f>
        <v>Buy More</v>
      </c>
      <c r="AV127">
        <f ca="1">IFERROR(_xlfn.XLOOKUP(AS127,TabCalc[Ticker],TabCalc[Up20]),"")</f>
        <v>0</v>
      </c>
      <c r="AY127" s="1521" t="str">
        <f ca="1"/>
        <v>RIGL</v>
      </c>
      <c r="AZ127" s="1522">
        <f ca="1"/>
        <v>2.0135999999999998E-2</v>
      </c>
      <c r="BA127" s="151" t="str">
        <f ca="1"/>
        <v>PW</v>
      </c>
      <c r="BB127" s="1523">
        <f ca="1"/>
        <v>-3.5686000000000002E-2</v>
      </c>
      <c r="BD127" s="1535" t="str">
        <f ca="1"/>
        <v>EZJ</v>
      </c>
      <c r="BE127" s="1530">
        <f ca="1"/>
        <v>2640</v>
      </c>
      <c r="BF127" s="1533" t="str">
        <f ca="1"/>
        <v>EOAN</v>
      </c>
      <c r="BG127" s="1531">
        <f ca="1"/>
        <v>-10625</v>
      </c>
    </row>
    <row r="128" spans="1:59" ht="23" thickBot="1">
      <c r="A128" s="325"/>
      <c r="B128" s="326"/>
      <c r="C128" s="326"/>
      <c r="D128" s="326"/>
      <c r="E128" s="325"/>
      <c r="F128" s="301"/>
      <c r="G128" s="310"/>
      <c r="H128" s="310"/>
      <c r="I128" s="626"/>
      <c r="J128" s="627"/>
      <c r="K128" s="1"/>
      <c r="L128" s="1"/>
      <c r="M128" s="590"/>
      <c r="AJ128" s="1412"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EZJ: 1.8% - .2%</v>
      </c>
      <c r="AK128" s="1422" t="str">
        <f ca="1">_xlfn.TEXTJOIN(": ",,SORTING!K25,TEXT(SORTING!L25,"#.0%"))</f>
        <v>EZJ: 1.8%</v>
      </c>
      <c r="AM128" s="308" t="str" cm="1">
        <f t="array" aca="1" ref="AM128" ca="1">IFERROR(TEXT(_xlfn.XLOOKUP(AL128,DataShift!AX$405:AX$498,Tab2Saldo5Days[AvCh%_5d20]),"#.0%")+_xlfn.XLOOKUP(AL128,SORTING!K$3:K$96,SORTING!L$3:L$96)/6,"")</f>
        <v/>
      </c>
      <c r="AN128" t="str">
        <f ca="1">IFERROR(_xlfn.XLOOKUP(AL128,NewTrader!$AN$3:$AN$96,NewTrader!$AF$3:$AF$96),"")</f>
        <v/>
      </c>
      <c r="AO128" t="str">
        <f ca="1">IFERROR(_xlfn.XLOOKUP(AL128,TabCalc[Ticker],TabCalc[Up20]),"")</f>
        <v/>
      </c>
      <c r="AQ128" s="142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BLNK: -6.1%/-6.3%</v>
      </c>
      <c r="AR128" s="1427" t="str">
        <f ca="1">_xlfn.TEXTJOIN(": ",,SORTING!K94,TEXT(SORTING!L94,"#0.0%"))</f>
        <v>BLNK: -6.1%</v>
      </c>
      <c r="AS128" t="str">
        <f ca="1"/>
        <v>BLNK</v>
      </c>
      <c r="AT128" s="308" cm="1">
        <f t="array" aca="1" ref="AT128" ca="1">IFERROR(TEXT(_xlfn.XLOOKUP(AS128,DataShift!AX$405:AX$498,Tab2Saldo5Days[AvCh%_5d20]),"#.0%")+_xlfn.XLOOKUP(AS128,SORTING!K$3:K$96,SORTING!L$3:L$96)/6,"")</f>
        <v>-7.324233333333334E-2</v>
      </c>
      <c r="AU128" t="str">
        <f ca="1">IFERROR(_xlfn.XLOOKUP(AS128,NewTrader!$AN$3:$AN$96,NewTrader!$AF$3:$AF$96),"")</f>
        <v>Reverse Buy</v>
      </c>
      <c r="AV128" t="str">
        <f ca="1">IFERROR(_xlfn.XLOOKUP(AS128,TabCalc[Ticker],TabCalc[Up20]),"")</f>
        <v>/29/94%</v>
      </c>
      <c r="AY128" s="1521" t="str">
        <f ca="1"/>
        <v>EZJ</v>
      </c>
      <c r="AZ128" s="1522">
        <f ca="1"/>
        <v>1.8262E-2</v>
      </c>
      <c r="BA128" s="151" t="str">
        <f ca="1"/>
        <v>BLNK</v>
      </c>
      <c r="BB128" s="1523">
        <f ca="1"/>
        <v>-6.1454000000000002E-2</v>
      </c>
      <c r="BD128" s="1535" t="str">
        <f ca="1"/>
        <v>SSYS</v>
      </c>
      <c r="BE128" s="1530">
        <f ca="1"/>
        <v>2400</v>
      </c>
      <c r="BF128" s="1533" t="str">
        <f ca="1"/>
        <v>ASML</v>
      </c>
      <c r="BG128" s="1531">
        <f ca="1"/>
        <v>-11760</v>
      </c>
    </row>
    <row r="129" spans="1:59" ht="23" thickBot="1">
      <c r="A129" s="325"/>
      <c r="B129" s="326"/>
      <c r="C129" s="326"/>
      <c r="D129" s="326"/>
      <c r="E129" s="325"/>
      <c r="F129" s="301"/>
      <c r="G129" s="310"/>
      <c r="H129" s="310"/>
      <c r="I129" s="626"/>
      <c r="J129" s="627"/>
      <c r="K129" s="1"/>
      <c r="L129" s="1"/>
      <c r="M129" s="590"/>
      <c r="AJ129" s="1412"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SSYS: 1.6% - 1.0%</v>
      </c>
      <c r="AK129" s="1422" t="str">
        <f ca="1">_xlfn.TEXTJOIN(": ",,SORTING!K26,TEXT(SORTING!L26,"#.0%"))</f>
        <v>SSYS: 1.6%</v>
      </c>
      <c r="AM129" s="308" t="str" cm="1">
        <f t="array" aca="1" ref="AM129" ca="1">IFERROR(TEXT(_xlfn.XLOOKUP(AL129,DataShift!AX$405:AX$498,Tab2Saldo5Days[AvCh%_5d20]),"#.0%")+_xlfn.XLOOKUP(AL129,SORTING!K$3:K$96,SORTING!L$3:L$96)/6,"")</f>
        <v/>
      </c>
      <c r="AN129" t="str">
        <f ca="1">IFERROR(_xlfn.XLOOKUP(AL129,NewTrader!$AN$3:$AN$96,NewTrader!$AF$3:$AF$96),"")</f>
        <v/>
      </c>
      <c r="AO129" t="str">
        <f ca="1">IFERROR(_xlfn.XLOOKUP(AL129,TabCalc[Ticker],TabCalc[Up20]),"")</f>
        <v/>
      </c>
      <c r="AQ129" s="142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ALDNE: -8.0%/-1.5%</v>
      </c>
      <c r="AR129" s="1427" t="str">
        <f ca="1">_xlfn.TEXTJOIN(": ",,SORTING!K95,TEXT(SORTING!L95,"#0.0%"))</f>
        <v>ALDNE: -8.0%</v>
      </c>
      <c r="AS129" t="str">
        <f ca="1"/>
        <v>ALDNE</v>
      </c>
      <c r="AT129" s="308" cm="1">
        <f t="array" aca="1" ref="AT129" ca="1">IFERROR(TEXT(_xlfn.XLOOKUP(AS129,DataShift!AX$405:AX$498,Tab2Saldo5Days[AvCh%_5d20]),"#.0%")+_xlfn.XLOOKUP(AS129,SORTING!K$3:K$96,SORTING!L$3:L$96)/6,"")</f>
        <v>-2.8378E-2</v>
      </c>
      <c r="AU129" t="str">
        <f ca="1">IFERROR(_xlfn.XLOOKUP(AS129,NewTrader!$AN$3:$AN$96,NewTrader!$AF$3:$AF$96),"")</f>
        <v>Buy More</v>
      </c>
      <c r="AV129" t="str">
        <f ca="1">IFERROR(_xlfn.XLOOKUP(AS129,TabCalc[Ticker],TabCalc[Up20]),"")</f>
        <v>//%</v>
      </c>
      <c r="AY129" s="1521" t="str">
        <f ca="1"/>
        <v>SSYS</v>
      </c>
      <c r="AZ129" s="1522">
        <f ca="1"/>
        <v>1.6146000000000001E-2</v>
      </c>
      <c r="BA129" s="151" t="str">
        <f ca="1"/>
        <v>ALDNE</v>
      </c>
      <c r="BB129" s="1523">
        <f ca="1"/>
        <v>-8.0267999999999992E-2</v>
      </c>
      <c r="BD129" s="1535" t="str">
        <f ca="1"/>
        <v>DIS</v>
      </c>
      <c r="BE129" s="1530">
        <f ca="1"/>
        <v>2360</v>
      </c>
      <c r="BF129" s="1533" t="str">
        <f ca="1"/>
        <v>MVEALDNE</v>
      </c>
      <c r="BG129" s="1531">
        <f ca="1"/>
        <v>-18180</v>
      </c>
    </row>
    <row r="130" spans="1:59" ht="23" thickBot="1">
      <c r="A130" s="325"/>
      <c r="B130" s="326"/>
      <c r="C130" s="326"/>
      <c r="D130" s="326"/>
      <c r="E130" s="325"/>
      <c r="F130" s="301"/>
      <c r="G130" s="310"/>
      <c r="H130" s="310"/>
      <c r="I130" s="626"/>
      <c r="J130" s="627"/>
      <c r="K130" s="1"/>
      <c r="L130" s="1"/>
      <c r="M130" s="590"/>
      <c r="AJ130" s="1413"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F: 1.6% - .7%</v>
      </c>
      <c r="AK130" s="1423" t="str">
        <f ca="1">_xlfn.TEXTJOIN(": ",,SORTING!K27,TEXT(SORTING!L27,"#.0%"))</f>
        <v>F: 1.6%</v>
      </c>
      <c r="AM130" s="308" t="str" cm="1">
        <f t="array" aca="1" ref="AM130" ca="1">IFERROR(TEXT(_xlfn.XLOOKUP(AL130,DataShift!AX$405:AX$498,Tab2Saldo5Days[AvCh%_5d20]),"#.0%")+_xlfn.XLOOKUP(AL130,SORTING!K$3:K$96,SORTING!L$3:L$96)/6,"")</f>
        <v/>
      </c>
      <c r="AN130" t="str">
        <f ca="1">IFERROR(_xlfn.XLOOKUP(AL130,NewTrader!$AN$3:$AN$96,NewTrader!$AF$3:$AF$96),"")</f>
        <v/>
      </c>
      <c r="AO130" t="str">
        <f ca="1">IFERROR(_xlfn.XLOOKUP(AL130,TabCalc[Ticker],TabCalc[Up20]),"")</f>
        <v/>
      </c>
      <c r="AQ130" s="142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MVEALDNE: -8.0%/-1.5%</v>
      </c>
      <c r="AR130" s="1425" t="str">
        <f ca="1">_xlfn.TEXTJOIN(": ",,SORTING!K96,TEXT(SORTING!L96,"#0.0%"))</f>
        <v>MVEALDNE: -8.0%</v>
      </c>
      <c r="AS130" t="str">
        <f ca="1"/>
        <v>MVEALDNE</v>
      </c>
      <c r="AT130" s="308" cm="1">
        <f t="array" aca="1" ref="AT130" ca="1">IFERROR(TEXT(_xlfn.XLOOKUP(AS130,DataShift!AX$405:AX$498,Tab2Saldo5Days[AvCh%_5d20]),"#.0%")+_xlfn.XLOOKUP(AS130,SORTING!K$3:K$96,SORTING!L$3:L$96)/6,"")</f>
        <v>-2.8378E-2</v>
      </c>
      <c r="AU130" t="str">
        <f ca="1">IFERROR(_xlfn.XLOOKUP(AS130,NewTrader!$AN$3:$AN$96,NewTrader!$AF$3:$AF$96),"")</f>
        <v>Buy More</v>
      </c>
      <c r="AV130">
        <f ca="1">IFERROR(_xlfn.XLOOKUP(AS130,TabCalc[Ticker],TabCalc[Up20]),"")</f>
        <v>0</v>
      </c>
      <c r="AY130" s="1524" t="str">
        <f ca="1"/>
        <v>F</v>
      </c>
      <c r="AZ130" s="1525">
        <f ca="1"/>
        <v>1.6032999999999999E-2</v>
      </c>
      <c r="BA130" s="1526" t="str">
        <f ca="1"/>
        <v>MVEALDNE</v>
      </c>
      <c r="BB130" s="1527">
        <f ca="1"/>
        <v>-8.0267999999999992E-2</v>
      </c>
      <c r="BD130" s="1536" t="str">
        <f ca="1"/>
        <v>MVEGLE</v>
      </c>
      <c r="BE130" s="1537">
        <f ca="1"/>
        <v>2120</v>
      </c>
      <c r="BF130" s="1538" t="str">
        <f ca="1"/>
        <v>ALDNE</v>
      </c>
      <c r="BG130" s="1539">
        <f ca="1"/>
        <v>-91080</v>
      </c>
    </row>
    <row r="131" spans="1:59">
      <c r="F131" s="301"/>
      <c r="G131" s="301"/>
      <c r="H131" s="301"/>
      <c r="I131" s="626"/>
      <c r="J131" s="627"/>
      <c r="K131" s="1"/>
      <c r="L131" s="1"/>
    </row>
    <row r="132" spans="1:59">
      <c r="F132" s="301"/>
      <c r="G132" s="301"/>
      <c r="H132" s="301"/>
      <c r="I132" s="301"/>
      <c r="J132" s="597"/>
      <c r="K132" s="1"/>
      <c r="L132" s="1"/>
      <c r="M132" s="225"/>
    </row>
    <row r="133" spans="1:59">
      <c r="E133" s="1"/>
      <c r="F133" s="301"/>
      <c r="G133" s="301"/>
      <c r="H133" s="301"/>
      <c r="I133" s="301"/>
      <c r="J133" s="597"/>
      <c r="K133" s="1"/>
      <c r="L133" s="1"/>
      <c r="M133" s="225"/>
    </row>
    <row r="134" spans="1:59">
      <c r="E134" s="1"/>
      <c r="F134" s="301"/>
      <c r="G134" s="301"/>
      <c r="H134" s="301"/>
      <c r="I134" s="301"/>
      <c r="J134" s="597"/>
      <c r="K134" s="1"/>
      <c r="L134" s="1"/>
      <c r="M134" s="225"/>
    </row>
    <row r="135" spans="1:59">
      <c r="E135" s="1"/>
      <c r="F135" s="301"/>
      <c r="G135" s="301"/>
      <c r="H135" s="301"/>
      <c r="I135" s="301"/>
      <c r="J135" s="597"/>
      <c r="K135" s="1"/>
      <c r="L135" s="1"/>
      <c r="M135" s="225"/>
    </row>
    <row r="136" spans="1:59">
      <c r="E136" s="1"/>
      <c r="F136" s="301"/>
      <c r="G136" s="301"/>
      <c r="H136" s="301"/>
      <c r="I136" s="301"/>
      <c r="J136" s="597"/>
      <c r="K136" s="1"/>
      <c r="L136" s="1"/>
      <c r="M136" s="225"/>
    </row>
    <row r="137" spans="1:59">
      <c r="E137" s="1"/>
      <c r="F137" s="301"/>
      <c r="G137" s="301"/>
      <c r="H137" s="301"/>
      <c r="I137" s="301"/>
      <c r="J137" s="597"/>
      <c r="K137" s="1"/>
      <c r="L137" s="1"/>
      <c r="M137" s="225"/>
    </row>
    <row r="138" spans="1:59">
      <c r="E138" s="1"/>
      <c r="F138" s="301"/>
      <c r="G138" s="301"/>
      <c r="H138" s="301"/>
      <c r="I138" s="301"/>
      <c r="J138" s="597"/>
      <c r="K138" s="1"/>
      <c r="L138" s="1"/>
      <c r="M138" s="225"/>
    </row>
    <row r="139" spans="1:59">
      <c r="E139" s="1"/>
      <c r="F139" s="301"/>
      <c r="G139" s="301"/>
      <c r="H139" s="301"/>
      <c r="I139" s="301"/>
      <c r="J139" s="597"/>
      <c r="K139" s="1"/>
      <c r="L139" s="1"/>
      <c r="M139" s="225"/>
    </row>
    <row r="140" spans="1:59">
      <c r="E140" s="1"/>
      <c r="F140" s="301"/>
      <c r="G140" s="301"/>
      <c r="H140" s="301"/>
      <c r="I140" s="301"/>
      <c r="J140" s="597"/>
      <c r="K140" s="1"/>
      <c r="L140" s="1"/>
      <c r="M140" s="225"/>
    </row>
    <row r="141" spans="1:59">
      <c r="E141" s="1"/>
      <c r="F141" s="301"/>
      <c r="G141" s="301"/>
      <c r="H141" s="301"/>
      <c r="I141" s="301"/>
      <c r="J141" s="597"/>
      <c r="K141" s="1"/>
      <c r="L141" s="1"/>
      <c r="M141" s="225"/>
    </row>
    <row r="142" spans="1:59">
      <c r="F142" s="301"/>
      <c r="G142" s="301"/>
      <c r="H142" s="301"/>
      <c r="I142" s="301"/>
      <c r="J142" s="597"/>
      <c r="K142" s="1"/>
      <c r="L142" s="1"/>
      <c r="M142" s="225"/>
    </row>
    <row r="143" spans="1:59">
      <c r="F143" s="301"/>
      <c r="G143" s="301"/>
      <c r="H143" s="301"/>
      <c r="I143" s="301"/>
      <c r="J143" s="597"/>
      <c r="K143" s="1"/>
      <c r="L143" s="1"/>
      <c r="M143" s="225"/>
    </row>
    <row r="144" spans="1:59">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54" priority="188" operator="containsText" text="x0">
      <formula>NOT(ISERROR(SEARCH("x0",G3)))</formula>
    </cfRule>
    <cfRule type="containsText" dxfId="753" priority="209" operator="containsText" text=" -">
      <formula>NOT(ISERROR(SEARCH(" -",G3)))</formula>
    </cfRule>
  </conditionalFormatting>
  <conditionalFormatting sqref="I3:I96">
    <cfRule type="containsText" dxfId="752"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51" priority="205" operator="containsText" text=" 0">
      <formula>NOT(ISERROR(SEARCH(" 0",B3)))</formula>
    </cfRule>
  </conditionalFormatting>
  <conditionalFormatting sqref="B3:B96">
    <cfRule type="containsText" dxfId="750" priority="206" operator="containsText" text=" -">
      <formula>NOT(ISERROR(SEARCH(" -",B3)))</formula>
    </cfRule>
  </conditionalFormatting>
  <conditionalFormatting sqref="H3:I96">
    <cfRule type="containsText" dxfId="749" priority="201" operator="containsText" text="Free">
      <formula>NOT(ISERROR(SEARCH("Free",H3)))</formula>
    </cfRule>
    <cfRule type="containsText" dxfId="748" priority="202" operator="containsText" text="Buy">
      <formula>NOT(ISERROR(SEARCH("Buy",H3)))</formula>
    </cfRule>
    <cfRule type="containsText" dxfId="747" priority="203" operator="containsText" text="Refill">
      <formula>NOT(ISERROR(SEARCH("Refill",H3)))</formula>
    </cfRule>
    <cfRule type="containsText" dxfId="746" priority="204" operator="containsText" text="S_more">
      <formula>NOT(ISERROR(SEARCH("S_more",H3)))</formula>
    </cfRule>
  </conditionalFormatting>
  <conditionalFormatting sqref="D98 C2:C96">
    <cfRule type="containsText" dxfId="745" priority="197" operator="containsText" text="Free">
      <formula>NOT(ISERROR(SEARCH("Free",C2)))</formula>
    </cfRule>
    <cfRule type="containsText" dxfId="744" priority="198" operator="containsText" text="Sell">
      <formula>NOT(ISERROR(SEARCH("Sell",C2)))</formula>
    </cfRule>
    <cfRule type="containsText" dxfId="743" priority="199" operator="containsText" text="Re-Sell">
      <formula>NOT(ISERROR(SEARCH("Re-Sell",C2)))</formula>
    </cfRule>
    <cfRule type="containsText" dxfId="742" priority="200" operator="containsText" text="B_more">
      <formula>NOT(ISERROR(SEARCH("B_more",C2)))</formula>
    </cfRule>
  </conditionalFormatting>
  <conditionalFormatting sqref="N98 E3:E96">
    <cfRule type="containsText" dxfId="741" priority="186" operator="containsText" text="Free">
      <formula>NOT(ISERROR(SEARCH("Free",E3)))</formula>
    </cfRule>
    <cfRule type="containsText" dxfId="740" priority="192" operator="containsText" text="M&lt;min">
      <formula>NOT(ISERROR(SEARCH("M&lt;min",E3)))</formula>
    </cfRule>
    <cfRule type="containsText" dxfId="739" priority="193" operator="containsText" text="A&lt;M">
      <formula>NOT(ISERROR(SEARCH("A&lt;M",E3)))</formula>
    </cfRule>
    <cfRule type="containsText" dxfId="738" priority="194" operator="containsText" text="M&gt;Last Sale">
      <formula>NOT(ISERROR(SEARCH("M&gt;Last Sale",E3)))</formula>
    </cfRule>
    <cfRule type="containsText" dxfId="737" priority="195" operator="containsText" text="M&gt;Y">
      <formula>NOT(ISERROR(SEARCH("M&gt;Y",E3)))</formula>
    </cfRule>
  </conditionalFormatting>
  <conditionalFormatting sqref="C3:C96">
    <cfRule type="expression" dxfId="736" priority="189">
      <formula>#REF!=0</formula>
    </cfRule>
  </conditionalFormatting>
  <conditionalFormatting sqref="N98 E3:E96">
    <cfRule type="containsText" dxfId="735" priority="191" operator="containsText" text="A&gt;M">
      <formula>NOT(ISERROR(SEARCH("A&gt;M",E3)))</formula>
    </cfRule>
  </conditionalFormatting>
  <conditionalFormatting sqref="BU2:BY96">
    <cfRule type="containsText" dxfId="734" priority="185" operator="containsText" text="Trade">
      <formula>NOT(ISERROR(SEARCH("Trade",BU2)))</formula>
    </cfRule>
  </conditionalFormatting>
  <conditionalFormatting sqref="D3:E96">
    <cfRule type="expression" dxfId="733" priority="210">
      <formula>#REF!=0</formula>
    </cfRule>
    <cfRule type="expression" dxfId="732"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31" priority="182" operator="greaterThan">
      <formula>0</formula>
    </cfRule>
    <cfRule type="cellIs" dxfId="730" priority="183" operator="lessThan">
      <formula>0</formula>
    </cfRule>
  </conditionalFormatting>
  <conditionalFormatting sqref="BT3:BT96">
    <cfRule type="containsText" dxfId="729" priority="181" operator="containsText" text="Pile">
      <formula>NOT(ISERROR(SEARCH("Pile",BT3)))</formula>
    </cfRule>
  </conditionalFormatting>
  <conditionalFormatting sqref="CA97:CG97">
    <cfRule type="expression" dxfId="728" priority="180">
      <formula>$BV98&gt;=$BU98</formula>
    </cfRule>
  </conditionalFormatting>
  <conditionalFormatting sqref="CB4:CC94 CA4:CA96 CA2:CC3 CD2:CH94">
    <cfRule type="expression" dxfId="727" priority="214">
      <formula>$CA3&gt;=$BZ3</formula>
    </cfRule>
  </conditionalFormatting>
  <conditionalFormatting sqref="U97">
    <cfRule type="cellIs" dxfId="726" priority="179" operator="lessThan">
      <formula>"/ -"</formula>
    </cfRule>
  </conditionalFormatting>
  <conditionalFormatting sqref="S2:S97">
    <cfRule type="cellIs" dxfId="725" priority="177" operator="lessThan">
      <formula>-1000</formula>
    </cfRule>
    <cfRule type="cellIs" dxfId="724" priority="178" operator="greaterThan">
      <formula>1000</formula>
    </cfRule>
  </conditionalFormatting>
  <conditionalFormatting sqref="O3:O96">
    <cfRule type="containsText" dxfId="723" priority="176" operator="containsText" text="Pile">
      <formula>NOT(ISERROR(SEARCH("Pile",O3)))</formula>
    </cfRule>
  </conditionalFormatting>
  <conditionalFormatting sqref="BO3:BO96">
    <cfRule type="cellIs" dxfId="722" priority="173" operator="lessThan">
      <formula>0</formula>
    </cfRule>
    <cfRule type="expression" dxfId="721" priority="215">
      <formula>AND($BO3&gt;50%,$BO3&lt;100%)</formula>
    </cfRule>
    <cfRule type="cellIs" dxfId="720" priority="216" operator="greaterThan">
      <formula>1</formula>
    </cfRule>
  </conditionalFormatting>
  <conditionalFormatting sqref="U3:U96">
    <cfRule type="containsText" dxfId="719" priority="93" operator="containsText" text="/ -">
      <formula>NOT(ISERROR(SEARCH("/ -",U3)))</formula>
    </cfRule>
    <cfRule type="containsText" dxfId="718" priority="171" operator="containsText" text="&gt;-">
      <formula>NOT(ISERROR(SEARCH("&gt;-",U3)))</formula>
    </cfRule>
  </conditionalFormatting>
  <conditionalFormatting sqref="BZ2:BZ96">
    <cfRule type="containsText" dxfId="717" priority="169" operator="containsText" text="Trade">
      <formula>NOT(ISERROR(SEARCH("Trade",BZ2)))</formula>
    </cfRule>
  </conditionalFormatting>
  <conditionalFormatting sqref="AE101:AF101">
    <cfRule type="containsText" dxfId="716" priority="164" operator="containsText" text="More">
      <formula>NOT(ISERROR(SEARCH("More",AE101)))</formula>
    </cfRule>
    <cfRule type="containsText" dxfId="715" priority="165" operator="containsText" text="Up">
      <formula>NOT(ISERROR(SEARCH("Up",AE101)))</formula>
    </cfRule>
    <cfRule type="containsText" dxfId="714" priority="166" operator="containsText" text="Down">
      <formula>NOT(ISERROR(SEARCH("Down",AE101)))</formula>
    </cfRule>
  </conditionalFormatting>
  <conditionalFormatting sqref="AE101:AF101">
    <cfRule type="containsText" dxfId="713" priority="167" operator="containsText" text="Buy">
      <formula>NOT(ISERROR(SEARCH("Buy",AE101)))</formula>
    </cfRule>
    <cfRule type="containsText" dxfId="712" priority="168" operator="containsText" text="Sell">
      <formula>NOT(ISERROR(SEARCH("Sell",AE101)))</formula>
    </cfRule>
  </conditionalFormatting>
  <conditionalFormatting sqref="AE102:AF102">
    <cfRule type="containsText" dxfId="711" priority="159" operator="containsText" text="More">
      <formula>NOT(ISERROR(SEARCH("More",AE102)))</formula>
    </cfRule>
    <cfRule type="containsText" dxfId="710" priority="160" operator="containsText" text="Up">
      <formula>NOT(ISERROR(SEARCH("Up",AE102)))</formula>
    </cfRule>
    <cfRule type="containsText" dxfId="709" priority="161" operator="containsText" text="Down">
      <formula>NOT(ISERROR(SEARCH("Down",AE102)))</formula>
    </cfRule>
  </conditionalFormatting>
  <conditionalFormatting sqref="AE102:AF102">
    <cfRule type="containsText" dxfId="708" priority="162" operator="containsText" text="Buy">
      <formula>NOT(ISERROR(SEARCH("Buy",AE102)))</formula>
    </cfRule>
    <cfRule type="containsText" dxfId="707" priority="163" operator="containsText" text="Sell">
      <formula>NOT(ISERROR(SEARCH("Sell",AE102)))</formula>
    </cfRule>
  </conditionalFormatting>
  <conditionalFormatting sqref="AE105:AF105">
    <cfRule type="containsText" dxfId="706" priority="154" operator="containsText" text="More">
      <formula>NOT(ISERROR(SEARCH("More",AE105)))</formula>
    </cfRule>
    <cfRule type="containsText" dxfId="705" priority="155" operator="containsText" text="Up">
      <formula>NOT(ISERROR(SEARCH("Up",AE105)))</formula>
    </cfRule>
    <cfRule type="containsText" dxfId="704" priority="156" operator="containsText" text="Down">
      <formula>NOT(ISERROR(SEARCH("Down",AE105)))</formula>
    </cfRule>
  </conditionalFormatting>
  <conditionalFormatting sqref="AE105:AF105">
    <cfRule type="containsText" dxfId="703" priority="157" operator="containsText" text="Buy">
      <formula>NOT(ISERROR(SEARCH("Buy",AE105)))</formula>
    </cfRule>
    <cfRule type="containsText" dxfId="702" priority="158" operator="containsText" text="Sell">
      <formula>NOT(ISERROR(SEARCH("Sell",AE105)))</formula>
    </cfRule>
  </conditionalFormatting>
  <conditionalFormatting sqref="AE106:AF106">
    <cfRule type="containsText" dxfId="701" priority="149" operator="containsText" text="More">
      <formula>NOT(ISERROR(SEARCH("More",AE106)))</formula>
    </cfRule>
    <cfRule type="containsText" dxfId="700" priority="150" operator="containsText" text="Up">
      <formula>NOT(ISERROR(SEARCH("Up",AE106)))</formula>
    </cfRule>
    <cfRule type="containsText" dxfId="699" priority="151" operator="containsText" text="Down">
      <formula>NOT(ISERROR(SEARCH("Down",AE106)))</formula>
    </cfRule>
  </conditionalFormatting>
  <conditionalFormatting sqref="AE106:AF106">
    <cfRule type="containsText" dxfId="698" priority="152" operator="containsText" text="Buy">
      <formula>NOT(ISERROR(SEARCH("Buy",AE106)))</formula>
    </cfRule>
    <cfRule type="containsText" dxfId="697" priority="153" operator="containsText" text="Sell">
      <formula>NOT(ISERROR(SEARCH("Sell",AE106)))</formula>
    </cfRule>
  </conditionalFormatting>
  <conditionalFormatting sqref="BJ3:BJ96">
    <cfRule type="containsText" dxfId="696" priority="144" operator="containsText" text="More">
      <formula>NOT(ISERROR(SEARCH("More",BJ3)))</formula>
    </cfRule>
    <cfRule type="containsText" dxfId="695" priority="145" operator="containsText" text="Up">
      <formula>NOT(ISERROR(SEARCH("Up",BJ3)))</formula>
    </cfRule>
    <cfRule type="containsText" dxfId="694" priority="146" operator="containsText" text="Down">
      <formula>NOT(ISERROR(SEARCH("Down",BJ3)))</formula>
    </cfRule>
  </conditionalFormatting>
  <conditionalFormatting sqref="BJ3:BJ96">
    <cfRule type="containsText" dxfId="693" priority="147" operator="containsText" text="Buy">
      <formula>NOT(ISERROR(SEARCH("Buy",BJ3)))</formula>
    </cfRule>
    <cfRule type="containsText" dxfId="692" priority="148" operator="containsText" text="Sell">
      <formula>NOT(ISERROR(SEARCH("Sell",BJ3)))</formula>
    </cfRule>
  </conditionalFormatting>
  <conditionalFormatting sqref="BH3:BH96">
    <cfRule type="containsText" dxfId="691" priority="140" operator="containsText" text="No">
      <formula>NOT(ISERROR(SEARCH("No",BH3)))</formula>
    </cfRule>
    <cfRule type="containsText" dxfId="690" priority="141" operator="containsText" text="M&lt;">
      <formula>NOT(ISERROR(SEARCH("M&lt;",BH3)))</formula>
    </cfRule>
    <cfRule type="containsText" dxfId="689" priority="142" operator="containsText" text="M&gt;">
      <formula>NOT(ISERROR(SEARCH("M&gt;",BH3)))</formula>
    </cfRule>
  </conditionalFormatting>
  <conditionalFormatting sqref="AY2:AY97">
    <cfRule type="containsText" dxfId="688" priority="137" operator="containsText" text="Don't">
      <formula>NOT(ISERROR(SEARCH("Don't",AY2)))</formula>
    </cfRule>
  </conditionalFormatting>
  <conditionalFormatting sqref="BB2:BB97">
    <cfRule type="cellIs" dxfId="687" priority="136" operator="lessThan">
      <formula>0.5</formula>
    </cfRule>
  </conditionalFormatting>
  <conditionalFormatting sqref="BA2:BA96">
    <cfRule type="cellIs" dxfId="686" priority="135" operator="lessThan">
      <formula>0</formula>
    </cfRule>
  </conditionalFormatting>
  <conditionalFormatting sqref="V1:V97 AM1:AP1">
    <cfRule type="containsText" dxfId="685" priority="134" operator="containsText" text="WBA">
      <formula>NOT(ISERROR(SEARCH("WBA",V1)))</formula>
    </cfRule>
  </conditionalFormatting>
  <conditionalFormatting sqref="CB95:CH95">
    <cfRule type="expression" dxfId="684" priority="226">
      <formula>$CA97&gt;=$BZ97</formula>
    </cfRule>
  </conditionalFormatting>
  <conditionalFormatting sqref="V96">
    <cfRule type="expression" dxfId="683" priority="133">
      <formula>AND(ROW()&gt;2, ROW()=SelRowNum)</formula>
    </cfRule>
  </conditionalFormatting>
  <conditionalFormatting sqref="V96">
    <cfRule type="expression" dxfId="682" priority="132">
      <formula>AND(ROW()&gt;2, ROW()=SelRowNum)</formula>
    </cfRule>
  </conditionalFormatting>
  <conditionalFormatting sqref="BL96">
    <cfRule type="expression" dxfId="681" priority="131">
      <formula>AND(ROW()&gt;2, ROW()=SelRowNum)</formula>
    </cfRule>
  </conditionalFormatting>
  <conditionalFormatting sqref="AY96">
    <cfRule type="expression" dxfId="680" priority="130">
      <formula>AND(ROW()&gt;2, ROW()=SelRowNum)</formula>
    </cfRule>
  </conditionalFormatting>
  <conditionalFormatting sqref="AF96 AM96">
    <cfRule type="expression" dxfId="679" priority="129">
      <formula>AND(ROW()&gt;2, ROW()=SelRowNum)</formula>
    </cfRule>
  </conditionalFormatting>
  <conditionalFormatting sqref="BA96">
    <cfRule type="expression" dxfId="678"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77" priority="121" operator="lessThan">
      <formula>0</formula>
    </cfRule>
  </conditionalFormatting>
  <conditionalFormatting sqref="AR97:AS97 AU97">
    <cfRule type="cellIs" dxfId="676" priority="95" operator="greaterThan">
      <formula>0</formula>
    </cfRule>
    <cfRule type="cellIs" dxfId="675" priority="97" operator="lessThan">
      <formula>0</formula>
    </cfRule>
  </conditionalFormatting>
  <conditionalFormatting sqref="AD3:AD96">
    <cfRule type="containsText" dxfId="674" priority="174" operator="containsText" text="Trade">
      <formula>NOT(ISERROR(SEARCH("Trade",AD3)))</formula>
    </cfRule>
    <cfRule type="containsText" dxfId="673" priority="175" operator="containsText" text="Pile ^">
      <formula>NOT(ISERROR(SEARCH("Pile ^",AD3)))</formula>
    </cfRule>
  </conditionalFormatting>
  <conditionalFormatting sqref="AC3:AC96">
    <cfRule type="cellIs" dxfId="672" priority="89" operator="greaterThan">
      <formula>$AB3</formula>
    </cfRule>
    <cfRule type="cellIs" dxfId="671" priority="90" operator="equal">
      <formula>$AB3</formula>
    </cfRule>
    <cfRule type="cellIs" dxfId="670"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69" priority="72" operator="containsText" text="Sell More">
      <formula>NOT(ISERROR(SEARCH("Sell More",AN106)))</formula>
    </cfRule>
    <cfRule type="containsText" dxfId="668" priority="73" operator="containsText" text="Reverse Buy">
      <formula>NOT(ISERROR(SEARCH("Reverse Buy",AN106)))</formula>
    </cfRule>
    <cfRule type="containsText" dxfId="667" priority="74" operator="containsText" text="Reverse Sale">
      <formula>NOT(ISERROR(SEARCH("Reverse Sale",AN106)))</formula>
    </cfRule>
    <cfRule type="containsText" dxfId="666" priority="75" operator="containsText" text="Buy More">
      <formula>NOT(ISERROR(SEARCH("Buy More",AN106)))</formula>
    </cfRule>
  </conditionalFormatting>
  <conditionalFormatting sqref="AP96">
    <cfRule type="expression" dxfId="665" priority="61">
      <formula>AND(ROW()&gt;2, ROW()=SelRowNum)</formula>
    </cfRule>
  </conditionalFormatting>
  <conditionalFormatting sqref="BD3:BF96 AX3:AZ96">
    <cfRule type="expression" dxfId="664" priority="3527">
      <formula>$AF3=$AE$102</formula>
    </cfRule>
  </conditionalFormatting>
  <conditionalFormatting sqref="AX3:AX78 AV79:AX96">
    <cfRule type="expression" dxfId="663" priority="3529">
      <formula>$AF3=$AE$105</formula>
    </cfRule>
  </conditionalFormatting>
  <conditionalFormatting sqref="BD3:BF96 AX3:AZ78 AV79:AZ96">
    <cfRule type="expression" dxfId="662" priority="3531">
      <formula>$AF3=$AE$106</formula>
    </cfRule>
  </conditionalFormatting>
  <conditionalFormatting sqref="AQ3:AQ96 AR97:AS97 AU97">
    <cfRule type="expression" dxfId="661" priority="3536">
      <formula>$AF3=$AE$101</formula>
    </cfRule>
    <cfRule type="expression" dxfId="660" priority="3537">
      <formula>$AF3=$AE$102</formula>
    </cfRule>
  </conditionalFormatting>
  <conditionalFormatting sqref="AF3:AF96">
    <cfRule type="expression" dxfId="659" priority="3542">
      <formula>$AF3=$AE$106</formula>
    </cfRule>
    <cfRule type="expression" dxfId="658" priority="3543">
      <formula>$AF3=$AE$102</formula>
    </cfRule>
    <cfRule type="expression" dxfId="657" priority="3544">
      <formula>$AF3=$AE$101</formula>
    </cfRule>
  </conditionalFormatting>
  <conditionalFormatting sqref="W3:W96">
    <cfRule type="expression" dxfId="656" priority="3545">
      <formula>AND(W3&lt;&gt;0,W3&lt;MIN(AO3,X3))</formula>
    </cfRule>
    <cfRule type="expression" dxfId="655" priority="3546">
      <formula>AND(W3&lt;&gt;0,W3&lt;AO3,W3&gt;X3)</formula>
    </cfRule>
  </conditionalFormatting>
  <conditionalFormatting sqref="AR3:AR96">
    <cfRule type="expression" dxfId="654" priority="3548">
      <formula>$AO3&lt;$X3</formula>
    </cfRule>
    <cfRule type="containsText" dxfId="653" priority="3549" operator="containsText" text="/">
      <formula>NOT(ISERROR(SEARCH("/",AR3)))</formula>
    </cfRule>
  </conditionalFormatting>
  <conditionalFormatting sqref="AH3:AH96">
    <cfRule type="expression" dxfId="652" priority="3550">
      <formula>$AO3&lt;$X3</formula>
    </cfRule>
  </conditionalFormatting>
  <conditionalFormatting sqref="X3:Y96">
    <cfRule type="expression" dxfId="651" priority="3551">
      <formula>$X3&lt;MIN($AO3,$W3)</formula>
    </cfRule>
  </conditionalFormatting>
  <conditionalFormatting sqref="T3:T96">
    <cfRule type="expression" dxfId="650" priority="3552" stopIfTrue="1">
      <formula>$T3&gt;MAX(ABS($X3),$AO3)</formula>
    </cfRule>
    <cfRule type="expression" dxfId="649" priority="3553" stopIfTrue="1">
      <formula>$T3&gt;AND(MAX(ABS($X3),$AO3),ABS($X3)&lt;$AO3)</formula>
    </cfRule>
  </conditionalFormatting>
  <conditionalFormatting sqref="T3:T96">
    <cfRule type="expression" dxfId="648" priority="3554" stopIfTrue="1">
      <formula>AND($T3&lt;=MIN(ABS($X3),$AO3),ABS($X3)&gt;$AO3,$AO3&lt;=0)</formula>
    </cfRule>
    <cfRule type="expression" dxfId="647" priority="3555" stopIfTrue="1">
      <formula>AND($T3&lt;=MIN(ABS($X3),$AO3),ABS($X3)&lt;$AO3,$AO3&lt;=0)</formula>
    </cfRule>
  </conditionalFormatting>
  <conditionalFormatting sqref="AO3:AO96">
    <cfRule type="expression" dxfId="646" priority="58" stopIfTrue="1">
      <formula>$BV3="YAM"</formula>
    </cfRule>
    <cfRule type="expression" dxfId="645" priority="3268">
      <formula>$BV3="YMA"</formula>
    </cfRule>
    <cfRule type="expression" dxfId="644" priority="3269">
      <formula>$BV3="AYM"</formula>
    </cfRule>
    <cfRule type="expression" dxfId="643" priority="3270">
      <formula>$BV3="AMY"</formula>
    </cfRule>
    <cfRule type="expression" dxfId="642" priority="3271">
      <formula>$BV3="MYA"</formula>
    </cfRule>
    <cfRule type="expression" dxfId="641" priority="3272">
      <formula>$BV3="MAY"</formula>
    </cfRule>
  </conditionalFormatting>
  <conditionalFormatting sqref="AS3:AS96">
    <cfRule type="expression" dxfId="640" priority="34" stopIfTrue="1">
      <formula>$BV3="YAM"</formula>
    </cfRule>
    <cfRule type="expression" dxfId="639" priority="35">
      <formula>$BV3="YMA"</formula>
    </cfRule>
    <cfRule type="expression" dxfId="638" priority="36">
      <formula>$BV3="AYM"</formula>
    </cfRule>
    <cfRule type="expression" dxfId="637" priority="37">
      <formula>$BV3="AMY"</formula>
    </cfRule>
    <cfRule type="expression" dxfId="636" priority="38">
      <formula>$BV3="MYA"</formula>
    </cfRule>
    <cfRule type="expression" dxfId="635" priority="39">
      <formula>$BV3="MAY"</formula>
    </cfRule>
  </conditionalFormatting>
  <conditionalFormatting sqref="AT3:AT96">
    <cfRule type="expression" dxfId="634" priority="28" stopIfTrue="1">
      <formula>$BV3="YAM"</formula>
    </cfRule>
    <cfRule type="expression" dxfId="633" priority="29">
      <formula>$BV3="YMA"</formula>
    </cfRule>
    <cfRule type="expression" dxfId="632" priority="30">
      <formula>$BV3="AYM"</formula>
    </cfRule>
    <cfRule type="expression" dxfId="631" priority="31">
      <formula>$BV3="AMY"</formula>
    </cfRule>
    <cfRule type="expression" dxfId="630" priority="32">
      <formula>$BV3="MYA"</formula>
    </cfRule>
    <cfRule type="expression" dxfId="629" priority="33">
      <formula>$BV3="MAY"</formula>
    </cfRule>
  </conditionalFormatting>
  <conditionalFormatting sqref="AU3:AU96">
    <cfRule type="expression" dxfId="628" priority="22" stopIfTrue="1">
      <formula>$BV3="YAM"</formula>
    </cfRule>
    <cfRule type="expression" dxfId="627" priority="23">
      <formula>$BV3="YMA"</formula>
    </cfRule>
    <cfRule type="expression" dxfId="626" priority="24">
      <formula>$BV3="AYM"</formula>
    </cfRule>
    <cfRule type="expression" dxfId="625" priority="25">
      <formula>$BV3="AMY"</formula>
    </cfRule>
    <cfRule type="expression" dxfId="624" priority="26">
      <formula>$BV3="MYA"</formula>
    </cfRule>
    <cfRule type="expression" dxfId="623" priority="27">
      <formula>$BV3="MAY"</formula>
    </cfRule>
  </conditionalFormatting>
  <conditionalFormatting sqref="AJ3:AJ96">
    <cfRule type="expression" dxfId="622" priority="16" stopIfTrue="1">
      <formula>$BV3="YAM"</formula>
    </cfRule>
    <cfRule type="expression" dxfId="621" priority="17">
      <formula>$BV3="YMA"</formula>
    </cfRule>
    <cfRule type="expression" dxfId="620" priority="18">
      <formula>$BV3="AYM"</formula>
    </cfRule>
    <cfRule type="expression" dxfId="619" priority="19">
      <formula>$BV3="AMY"</formula>
    </cfRule>
    <cfRule type="expression" dxfId="618" priority="20">
      <formula>$BV3="MYA"</formula>
    </cfRule>
    <cfRule type="expression" dxfId="617" priority="21">
      <formula>$BV3="MAY"</formula>
    </cfRule>
  </conditionalFormatting>
  <conditionalFormatting sqref="AK3:AK96">
    <cfRule type="expression" dxfId="616" priority="10" stopIfTrue="1">
      <formula>$BV3="YAM"</formula>
    </cfRule>
    <cfRule type="expression" dxfId="615" priority="11">
      <formula>$BV3="YMA"</formula>
    </cfRule>
    <cfRule type="expression" dxfId="614" priority="12">
      <formula>$BV3="AYM"</formula>
    </cfRule>
    <cfRule type="expression" dxfId="613" priority="13">
      <formula>$BV3="AMY"</formula>
    </cfRule>
    <cfRule type="expression" dxfId="612" priority="14">
      <formula>$BV3="MYA"</formula>
    </cfRule>
    <cfRule type="expression" dxfId="611" priority="15">
      <formula>$BV3="MAY"</formula>
    </cfRule>
  </conditionalFormatting>
  <conditionalFormatting sqref="AL3:AL96">
    <cfRule type="expression" dxfId="610" priority="4" stopIfTrue="1">
      <formula>$BV3="YAM"</formula>
    </cfRule>
    <cfRule type="expression" dxfId="609" priority="5">
      <formula>$BV3="YMA"</formula>
    </cfRule>
    <cfRule type="expression" dxfId="608" priority="6">
      <formula>$BV3="AYM"</formula>
    </cfRule>
    <cfRule type="expression" dxfId="607" priority="7">
      <formula>$BV3="AMY"</formula>
    </cfRule>
    <cfRule type="expression" dxfId="606" priority="8">
      <formula>$BV3="MYA"</formula>
    </cfRule>
    <cfRule type="expression" dxfId="605" priority="9">
      <formula>$BV3="MAY"</formula>
    </cfRule>
  </conditionalFormatting>
  <conditionalFormatting sqref="AG3:AG96">
    <cfRule type="expression" dxfId="604" priority="3">
      <formula>OR($BV3="YAM",$BV3="MAY",$BV3="AMY","AYM")</formula>
    </cfRule>
  </conditionalFormatting>
  <dataValidations disablePrompts="1"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D11" activePane="bottomRight" state="frozen"/>
      <selection activeCell="Z112" sqref="Z112"/>
      <selection pane="topRight" activeCell="Z112" sqref="Z112"/>
      <selection pane="bottomLeft" activeCell="Z112" sqref="Z112"/>
      <selection pane="bottomRight" activeCell="BF33" sqref="BF3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964</v>
      </c>
      <c r="C1" s="130"/>
      <c r="D1" s="130"/>
      <c r="E1" s="130"/>
      <c r="I1" s="497" t="s">
        <v>1513</v>
      </c>
      <c r="J1" s="498" t="s">
        <v>1604</v>
      </c>
      <c r="K1" s="497" t="s">
        <v>1514</v>
      </c>
      <c r="M1" s="1042" t="s">
        <v>2483</v>
      </c>
      <c r="N1" s="1868" t="s">
        <v>2484</v>
      </c>
      <c r="O1" s="1869"/>
      <c r="P1" s="1869"/>
      <c r="Q1" s="1869"/>
      <c r="R1" s="1869"/>
      <c r="S1" s="1869"/>
      <c r="T1" s="1870"/>
      <c r="Y1"/>
      <c r="Z1" s="228" t="s">
        <v>1055</v>
      </c>
      <c r="AA1" s="229"/>
      <c r="AB1" s="229"/>
      <c r="AC1" s="229"/>
      <c r="AD1" s="229"/>
      <c r="AE1" s="943" t="s">
        <v>1066</v>
      </c>
      <c r="AF1" s="943"/>
      <c r="AG1" s="943"/>
      <c r="AH1" s="944"/>
      <c r="AI1" s="230" t="s">
        <v>1115</v>
      </c>
      <c r="AJ1" s="231"/>
      <c r="AK1" s="232"/>
      <c r="AL1" s="231"/>
      <c r="AM1" s="945" t="s">
        <v>1114</v>
      </c>
      <c r="AN1" s="945"/>
      <c r="AO1" s="945"/>
      <c r="AP1" s="945"/>
      <c r="AQ1" s="1126" t="s">
        <v>2958</v>
      </c>
      <c r="AR1" s="1039" t="s">
        <v>2157</v>
      </c>
      <c r="AS1" s="1038" t="s">
        <v>2479</v>
      </c>
      <c r="AT1" s="1040"/>
      <c r="AU1" s="294" t="s">
        <v>1280</v>
      </c>
      <c r="AW1" s="294" t="s">
        <v>1112</v>
      </c>
      <c r="AY1" s="112" t="s">
        <v>1067</v>
      </c>
      <c r="AZ1" s="112" t="s">
        <v>935</v>
      </c>
      <c r="BA1" s="85"/>
      <c r="BB1" s="156"/>
      <c r="BM1" s="312">
        <v>0.2</v>
      </c>
      <c r="BR1"/>
      <c r="BV1" s="179" t="s">
        <v>1054</v>
      </c>
      <c r="BW1" s="180"/>
      <c r="BX1" s="180" t="s">
        <v>1053</v>
      </c>
      <c r="BY1" s="180"/>
      <c r="BZ1" s="181"/>
      <c r="CA1" s="681" t="s">
        <v>2067</v>
      </c>
      <c r="CC1" s="195" t="s">
        <v>1075</v>
      </c>
      <c r="CD1" s="137"/>
      <c r="CE1" s="137"/>
      <c r="CF1" s="195" t="s">
        <v>1076</v>
      </c>
      <c r="CG1" s="137"/>
      <c r="CH1" s="137"/>
      <c r="CI1" t="s">
        <v>1778</v>
      </c>
      <c r="CJ1">
        <v>9.9999999999999995E-7</v>
      </c>
      <c r="CK1" s="194" t="s">
        <v>1074</v>
      </c>
      <c r="CL1" s="193"/>
      <c r="CM1" s="193"/>
      <c r="CN1" s="194" t="s">
        <v>1073</v>
      </c>
      <c r="CO1" s="193"/>
      <c r="CP1" s="193"/>
      <c r="CQ1" s="137" t="s">
        <v>1090</v>
      </c>
      <c r="CR1" s="137"/>
      <c r="CS1" s="137"/>
      <c r="CT1" s="194" t="s">
        <v>1068</v>
      </c>
      <c r="CU1" s="193"/>
      <c r="CV1" s="193"/>
      <c r="DB1" t="s">
        <v>1606</v>
      </c>
      <c r="DD1" t="s">
        <v>2454</v>
      </c>
      <c r="DF1" s="1"/>
      <c r="DL1" s="220" t="s">
        <v>1446</v>
      </c>
      <c r="DQ1" s="220"/>
      <c r="DR1" s="220"/>
    </row>
    <row r="2" spans="1:128" s="1" customFormat="1" ht="23" thickBot="1">
      <c r="A2" s="1" t="s">
        <v>1113</v>
      </c>
      <c r="B2" s="1" t="s">
        <v>546</v>
      </c>
      <c r="C2" s="1" t="s">
        <v>1602</v>
      </c>
      <c r="D2" s="1" t="s">
        <v>1449</v>
      </c>
      <c r="E2" s="1" t="s">
        <v>1888</v>
      </c>
      <c r="F2" s="211" t="s">
        <v>958</v>
      </c>
      <c r="G2" s="1" t="s">
        <v>1601</v>
      </c>
      <c r="H2" s="1" t="s">
        <v>545</v>
      </c>
      <c r="I2" s="374" t="s">
        <v>676</v>
      </c>
      <c r="J2" s="582" t="s">
        <v>1565</v>
      </c>
      <c r="K2" s="378" t="s">
        <v>681</v>
      </c>
      <c r="L2" s="372" t="s">
        <v>689</v>
      </c>
      <c r="M2" s="726" t="s">
        <v>2482</v>
      </c>
      <c r="N2" s="884" t="s">
        <v>2287</v>
      </c>
      <c r="O2" s="884" t="s">
        <v>2390</v>
      </c>
      <c r="P2" s="884" t="s">
        <v>2339</v>
      </c>
      <c r="Q2" s="884" t="s">
        <v>2288</v>
      </c>
      <c r="R2" s="884" t="s">
        <v>2391</v>
      </c>
      <c r="S2" s="884" t="s">
        <v>2385</v>
      </c>
      <c r="T2" s="884" t="s">
        <v>2384</v>
      </c>
      <c r="U2" s="884" t="s">
        <v>2461</v>
      </c>
      <c r="V2" s="884" t="s">
        <v>2462</v>
      </c>
      <c r="W2" s="884" t="s">
        <v>2467</v>
      </c>
      <c r="X2" s="884" t="s">
        <v>2386</v>
      </c>
      <c r="Y2" s="373" t="s">
        <v>1837</v>
      </c>
      <c r="Z2" s="371" t="s">
        <v>2124</v>
      </c>
      <c r="AA2" s="227" t="s">
        <v>1676</v>
      </c>
      <c r="AB2" s="227" t="s">
        <v>1670</v>
      </c>
      <c r="AC2" s="227" t="s">
        <v>1675</v>
      </c>
      <c r="AD2" s="1446" t="s">
        <v>2850</v>
      </c>
      <c r="AE2" s="362" t="s">
        <v>1441</v>
      </c>
      <c r="AF2" s="362" t="s">
        <v>1677</v>
      </c>
      <c r="AG2" s="362" t="s">
        <v>1678</v>
      </c>
      <c r="AH2" s="362" t="s">
        <v>1671</v>
      </c>
      <c r="AI2" s="363" t="s">
        <v>1442</v>
      </c>
      <c r="AJ2" s="364" t="s">
        <v>1064</v>
      </c>
      <c r="AK2" s="364" t="s">
        <v>1432</v>
      </c>
      <c r="AL2" s="364" t="s">
        <v>1672</v>
      </c>
      <c r="AM2" s="226" t="s">
        <v>1443</v>
      </c>
      <c r="AN2" s="226" t="s">
        <v>1065</v>
      </c>
      <c r="AO2" s="226" t="s">
        <v>1433</v>
      </c>
      <c r="AP2" s="963" t="s">
        <v>1673</v>
      </c>
      <c r="AQ2" s="966" t="s">
        <v>2512</v>
      </c>
      <c r="AR2" s="967" t="s">
        <v>2403</v>
      </c>
      <c r="AS2" s="967" t="s">
        <v>2404</v>
      </c>
      <c r="AT2" s="968" t="s">
        <v>701</v>
      </c>
      <c r="AU2" s="198" t="s">
        <v>1445</v>
      </c>
      <c r="AV2" s="198" t="s">
        <v>1444</v>
      </c>
      <c r="AW2" s="198" t="s">
        <v>1112</v>
      </c>
      <c r="AX2" s="198" t="s">
        <v>1515</v>
      </c>
      <c r="AY2" s="302" t="s">
        <v>1281</v>
      </c>
      <c r="AZ2" s="958" t="s">
        <v>1873</v>
      </c>
      <c r="BA2" s="33" t="s">
        <v>931</v>
      </c>
      <c r="BB2" s="33" t="s">
        <v>1060</v>
      </c>
      <c r="BC2" s="33" t="s">
        <v>543</v>
      </c>
      <c r="BD2" s="641" t="s">
        <v>1874</v>
      </c>
      <c r="BE2" s="158" t="s">
        <v>1872</v>
      </c>
      <c r="BF2" s="642" t="s">
        <v>2609</v>
      </c>
      <c r="BG2" s="647" t="s">
        <v>1884</v>
      </c>
      <c r="BH2" s="646" t="s">
        <v>1885</v>
      </c>
      <c r="BI2" s="648" t="s">
        <v>1886</v>
      </c>
      <c r="BJ2" s="155" t="s">
        <v>1889</v>
      </c>
      <c r="BK2" s="155" t="s">
        <v>1887</v>
      </c>
      <c r="BL2" s="155" t="s">
        <v>1856</v>
      </c>
      <c r="BM2" s="393" t="s">
        <v>944</v>
      </c>
      <c r="BN2" s="393" t="s">
        <v>2567</v>
      </c>
      <c r="BO2" s="155" t="s">
        <v>728</v>
      </c>
      <c r="BP2" s="155" t="s">
        <v>1541</v>
      </c>
      <c r="BQ2" s="155" t="s">
        <v>730</v>
      </c>
      <c r="BR2" s="202" t="s">
        <v>1440</v>
      </c>
      <c r="BS2" s="155" t="s">
        <v>2068</v>
      </c>
      <c r="BT2" s="178" t="s">
        <v>1050</v>
      </c>
      <c r="BU2" s="155" t="s">
        <v>2205</v>
      </c>
      <c r="BV2" s="182" t="s">
        <v>1033</v>
      </c>
      <c r="BW2" s="183" t="s">
        <v>1034</v>
      </c>
      <c r="BX2" s="155" t="s">
        <v>1032</v>
      </c>
      <c r="BY2" s="155" t="s">
        <v>2077</v>
      </c>
      <c r="BZ2" s="155" t="s">
        <v>1051</v>
      </c>
      <c r="CA2" s="184" t="s">
        <v>1052</v>
      </c>
      <c r="CB2" s="307" t="s">
        <v>1306</v>
      </c>
      <c r="CC2" s="175" t="s">
        <v>1037</v>
      </c>
      <c r="CD2" s="175" t="s">
        <v>1434</v>
      </c>
      <c r="CE2" s="175" t="s">
        <v>2884</v>
      </c>
      <c r="CF2" s="176" t="s">
        <v>1040</v>
      </c>
      <c r="CG2" s="176" t="s">
        <v>1435</v>
      </c>
      <c r="CH2" s="176" t="s">
        <v>1042</v>
      </c>
      <c r="CI2" s="176" t="s">
        <v>2865</v>
      </c>
      <c r="CJ2" s="176" t="s">
        <v>2866</v>
      </c>
      <c r="CK2" s="158" t="s">
        <v>1048</v>
      </c>
      <c r="CL2" s="158" t="s">
        <v>1436</v>
      </c>
      <c r="CM2" s="158" t="s">
        <v>1049</v>
      </c>
      <c r="CN2" s="158" t="s">
        <v>1036</v>
      </c>
      <c r="CO2" s="158" t="s">
        <v>1437</v>
      </c>
      <c r="CP2" s="158" t="s">
        <v>1035</v>
      </c>
      <c r="CQ2" s="158" t="s">
        <v>1069</v>
      </c>
      <c r="CR2" s="158" t="s">
        <v>1438</v>
      </c>
      <c r="CS2" s="158" t="s">
        <v>1072</v>
      </c>
      <c r="CT2" s="197" t="s">
        <v>1070</v>
      </c>
      <c r="CU2" s="197" t="s">
        <v>1439</v>
      </c>
      <c r="CV2" s="197" t="s">
        <v>1071</v>
      </c>
      <c r="CW2" s="394" t="s">
        <v>1680</v>
      </c>
      <c r="CX2" s="398" t="s">
        <v>1605</v>
      </c>
      <c r="CY2" s="399" t="s">
        <v>1679</v>
      </c>
      <c r="CZ2" s="400" t="s">
        <v>1684</v>
      </c>
      <c r="DA2" s="394" t="s">
        <v>2469</v>
      </c>
      <c r="DB2" s="395" t="s">
        <v>999</v>
      </c>
      <c r="DC2" s="745" t="s">
        <v>2125</v>
      </c>
      <c r="DD2" s="980" t="s">
        <v>2402</v>
      </c>
      <c r="DE2" s="981" t="s">
        <v>2430</v>
      </c>
      <c r="DF2" s="981" t="s">
        <v>2504</v>
      </c>
      <c r="DG2" s="1294" t="s">
        <v>187</v>
      </c>
      <c r="DH2" s="1294" t="s">
        <v>186</v>
      </c>
      <c r="DK2" s="1" t="s">
        <v>2606</v>
      </c>
      <c r="DL2" s="1" t="s">
        <v>2608</v>
      </c>
      <c r="DN2" s="1" t="s">
        <v>2605</v>
      </c>
      <c r="DO2" s="1" t="s">
        <v>2607</v>
      </c>
      <c r="DP2" s="1" t="s">
        <v>944</v>
      </c>
      <c r="DS2" s="1" t="s">
        <v>1543</v>
      </c>
      <c r="DT2" s="1" t="s">
        <v>1545</v>
      </c>
      <c r="DU2" s="1" t="s">
        <v>1544</v>
      </c>
    </row>
    <row r="3" spans="1:128">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2634153.5304999994</v>
      </c>
      <c r="G3" s="80">
        <f ca="1">IFERROR(TabCalc[[#This Row],[SB]]-TabCalc[[#This Row],[SST]],TabCalc[[#This Row],[SB]])</f>
        <v>9500</v>
      </c>
      <c r="H3" s="530" t="str">
        <f ca="1">[1]!RTData[[#This Row],[Ticker_Symbol]]</f>
        <v>AAPL</v>
      </c>
      <c r="I3" s="381">
        <f ca="1">_xlfn.XLOOKUP(TabCalc[[#This Row],[Ticker]],[1]!RTData[Ticker_Symbol],[1]!RTData[M-Price])</f>
        <v>278.02999999999997</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-2.6900000000000001E-3</v>
      </c>
      <c r="N3" s="1041" t="s">
        <v>2938</v>
      </c>
      <c r="O3" s="886" t="e">
        <f>TabCalc[[#This Row],[Up20]]-1+TabCalc[[#This Row],[Up20]]</f>
        <v>#VALUE!</v>
      </c>
      <c r="P3" s="886" t="e">
        <f>TabCalc[[#This Row],[Up20]]-TabCalc[[#This Row],[Up150]]</f>
        <v>#VALUE!</v>
      </c>
      <c r="Q3" s="886" t="s">
        <v>2939</v>
      </c>
      <c r="R3" s="886" t="e">
        <f>TabCalc[[#This Row],[Up150]]-1+TabCalc[[#This Row],[Up150]]</f>
        <v>#VALUE!</v>
      </c>
      <c r="S3" s="886">
        <f ca="1">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5886</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47">
        <f ca="1">(TabCalc[[#This Row],[M]]+TabCalc[[#This Row],[L_Bp]])/TabCalc[[#This Row],[M]]</f>
        <v>0.10613962522029985</v>
      </c>
      <c r="AE3" s="209">
        <f ca="1">IFERROR(MIN(TabCalc[[#This Row],[L_B1n]],TabCalc[[#This Row],[NAfter]])*(TabCalc[[#This Row],[M]]+TabCalc[[#This Row],[L_B1p]])*TabCalc[[#This Row],[Scale]],"")</f>
        <v>23198.999999999996</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-3994.9999999999764</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-7224.9999999999945</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-9120.0000000004657</v>
      </c>
      <c r="AR3" s="332">
        <f ca="1">_xlfn.LET(_xlpm.MVToday,DataShift!AV505,         _xlpm.MVY,DataShift!AU505,        _xlpm.MVYY, DataShift!AT505,                                IF(_xlpm.MVToday=_xlpm.MVY,_xlpm.MVY-_xlpm.MVYY,_xlpm.MVToday-_xlpm.MVY))</f>
        <v>-7105.7625000001863</v>
      </c>
      <c r="AS3" s="332">
        <f ca="1">_xlfn.LET(_xlpm.MVToday,DataShift!AV505,         _xlpm.MVY,DataShift!AU505,        _xlpm.MVYY, DataShift!AT505,         _xlpm.MVYYY, DataShift!AS505,                      IF(_xlpm.MVToday=_xlpm.MVY,      _xlpm.MVYY-_xlpm.MVYYY,          _xlpm.MVY-_xlpm.MVYY))</f>
        <v>11369.219999999739</v>
      </c>
      <c r="AT3" s="969">
        <f ca="1">TabCalc[[#This Row],[Y]]/TabCalc[[#This Row],[M]]</f>
        <v>1.0199522713376257</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-2.1651542267124685E-3</v>
      </c>
      <c r="AZ3" s="80">
        <f t="shared" ref="AZ3:AZ36" ca="1" si="1">IF(G3&lt;C3,C3-G3,0)</f>
        <v>0</v>
      </c>
      <c r="BA3" s="88">
        <f ca="1">_xlfn.XLOOKUP(TabCalc[[#This Row],[Ticker]],[1]!RTData[Ticker_Symbol],[1]!RTData[V/VA])</f>
        <v>0.70047433150034832</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0.70047433150034832</v>
      </c>
      <c r="BD3" s="85" cm="1">
        <f t="array" aca="1" ref="BD3" ca="1">INDEX(TabReg[], 1, _xlfn.XMATCH(TabCalc[[#This Row],[Ticker]]&amp;1, TabReg[#Headers], 0))</f>
        <v>5000</v>
      </c>
      <c r="BE3" s="157">
        <f ca="1">TabCalc[[#This Row],[Nbegin]]*TabCalc[[#This Row],[M]]*TabCalc[[#This Row],[Scale]]+TabCalc[[#This Row],[ValueBegin]]</f>
        <v>852849.99999999977</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2096853.5304999994</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1210744.0997956996</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46002.876048506252</v>
      </c>
      <c r="BU3" s="173">
        <f ca="1">(TabCalc[[#This Row],[ValueBegin]]+(TabCalc[[#This Row],[M]]-TabCalc[[#This Row],[A]])*TabCalc[[#This Row],[NAfter]])*TabCalc[[#This Row],[Scale]]</f>
        <v>84570.528213999816</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621870.52821399982</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169.43409013893617</v>
      </c>
      <c r="CZ3" s="403">
        <f ca="1">TabCalc[[#This Row],[ntoSell]]*TabCalc[[#This Row],[M]]</f>
        <v>47107.760081328415</v>
      </c>
      <c r="DA3" s="396">
        <f ca="1">_xlfn.LET(_xlpm.nToSell,IF(TabCalc[[#This Row],[M]]-TabCalc[[#This Row],[A]]&lt;=0,"",INT(DesiredSaleGain/(TabCalc[[#This Row],[M]]-IF(TabCalc[[#This Row],[E]]&gt;0,0,TabCalc[[#This Row],[A]])))),IF(_xlpm.nToSell&lt;=TabCalc[[#This Row],[NAfter]],_xlpm.nToSell,0))</f>
        <v>76</v>
      </c>
      <c r="DB3" s="334">
        <f ca="1">IFERROR(TabCalc[[#This Row],[NMA]]*TabCalc[[#This Row],[M]],"")</f>
        <v>21130.28</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621870.52821399982</v>
      </c>
      <c r="DD3" s="88">
        <f ca="1">IFERROR((TabCalc[[#This Row],[M]]+TabCalc[[#This Row],[L_Bp]])/ABS(TabCalc[[#This Row],[L_Bp]])/(TODAY()-TabCalc[[#This Row],[L_Bdate]])*360,"")</f>
        <v>0.7245333049619842</v>
      </c>
      <c r="DE3" s="308">
        <f ca="1">MEDIAN(DataShift!F704:Z704)</f>
        <v>3.703E-4</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1390149.9999999998</v>
      </c>
      <c r="DH3" s="85" cm="1">
        <f t="array" aca="1" ref="DH3" ca="1">SUMPRODUCT(ISNUMBER(INDIRECT("TabReg["&amp;TabCalc[[#This Row],[Ticker]]&amp;"2]"))* INDIRECT("TabReg["&amp;TabCalc[[#This Row],[Ticker]]&amp;"1]") * INDIRECT("TabReg["&amp;TabCalc[[#This Row],[Ticker]]&amp;"2]") )*TabCalc[[#This Row],[Scale]]</f>
        <v>-1412887.1249999998</v>
      </c>
      <c r="DK3" s="1295" cm="1">
        <f t="array" aca="1" ref="DK3:DK96" ca="1">_xlfn._xlws.SORT(TabCalc[[#Data],[Column1]],,-1)</f>
        <v>5111900</v>
      </c>
      <c r="DL3" s="88">
        <f t="shared" ref="DL3:DL34" ca="1" si="2">DP3/ABS(DN3)</f>
        <v>0.37563822325510932</v>
      </c>
      <c r="DM3" t="str">
        <f ca="1">_xlfn.XLOOKUP(DK3,TabCalc[Column1],TabCalc[Ticker])</f>
        <v>EOAN</v>
      </c>
      <c r="DN3" s="1295">
        <f ca="1">_xlfn.XLOOKUP(DM3,TabCalc[Ticker],TabCalc[ValueBegin])</f>
        <v>-3053200</v>
      </c>
      <c r="DO3" s="1295">
        <f ca="1">_xlfn.XLOOKUP(DM3,TabCalc[Ticker],TabCalc[M_V])</f>
        <v>374860.13750000001</v>
      </c>
      <c r="DP3" s="1295">
        <f ca="1">_xlfn.XLOOKUP(DM3,TabCalc[Ticker],TabCalc[GL])</f>
        <v>1146898.6232424998</v>
      </c>
      <c r="DQ3" s="88"/>
      <c r="DR3" s="88"/>
      <c r="DS3" s="86" t="s">
        <v>0</v>
      </c>
      <c r="DT3" s="79">
        <v>5000</v>
      </c>
      <c r="DU3" s="313">
        <v>-107.46</v>
      </c>
      <c r="DW3" s="80">
        <v>2700400</v>
      </c>
      <c r="DX3" s="80">
        <f ca="1">DW3-TabCalc[[#This Row],[M_V]]</f>
        <v>66246.469500000589</v>
      </c>
    </row>
    <row r="4" spans="1:128">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67616.94</v>
      </c>
      <c r="G4" s="80">
        <f ca="1">IFERROR(TabCalc[[#This Row],[SB]]-TabCalc[[#This Row],[SST]],TabCalc[[#This Row],[SB]])</f>
        <v>5000</v>
      </c>
      <c r="H4" s="530" t="str">
        <f ca="1">[1]!RTData[[#This Row],[Ticker_Symbol]]</f>
        <v>ADEA</v>
      </c>
      <c r="I4" s="381">
        <f ca="1">_xlfn.XLOOKUP(TabCalc[[#This Row],[Ticker]],[1]!RTData[Ticker_Symbol],[1]!RTData[M-Price])</f>
        <v>13.56</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2.9589999999999998E-3</v>
      </c>
      <c r="N4" s="1041" t="s">
        <v>2951</v>
      </c>
      <c r="O4" s="886" t="e">
        <f>TabCalc[[#This Row],[Up20]]-1+TabCalc[[#This Row],[Up20]]</f>
        <v>#VALUE!</v>
      </c>
      <c r="P4" s="886" t="e">
        <f>TabCalc[[#This Row],[Up20]]-TabCalc[[#This Row],[Up150]]</f>
        <v>#VALUE!</v>
      </c>
      <c r="Q4" s="886" t="s">
        <v>2965</v>
      </c>
      <c r="R4" s="886" t="e">
        <f>TabCalc[[#This Row],[Up150]]-1+TabCalc[[#This Row],[Up150]]</f>
        <v>#VALUE!</v>
      </c>
      <c r="S4" s="886">
        <f ca="1">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4810</v>
      </c>
      <c r="V4" s="996">
        <v>190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-131</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47">
        <f ca="1">(TabCalc[[#This Row],[M]]+TabCalc[[#This Row],[L_Bp]])/TabCalc[[#This Row],[M]]</f>
        <v>-5.0884955752212351E-2</v>
      </c>
      <c r="AE4" s="209">
        <f ca="1">IFERROR(MIN(TabCalc[[#This Row],[L_B1n]],TabCalc[[#This Row],[NAfter]])*(TabCalc[[#This Row],[M]]+TabCalc[[#This Row],[L_B1p]])*TabCalc[[#This Row],[Scale]],"")</f>
        <v>1512.0000000000025</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3299.9999999999991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9298.9000000000033</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300</v>
      </c>
      <c r="AR4" s="332">
        <f ca="1">_xlfn.LET(_xlpm.MVToday,DataShift!AV506,         _xlpm.MVY,DataShift!AU506,        _xlpm.MVYY, DataShift!AT506,                                IF(_xlpm.MVToday=_xlpm.MVY,_xlpm.MVY-_xlpm.MVYY,_xlpm.MVToday-_xlpm.MVY))</f>
        <v>199.4600000000064</v>
      </c>
      <c r="AS4" s="332">
        <f ca="1">_xlfn.LET(_xlpm.MVToday,DataShift!AV506,         _xlpm.MVY,DataShift!AU506,        _xlpm.MVYY, DataShift!AT506,         _xlpm.MVYYY, DataShift!AS506,                      IF(_xlpm.MVToday=_xlpm.MVY,      _xlpm.MVYY-_xlpm.MVYYY,          _xlpm.MVY-_xlpm.MVYY))</f>
        <v>2767.5074999999997</v>
      </c>
      <c r="AT4" s="969">
        <f ca="1">TabCalc[[#This Row],[Y]]/TabCalc[[#This Row],[M]]</f>
        <v>1.4564896755162242</v>
      </c>
      <c r="AU4" s="295" t="str" cm="1">
        <f t="array" aca="1" ref="AU4" ca="1">IFERROR(_xlfn.IFS(          TabCalc[[#This Row],[E]]&gt;0, "Free Trade",      TabCalc[[#This Row],[A]]&lt;MIN(TabCalc[[#This Row],[L_Sp]],TabCalc[[#This Row],[M]]), "Buy",            TabCalc[[#This Row],[M]]&lt;TabCalc[[#This Row],[L_Sp]],       "Refill",       TabCalc[[#This Row],[M]]&gt;TabCalc[[#This Row],[L_Sp]],"S_more"),"")</f>
        <v>Buy</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-0.88561539524289579</v>
      </c>
      <c r="AZ4" s="80">
        <f t="shared" ca="1" si="1"/>
        <v>4000</v>
      </c>
      <c r="BA4" s="88">
        <f ca="1">_xlfn.XLOOKUP(TabCalc[[#This Row],[Ticker]],[1]!RTData[Ticker_Symbol],[1]!RTData[V/VA])</f>
        <v>0.7583713347621871</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0.7583713347621871</v>
      </c>
      <c r="BD4" s="85" cm="1">
        <f t="array" aca="1" ref="BD4" ca="1">INDEX(TabReg[], 1, _xlfn.XMATCH(TabCalc[[#This Row],[Ticker]]&amp;1, TabReg[#Headers], 0))</f>
        <v>9000</v>
      </c>
      <c r="BE4" s="157">
        <f ca="1">TabCalc[[#This Row],[Nbegin]]*TabCalc[[#This Row],[M]]*TabCalc[[#This Row],[Scale]]+TabCalc[[#This Row],[ValueBegin]]</f>
        <v>33510.995999999999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-20912.063999999998</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37780.31278495321</v>
      </c>
      <c r="BN4" s="157">
        <f ca="1">IF(        OR( TabCalc[[#This Row],[GL]]&gt;ABS(TabCalc[[#This Row],[EfCost]]),TabCalc[[#This Row],[NAfter]]=0),             TabCalc[[#This Row],[GL]],     0)</f>
        <v>37780.31278495321</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9.14</v>
      </c>
      <c r="BS4" s="172" t="str">
        <f ca="1">IF(TabCalc[[#This Row],[EfCost]]+TabCalc[[#This Row],[M_V]]&lt;TabCalc[[#This Row],[NoT_GL]],"Pile","")</f>
        <v/>
      </c>
      <c r="BT4" s="163">
        <f ca="1">_xlfn.XLOOKUP(TabCalc[[#This Row],[Ticker]],[1]!RTData[Ticker_Symbol],[1]!RTData[Last trade time])</f>
        <v>46002.8761639</v>
      </c>
      <c r="BU4" s="173">
        <f ca="1">(TabCalc[[#This Row],[ValueBegin]]+(TabCalc[[#This Row],[M]]-TabCalc[[#This Row],[A]])*TabCalc[[#This Row],[NAfter]])*TabCalc[[#This Row],[Scale]]</f>
        <v>-86272.876139999993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2256.1278600000101</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1515.1515151515157</v>
      </c>
      <c r="CX4" s="402">
        <f ca="1">IF(TabCalc[[#This Row],[ntoBuy]]*TabCalc[[#This Row],[M]]&lt;=0,0,TabCalc[[#This Row],[ntoBuy]]*TabCalc[[#This Row],[M]])</f>
        <v>20545.454545454555</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2256.1278600000101</v>
      </c>
      <c r="DD4" s="88">
        <f ca="1">IFERROR((TabCalc[[#This Row],[M]]+TabCalc[[#This Row],[L_Bp]])/ABS(TabCalc[[#This Row],[L_Bp]])/(TODAY()-TabCalc[[#This Row],[L_Bdate]])*360,"")</f>
        <v>-0.11858216970998918</v>
      </c>
      <c r="DE4" s="308">
        <f ca="1">MEDIAN(DataShift!F705:Z705)</f>
        <v>3.2140000000000003E-3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122040</v>
      </c>
      <c r="DH4" s="85" cm="1">
        <f t="array" aca="1" ref="DH4" ca="1">SUMPRODUCT(ISNUMBER(INDIRECT("TabReg["&amp;TabCalc[[#This Row],[Ticker]]&amp;"2]"))* INDIRECT("TabReg["&amp;TabCalc[[#This Row],[Ticker]]&amp;"1]") * INDIRECT("TabReg["&amp;TabCalc[[#This Row],[Ticker]]&amp;"2]") )*TabCalc[[#This Row],[Scale]]</f>
        <v>-29583.90501799999</v>
      </c>
      <c r="DK4" s="1295">
        <f ca="1"/>
        <v>4834700</v>
      </c>
      <c r="DL4" s="88">
        <f t="shared" ca="1" si="2"/>
        <v>3.5990301487011749</v>
      </c>
      <c r="DM4" t="str">
        <f ca="1">_xlfn.XLOOKUP(DK4,TabCalc[Column1],TabCalc[Ticker])</f>
        <v>MSFT</v>
      </c>
      <c r="DN4" s="1295">
        <f ca="1">_xlfn.XLOOKUP(DM4,TabCalc[Ticker],TabCalc[ValueBegin])</f>
        <v>-1054800</v>
      </c>
      <c r="DO4" s="1295">
        <f ca="1">_xlfn.XLOOKUP(DM4,TabCalc[Ticker],TabCalc[M_V])</f>
        <v>4821646.3099999996</v>
      </c>
      <c r="DP4" s="1295">
        <f ca="1">_xlfn.XLOOKUP(DM4,TabCalc[Ticker],TabCalc[GL])</f>
        <v>3796257.0008499995</v>
      </c>
      <c r="DQ4" s="88"/>
      <c r="DR4" s="88"/>
      <c r="DS4" s="86" t="s">
        <v>1</v>
      </c>
      <c r="DT4" s="80">
        <v>9000</v>
      </c>
      <c r="DU4" s="313">
        <v>-9.8365559999999999</v>
      </c>
      <c r="DW4" s="80">
        <v>63750</v>
      </c>
      <c r="DX4" s="80">
        <f ca="1">DW4-TabCalc[[#This Row],[M_V]]</f>
        <v>-3866.9400000000023</v>
      </c>
    </row>
    <row r="5" spans="1:128">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-2.7431000000000001E-2</v>
      </c>
      <c r="N5" s="1041" t="s">
        <v>2940</v>
      </c>
      <c r="O5" s="886" t="e">
        <f>TabCalc[[#This Row],[Up20]]-1+TabCalc[[#This Row],[Up20]]</f>
        <v>#VALUE!</v>
      </c>
      <c r="P5" s="886" t="e">
        <f>TabCalc[[#This Row],[Up20]]-TabCalc[[#This Row],[Up150]]</f>
        <v>#VALUE!</v>
      </c>
      <c r="Q5" s="886" t="s">
        <v>2941</v>
      </c>
      <c r="R5" s="886" t="e">
        <f>TabCalc[[#This Row],[Up150]]-1+TabCalc[[#This Row],[Up150]]</f>
        <v>#VALUE!</v>
      </c>
      <c r="S5" s="886">
        <f ca="1">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47">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-8200</v>
      </c>
      <c r="AR5" s="332">
        <f ca="1">_xlfn.LET(_xlpm.MVToday,DataShift!AV507,         _xlpm.MVY,DataShift!AU507,        _xlpm.MVYY, DataShift!AT507,                                IF(_xlpm.MVToday=_xlpm.MVY,_xlpm.MVY-_xlpm.MVYY,_xlpm.MVToday-_xlpm.MVY))</f>
        <v>-8995.6460000000079</v>
      </c>
      <c r="AS5" s="332">
        <f ca="1">_xlfn.LET(_xlpm.MVToday,DataShift!AV507,         _xlpm.MVY,DataShift!AU507,        _xlpm.MVYY, DataShift!AT507,         _xlpm.MVYYY, DataShift!AS507,                      IF(_xlpm.MVToday=_xlpm.MVY,      _xlpm.MVYY-_xlpm.MVYYY,          _xlpm.MVY-_xlpm.MVYY))</f>
        <v>12266.789999999979</v>
      </c>
      <c r="AT5" s="969">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0.93109744244814086</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0.93109744244814086</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-25544.909504098236</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62.85</v>
      </c>
      <c r="BS5" s="172" t="str">
        <f ca="1">IF(TabCalc[[#This Row],[EfCost]]+TabCalc[[#This Row],[M_V]]&lt;TabCalc[[#This Row],[NoT_GL]],"Pile","")</f>
        <v>Pile</v>
      </c>
      <c r="BT5" s="163">
        <f ca="1">_xlfn.XLOOKUP(TabCalc[[#This Row],[Ticker]],[1]!RTData[Ticker_Symbol],[1]!RTData[Last trade time])</f>
        <v>46002.714270625002</v>
      </c>
      <c r="BU5" s="173">
        <f ca="1">(TabCalc[[#This Row],[ValueBegin]]+(TabCalc[[#This Row],[M]]-TabCalc[[#This Row],[A]])*TabCalc[[#This Row],[NAfter]])*TabCalc[[#This Row],[Scale]]</f>
        <v>-86611.025311898178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-8499336.2241898179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-84993.362241898183</v>
      </c>
      <c r="DD5" s="88">
        <f ca="1">IFERROR((TabCalc[[#This Row],[M]]+TabCalc[[#This Row],[L_Bp]])/ABS(TabCalc[[#This Row],[L_Bp]])/(TODAY()-TabCalc[[#This Row],[L_Bdate]])*360,"")</f>
        <v>-0.85418464193270072</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156000</v>
      </c>
      <c r="DH5" s="85" cm="1">
        <f t="array" aca="1" ref="DH5" ca="1">SUMPRODUCT(ISNUMBER(INDIRECT("TabReg["&amp;TabCalc[[#This Row],[Ticker]]&amp;"2]"))* INDIRECT("TabReg["&amp;TabCalc[[#This Row],[Ticker]]&amp;"1]") * INDIRECT("TabReg["&amp;TabCalc[[#This Row],[Ticker]]&amp;"2]") )*TabCalc[[#This Row],[Scale]]</f>
        <v>-342761.03580700001</v>
      </c>
      <c r="DK5" s="85">
        <f ca="1"/>
        <v>1988000</v>
      </c>
      <c r="DL5" s="88">
        <f t="shared" ca="1" si="2"/>
        <v>1.4894057969254266</v>
      </c>
      <c r="DM5" t="str">
        <f ca="1">_xlfn.XLOOKUP(DK5,TabCalc[Column1],TabCalc[Ticker])</f>
        <v>IAG</v>
      </c>
      <c r="DN5" s="85">
        <f ca="1">_xlfn.XLOOKUP(DM5,TabCalc[Ticker],TabCalc[ValueBegin])</f>
        <v>-785000</v>
      </c>
      <c r="DO5" s="85">
        <f ca="1">_xlfn.XLOOKUP(DM5,TabCalc[Ticker],TabCalc[M_V])</f>
        <v>396526.48</v>
      </c>
      <c r="DP5" s="85">
        <f ca="1">_xlfn.XLOOKUP(DM5,TabCalc[Ticker],TabCalc[GL])</f>
        <v>1169183.5505864599</v>
      </c>
      <c r="DQ5" s="88"/>
      <c r="DR5" s="88"/>
      <c r="DS5" s="86" t="s">
        <v>2</v>
      </c>
      <c r="DT5" s="80">
        <v>400000</v>
      </c>
      <c r="DU5" s="313">
        <v>-40.441576750000003</v>
      </c>
      <c r="DW5" s="80">
        <v>369000</v>
      </c>
      <c r="DX5" s="80">
        <f ca="1">DW5-TabCalc[[#This Row],[M_V]]</f>
        <v>50063.460000000021</v>
      </c>
    </row>
    <row r="6" spans="1:128">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2755898.9279999998</v>
      </c>
      <c r="G6" s="80">
        <f ca="1">IFERROR(TabCalc[[#This Row],[SB]]-TabCalc[[#This Row],[SST]],TabCalc[[#This Row],[SB]])</f>
        <v>12000</v>
      </c>
      <c r="H6" s="530" t="str">
        <f ca="1">[1]!RTData[[#This Row],[Ticker_Symbol]]</f>
        <v>AMZN</v>
      </c>
      <c r="I6" s="381">
        <f ca="1">_xlfn.XLOOKUP(TabCalc[[#This Row],[Ticker]],[1]!RTData[Ticker_Symbol],[1]!RTData[M-Price])</f>
        <v>230.28</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-6.4720000000000003E-3</v>
      </c>
      <c r="N6" s="1041" t="s">
        <v>2955</v>
      </c>
      <c r="O6" s="886" t="e">
        <f>TabCalc[[#This Row],[Up20]]-1+TabCalc[[#This Row],[Up20]]</f>
        <v>#VALUE!</v>
      </c>
      <c r="P6" s="886" t="e">
        <f>TabCalc[[#This Row],[Up20]]-TabCalc[[#This Row],[Up150]]</f>
        <v>#VALUE!</v>
      </c>
      <c r="Q6" s="886" t="s">
        <v>2957</v>
      </c>
      <c r="R6" s="886" t="e">
        <f>TabCalc[[#This Row],[Up150]]-1+TabCalc[[#This Row],[Up150]]</f>
        <v>#VALUE!</v>
      </c>
      <c r="S6" s="886">
        <f ca="1">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10500</v>
      </c>
      <c r="V6" s="996">
        <v>1500</v>
      </c>
      <c r="W6" s="996">
        <v>0</v>
      </c>
      <c r="X6" s="886"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30437</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47">
        <f ca="1">(TabCalc[[#This Row],[M]]+TabCalc[[#This Row],[L_Bp]])/TabCalc[[#This Row],[M]]</f>
        <v>6.6267153031092541E-2</v>
      </c>
      <c r="AE6" s="209">
        <f ca="1">IFERROR(MIN(TabCalc[[#This Row],[L_B1n]],TabCalc[[#This Row],[NAfter]])*(TabCalc[[#This Row],[M]]+TabCalc[[#This Row],[L_B1p]])*TabCalc[[#This Row],[Scale]],"")</f>
        <v>8650.0000000000055</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-1753.000000000003</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1980.0000000000041</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-8040</v>
      </c>
      <c r="AR6" s="332">
        <f ca="1">_xlfn.LET(_xlpm.MVToday,DataShift!AV508,         _xlpm.MVY,DataShift!AU508,        _xlpm.MVYY, DataShift!AT508,                                IF(_xlpm.MVToday=_xlpm.MVY,_xlpm.MVY-_xlpm.MVYY,_xlpm.MVToday-_xlpm.MVY))</f>
        <v>-17951.399999999907</v>
      </c>
      <c r="AS6" s="332">
        <f ca="1">_xlfn.LET(_xlpm.MVToday,DataShift!AV508,         _xlpm.MVY,DataShift!AU508,        _xlpm.MVYY, DataShift!AT508,         _xlpm.MVYYY, DataShift!AS508,                      IF(_xlpm.MVToday=_xlpm.MVY,      _xlpm.MVYY-_xlpm.MVYYY,          _xlpm.MVY-_xlpm.MVYY))</f>
        <v>48623.162040000316</v>
      </c>
      <c r="AT6" s="969">
        <f ca="1">TabCalc[[#This Row],[Y]]/TabCalc[[#This Row],[M]]</f>
        <v>1.2811867291992356</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-3.9960254848455476</v>
      </c>
      <c r="AZ6" s="80">
        <f t="shared" ca="1" si="1"/>
        <v>0</v>
      </c>
      <c r="BA6" s="88">
        <f ca="1">_xlfn.XLOOKUP(TabCalc[[#This Row],[Ticker]],[1]!RTData[Ticker_Symbol],[1]!RTData[V/VA])</f>
        <v>0.6326482224746578</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0.6326482224746578</v>
      </c>
      <c r="BD6" s="85" cm="1">
        <f t="array" aca="1" ref="BD6" ca="1">INDEX(TabReg[], 1, _xlfn.XMATCH(TabCalc[[#This Row],[Ticker]]&amp;1, TabReg[#Headers], 0))</f>
        <v>8000</v>
      </c>
      <c r="BE6" s="157">
        <f ca="1">TabCalc[[#This Row],[Nbegin]]*TabCalc[[#This Row],[M]]*TabCalc[[#This Row],[Scale]]+TabCalc[[#This Row],[ValueBegin]]</f>
        <v>781840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1695498.9279999998</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781267.22381519992</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46002.876189710158</v>
      </c>
      <c r="BU6" s="173">
        <f ca="1">(TabCalc[[#This Row],[ValueBegin]]+(TabCalc[[#This Row],[M]]-TabCalc[[#This Row],[A]])*TabCalc[[#This Row],[NAfter]])*TabCalc[[#This Row],[Scale]]</f>
        <v>-741281.32722800004</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319118.67277199996</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327.65399737876822</v>
      </c>
      <c r="CZ6" s="403">
        <f ca="1">TabCalc[[#This Row],[ntoSell]]*TabCalc[[#This Row],[M]]</f>
        <v>75452.162516382741</v>
      </c>
      <c r="DA6" s="396">
        <f ca="1">_xlfn.LET(_xlpm.nToSell,IF(TabCalc[[#This Row],[M]]-TabCalc[[#This Row],[A]]&lt;=0,"",INT(DesiredSaleGain/(TabCalc[[#This Row],[M]]-IF(TabCalc[[#This Row],[E]]&gt;0,0,TabCalc[[#This Row],[A]])))),IF(_xlpm.nToSell&lt;=TabCalc[[#This Row],[NAfter]],_xlpm.nToSell,0))</f>
        <v>188</v>
      </c>
      <c r="DB6" s="334">
        <f ca="1">IFERROR(TabCalc[[#This Row],[NMA]]*TabCalc[[#This Row],[M]],"")</f>
        <v>43292.639999999999</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319118.67277199996</v>
      </c>
      <c r="DD6" s="88">
        <f ca="1">IFERROR((TabCalc[[#This Row],[M]]+TabCalc[[#This Row],[L_Bp]])/ABS(TabCalc[[#This Row],[L_Bp]])/(TODAY()-TabCalc[[#This Row],[L_Bdate]])*360,"")</f>
        <v>0.19355493357911729</v>
      </c>
      <c r="DE6" s="308">
        <f ca="1">MEDIAN(DataShift!F707:Z707)</f>
        <v>-2.2209999999999999E-3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1842240</v>
      </c>
      <c r="DH6" s="85" cm="1">
        <f t="array" aca="1" ref="DH6" ca="1">SUMPRODUCT(ISNUMBER(INDIRECT("TabReg["&amp;TabCalc[[#This Row],[Ticker]]&amp;"2]"))* INDIRECT("TabReg["&amp;TabCalc[[#This Row],[Ticker]]&amp;"1]") * INDIRECT("TabReg["&amp;TabCalc[[#This Row],[Ticker]]&amp;"2]") )*TabCalc[[#This Row],[Scale]]</f>
        <v>-1962364.22</v>
      </c>
      <c r="DK6" s="85">
        <f ca="1"/>
        <v>1842240</v>
      </c>
      <c r="DL6" s="88">
        <f t="shared" ca="1" si="2"/>
        <v>0.73676652566503198</v>
      </c>
      <c r="DM6" t="str">
        <f ca="1">_xlfn.XLOOKUP(DK6,TabCalc[Column1],TabCalc[Ticker])</f>
        <v>AMZN</v>
      </c>
      <c r="DN6" s="85">
        <f ca="1">_xlfn.XLOOKUP(DM6,TabCalc[Ticker],TabCalc[ValueBegin])</f>
        <v>-1060400</v>
      </c>
      <c r="DO6" s="85">
        <f ca="1">_xlfn.XLOOKUP(DM6,TabCalc[Ticker],TabCalc[M_V])</f>
        <v>2755898.9279999998</v>
      </c>
      <c r="DP6" s="85">
        <f ca="1">_xlfn.XLOOKUP(DM6,TabCalc[Ticker],TabCalc[GL])</f>
        <v>781267.22381519992</v>
      </c>
      <c r="DQ6" s="88"/>
      <c r="DR6" s="88"/>
      <c r="DS6" s="86" t="s">
        <v>3</v>
      </c>
      <c r="DT6" s="79">
        <v>8000</v>
      </c>
      <c r="DU6" s="313">
        <v>-132.55000000000001</v>
      </c>
      <c r="DW6" s="80">
        <v>2991840</v>
      </c>
      <c r="DX6" s="80">
        <f ca="1">DW6-TabCalc[[#This Row],[M_V]]</f>
        <v>235941.07200000016</v>
      </c>
    </row>
    <row r="7" spans="1:128">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1387742.95</v>
      </c>
      <c r="G7" s="80">
        <f ca="1">IFERROR(TabCalc[[#This Row],[SB]]-TabCalc[[#This Row],[SST]],TabCalc[[#This Row],[SB]])</f>
        <v>2530000</v>
      </c>
      <c r="H7" s="530" t="str">
        <f ca="1">[1]!RTData[[#This Row],[Ticker_Symbol]]</f>
        <v>ALDNE</v>
      </c>
      <c r="I7" s="381">
        <f ca="1">_xlfn.XLOOKUP(TabCalc[[#This Row],[Ticker]],[1]!RTData[Ticker_Symbol],[1]!RTData[M-Price])</f>
        <v>0.55000000000000004</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-8.0267999999999992E-2</v>
      </c>
      <c r="N7" s="1041" t="s">
        <v>2955</v>
      </c>
      <c r="O7" s="886" t="e">
        <f>TabCalc[[#This Row],[Up20]]-1+TabCalc[[#This Row],[Up20]]</f>
        <v>#VALUE!</v>
      </c>
      <c r="P7" s="886" t="e">
        <f>TabCalc[[#This Row],[Up20]]-TabCalc[[#This Row],[Up150]]</f>
        <v>#VALUE!</v>
      </c>
      <c r="Q7" s="886" t="s">
        <v>2956</v>
      </c>
      <c r="R7" s="886" t="e">
        <f>TabCalc[[#This Row],[Up150]]-1+TabCalc[[#This Row],[Up150]]</f>
        <v>#VALUE!</v>
      </c>
      <c r="S7" s="886">
        <f ca="1">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-5685</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47">
        <f ca="1">(TabCalc[[#This Row],[M]]+TabCalc[[#This Row],[L_Bp]])/TabCalc[[#This Row],[M]]</f>
        <v>-0.69090909090909081</v>
      </c>
      <c r="AE7" s="209">
        <f ca="1">IFERROR(MIN(TabCalc[[#This Row],[L_B1n]],TabCalc[[#This Row],[NAfter]])*(TabCalc[[#This Row],[M]]+TabCalc[[#This Row],[L_B1p]])*TabCalc[[#This Row],[Scale]],"")</f>
        <v>-9749.9999999999982</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-91080</v>
      </c>
      <c r="AR7" s="332">
        <f ca="1">_xlfn.LET(_xlpm.MVToday,DataShift!AV509,         _xlpm.MVY,DataShift!AU509,        _xlpm.MVYY, DataShift!AT509,                                IF(_xlpm.MVToday=_xlpm.MVY,_xlpm.MVY-_xlpm.MVYY,_xlpm.MVToday-_xlpm.MVY))</f>
        <v>-121112.11199999996</v>
      </c>
      <c r="AS7" s="332">
        <f ca="1">_xlfn.LET(_xlpm.MVToday,DataShift!AV509,         _xlpm.MVY,DataShift!AU509,        _xlpm.MVYY, DataShift!AT509,         _xlpm.MVYYY, DataShift!AS509,                      IF(_xlpm.MVToday=_xlpm.MVY,      _xlpm.MVYY-_xlpm.MVYYY,          _xlpm.MVY-_xlpm.MVYY))</f>
        <v>20185.351999999955</v>
      </c>
      <c r="AT7" s="969">
        <f ca="1">TabCalc[[#This Row],[Y]]/TabCalc[[#This Row],[M]]</f>
        <v>2.8484909090909087</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-1.2195505569809768</v>
      </c>
      <c r="AZ7" s="80">
        <f t="shared" ca="1" si="1"/>
        <v>0</v>
      </c>
      <c r="BA7" s="88">
        <f ca="1">_xlfn.XLOOKUP(TabCalc[[#This Row],[Ticker]],[1]!RTData[Ticker_Symbol],[1]!RTData[V/VA])</f>
        <v>0.95520716685330342</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0.95520716685330342</v>
      </c>
      <c r="BD7" s="85" cm="1">
        <f t="array" aca="1" ref="BD7" ca="1">INDEX(TabReg[], 1, _xlfn.XMATCH(TabCalc[[#This Row],[Ticker]]&amp;1, TabReg[#Headers], 0))</f>
        <v>2448050</v>
      </c>
      <c r="BE7" s="157">
        <f ca="1">TabCalc[[#This Row],[Nbegin]]*TabCalc[[#This Row],[M]]*TabCalc[[#This Row],[Scale]]+TabCalc[[#This Row],[ValueBegin]]</f>
        <v>-1512276.1387637169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-1470960.688763717</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-1575962.5176410025</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46002.708333333336</v>
      </c>
      <c r="BU7" s="173">
        <f ca="1">(TabCalc[[#This Row],[ValueBegin]]+(TabCalc[[#This Row],[M]]-TabCalc[[#This Row],[A]])*TabCalc[[#This Row],[NAfter]])*TabCalc[[#This Row],[Scale]]</f>
        <v>-4427300.9747347198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-1568597.3359710025</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-1568597.3359710025</v>
      </c>
      <c r="DD7" s="88">
        <f ca="1">IFERROR((TabCalc[[#This Row],[M]]+TabCalc[[#This Row],[L_Bp]])/ABS(TabCalc[[#This Row],[L_Bp]])/(TODAY()-TabCalc[[#This Row],[L_Bdate]])*360,"")</f>
        <v>-0.54886856042368792</v>
      </c>
      <c r="DE7" s="308">
        <f ca="1">MEDIAN(DataShift!F708:Z708)</f>
        <v>-9.5849999999999998E-3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1346427.5</v>
      </c>
      <c r="DH7" s="85" cm="1">
        <f t="array" aca="1" ref="DH7" ca="1">SUMPRODUCT(ISNUMBER(INDIRECT("TabReg["&amp;TabCalc[[#This Row],[Ticker]]&amp;"2]"))* INDIRECT("TabReg["&amp;TabCalc[[#This Row],[Ticker]]&amp;"1]") * INDIRECT("TabReg["&amp;TabCalc[[#This Row],[Ticker]]&amp;"2]") )*TabCalc[[#This Row],[Scale]]</f>
        <v>-2952421.0412637168</v>
      </c>
      <c r="DK7" s="85">
        <f ca="1"/>
        <v>1491450</v>
      </c>
      <c r="DL7" s="88">
        <f t="shared" ca="1" si="2"/>
        <v>5.1624986784940861</v>
      </c>
      <c r="DM7" t="str">
        <f ca="1">_xlfn.XLOOKUP(DK7,TabCalc[Column1],TabCalc[Ticker])</f>
        <v>NEM</v>
      </c>
      <c r="DN7" s="85">
        <f ca="1">_xlfn.XLOOKUP(DM7,TabCalc[Ticker],TabCalc[ValueBegin])</f>
        <v>-286571.39999999997</v>
      </c>
      <c r="DO7" s="85">
        <f ca="1">_xlfn.XLOOKUP(DM7,TabCalc[Ticker],TabCalc[M_V])</f>
        <v>1685746.1629999999</v>
      </c>
      <c r="DP7" s="85">
        <f ca="1">_xlfn.XLOOKUP(DM7,TabCalc[Ticker],TabCalc[GL])</f>
        <v>1479424.4737942</v>
      </c>
      <c r="DQ7" s="88"/>
      <c r="DR7" s="88"/>
      <c r="DS7" s="86" t="s">
        <v>4</v>
      </c>
      <c r="DT7" s="79">
        <v>2448050</v>
      </c>
      <c r="DU7" s="313">
        <v>-1.1677472432195899</v>
      </c>
      <c r="DW7" s="80">
        <v>1993640</v>
      </c>
      <c r="DX7" s="80">
        <f ca="1">DW7-TabCalc[[#This Row],[M_V]]</f>
        <v>605897.05000000005</v>
      </c>
    </row>
    <row r="8" spans="1:128">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2627406.7960000001</v>
      </c>
      <c r="G8" s="80">
        <f ca="1">IFERROR(TabCalc[[#This Row],[SB]]-TabCalc[[#This Row],[SST]],TabCalc[[#This Row],[SB]])</f>
        <v>2800</v>
      </c>
      <c r="H8" s="530" t="str">
        <f ca="1">[1]!RTData[[#This Row],[Ticker_Symbol]]</f>
        <v>ASML</v>
      </c>
      <c r="I8" s="381">
        <f ca="1">_xlfn.XLOOKUP(TabCalc[[#This Row],[Ticker]],[1]!RTData[Ticker_Symbol],[1]!RTData[M-Price])</f>
        <v>940.9</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7">
        <f ca="1">_xlfn.XLOOKUP(TabCalc[[#This Row],[Ticker]],[1]!RTData[Ticker_Symbol],[1]!RTData[Change%])</f>
        <v>-5.391E-3</v>
      </c>
      <c r="N8" s="1041">
        <v>0</v>
      </c>
      <c r="O8" s="886">
        <f>TabCalc[[#This Row],[Up20]]-1+TabCalc[[#This Row],[Up20]]</f>
        <v>-1</v>
      </c>
      <c r="P8" s="886">
        <f>TabCalc[[#This Row],[Up20]]-TabCalc[[#This Row],[Up150]]</f>
        <v>-0.33333333333333331</v>
      </c>
      <c r="Q8" s="886">
        <v>0.33333333333333331</v>
      </c>
      <c r="R8" s="886">
        <f>TabCalc[[#This Row],[Up150]]-1+TabCalc[[#This Row],[Up150]]</f>
        <v>-0.33333333333333343</v>
      </c>
      <c r="S8" s="886">
        <f ca="1">IFERROR(SUMPRODUCT(DataShift!F1502:Z1502,DataShift!AB709:AV709)/SQRT(SUMPRODUCT(DataShift!F1502:Z1502,DataShift!F1502:Z1502)*SUMPRODUCT(DataShift!AB709:AV709,DataShift!AB709:AV709)),0)</f>
        <v>0</v>
      </c>
      <c r="T8" s="886">
        <f ca="1">IFERROR(SUMPRODUCT(DataShift!F1502:Z1502,DataShift!F709:Z709)/SQRT(SUMPRODUCT(DataShift!F1502:Z1502,DataShift!F1502:Z1502)*SUMPRODUCT(DataShift!F709:Z709,DataShift!F709:Z709)),0)</f>
        <v>0</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5405</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447">
        <f ca="1">(TabCalc[[#This Row],[M]]+TabCalc[[#This Row],[L_Bp]])/TabCalc[[#This Row],[M]]</f>
        <v>5.7604421298756439E-2</v>
      </c>
      <c r="AE8" s="209">
        <f ca="1">IFERROR(MIN(TabCalc[[#This Row],[L_B1n]],TabCalc[[#This Row],[NAfter]])*(TabCalc[[#This Row],[M]]+TabCalc[[#This Row],[L_B1p]])*TabCalc[[#This Row],[Scale]],"")</f>
        <v>25400</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2014.9999999999977</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1989.9999999999977</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-11760</v>
      </c>
      <c r="AR8" s="332">
        <f ca="1">_xlfn.LET(_xlpm.MVToday,DataShift!AV510,         _xlpm.MVY,DataShift!AU510,        _xlpm.MVYY, DataShift!AT510,                                IF(_xlpm.MVToday=_xlpm.MVY,_xlpm.MVY-_xlpm.MVYY,_xlpm.MVToday-_xlpm.MVY))</f>
        <v>-14241.443999999668</v>
      </c>
      <c r="AS8" s="332">
        <f ca="1">_xlfn.LET(_xlpm.MVToday,DataShift!AV510,         _xlpm.MVY,DataShift!AU510,        _xlpm.MVYY, DataShift!AT510,         _xlpm.MVYYY, DataShift!AS510,                      IF(_xlpm.MVToday=_xlpm.MVY,      _xlpm.MVYY-_xlpm.MVYYY,          _xlpm.MVY-_xlpm.MVYY))</f>
        <v>-19267.836000000127</v>
      </c>
      <c r="AT8" s="969">
        <f ca="1">TabCalc[[#This Row],[Y]]/TabCalc[[#This Row],[M]]</f>
        <v>1.0451901371027739</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-8.3076681917936546E-2</v>
      </c>
      <c r="AZ8" s="80">
        <f t="shared" ca="1" si="1"/>
        <v>0</v>
      </c>
      <c r="BA8" s="88">
        <f ca="1">_xlfn.XLOOKUP(TabCalc[[#This Row],[Ticker]],[1]!RTData[Ticker_Symbol],[1]!RTData[V/VA])</f>
        <v>0.96938852069526071</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0.96938852069526071</v>
      </c>
      <c r="BD8" s="85" cm="1">
        <f t="array" aca="1" ref="BD8" ca="1">INDEX(TabReg[], 1, _xlfn.XMATCH(TabCalc[[#This Row],[Ticker]]&amp;1, TabReg[#Headers], 0))</f>
        <v>500</v>
      </c>
      <c r="BE8" s="157">
        <f ca="1">TabCalc[[#This Row],[Nbegin]]*TabCalc[[#This Row],[M]]*TabCalc[[#This Row],[Scale]]+TabCalc[[#This Row],[ValueBegin]]</f>
        <v>22400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2179356.7960000001</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1000159.1914364002</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957.69</v>
      </c>
      <c r="BS8" s="172" t="str">
        <f ca="1">IF(TabCalc[[#This Row],[EfCost]]+TabCalc[[#This Row],[M_V]]&lt;TabCalc[[#This Row],[NoT_GL]],"Pile","")</f>
        <v/>
      </c>
      <c r="BT8" s="163">
        <f ca="1">_xlfn.XLOOKUP(TabCalc[[#This Row],[Ticker]],[1]!RTData[Ticker_Symbol],[1]!RTData[Last trade time])</f>
        <v>46002.708333333336</v>
      </c>
      <c r="BU8" s="173">
        <f ca="1">(TabCalc[[#This Row],[ValueBegin]]+(TabCalc[[#This Row],[M]]-TabCalc[[#This Row],[A]])*TabCalc[[#This Row],[NAfter]])*TabCalc[[#This Row],[Scale]]</f>
        <v>331268.98599999992</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779318.98599999992</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248.13895781637746</v>
      </c>
      <c r="CX8" s="402">
        <f ca="1">IF(TabCalc[[#This Row],[ntoBuy]]*TabCalc[[#This Row],[M]]&lt;=0,0,TabCalc[[#This Row],[ntoBuy]]*TabCalc[[#This Row],[M]])</f>
        <v>233473.94540942955</v>
      </c>
      <c r="CY8" s="402">
        <f ca="1">IF(TabCalc[[#This Row],[M]]&gt;ABS(TabCalc[[#This Row],[L_Bp]]),MIN(TabCalc[[#This Row],[NAfter]],DesiredSaleGain/(TabCalc[[#This Row],[M]]+TabCalc[[#This Row],[L_Bp]])),0)/TabCalc[[#This Row],[Scale]]</f>
        <v>92.250922509225205</v>
      </c>
      <c r="CZ8" s="403">
        <f ca="1">TabCalc[[#This Row],[ntoSell]]*TabCalc[[#This Row],[M]]</f>
        <v>86798.892988929991</v>
      </c>
      <c r="DA8" s="396">
        <f ca="1">_xlfn.LET(_xlpm.nToSell,IF(TabCalc[[#This Row],[M]]-TabCalc[[#This Row],[A]]&lt;=0,"",INT(DesiredSaleGain/(TabCalc[[#This Row],[M]]-IF(TabCalc[[#This Row],[E]]&gt;0,0,TabCalc[[#This Row],[A]])))),IF(_xlpm.nToSell&lt;=TabCalc[[#This Row],[NAfter]],_xlpm.nToSell,0))</f>
        <v>17</v>
      </c>
      <c r="DB8" s="334">
        <f ca="1">IFERROR(TabCalc[[#This Row],[NMA]]*TabCalc[[#This Row],[M]],"")</f>
        <v>15995.3</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779318.98599999992</v>
      </c>
      <c r="DD8" s="88">
        <f ca="1">IFERROR((TabCalc[[#This Row],[M]]+TabCalc[[#This Row],[L_Bp]])/ABS(TabCalc[[#This Row],[L_Bp]])/(TODAY()-TabCalc[[#This Row],[L_Bdate]])*360,"")</f>
        <v>0.81500695462576489</v>
      </c>
      <c r="DE8" s="308">
        <f ca="1">MEDIAN(DataShift!F709:Z709)</f>
        <v>-5.9540000000000001E-3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470450</v>
      </c>
      <c r="DH8" s="85" cm="1">
        <f t="array" aca="1" ref="DH8" ca="1">SUMPRODUCT(ISNUMBER(INDIRECT("TabReg["&amp;TabCalc[[#This Row],[Ticker]]&amp;"2]"))* INDIRECT("TabReg["&amp;TabCalc[[#This Row],[Ticker]]&amp;"1]") * INDIRECT("TabReg["&amp;TabCalc[[#This Row],[Ticker]]&amp;"2]") )*TabCalc[[#This Row],[Scale]]</f>
        <v>-1616214.19</v>
      </c>
      <c r="DK8" s="85">
        <f ca="1"/>
        <v>1390149.9999999998</v>
      </c>
      <c r="DL8" s="88">
        <f t="shared" ca="1" si="2"/>
        <v>2.2533856314827836</v>
      </c>
      <c r="DM8" t="str">
        <f ca="1">_xlfn.XLOOKUP(DK8,TabCalc[Column1],TabCalc[Ticker])</f>
        <v>AAPL</v>
      </c>
      <c r="DN8" s="85">
        <f ca="1">_xlfn.XLOOKUP(DM8,TabCalc[Ticker],TabCalc[ValueBegin])</f>
        <v>-537300</v>
      </c>
      <c r="DO8" s="85">
        <f ca="1">_xlfn.XLOOKUP(DM8,TabCalc[Ticker],TabCalc[M_V])</f>
        <v>2634153.5304999994</v>
      </c>
      <c r="DP8" s="85">
        <f ca="1">_xlfn.XLOOKUP(DM8,TabCalc[Ticker],TabCalc[GL])</f>
        <v>1210744.0997956996</v>
      </c>
      <c r="DQ8" s="88"/>
      <c r="DR8" s="88"/>
      <c r="DS8" s="86" t="s">
        <v>5</v>
      </c>
      <c r="DT8" s="79">
        <v>5000</v>
      </c>
      <c r="DU8" s="313">
        <v>-54.11</v>
      </c>
      <c r="DW8" s="80">
        <v>3304800</v>
      </c>
      <c r="DX8" s="80">
        <f ca="1">DW8-TabCalc[[#This Row],[M_V]]</f>
        <v>677393.20399999991</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81054.560199999993</v>
      </c>
      <c r="G9" s="80">
        <f ca="1">IFERROR(TabCalc[[#This Row],[SB]]-TabCalc[[#This Row],[SST]],TabCalc[[#This Row],[SB]])</f>
        <v>200</v>
      </c>
      <c r="H9" s="1052" t="str">
        <f ca="1">[1]!RTData[[#This Row],[Ticker_Symbol]]</f>
        <v>AVGO</v>
      </c>
      <c r="I9" s="1053">
        <f ca="1">_xlfn.XLOOKUP(TabCalc[[#This Row],[Ticker]],[1]!RTData[Ticker_Symbol],[1]!RTData[M-Price])</f>
        <v>406.37</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-1.5982E-2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v>
      </c>
      <c r="T9" s="1056">
        <f ca="1">IFERROR(SUMPRODUCT(DataShift!F1503:Z1503,DataShift!F711:Z711)/SQRT(SUMPRODUCT(DataShift!F1503:Z1503,DataShift!F1503:Z1503)*SUMPRODUCT(DataShift!F711:Z711,DataShift!F711:Z711)),0)</f>
        <v>0</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14907</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48">
        <f ca="1">(TabCalc[[#This Row],[M]]+TabCalc[[#This Row],[L_Bp]])/TabCalc[[#This Row],[M]]</f>
        <v>0.18392105716465293</v>
      </c>
      <c r="AE9" s="209">
        <f ca="1">IFERROR(MIN(TabCalc[[#This Row],[L_B1n]],TabCalc[[#This Row],[NAfter]])*(TabCalc[[#This Row],[M]]+TabCalc[[#This Row],[L_B1p]])*TabCalc[[#This Row],[Scale]],"")</f>
        <v>40588.833340000005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-12810.000000000002</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-9644.8000000000047</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332</v>
      </c>
      <c r="AR9" s="332">
        <f ca="1">_xlfn.LET(_xlpm.MVToday,DataShift!AV511,         _xlpm.MVY,DataShift!AU512,        _xlpm.MVYY, DataShift!AT512,                                IF(_xlpm.MVToday=_xlpm.MVY,_xlpm.MVY-_xlpm.MVYY,_xlpm.MVToday-_xlpm.MVY))</f>
        <v>36031.451699999998</v>
      </c>
      <c r="AS9" s="332">
        <f ca="1">_xlfn.LET(_xlpm.MVToday,DataShift!AV511,         _xlpm.MVY,DataShift!AU512,        _xlpm.MVYY, DataShift!AT512,         _xlpm.MVYYY, DataShift!AS512,                      IF(_xlpm.MVToday=_xlpm.MVY,      _xlpm.MVYY-_xlpm.MVYYY,          _xlpm.MVY-_xlpm.MVYY))</f>
        <v>-608.35300000000279</v>
      </c>
      <c r="AT9" s="969">
        <f ca="1">TabCalc[[#This Row],[Y]]/TabCalc[[#This Row],[M]]</f>
        <v>1.0071544159263726</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-1.4775702261957534E-4</v>
      </c>
      <c r="AZ9" s="80">
        <f ca="1">IF(G9&lt;C9,C9-G9,0)</f>
        <v>0</v>
      </c>
      <c r="BA9" s="88">
        <f ca="1">_xlfn.XLOOKUP(TabCalc[[#This Row],[Ticker]],[1]!RTData[Ticker_Symbol],[1]!RTData[V/VA])</f>
        <v>1.3828780081752725</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1.3828780081752725</v>
      </c>
      <c r="BD9" s="85" cm="1">
        <f t="array" aca="1" ref="BD9" ca="1">INDEX(TabReg[], 1, _xlfn.XMATCH(TabCalc[[#This Row],[Ticker]]&amp;1, TabReg[#Headers], 0))</f>
        <v>190</v>
      </c>
      <c r="BE9" s="157">
        <f ca="1">TabCalc[[#This Row],[Nbegin]]*TabCalc[[#This Row],[M]]*TabCalc[[#This Row],[Scale]]+TabCalc[[#This Row],[ValueBegin]]</f>
        <v>56376.549200000009</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60220.809399999998</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81869.854327020759</v>
      </c>
      <c r="BN9" s="157">
        <f ca="1">IF(        OR( TabCalc[[#This Row],[GL]]&gt;ABS(TabCalc[[#This Row],[EfCost]]),TabCalc[[#This Row],[NAfter]]=0),             TabCalc[[#This Row],[GL]],     0)</f>
        <v>81869.854327020759</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46002.876197510937</v>
      </c>
      <c r="BU9" s="173">
        <f ca="1">(TabCalc[[#This Row],[ValueBegin]]+(TabCalc[[#This Row],[M]]-TabCalc[[#This Row],[A]])*TabCalc[[#This Row],[NAfter]])*TabCalc[[#This Row],[Scale]]</f>
        <v>-6058.1983999999939</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14775.552400000004</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66.898581750066896</v>
      </c>
      <c r="CZ9" s="403">
        <f ca="1">TabCalc[[#This Row],[ntoSell]]*TabCalc[[#This Row],[M]]</f>
        <v>27185.576665774686</v>
      </c>
      <c r="DA9" s="396">
        <f ca="1">_xlfn.LET(_xlpm.nToSell,IF(TabCalc[[#This Row],[M]]-TabCalc[[#This Row],[A]]&lt;=0,"",INT(DesiredSaleGain/(TabCalc[[#This Row],[M]]-IF(TabCalc[[#This Row],[E]]&gt;0,0,TabCalc[[#This Row],[A]])))),IF(_xlpm.nToSell&lt;=TabCalc[[#This Row],[NAfter]],_xlpm.nToSell,0))</f>
        <v>67</v>
      </c>
      <c r="DB9" s="1060">
        <f ca="1">IFERROR(TabCalc[[#This Row],[NMA]]*TabCalc[[#This Row],[M]],"")</f>
        <v>27226.79</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14775.552400000004</v>
      </c>
      <c r="DD9" s="88">
        <f ca="1">IFERROR((TabCalc[[#This Row],[M]]+TabCalc[[#This Row],[L_Bp]])/ABS(TabCalc[[#This Row],[L_Bp]])/(TODAY()-TabCalc[[#This Row],[L_Bdate]])*360,"")</f>
        <v>1.3086095755763565</v>
      </c>
      <c r="DE9" s="308">
        <f ca="1">MEDIAN(DataShift!F711:Z711)</f>
        <v>8.5800000000000004E-4</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77210.3</v>
      </c>
      <c r="DH9" s="85" cm="1">
        <f t="array" aca="1" ref="DH9" ca="1">SUMPRODUCT(ISNUMBER(INDIRECT("TabReg["&amp;TabCalc[[#This Row],[Ticker]]&amp;"2]"))* INDIRECT("TabReg["&amp;TabCalc[[#This Row],[Ticker]]&amp;"1]") * INDIRECT("TabReg["&amp;TabCalc[[#This Row],[Ticker]]&amp;"2]") )*TabCalc[[#This Row],[Scale]]</f>
        <v>1023.3752079999686</v>
      </c>
      <c r="DK9" s="85">
        <f ca="1"/>
        <v>1346427.5</v>
      </c>
      <c r="DL9" s="88">
        <f t="shared" ca="1" si="2"/>
        <v>-0.55128572835292144</v>
      </c>
      <c r="DM9" t="str">
        <f ca="1">_xlfn.XLOOKUP(DK9,TabCalc[Column1],TabCalc[Ticker])</f>
        <v>ALDNE</v>
      </c>
      <c r="DN9" s="85">
        <f ca="1">_xlfn.XLOOKUP(DM9,TabCalc[Ticker],TabCalc[ValueBegin])</f>
        <v>-2858703.6387637169</v>
      </c>
      <c r="DO9" s="85">
        <f ca="1">_xlfn.XLOOKUP(DM9,TabCalc[Ticker],TabCalc[M_V])</f>
        <v>1387742.95</v>
      </c>
      <c r="DP9" s="85">
        <f ca="1">_xlfn.XLOOKUP(DM9,TabCalc[Ticker],TabCalc[GL])</f>
        <v>-1575962.5176410025</v>
      </c>
      <c r="DQ9" s="88"/>
      <c r="DR9" s="88"/>
      <c r="DS9" s="86" t="s">
        <v>6</v>
      </c>
      <c r="DT9" s="79">
        <v>10000</v>
      </c>
      <c r="DU9" s="313">
        <v>-2.69</v>
      </c>
      <c r="DW9" s="80">
        <v>140776</v>
      </c>
      <c r="DX9" s="80">
        <f ca="1">DW9-TabCalc[[#This Row],[M_V]]</f>
        <v>59721.439800000007</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45023.108499999995</v>
      </c>
      <c r="G10" s="80">
        <f ca="1">IFERROR(TabCalc[[#This Row],[SB]]-TabCalc[[#This Row],[SST]],TabCalc[[#This Row],[SB]])</f>
        <v>500</v>
      </c>
      <c r="H10" s="1052" t="str">
        <f ca="1">[1]!RTData[[#This Row],[Ticker_Symbol]]</f>
        <v>AZN</v>
      </c>
      <c r="I10" s="1053">
        <f ca="1">_xlfn.XLOOKUP(TabCalc[[#This Row],[Ticker]],[1]!RTData[Ticker_Symbol],[1]!RTData[M-Price])</f>
        <v>90.29</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-1.3332E-2</v>
      </c>
      <c r="N10" s="1055">
        <v>0</v>
      </c>
      <c r="O10" s="1056">
        <f>TabCalc[[#This Row],[Up20]]-1+TabCalc[[#This Row],[Up20]]</f>
        <v>-1</v>
      </c>
      <c r="P10" s="1056">
        <f>TabCalc[[#This Row],[Up20]]-TabCalc[[#This Row],[Up150]]</f>
        <v>-0.25</v>
      </c>
      <c r="Q10" s="1056">
        <v>0.25</v>
      </c>
      <c r="R10" s="1056">
        <f>TabCalc[[#This Row],[Up150]]-1+TabCalc[[#This Row],[Up150]]</f>
        <v>-0.5</v>
      </c>
      <c r="S10" s="1056">
        <f ca="1">IFERROR(SUMPRODUCT(DataShift!F1504:Z1504,DataShift!AB711:AV711)/SQRT(SUMPRODUCT(DataShift!F1504:Z1504,DataShift!F1504:Z1504)*SUMPRODUCT(DataShift!AB711:AV711,DataShift!AB711:AV711)),0)</f>
        <v>0</v>
      </c>
      <c r="T10" s="1056">
        <f ca="1">IFERROR(SUMPRODUCT(DataShift!F1504:Z1504,DataShift!F712:Z712)/SQRT(SUMPRODUCT(DataShift!F1504:Z1504,DataShift!F1504:Z1504)*SUMPRODUCT(DataShift!F712:Z712,DataShift!F712:Z712)),0)</f>
        <v>0</v>
      </c>
      <c r="U10" s="1057">
        <v>500</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10197</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48">
        <f ca="1">(TabCalc[[#This Row],[M]]+TabCalc[[#This Row],[L_Bp]])/TabCalc[[#This Row],[M]]</f>
        <v>0.22649241333481007</v>
      </c>
      <c r="AE10" s="209">
        <f ca="1">IFERROR(MIN(TabCalc[[#This Row],[L_B1n]],TabCalc[[#This Row],[NAfter]])*(TabCalc[[#This Row],[M]]+TabCalc[[#This Row],[L_B1p]])*TabCalc[[#This Row],[Scale]],"")</f>
        <v>6310.0000000000018</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-2035.0000000000036</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-21560.000000000004</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-170</v>
      </c>
      <c r="AR10" s="332">
        <f ca="1">_xlfn.LET(_xlpm.MVToday,DataShift!AV512,         _xlpm.MVY,DataShift!AU513,        _xlpm.MVYY, DataShift!AT513,                                IF(_xlpm.MVToday=_xlpm.MVY,_xlpm.MVY-_xlpm.MVYY,_xlpm.MVToday-_xlpm.MVY))</f>
        <v>-12620.8315</v>
      </c>
      <c r="AS10" s="332">
        <f ca="1">_xlfn.LET(_xlpm.MVToday,DataShift!AV512,         _xlpm.MVY,DataShift!AU513,        _xlpm.MVYY, DataShift!AT513,         _xlpm.MVYYY, DataShift!AS513,                      IF(_xlpm.MVToday=_xlpm.MVY,      _xlpm.MVYY-_xlpm.MVYYY,          _xlpm.MVY-_xlpm.MVYY))</f>
        <v>2194.0600000000049</v>
      </c>
      <c r="AT10" s="969">
        <f ca="1">TabCalc[[#This Row],[Y]]/TabCalc[[#This Row],[M]]</f>
        <v>1.072815926459187</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-3.249328198277987E-2</v>
      </c>
      <c r="AZ10" s="80">
        <f ca="1">IF(G10&lt;C10,C10-G10,0)</f>
        <v>4500</v>
      </c>
      <c r="BA10" s="88">
        <f ca="1">_xlfn.XLOOKUP(TabCalc[[#This Row],[Ticker]],[1]!RTData[Ticker_Symbol],[1]!RTData[V/VA])</f>
        <v>1.1425060719524345</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1.1425060719524345</v>
      </c>
      <c r="BD10" s="85" cm="1">
        <f t="array" aca="1" ref="BD10" ca="1">INDEX(TabReg[], 1, _xlfn.XMATCH(TabCalc[[#This Row],[Ticker]]&amp;1, TabReg[#Headers], 0))</f>
        <v>5000</v>
      </c>
      <c r="BE10" s="157">
        <f ca="1">TabCalc[[#This Row],[Nbegin]]*TabCalc[[#This Row],[M]]*TabCalc[[#This Row],[Scale]]+TabCalc[[#This Row],[ValueBegin]]</f>
        <v>180900.00000000006</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-225526.8915</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153522.11785789995</v>
      </c>
      <c r="BN10" s="157">
        <f ca="1">IF(        OR( TabCalc[[#This Row],[GL]]&gt;ABS(TabCalc[[#This Row],[EfCost]]),TabCalc[[#This Row],[NAfter]]=0),             TabCalc[[#This Row],[GL]],     0)</f>
        <v>153522.11785789995</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46002.876114270315</v>
      </c>
      <c r="BU10" s="173">
        <f ca="1">(TabCalc[[#This Row],[ValueBegin]]+(TabCalc[[#This Row],[M]]-TabCalc[[#This Row],[A]])*TabCalc[[#This Row],[NAfter]])*TabCalc[[#This Row],[Scale]]</f>
        <v>-260415.79199999999</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10134.208000000001</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244.49877750611245</v>
      </c>
      <c r="CZ10" s="403">
        <f ca="1">TabCalc[[#This Row],[ntoSell]]*TabCalc[[#This Row],[M]]</f>
        <v>22075.794621026893</v>
      </c>
      <c r="DA10" s="396">
        <f ca="1">_xlfn.LET(_xlpm.nToSell,IF(TabCalc[[#This Row],[M]]-TabCalc[[#This Row],[A]]&lt;=0,"",INT(DesiredSaleGain/(TabCalc[[#This Row],[M]]-IF(TabCalc[[#This Row],[E]]&gt;0,0,TabCalc[[#This Row],[A]])))),IF(_xlpm.nToSell&lt;=TabCalc[[#This Row],[NAfter]],_xlpm.nToSell,0))</f>
        <v>246</v>
      </c>
      <c r="DB10" s="1060">
        <f ca="1">IFERROR(TabCalc[[#This Row],[NMA]]*TabCalc[[#This Row],[M]],"")</f>
        <v>22211.34</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10134.208000000001</v>
      </c>
      <c r="DD10" s="88">
        <f ca="1">IFERROR((TabCalc[[#This Row],[M]]+TabCalc[[#This Row],[L_Bp]])/ABS(TabCalc[[#This Row],[L_Bp]])/(TODAY()-TabCalc[[#This Row],[L_Bdate]])*360,"")</f>
        <v>0.6058182249081645</v>
      </c>
      <c r="DE10" s="308">
        <f ca="1">MEDIAN(DataShift!F712:Z712)</f>
        <v>3.5709999999999995E-3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451450.00000000006</v>
      </c>
      <c r="DH10" s="85" cm="1">
        <f t="array" aca="1" ref="DH10" ca="1">SUMPRODUCT(ISNUMBER(INDIRECT("TabReg["&amp;TabCalc[[#This Row],[Ticker]]&amp;"2]"))* INDIRECT("TabReg["&amp;TabCalc[[#This Row],[Ticker]]&amp;"1]") * INDIRECT("TabReg["&amp;TabCalc[[#This Row],[Ticker]]&amp;"2]") )*TabCalc[[#This Row],[Scale]]</f>
        <v>108334.39999999997</v>
      </c>
      <c r="DK10" s="85">
        <f ca="1"/>
        <v>1298700</v>
      </c>
      <c r="DL10" s="88">
        <f t="shared" ca="1" si="2"/>
        <v>3.587072696389456E-2</v>
      </c>
      <c r="DM10" t="str">
        <f ca="1">_xlfn.XLOOKUP(DK10,TabCalc[Column1],TabCalc[Ticker])</f>
        <v>RWE</v>
      </c>
      <c r="DN10" s="85">
        <f ca="1">_xlfn.XLOOKUP(DM10,TabCalc[Ticker],TabCalc[ValueBegin])</f>
        <v>-1014062.0399999999</v>
      </c>
      <c r="DO10" s="85">
        <f ca="1">_xlfn.XLOOKUP(DM10,TabCalc[Ticker],TabCalc[M_V])</f>
        <v>2158.6558500000001</v>
      </c>
      <c r="DP10" s="85">
        <f ca="1">_xlfn.XLOOKUP(DM10,TabCalc[Ticker],TabCalc[GL])</f>
        <v>36375.142561289918</v>
      </c>
      <c r="DQ10" s="88"/>
      <c r="DR10" s="88"/>
      <c r="DS10" s="86" t="s">
        <v>7</v>
      </c>
      <c r="DT10" s="79">
        <v>15000</v>
      </c>
      <c r="DU10" s="313">
        <v>-6.9032</v>
      </c>
      <c r="DW10" s="80">
        <v>41015</v>
      </c>
      <c r="DX10" s="80">
        <f ca="1">DW10-TabCalc[[#This Row],[M_V]]</f>
        <v>-4008.1084999999948</v>
      </c>
    </row>
    <row r="11" spans="1:128">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57643.939999999995</v>
      </c>
      <c r="G11" s="80">
        <f ca="1">IFERROR(TabCalc[[#This Row],[SB]]-TabCalc[[#This Row],[SST]],TabCalc[[#This Row],[SB]])</f>
        <v>20000</v>
      </c>
      <c r="H11" s="530" t="str">
        <f ca="1">[1]!RTData[[#This Row],[Ticker_Symbol]]</f>
        <v>BLDP</v>
      </c>
      <c r="I11" s="381">
        <f ca="1">_xlfn.XLOOKUP(TabCalc[[#This Row],[Ticker]],[1]!RTData[Ticker_Symbol],[1]!RTData[M-Price])</f>
        <v>2.89</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3.9567999999999999E-2</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v>
      </c>
      <c r="T11" s="886">
        <f ca="1">IFERROR(SUMPRODUCT(DataShift!F1503:Z1503,DataShift!F711:Z711)/SQRT(SUMPRODUCT(DataShift!F1503:Z1503,DataShift!F1503:Z1503)*SUMPRODUCT(DataShift!F711:Z711,DataShift!F711:Z711)),0)</f>
        <v>0</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239</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47">
        <f ca="1">(TabCalc[[#This Row],[M]]+TabCalc[[#This Row],[L_Bp]])/TabCalc[[#This Row],[M]]</f>
        <v>1.3840830449827002E-2</v>
      </c>
      <c r="AE11" s="209">
        <f ca="1">IFERROR(MIN(TabCalc[[#This Row],[L_B1n]],TabCalc[[#This Row],[NAfter]])*(TabCalc[[#This Row],[M]]+TabCalc[[#This Row],[L_B1p]])*TabCalc[[#This Row],[Scale]],"")</f>
        <v>10600</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2760.5999999999985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-9300.0000000000018</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2999.9999999999927</v>
      </c>
      <c r="AR11" s="332">
        <f ca="1">_xlfn.LET(_xlpm.MVToday,DataShift!AV511,         _xlpm.MVY,DataShift!AU512,        _xlpm.MVYY, DataShift!AT512,                                IF(_xlpm.MVToday=_xlpm.MVY,_xlpm.MVY-_xlpm.MVYY,_xlpm.MVToday-_xlpm.MVY))</f>
        <v>36031.451699999998</v>
      </c>
      <c r="AS11" s="332">
        <f ca="1">_xlfn.LET(_xlpm.MVToday,DataShift!AV511,         _xlpm.MVY,DataShift!AU512,        _xlpm.MVYY, DataShift!AT512,         _xlpm.MVYYY, DataShift!AS512,                      IF(_xlpm.MVToday=_xlpm.MVY,      _xlpm.MVYY-_xlpm.MVYYY,          _xlpm.MVY-_xlpm.MVYY))</f>
        <v>-608.35300000000279</v>
      </c>
      <c r="AT11" s="969">
        <f ca="1">TabCalc[[#This Row],[Y]]/TabCalc[[#This Row],[M]]</f>
        <v>1.0337370242214532</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-1.0735149339085769E-4</v>
      </c>
      <c r="AZ11" s="80">
        <f t="shared" ca="1" si="1"/>
        <v>0</v>
      </c>
      <c r="BA11" s="88">
        <f ca="1">_xlfn.XLOOKUP(TabCalc[[#This Row],[Ticker]],[1]!RTData[Ticker_Symbol],[1]!RTData[V/VA])</f>
        <v>0.63127383013593241</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0.63127383013593241</v>
      </c>
      <c r="BD11" s="85" cm="1">
        <f t="array" aca="1" ref="BD11" ca="1">INDEX(TabReg[], 1, _xlfn.XMATCH(TabCalc[[#This Row],[Ticker]]&amp;1, TabReg[#Headers], 0))</f>
        <v>10000</v>
      </c>
      <c r="BE11" s="157">
        <f ca="1">TabCalc[[#This Row],[Nbegin]]*TabCalc[[#This Row],[M]]*TabCalc[[#This Row],[Scale]]+TabCalc[[#This Row],[ValueBegin]]</f>
        <v>2000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30743.939999999995</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25727.872836999981</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2.51</v>
      </c>
      <c r="BS11" s="172" t="str">
        <f ca="1">IF(TabCalc[[#This Row],[EfCost]]+TabCalc[[#This Row],[M_V]]&lt;TabCalc[[#This Row],[NoT_GL]],"Pile","")</f>
        <v/>
      </c>
      <c r="BT11" s="163">
        <f ca="1">_xlfn.XLOOKUP(TabCalc[[#This Row],[Ticker]],[1]!RTData[Ticker_Symbol],[1]!RTData[Last trade time])</f>
        <v>46002.876037001559</v>
      </c>
      <c r="BU11" s="173">
        <f ca="1">(TabCalc[[#This Row],[ValueBegin]]+(TabCalc[[#This Row],[M]]-TabCalc[[#This Row],[A]])*TabCalc[[#This Row],[NAfter]])*TabCalc[[#This Row],[Scale]]</f>
        <v>-12091.48799999999</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14808.51200000001</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10867.202782003918</v>
      </c>
      <c r="CX11" s="402">
        <f ca="1">IF(TabCalc[[#This Row],[ntoBuy]]*TabCalc[[#This Row],[M]]&lt;=0,0,TabCalc[[#This Row],[ntoBuy]]*TabCalc[[#This Row],[M]])</f>
        <v>31406.216039991326</v>
      </c>
      <c r="CY11" s="402">
        <f ca="1">IF(TabCalc[[#This Row],[M]]&gt;ABS(TabCalc[[#This Row],[L_Bp]]),MIN(TabCalc[[#This Row],[NAfter]],DesiredSaleGain/(TabCalc[[#This Row],[M]]+TabCalc[[#This Row],[L_Bp]])),0)/TabCalc[[#This Row],[Scale]]</f>
        <v>20000</v>
      </c>
      <c r="CZ11" s="403">
        <f ca="1">TabCalc[[#This Row],[ntoSell]]*TabCalc[[#This Row],[M]]</f>
        <v>57800</v>
      </c>
      <c r="DA11" s="396">
        <f ca="1">_xlfn.LET(_xlpm.nToSell,IF(TabCalc[[#This Row],[M]]-TabCalc[[#This Row],[A]]&lt;=0,"",INT(DesiredSaleGain/(TabCalc[[#This Row],[M]]-IF(TabCalc[[#This Row],[E]]&gt;0,0,TabCalc[[#This Row],[A]])))),IF(_xlpm.nToSell&lt;=TabCalc[[#This Row],[NAfter]],_xlpm.nToSell,0))</f>
        <v>6752</v>
      </c>
      <c r="DB11" s="334">
        <f ca="1">IFERROR(TabCalc[[#This Row],[NMA]]*TabCalc[[#This Row],[M]],"")</f>
        <v>19513.280000000002</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14808.51200000001</v>
      </c>
      <c r="DD11" s="88">
        <f ca="1">IFERROR((TabCalc[[#This Row],[M]]+TabCalc[[#This Row],[L_Bp]])/ABS(TabCalc[[#This Row],[L_Bp]])/(TODAY()-TabCalc[[#This Row],[L_Bdate]])*360,"")</f>
        <v>1.4948614138897552E-2</v>
      </c>
      <c r="DE11" s="308">
        <f ca="1">MEDIAN(DataShift!F711:Z711)</f>
        <v>8.5800000000000004E-4</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28900</v>
      </c>
      <c r="DH11" s="85" cm="1">
        <f t="array" aca="1" ref="DH11" ca="1">SUMPRODUCT(ISNUMBER(INDIRECT("TabReg["&amp;TabCalc[[#This Row],[Ticker]]&amp;"2]"))* INDIRECT("TabReg["&amp;TabCalc[[#This Row],[Ticker]]&amp;"1]") * INDIRECT("TabReg["&amp;TabCalc[[#This Row],[Ticker]]&amp;"2]") )*TabCalc[[#This Row],[Scale]]</f>
        <v>-31683.81500000001</v>
      </c>
      <c r="DK11" s="85">
        <f ca="1"/>
        <v>1222000</v>
      </c>
      <c r="DL11" s="88">
        <f t="shared" ca="1" si="2"/>
        <v>0.1504542801360336</v>
      </c>
      <c r="DM11" t="str">
        <f ca="1">_xlfn.XLOOKUP(DK11,TabCalc[Column1],TabCalc[Ticker])</f>
        <v>VONN</v>
      </c>
      <c r="DN11" s="85">
        <f ca="1">_xlfn.XLOOKUP(DM11,TabCalc[Ticker],TabCalc[ValueBegin])</f>
        <v>-1126036.29</v>
      </c>
      <c r="DO11" s="85">
        <f ca="1">_xlfn.XLOOKUP(DM11,TabCalc[Ticker],TabCalc[M_V])</f>
        <v>1005427.995</v>
      </c>
      <c r="DP11" s="85">
        <f ca="1">_xlfn.XLOOKUP(DM11,TabCalc[Ticker],TabCalc[GL])</f>
        <v>169416.97941899998</v>
      </c>
      <c r="DQ11" s="88"/>
      <c r="DR11" s="88"/>
      <c r="DS11" s="86" t="s">
        <v>8</v>
      </c>
      <c r="DT11" s="79">
        <v>100</v>
      </c>
      <c r="DU11" s="313">
        <v>-49.07</v>
      </c>
      <c r="DW11" s="80">
        <v>67400</v>
      </c>
      <c r="DX11" s="80">
        <f ca="1">DW11-TabCalc[[#This Row],[M_V]]</f>
        <v>9756.0600000000049</v>
      </c>
    </row>
    <row r="12" spans="1:128">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32287.587499999998</v>
      </c>
      <c r="G12" s="80">
        <f ca="1">IFERROR(TabCalc[[#This Row],[SB]]-TabCalc[[#This Row],[SST]],TabCalc[[#This Row],[SB]])</f>
        <v>12500</v>
      </c>
      <c r="H12" s="530" t="str">
        <f ca="1">[1]!RTData[[#This Row],[Ticker_Symbol]]</f>
        <v>BMRA</v>
      </c>
      <c r="I12" s="381">
        <f ca="1">_xlfn.XLOOKUP(TabCalc[[#This Row],[Ticker]],[1]!RTData[Ticker_Symbol],[1]!RTData[M-Price])</f>
        <v>2.59</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3.6000000000000004E-2</v>
      </c>
      <c r="N12" s="1041">
        <v>0</v>
      </c>
      <c r="O12" s="886">
        <f>TabCalc[[#This Row],[Up20]]-1+TabCalc[[#This Row],[Up20]]</f>
        <v>-1</v>
      </c>
      <c r="P12" s="886">
        <f>TabCalc[[#This Row],[Up20]]-TabCalc[[#This Row],[Up150]]</f>
        <v>-0.4</v>
      </c>
      <c r="Q12" s="886">
        <v>0.4</v>
      </c>
      <c r="R12" s="886">
        <f>TabCalc[[#This Row],[Up150]]-1+TabCalc[[#This Row],[Up150]]</f>
        <v>-0.19999999999999996</v>
      </c>
      <c r="S12" s="886">
        <f ca="1">IFERROR(SUMPRODUCT(DataShift!F1504:Z1504,DataShift!AB711:AV711)/SQRT(SUMPRODUCT(DataShift!F1504:Z1504,DataShift!F1504:Z1504)*SUMPRODUCT(DataShift!AB711:AV711,DataShift!AB711:AV711)),0)</f>
        <v>0</v>
      </c>
      <c r="T12" s="886">
        <f ca="1">IFERROR(SUMPRODUCT(DataShift!F1504:Z1504,DataShift!F712:Z712)/SQRT(SUMPRODUCT(DataShift!F1504:Z1504,DataShift!F1504:Z1504)*SUMPRODUCT(DataShift!F712:Z712,DataShift!F712:Z712)),0)</f>
        <v>0</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-61,548 = $ -159,410</v>
      </c>
      <c r="Z12" s="209">
        <f ca="1">INT(MIN(TabCalc[[#This Row],[L_Bn]],TabCalc[[#This Row],[NAfter]])*(TabCalc[[#This Row],[M]]+TabCalc[[#This Row],[L_Bp]])*Comm_Net*TabCalc[[#This Row],[Scale]])</f>
        <v>-126279</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47">
        <f ca="1">(TabCalc[[#This Row],[M]]+TabCalc[[#This Row],[L_Bp]])/TabCalc[[#This Row],[M]]</f>
        <v>-3.9110424710424714</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125</v>
      </c>
      <c r="AR12" s="332">
        <f ca="1">_xlfn.LET(_xlpm.MVToday,DataShift!AV512,         _xlpm.MVY,DataShift!AU513,        _xlpm.MVYY, DataShift!AT513,                                IF(_xlpm.MVToday=_xlpm.MVY,_xlpm.MVY-_xlpm.MVYY,_xlpm.MVToday-_xlpm.MVY))</f>
        <v>-12620.8315</v>
      </c>
      <c r="AS12" s="332">
        <f ca="1">_xlfn.LET(_xlpm.MVToday,DataShift!AV512,         _xlpm.MVY,DataShift!AU513,        _xlpm.MVYY, DataShift!AT513,         _xlpm.MVYYY, DataShift!AS513,                      IF(_xlpm.MVToday=_xlpm.MVY,      _xlpm.MVYY-_xlpm.MVYYY,          _xlpm.MVY-_xlpm.MVYY))</f>
        <v>2194.0600000000049</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2.8347077052366196</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2.8347077052366196</v>
      </c>
      <c r="BD12" s="85" cm="1">
        <f t="array" aca="1" ref="BD12" ca="1">INDEX(TabReg[], 1, _xlfn.XMATCH(TabCalc[[#This Row],[Ticker]]&amp;1, TabReg[#Headers], 0))</f>
        <v>12500</v>
      </c>
      <c r="BE12" s="157">
        <f ca="1">TabCalc[[#This Row],[Nbegin]]*TabCalc[[#This Row],[M]]*TabCalc[[#This Row],[Scale]]+TabCalc[[#This Row],[ValueBegin]]</f>
        <v>-64698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-71260.412500000006</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-127204.74722749999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46002.875009733594</v>
      </c>
      <c r="BU12" s="173">
        <f ca="1">(TabCalc[[#This Row],[ValueBegin]]+(TabCalc[[#This Row],[M]]-TabCalc[[#This Row],[A]])*TabCalc[[#This Row],[NAfter]])*TabCalc[[#This Row],[Scale]]</f>
        <v>-230581.38699999999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-127033.387</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-127033.387</v>
      </c>
      <c r="DD12" s="88">
        <f ca="1">IFERROR((TabCalc[[#This Row],[M]]+TabCalc[[#This Row],[L_Bp]])/ABS(TabCalc[[#This Row],[L_Bp]])/(TODAY()-TabCalc[[#This Row],[L_Bdate]])*360,"")</f>
        <v>-5.2527630642044354E-2</v>
      </c>
      <c r="DE12" s="308">
        <f ca="1">MEDIAN(DataShift!F712:Z712)</f>
        <v>3.5709999999999995E-3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38850</v>
      </c>
      <c r="DH12" s="85" cm="1">
        <f t="array" aca="1" ref="DH12" ca="1">SUMPRODUCT(ISNUMBER(INDIRECT("TabReg["&amp;TabCalc[[#This Row],[Ticker]]&amp;"2]"))* INDIRECT("TabReg["&amp;TabCalc[[#This Row],[Ticker]]&amp;"1]") * INDIRECT("TabReg["&amp;TabCalc[[#This Row],[Ticker]]&amp;"2]") )*TabCalc[[#This Row],[Scale]]</f>
        <v>-158995</v>
      </c>
      <c r="DK12" s="85">
        <f ca="1"/>
        <v>796288.79999999993</v>
      </c>
      <c r="DL12" s="88">
        <f t="shared" ca="1" si="2"/>
        <v>0.92124533755805238</v>
      </c>
      <c r="DM12" t="str">
        <f ca="1">_xlfn.XLOOKUP(DK12,TabCalc[Column1],TabCalc[Ticker])</f>
        <v>LOCK</v>
      </c>
      <c r="DN12" s="85">
        <f ca="1">_xlfn.XLOOKUP(DM12,TabCalc[Ticker],TabCalc[ValueBegin])</f>
        <v>-411714</v>
      </c>
      <c r="DO12" s="85">
        <f ca="1">_xlfn.XLOOKUP(DM12,TabCalc[Ticker],TabCalc[M_V])</f>
        <v>794138.82023999991</v>
      </c>
      <c r="DP12" s="85">
        <f ca="1">_xlfn.XLOOKUP(DM12,TabCalc[Ticker],TabCalc[GL])</f>
        <v>379289.60290737596</v>
      </c>
      <c r="DQ12" s="88"/>
      <c r="DR12" s="88"/>
      <c r="DS12" s="86" t="s">
        <v>9</v>
      </c>
      <c r="DT12" s="79">
        <v>5000</v>
      </c>
      <c r="DU12" s="313">
        <v>-39.770000000000003</v>
      </c>
      <c r="DW12" s="80">
        <v>31000</v>
      </c>
      <c r="DX12" s="80">
        <f ca="1">DW12-TabCalc[[#This Row],[M_V]]</f>
        <v>-1287.5874999999978</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11702.068874999999</v>
      </c>
      <c r="G13" s="80">
        <f ca="1">IFERROR(TabCalc[[#This Row],[SB]]-TabCalc[[#This Row],[SST]],TabCalc[[#This Row],[SB]])</f>
        <v>105</v>
      </c>
      <c r="H13" s="530" t="str">
        <f ca="1">[1]!RTData[[#This Row],[Ticker_Symbol]]</f>
        <v>C</v>
      </c>
      <c r="I13" s="381">
        <f ca="1">_xlfn.XLOOKUP(TabCalc[[#This Row],[Ticker]],[1]!RTData[Ticker_Symbol],[1]!RTData[M-Price])</f>
        <v>111.75</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5.9409999999999992E-3</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v>
      </c>
      <c r="T13" s="886">
        <f ca="1">IFERROR(SUMPRODUCT(DataShift!F1505:Z1505,DataShift!F713:Z713)/SQRT(SUMPRODUCT(DataShift!F1505:Z1505,DataShift!F1505:Z1505)*SUMPRODUCT(DataShift!F713:Z713,DataShift!F713:Z713)),0)</f>
        <v>0</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1079</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47">
        <f ca="1">(TabCalc[[#This Row],[M]]+TabCalc[[#This Row],[L_Bp]])/TabCalc[[#This Row],[M]]</f>
        <v>9.6823266219239312E-2</v>
      </c>
      <c r="AE13" s="209">
        <f ca="1">IFERROR(MIN(TabCalc[[#This Row],[L_B1n]],TabCalc[[#This Row],[NAfter]])*(TabCalc[[#This Row],[M]]+TabCalc[[#This Row],[L_B1p]])*TabCalc[[#This Row],[Scale]],"")</f>
        <v>5145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-1365.625</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-14540</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50.924999999999272</v>
      </c>
      <c r="AR13" s="332">
        <f ca="1">_xlfn.LET(_xlpm.MVToday,DataShift!AV513,         _xlpm.MVY,DataShift!AU514,        _xlpm.MVYY, DataShift!AT514,                                IF(_xlpm.MVToday=_xlpm.MVY,_xlpm.MVY-_xlpm.MVYY,_xlpm.MVToday-_xlpm.MVY))</f>
        <v>25356.352499999997</v>
      </c>
      <c r="AS13" s="332">
        <f ca="1">_xlfn.LET(_xlpm.MVToday,DataShift!AV513,         _xlpm.MVY,DataShift!AU514,        _xlpm.MVYY, DataShift!AT514,         _xlpm.MVYYY, DataShift!AS514,                      IF(_xlpm.MVToday=_xlpm.MVY,      _xlpm.MVYY-_xlpm.MVYYY,          _xlpm.MVY-_xlpm.MVYY))</f>
        <v>1121.9624999999978</v>
      </c>
      <c r="AT13" s="969">
        <f ca="1">TabCalc[[#This Row],[Y]]/TabCalc[[#This Row],[M]]</f>
        <v>1.0226909172259506</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-1.2766130733541776E-3</v>
      </c>
      <c r="AZ13" s="80">
        <f t="shared" ca="1" si="1"/>
        <v>0</v>
      </c>
      <c r="BA13" s="88">
        <f ca="1">_xlfn.XLOOKUP(TabCalc[[#This Row],[Ticker]],[1]!RTData[Ticker_Symbol],[1]!RTData[V/VA])</f>
        <v>0.84561413582090583</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0.84561413582090583</v>
      </c>
      <c r="BD13" s="85" cm="1">
        <f t="array" aca="1" ref="BD13" ca="1">INDEX(TabReg[], 1, _xlfn.XMATCH(TabCalc[[#This Row],[Ticker]]&amp;1, TabReg[#Headers], 0))</f>
        <v>100</v>
      </c>
      <c r="BE13" s="157">
        <f ca="1">TabCalc[[#This Row],[Nbegin]]*TabCalc[[#This Row],[M]]*TabCalc[[#This Row],[Scale]]+TabCalc[[#This Row],[ValueBegin]]</f>
        <v>6268</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6795.068874999999</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41655.765044925</v>
      </c>
      <c r="BN13" s="157">
        <f ca="1">IF(        OR( TabCalc[[#This Row],[GL]]&gt;ABS(TabCalc[[#This Row],[EfCost]]),TabCalc[[#This Row],[NAfter]]=0),             TabCalc[[#This Row],[GL]],     0)</f>
        <v>41655.765044925</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46002.876125751565</v>
      </c>
      <c r="BU13" s="173">
        <f ca="1">(TabCalc[[#This Row],[ValueBegin]]+(TabCalc[[#This Row],[M]]-TabCalc[[#This Row],[A]])*TabCalc[[#This Row],[NAfter]])*TabCalc[[#This Row],[Scale]]</f>
        <v>-3607.0575499999995</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1299.9424500000007</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11733.75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1299.9424500000007</v>
      </c>
      <c r="DD13" s="88">
        <f ca="1">IFERROR((TabCalc[[#This Row],[M]]+TabCalc[[#This Row],[L_Bp]])/ABS(TabCalc[[#This Row],[L_Bp]])/(TODAY()-TabCalc[[#This Row],[L_Bdate]])*360,"")</f>
        <v>1.0430563328611473</v>
      </c>
      <c r="DE13" s="308">
        <f ca="1">MEDIAN(DataShift!F713:Z713)</f>
        <v>2.0119999999999999E-3</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11175</v>
      </c>
      <c r="DH13" s="85" cm="1">
        <f t="array" aca="1" ref="DH13" ca="1">SUMPRODUCT(ISNUMBER(INDIRECT("TabReg["&amp;TabCalc[[#This Row],[Ticker]]&amp;"2]"))* INDIRECT("TabReg["&amp;TabCalc[[#This Row],[Ticker]]&amp;"1]") * INDIRECT("TabReg["&amp;TabCalc[[#This Row],[Ticker]]&amp;"2]") )*TabCalc[[#This Row],[Scale]]</f>
        <v>29906.365000000005</v>
      </c>
      <c r="DK13" s="85">
        <f ca="1"/>
        <v>795200</v>
      </c>
      <c r="DL13" s="88">
        <f t="shared" ca="1" si="2"/>
        <v>0.53607391265060234</v>
      </c>
      <c r="DM13" t="str">
        <f ca="1">_xlfn.XLOOKUP(DK13,TabCalc[Column1],TabCalc[Ticker])</f>
        <v>SAFIAG</v>
      </c>
      <c r="DN13" s="85">
        <f ca="1">_xlfn.XLOOKUP(DM13,TabCalc[Ticker],TabCalc[ValueBegin])</f>
        <v>-332000</v>
      </c>
      <c r="DO13" s="85">
        <f ca="1">_xlfn.XLOOKUP(DM13,TabCalc[Ticker],TabCalc[M_V])</f>
        <v>0</v>
      </c>
      <c r="DP13" s="85">
        <f ca="1">_xlfn.XLOOKUP(DM13,TabCalc[Ticker],TabCalc[GL])</f>
        <v>177976.53899999999</v>
      </c>
      <c r="DQ13" s="88"/>
      <c r="DR13" s="88"/>
      <c r="DS13" s="86" t="s">
        <v>10</v>
      </c>
      <c r="DT13" s="79">
        <v>2000</v>
      </c>
      <c r="DU13" s="313">
        <v>-108.31</v>
      </c>
      <c r="DW13" s="80">
        <v>505.09999999999997</v>
      </c>
      <c r="DX13" s="80">
        <f ca="1">DW13-TabCalc[[#This Row],[M_V]]</f>
        <v>-11196.968874999999</v>
      </c>
    </row>
    <row r="14" spans="1:128">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79055.97099999999</v>
      </c>
      <c r="G14" s="80">
        <f ca="1">IFERROR(TabCalc[[#This Row],[SB]]-TabCalc[[#This Row],[SST]],TabCalc[[#This Row],[SB]])</f>
        <v>1000</v>
      </c>
      <c r="H14" s="530" t="str">
        <f ca="1">[1]!RTData[[#This Row],[Ticker_Symbol]]</f>
        <v>CSCO</v>
      </c>
      <c r="I14" s="381">
        <f ca="1">_xlfn.XLOOKUP(TabCalc[[#This Row],[Ticker]],[1]!RTData[Ticker_Symbol],[1]!RTData[M-Price])</f>
        <v>79.27</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-1.2212000000000001E-2</v>
      </c>
      <c r="N14" s="1041">
        <v>0</v>
      </c>
      <c r="O14" s="886">
        <f>TabCalc[[#This Row],[Up20]]-1+TabCalc[[#This Row],[Up20]]</f>
        <v>-1</v>
      </c>
      <c r="P14" s="886">
        <f>TabCalc[[#This Row],[Up20]]-TabCalc[[#This Row],[Up150]]</f>
        <v>-0.33333333333333331</v>
      </c>
      <c r="Q14" s="886">
        <v>0.33333333333333331</v>
      </c>
      <c r="R14" s="886">
        <f>TabCalc[[#This Row],[Up150]]-1+TabCalc[[#This Row],[Up150]]</f>
        <v>-0.33333333333333343</v>
      </c>
      <c r="S14" s="886">
        <f ca="1">IFERROR(SUMPRODUCT(DataShift!F1506:Z1506,DataShift!AB713:AV713)/SQRT(SUMPRODUCT(DataShift!F1506:Z1506,DataShift!F1506:Z1506)*SUMPRODUCT(DataShift!AB713:AV713,DataShift!AB713:AV713)),0)</f>
        <v>0</v>
      </c>
      <c r="T14" s="886">
        <f ca="1">IFERROR(SUMPRODUCT(DataShift!F1506:Z1506,DataShift!F714:Z714)/SQRT(SUMPRODUCT(DataShift!F1506:Z1506,DataShift!F1506:Z1506)*SUMPRODUCT(DataShift!F714:Z714,DataShift!F714:Z714)),0)</f>
        <v>0</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12037</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47">
        <f ca="1">(TabCalc[[#This Row],[M]]+TabCalc[[#This Row],[L_Bp]])/TabCalc[[#This Row],[M]]</f>
        <v>0.15226441276649419</v>
      </c>
      <c r="AE14" s="209">
        <f ca="1">IFERROR(MIN(TabCalc[[#This Row],[L_B1n]],TabCalc[[#This Row],[NAfter]])*(TabCalc[[#This Row],[M]]+TabCalc[[#This Row],[L_B1p]])*TabCalc[[#This Row],[Scale]],"")</f>
        <v>20334.999999999993</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-9929.9999999999927</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-10950.000000000004</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-1060</v>
      </c>
      <c r="AR14" s="332">
        <f ca="1">_xlfn.LET(_xlpm.MVToday,DataShift!AV514,         _xlpm.MVY,DataShift!AU515,        _xlpm.MVYY, DataShift!AT515,                                IF(_xlpm.MVToday=_xlpm.MVY,_xlpm.MVY-_xlpm.MVYY,_xlpm.MVToday-_xlpm.MVY))</f>
        <v>20585.518624999997</v>
      </c>
      <c r="AS14" s="332">
        <f ca="1">_xlfn.LET(_xlpm.MVToday,DataShift!AV514,         _xlpm.MVY,DataShift!AU515,        _xlpm.MVYY, DataShift!AT515,         _xlpm.MVYYY, DataShift!AS515,                      IF(_xlpm.MVToday=_xlpm.MVY,      _xlpm.MVYY-_xlpm.MVYYY,          _xlpm.MVY-_xlpm.MVYY))</f>
        <v>65.44781249999869</v>
      </c>
      <c r="AT14" s="969">
        <f ca="1">TabCalc[[#This Row],[Y]]/TabCalc[[#This Row],[M]]</f>
        <v>1.0699477734325724</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-2.5355253843327149E-2</v>
      </c>
      <c r="AZ14" s="80">
        <f t="shared" ca="1" si="1"/>
        <v>4000</v>
      </c>
      <c r="BA14" s="88">
        <f ca="1">_xlfn.XLOOKUP(TabCalc[[#This Row],[Ticker]],[1]!RTData[Ticker_Symbol],[1]!RTData[V/VA])</f>
        <v>0.80056440169289977</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0.80056440169289977</v>
      </c>
      <c r="BD14" s="85" cm="1">
        <f t="array" aca="1" ref="BD14" ca="1">INDEX(TabReg[], 1, _xlfn.XMATCH(TabCalc[[#This Row],[Ticker]]&amp;1, TabReg[#Headers], 0))</f>
        <v>5000</v>
      </c>
      <c r="BE14" s="157">
        <f ca="1">TabCalc[[#This Row],[Nbegin]]*TabCalc[[#This Row],[M]]*TabCalc[[#This Row],[Scale]]+TabCalc[[#This Row],[ValueBegin]]</f>
        <v>197499.99999999997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-119794.02900000004</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139646.93648539996</v>
      </c>
      <c r="BN14" s="157">
        <f ca="1">IF(        OR( TabCalc[[#This Row],[GL]]&gt;ABS(TabCalc[[#This Row],[EfCost]]),TabCalc[[#This Row],[NAfter]]=0),             TabCalc[[#This Row],[GL]],     0)</f>
        <v>139646.93648539996</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46002.876185786721</v>
      </c>
      <c r="BU14" s="173">
        <f ca="1">(TabCalc[[#This Row],[ValueBegin]]+(TabCalc[[#This Row],[M]]-TabCalc[[#This Row],[A]])*TabCalc[[#This Row],[NAfter]])*TabCalc[[#This Row],[Scale]]</f>
        <v>-186954.72000000003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11895.279999999999</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414.25020712510377</v>
      </c>
      <c r="CZ14" s="403">
        <f ca="1">TabCalc[[#This Row],[ntoSell]]*TabCalc[[#This Row],[M]]</f>
        <v>32837.613918806972</v>
      </c>
      <c r="DA14" s="396">
        <f ca="1">_xlfn.LET(_xlpm.nToSell,IF(TabCalc[[#This Row],[M]]-TabCalc[[#This Row],[A]]&lt;=0,"",INT(DesiredSaleGain/(TabCalc[[#This Row],[M]]-IF(TabCalc[[#This Row],[E]]&gt;0,0,TabCalc[[#This Row],[A]])))),IF(_xlpm.nToSell&lt;=TabCalc[[#This Row],[NAfter]],_xlpm.nToSell,0))</f>
        <v>420</v>
      </c>
      <c r="DB14" s="334">
        <f ca="1">IFERROR(TabCalc[[#This Row],[NMA]]*TabCalc[[#This Row],[M]],"")</f>
        <v>33293.4</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11895.279999999999</v>
      </c>
      <c r="DD14" s="88">
        <f ca="1">IFERROR((TabCalc[[#This Row],[M]]+TabCalc[[#This Row],[L_Bp]])/ABS(TabCalc[[#This Row],[L_Bp]])/(TODAY()-TabCalc[[#This Row],[L_Bdate]])*360,"")</f>
        <v>0.85079887218045058</v>
      </c>
      <c r="DE14" s="308">
        <f ca="1">MEDIAN(DataShift!F714:Z714)</f>
        <v>7.0289999999999997E-3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396350</v>
      </c>
      <c r="DH14" s="85" cm="1">
        <f t="array" aca="1" ref="DH14" ca="1">SUMPRODUCT(ISNUMBER(INDIRECT("TabReg["&amp;TabCalc[[#This Row],[Ticker]]&amp;"2]"))* INDIRECT("TabReg["&amp;TabCalc[[#This Row],[Ticker]]&amp;"1]") * INDIRECT("TabReg["&amp;TabCalc[[#This Row],[Ticker]]&amp;"2]") )*TabCalc[[#This Row],[Scale]]</f>
        <v>60638.849999999962</v>
      </c>
      <c r="DK14" s="85">
        <f ca="1"/>
        <v>751750</v>
      </c>
      <c r="DL14" s="88">
        <f t="shared" ca="1" si="2"/>
        <v>0.66014294859046563</v>
      </c>
      <c r="DM14" t="str">
        <f ca="1">_xlfn.XLOOKUP(DK14,TabCalc[Column1],TabCalc[Ticker])</f>
        <v>JBEOAN</v>
      </c>
      <c r="DN14" s="85">
        <f ca="1">_xlfn.XLOOKUP(DM14,TabCalc[Ticker],TabCalc[ValueBegin])</f>
        <v>-451000</v>
      </c>
      <c r="DO14" s="85">
        <f ca="1">_xlfn.XLOOKUP(DM14,TabCalc[Ticker],TabCalc[M_V])</f>
        <v>314882.51549999998</v>
      </c>
      <c r="DP14" s="85">
        <f ca="1">_xlfn.XLOOKUP(DM14,TabCalc[Ticker],TabCalc[GL])</f>
        <v>297724.46981430001</v>
      </c>
      <c r="DQ14" s="88"/>
      <c r="DR14" s="88"/>
      <c r="DS14" s="86" t="s">
        <v>11</v>
      </c>
      <c r="DT14" s="80">
        <v>40000</v>
      </c>
      <c r="DU14" s="313">
        <v>-10.359875000000001</v>
      </c>
      <c r="DW14" s="80">
        <v>72320</v>
      </c>
      <c r="DX14" s="80">
        <f ca="1">DW14-TabCalc[[#This Row],[M_V]]</f>
        <v>-6735.9709999999905</v>
      </c>
    </row>
    <row r="15" spans="1:128">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80.611758999999992</v>
      </c>
      <c r="G15" s="80">
        <f ca="1">IFERROR(TabCalc[[#This Row],[SB]]-TabCalc[[#This Row],[SST]],TabCalc[[#This Row],[SB]])</f>
        <v>1</v>
      </c>
      <c r="H15" s="530" t="str">
        <f ca="1">[1]!RTData[[#This Row],[Ticker_Symbol]]</f>
        <v>CVS</v>
      </c>
      <c r="I15" s="381">
        <f ca="1">_xlfn.XLOOKUP(TabCalc[[#This Row],[Ticker]],[1]!RTData[Ticker_Symbol],[1]!RTData[M-Price])</f>
        <v>80.83</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2.3553000000000001E-2</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-0.84959079048574637</v>
      </c>
      <c r="T15" s="886">
        <f ca="1">IFERROR(SUMPRODUCT(DataShift!F1507:Z1507,DataShift!F715:Z715)/SQRT(SUMPRODUCT(DataShift!F1507:Z1507,DataShift!F1507:Z1507)*SUMPRODUCT(DataShift!F715:Z715,DataShift!F715:Z715)),0)</f>
        <v>-2.6528210899310525E-2</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24</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47">
        <f ca="1">(TabCalc[[#This Row],[M]]+TabCalc[[#This Row],[L_Bp]])/TabCalc[[#This Row],[M]]</f>
        <v>0.30649276258814795</v>
      </c>
      <c r="AE15" s="209">
        <f ca="1">IFERROR(MIN(TabCalc[[#This Row],[L_B1n]],TabCalc[[#This Row],[NAfter]])*(TabCalc[[#This Row],[M]]+TabCalc[[#This Row],[L_B1p]])*TabCalc[[#This Row],[Scale]],"")</f>
        <v>34.589999999999996</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-1530.1049999999991</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-13571.25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1.789999999999992</v>
      </c>
      <c r="AR15" s="332">
        <f ca="1">_xlfn.LET(_xlpm.MVToday,DataShift!AV515,         _xlpm.MVY,DataShift!AU516,        _xlpm.MVYY, DataShift!AT516,                                IF(_xlpm.MVToday=_xlpm.MVY,_xlpm.MVY-_xlpm.MVYY,_xlpm.MVToday-_xlpm.MVY))</f>
        <v>-67353.902124999993</v>
      </c>
      <c r="AS15" s="332">
        <f ca="1">_xlfn.LET(_xlpm.MVToday,DataShift!AV515,         _xlpm.MVY,DataShift!AU516,        _xlpm.MVYY, DataShift!AT516,         _xlpm.MVYYY, DataShift!AS516,                      IF(_xlpm.MVToday=_xlpm.MVY,      _xlpm.MVYY-_xlpm.MVYYY,          _xlpm.MVY-_xlpm.MVYY))</f>
        <v>-977.35400000000664</v>
      </c>
      <c r="AT15" s="969">
        <f ca="1">TabCalc[[#This Row],[Y]]/TabCalc[[#This Row],[M]]</f>
        <v>1.1362118025485588</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-0.17978667602478837</v>
      </c>
      <c r="AZ15" s="80">
        <f t="shared" ca="1" si="1"/>
        <v>1999</v>
      </c>
      <c r="BA15" s="88">
        <f ca="1">_xlfn.XLOOKUP(TabCalc[[#This Row],[Ticker]],[1]!RTData[Ticker_Symbol],[1]!RTData[V/VA])</f>
        <v>1.4470384600516701</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1.4470384600516701</v>
      </c>
      <c r="BD15" s="85" cm="1">
        <f t="array" aca="1" ref="BD15" ca="1">INDEX(TabReg[], 1, _xlfn.XMATCH(TabCalc[[#This Row],[Ticker]]&amp;1, TabReg[#Headers], 0))</f>
        <v>2000</v>
      </c>
      <c r="BE15" s="157">
        <f ca="1">TabCalc[[#This Row],[Nbegin]]*TabCalc[[#This Row],[M]]*TabCalc[[#This Row],[Scale]]+TabCalc[[#This Row],[ValueBegin]]</f>
        <v>-54960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-216539.38824100001</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-44559.9267005734</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46002.876155022655</v>
      </c>
      <c r="BU15" s="173">
        <f ca="1">(TabCalc[[#This Row],[ValueBegin]]+(TabCalc[[#This Row],[M]]-TabCalc[[#This Row],[A]])*TabCalc[[#This Row],[NAfter]])*TabCalc[[#This Row],[Scale]]</f>
        <v>-216595.37193609399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24.628063906000001</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80.83</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24.628063906000001</v>
      </c>
      <c r="DD15" s="88">
        <f ca="1">IFERROR((TabCalc[[#This Row],[M]]+TabCalc[[#This Row],[L_Bp]])/ABS(TabCalc[[#This Row],[L_Bp]])/(TODAY()-TabCalc[[#This Row],[L_Bdate]])*360,"")</f>
        <v>0.50031624770626459</v>
      </c>
      <c r="DE15" s="308">
        <f ca="1">MEDIAN(DataShift!F715:Z715)</f>
        <v>-4.5859999999999998E-4</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161660</v>
      </c>
      <c r="DH15" s="85" cm="1">
        <f t="array" aca="1" ref="DH15" ca="1">SUMPRODUCT(ISNUMBER(INDIRECT("TabReg["&amp;TabCalc[[#This Row],[Ticker]]&amp;"2]"))* INDIRECT("TabReg["&amp;TabCalc[[#This Row],[Ticker]]&amp;"1]") * INDIRECT("TabReg["&amp;TabCalc[[#This Row],[Ticker]]&amp;"2]") )*TabCalc[[#This Row],[Scale]]</f>
        <v>-44524.565000000002</v>
      </c>
      <c r="DK15" s="85">
        <f ca="1"/>
        <v>643600</v>
      </c>
      <c r="DL15" s="88">
        <f t="shared" ca="1" si="2"/>
        <v>0.45541905416606687</v>
      </c>
      <c r="DM15" t="str">
        <f ca="1">_xlfn.XLOOKUP(DK15,TabCalc[Column1],TabCalc[Ticker])</f>
        <v>MVEGLE</v>
      </c>
      <c r="DN15" s="85">
        <f ca="1">_xlfn.XLOOKUP(DM15,TabCalc[Ticker],TabCalc[ValueBegin])</f>
        <v>-243167</v>
      </c>
      <c r="DO15" s="85">
        <f ca="1">_xlfn.XLOOKUP(DM15,TabCalc[Ticker],TabCalc[M_V])</f>
        <v>128372.45599999999</v>
      </c>
      <c r="DP15" s="85">
        <f ca="1">_xlfn.XLOOKUP(DM15,TabCalc[Ticker],TabCalc[GL])</f>
        <v>110742.88514439999</v>
      </c>
      <c r="DQ15" s="88"/>
      <c r="DR15" s="88"/>
      <c r="DS15" s="86" t="s">
        <v>12</v>
      </c>
      <c r="DT15" s="79">
        <v>350</v>
      </c>
      <c r="DU15" s="313">
        <v>-170.71425714285715</v>
      </c>
      <c r="DW15" s="80">
        <v>78.084999999999994</v>
      </c>
      <c r="DX15" s="80">
        <f ca="1">DW15-TabCalc[[#This Row],[M_V]]</f>
        <v>-2.5267589999999984</v>
      </c>
    </row>
    <row r="16" spans="1:128">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166574.0325</v>
      </c>
      <c r="G16" s="80">
        <f ca="1">IFERROR(TabCalc[[#This Row],[SB]]-TabCalc[[#This Row],[SST]],TabCalc[[#This Row],[SB]])</f>
        <v>85000</v>
      </c>
      <c r="H16" s="530" t="str">
        <f ca="1">[1]!RTData[[#This Row],[Ticker_Symbol]]</f>
        <v>DDD</v>
      </c>
      <c r="I16" s="381">
        <f ca="1">_xlfn.XLOOKUP(TabCalc[[#This Row],[Ticker]],[1]!RTData[Ticker_Symbol],[1]!RTData[M-Price])</f>
        <v>1.9650000000000001</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0.110169</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-0.90169752092594013</v>
      </c>
      <c r="T16" s="886">
        <f ca="1">IFERROR(SUMPRODUCT(DataShift!F1508:Z1508,DataShift!F716:Z716)/SQRT(SUMPRODUCT(DataShift!F1508:Z1508,DataShift!F1508:Z1508)*SUMPRODUCT(DataShift!F716:Z716,DataShift!F716:Z716)),0)</f>
        <v>-8.094276732995917E-2</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1097</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47">
        <f ca="1">(TabCalc[[#This Row],[M]]+TabCalc[[#This Row],[L_Bp]])/TabCalc[[#This Row],[M]]</f>
        <v>2.7989821882951734E-2</v>
      </c>
      <c r="AE16" s="209">
        <f ca="1">IFERROR(MIN(TabCalc[[#This Row],[L_B1n]],TabCalc[[#This Row],[NAfter]])*(TabCalc[[#This Row],[M]]+TabCalc[[#This Row],[L_B1p]])*TabCalc[[#This Row],[Scale]],"")</f>
        <v>-25425</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11849.999999999998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5575</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14875</v>
      </c>
      <c r="AR16" s="332">
        <f ca="1">_xlfn.LET(_xlpm.MVToday,DataShift!AV516,         _xlpm.MVY,DataShift!AU517,        _xlpm.MVYY, DataShift!AT517,                                IF(_xlpm.MVToday=_xlpm.MVY,_xlpm.MVY-_xlpm.MVYY,_xlpm.MVToday-_xlpm.MVY))</f>
        <v>78975.359240999984</v>
      </c>
      <c r="AS16" s="332">
        <f ca="1">_xlfn.LET(_xlpm.MVToday,DataShift!AV516,         _xlpm.MVY,DataShift!AU517,        _xlpm.MVYY, DataShift!AT517,         _xlpm.MVYYY, DataShift!AS517,                      IF(_xlpm.MVToday=_xlpm.MVY,      _xlpm.MVYY-_xlpm.MVYYY,          _xlpm.MVY-_xlpm.MVYY))</f>
        <v>1.8350319999999982</v>
      </c>
      <c r="AT16" s="969">
        <f ca="1">TabCalc[[#This Row],[Y]]/TabCalc[[#This Row],[M]]</f>
        <v>1.8447837150127226</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-0.64217544967974016</v>
      </c>
      <c r="AZ16" s="80">
        <f t="shared" ca="1" si="1"/>
        <v>0</v>
      </c>
      <c r="BA16" s="88">
        <f ca="1">_xlfn.XLOOKUP(TabCalc[[#This Row],[Ticker]],[1]!RTData[Ticker_Symbol],[1]!RTData[V/VA])</f>
        <v>1.5342978323128995</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1.5342978323128995</v>
      </c>
      <c r="BD16" s="85" cm="1">
        <f t="array" aca="1" ref="BD16" ca="1">INDEX(TabReg[], 1, _xlfn.XMATCH(TabCalc[[#This Row],[Ticker]]&amp;1, TabReg[#Headers], 0))</f>
        <v>40000</v>
      </c>
      <c r="BE16" s="157">
        <f ca="1">TabCalc[[#This Row],[Nbegin]]*TabCalc[[#This Row],[M]]*TabCalc[[#This Row],[Scale]]+TabCalc[[#This Row],[ValueBegin]]</f>
        <v>-335795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-247820.9675</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-347806.35768449999</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8.39</v>
      </c>
      <c r="BS16" s="172" t="str">
        <f ca="1">IF(TabCalc[[#This Row],[EfCost]]+TabCalc[[#This Row],[M_V]]&lt;TabCalc[[#This Row],[NoT_GL]],"Pile","")</f>
        <v>Pile</v>
      </c>
      <c r="BT16" s="163">
        <f ca="1">_xlfn.XLOOKUP(TabCalc[[#This Row],[Ticker]],[1]!RTData[Ticker_Symbol],[1]!RTData[Last trade time])</f>
        <v>46002.876046238278</v>
      </c>
      <c r="BU16" s="173">
        <f ca="1">(TabCalc[[#This Row],[ValueBegin]]+(TabCalc[[#This Row],[M]]-TabCalc[[#This Row],[A]])*TabCalc[[#This Row],[NAfter]])*TabCalc[[#This Row],[Scale]]</f>
        <v>-501930.13999999996</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-87535.13999999997</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4219.4092827004224</v>
      </c>
      <c r="CX16" s="402">
        <f ca="1">IF(TabCalc[[#This Row],[ntoBuy]]*TabCalc[[#This Row],[M]]&lt;=0,0,TabCalc[[#This Row],[ntoBuy]]*TabCalc[[#This Row],[M]])</f>
        <v>8291.1392405063307</v>
      </c>
      <c r="CY16" s="402">
        <f ca="1">IF(TabCalc[[#This Row],[M]]&gt;ABS(TabCalc[[#This Row],[L_Bp]]),MIN(TabCalc[[#This Row],[NAfter]],DesiredSaleGain/(TabCalc[[#This Row],[M]]+TabCalc[[#This Row],[L_Bp]])),0)/TabCalc[[#This Row],[Scale]]</f>
        <v>85000</v>
      </c>
      <c r="CZ16" s="403">
        <f ca="1">TabCalc[[#This Row],[ntoSell]]*TabCalc[[#This Row],[M]]</f>
        <v>167025</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-87535.13999999997</v>
      </c>
      <c r="DD16" s="88">
        <f ca="1">IFERROR((TabCalc[[#This Row],[M]]+TabCalc[[#This Row],[L_Bp]])/ABS(TabCalc[[#This Row],[L_Bp]])/(TODAY()-TabCalc[[#This Row],[L_Bdate]])*360,"")</f>
        <v>4.8898547861306083E-2</v>
      </c>
      <c r="DE16" s="308">
        <f ca="1">MEDIAN(DataShift!F716:Z716)</f>
        <v>2.2880000000000001E-3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78600</v>
      </c>
      <c r="DH16" s="85" cm="1">
        <f t="array" aca="1" ref="DH16" ca="1">SUMPRODUCT(ISNUMBER(INDIRECT("TabReg["&amp;TabCalc[[#This Row],[Ticker]]&amp;"2]"))* INDIRECT("TabReg["&amp;TabCalc[[#This Row],[Ticker]]&amp;"1]") * INDIRECT("TabReg["&amp;TabCalc[[#This Row],[Ticker]]&amp;"2]") )*TabCalc[[#This Row],[Scale]]</f>
        <v>-512614.5</v>
      </c>
      <c r="DK16" s="85">
        <f ca="1"/>
        <v>609840</v>
      </c>
      <c r="DL16" s="88">
        <f t="shared" ca="1" si="2"/>
        <v>4.9049284131000004</v>
      </c>
      <c r="DM16" t="str">
        <f ca="1">_xlfn.XLOOKUP(DK16,TabCalc[Column1],TabCalc[Ticker])</f>
        <v>TSM</v>
      </c>
      <c r="DN16" s="85">
        <f ca="1">_xlfn.XLOOKUP(DM16,TabCalc[Ticker],TabCalc[ValueBegin])</f>
        <v>-200000</v>
      </c>
      <c r="DO16" s="85">
        <f ca="1">_xlfn.XLOOKUP(DM16,TabCalc[Ticker],TabCalc[M_V])</f>
        <v>1368435.2220000001</v>
      </c>
      <c r="DP16" s="85">
        <f ca="1">_xlfn.XLOOKUP(DM16,TabCalc[Ticker],TabCalc[GL])</f>
        <v>980985.68262000009</v>
      </c>
      <c r="DQ16" s="88"/>
      <c r="DR16" s="88"/>
      <c r="DS16" s="86" t="s">
        <v>13</v>
      </c>
      <c r="DT16" s="79">
        <v>250</v>
      </c>
      <c r="DU16" s="313">
        <v>-1</v>
      </c>
      <c r="DW16" s="80">
        <v>223125</v>
      </c>
      <c r="DX16" s="80">
        <f ca="1">DW16-TabCalc[[#This Row],[M_V]]</f>
        <v>56550.967499999999</v>
      </c>
    </row>
    <row r="17" spans="1:128">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111179.004</v>
      </c>
      <c r="G17" s="80">
        <f ca="1">IFERROR(TabCalc[[#This Row],[SB]]-TabCalc[[#This Row],[SST]],TabCalc[[#This Row],[SB]])</f>
        <v>1000</v>
      </c>
      <c r="H17" s="530" t="str">
        <f ca="1">[1]!RTData[[#This Row],[Ticker_Symbol]]</f>
        <v>DIS</v>
      </c>
      <c r="I17" s="381">
        <f ca="1">_xlfn.XLOOKUP(TabCalc[[#This Row],[Ticker]],[1]!RTData[Ticker_Symbol],[1]!RTData[M-Price])</f>
        <v>111.48</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2.435E-2</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-0.9219398118801615</v>
      </c>
      <c r="T17" s="886">
        <f ca="1">IFERROR(SUMPRODUCT(DataShift!F1509:Z1509,DataShift!F717:Z717)/SQRT(SUMPRODUCT(DataShift!F1509:Z1509,DataShift!F1509:Z1509)*SUMPRODUCT(DataShift!F717:Z717,DataShift!F717:Z717)),0)</f>
        <v>2.4351407383783684E-2</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-3525</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47">
        <f ca="1">(TabCalc[[#This Row],[M]]+TabCalc[[#This Row],[L_Bp]])/TabCalc[[#This Row],[M]]</f>
        <v>-3.9625941872981608E-2</v>
      </c>
      <c r="AE17" s="209">
        <f ca="1">IFERROR(MIN(TabCalc[[#This Row],[L_B1n]],TabCalc[[#This Row],[NAfter]])*(TabCalc[[#This Row],[M]]+TabCalc[[#This Row],[L_B1p]])*TabCalc[[#This Row],[Scale]],"")</f>
        <v>1760.0000000000023</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6319.9999999999927</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2368.0000000000009</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2360</v>
      </c>
      <c r="AR17" s="332">
        <f ca="1">_xlfn.LET(_xlpm.MVToday,DataShift!AV517,         _xlpm.MVY,DataShift!AU518,        _xlpm.MVYY, DataShift!AT518,                                IF(_xlpm.MVToday=_xlpm.MVY,_xlpm.MVY-_xlpm.MVYY,_xlpm.MVToday-_xlpm.MVY))</f>
        <v>-166493.42074100001</v>
      </c>
      <c r="AS17" s="332">
        <f ca="1">_xlfn.LET(_xlpm.MVToday,DataShift!AV517,         _xlpm.MVY,DataShift!AU518,        _xlpm.MVYY, DataShift!AT518,         _xlpm.MVYYY, DataShift!AS518,                      IF(_xlpm.MVToday=_xlpm.MVY,      _xlpm.MVYY-_xlpm.MVYYY,          _xlpm.MVY-_xlpm.MVYY))</f>
        <v>16530.247499999998</v>
      </c>
      <c r="AT17" s="969">
        <f ca="1">TabCalc[[#This Row],[Y]]/TabCalc[[#This Row],[M]]</f>
        <v>1.1885860243989952</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-0.6290640348554718</v>
      </c>
      <c r="AZ17" s="80">
        <f t="shared" ca="1" si="1"/>
        <v>0</v>
      </c>
      <c r="BA17" s="88">
        <f ca="1">_xlfn.XLOOKUP(TabCalc[[#This Row],[Ticker]],[1]!RTData[Ticker_Symbol],[1]!RTData[V/VA])</f>
        <v>0.95490146509038409</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0.95490146509038409</v>
      </c>
      <c r="BD17" s="85" cm="1">
        <f t="array" aca="1" ref="BD17" ca="1">INDEX(TabReg[], 1, _xlfn.XMATCH(TabCalc[[#This Row],[Ticker]]&amp;1, TabReg[#Headers], 0))</f>
        <v>350</v>
      </c>
      <c r="BE17" s="157">
        <f ca="1">TabCalc[[#This Row],[Nbegin]]*TabCalc[[#This Row],[M]]*TabCalc[[#This Row],[Scale]]+TabCalc[[#This Row],[ValueBegin]]</f>
        <v>-20731.990000000005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51429.013999999996</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18954.013058399956</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149.69</v>
      </c>
      <c r="BS17" s="172" t="str">
        <f ca="1">IF(TabCalc[[#This Row],[EfCost]]+TabCalc[[#This Row],[M_V]]&lt;TabCalc[[#This Row],[NoT_GL]],"Pile","")</f>
        <v/>
      </c>
      <c r="BT17" s="163">
        <f ca="1">_xlfn.XLOOKUP(TabCalc[[#This Row],[Ticker]],[1]!RTData[Ticker_Symbol],[1]!RTData[Last trade time])</f>
        <v>46002.876101110938</v>
      </c>
      <c r="BU17" s="173">
        <f ca="1">(TabCalc[[#This Row],[ValueBegin]]+(TabCalc[[#This Row],[M]]-TabCalc[[#This Row],[A]])*TabCalc[[#This Row],[NAfter]])*TabCalc[[#This Row],[Scale]]</f>
        <v>-63141.882399999995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-3391.8923999999888</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632.91139240506402</v>
      </c>
      <c r="CX17" s="402">
        <f ca="1">IF(TabCalc[[#This Row],[ntoBuy]]*TabCalc[[#This Row],[M]]&lt;=0,0,TabCalc[[#This Row],[ntoBuy]]*TabCalc[[#This Row],[M]])</f>
        <v>70556.962025316534</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-3391.8923999999888</v>
      </c>
      <c r="DD17" s="88">
        <f ca="1">IFERROR((TabCalc[[#This Row],[M]]+TabCalc[[#This Row],[L_Bp]])/ABS(TabCalc[[#This Row],[L_Bp]])/(TODAY()-TabCalc[[#This Row],[L_Bdate]])*360,"")</f>
        <v>-0.14914790711807721</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39018</v>
      </c>
      <c r="DH17" s="85" cm="1">
        <f t="array" aca="1" ref="DH17" ca="1">SUMPRODUCT(ISNUMBER(INDIRECT("TabReg["&amp;TabCalc[[#This Row],[Ticker]]&amp;"2]"))* INDIRECT("TabReg["&amp;TabCalc[[#This Row],[Ticker]]&amp;"1]") * INDIRECT("TabReg["&amp;TabCalc[[#This Row],[Ticker]]&amp;"2]") )*TabCalc[[#This Row],[Scale]]</f>
        <v>-91697.512000000046</v>
      </c>
      <c r="DK17" s="85">
        <f ca="1"/>
        <v>470450</v>
      </c>
      <c r="DL17" s="88">
        <f t="shared" ca="1" si="2"/>
        <v>2.2322490602307781</v>
      </c>
      <c r="DM17" t="str">
        <f ca="1">_xlfn.XLOOKUP(DK17,TabCalc[Column1],TabCalc[Ticker])</f>
        <v>ASML</v>
      </c>
      <c r="DN17" s="85">
        <f ca="1">_xlfn.XLOOKUP(DM17,TabCalc[Ticker],TabCalc[ValueBegin])</f>
        <v>-448050</v>
      </c>
      <c r="DO17" s="85">
        <f ca="1">_xlfn.XLOOKUP(DM17,TabCalc[Ticker],TabCalc[M_V])</f>
        <v>2627406.7960000001</v>
      </c>
      <c r="DP17" s="85">
        <f ca="1">_xlfn.XLOOKUP(DM17,TabCalc[Ticker],TabCalc[GL])</f>
        <v>1000159.1914364002</v>
      </c>
      <c r="DQ17" s="88"/>
      <c r="DR17" s="88"/>
      <c r="DS17" s="86" t="s">
        <v>14</v>
      </c>
      <c r="DT17" s="79">
        <v>1000</v>
      </c>
      <c r="DU17" s="313">
        <v>-80.2</v>
      </c>
      <c r="DW17" s="80">
        <v>111470</v>
      </c>
      <c r="DX17" s="80">
        <f ca="1">DW17-TabCalc[[#This Row],[M_V]]</f>
        <v>290.99599999999919</v>
      </c>
    </row>
    <row r="18" spans="1:128">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92270.195999999996</v>
      </c>
      <c r="G18" s="80">
        <f ca="1">IFERROR(TabCalc[[#This Row],[SB]]-TabCalc[[#This Row],[SST]],TabCalc[[#This Row],[SB]])</f>
        <v>4000</v>
      </c>
      <c r="H18" s="530" t="str">
        <f ca="1">[1]!RTData[[#This Row],[Ticker_Symbol]]</f>
        <v>DSY</v>
      </c>
      <c r="I18" s="381">
        <f ca="1">_xlfn.XLOOKUP(TabCalc[[#This Row],[Ticker]],[1]!RTData[Ticker_Symbol],[1]!RTData[M-Price])</f>
        <v>23.13</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4.7780000000000001E-3</v>
      </c>
      <c r="N18" s="1041">
        <v>0</v>
      </c>
      <c r="O18" s="886">
        <f>TabCalc[[#This Row],[Up20]]-1+TabCalc[[#This Row],[Up20]]</f>
        <v>-1</v>
      </c>
      <c r="P18" s="886">
        <f>TabCalc[[#This Row],[Up20]]-TabCalc[[#This Row],[Up150]]</f>
        <v>-0.75</v>
      </c>
      <c r="Q18" s="886">
        <v>0.75</v>
      </c>
      <c r="R18" s="886">
        <f>TabCalc[[#This Row],[Up150]]-1+TabCalc[[#This Row],[Up150]]</f>
        <v>0.5</v>
      </c>
      <c r="S18" s="886">
        <f ca="1">IFERROR(SUMPRODUCT(DataShift!F1510:Z1510,DataShift!AB717:AV717)/SQRT(SUMPRODUCT(DataShift!F1510:Z1510,DataShift!F1510:Z1510)*SUMPRODUCT(DataShift!AB717:AV717,DataShift!AB717:AV717)),0)</f>
        <v>-0.91418624551443939</v>
      </c>
      <c r="T18" s="886">
        <f ca="1">IFERROR(SUMPRODUCT(DataShift!F1510:Z1510,DataShift!F718:Z718)/SQRT(SUMPRODUCT(DataShift!F1510:Z1510,DataShift!F1510:Z1510)*SUMPRODUCT(DataShift!F718:Z718,DataShift!F718:Z718)),0)</f>
        <v>-0.15741014152848967</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-7002</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47">
        <f ca="1">(TabCalc[[#This Row],[M]]+TabCalc[[#This Row],[L_Bp]])/TabCalc[[#This Row],[M]]</f>
        <v>-0.15175097276264599</v>
      </c>
      <c r="AE18" s="209">
        <f ca="1">IFERROR(MIN(TabCalc[[#This Row],[L_B1n]],TabCalc[[#This Row],[NAfter]])*(TabCalc[[#This Row],[M]]+TabCalc[[#This Row],[L_B1p]])*TabCalc[[#This Row],[Scale]],"")</f>
        <v>-3910</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12020.000000000004</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7779.9999999999991</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920</v>
      </c>
      <c r="AR18" s="332">
        <f ca="1">_xlfn.LET(_xlpm.MVToday,DataShift!AV518,         _xlpm.MVY,DataShift!AU519,        _xlpm.MVYY, DataShift!AT519,                                IF(_xlpm.MVToday=_xlpm.MVY,_xlpm.MVY-_xlpm.MVYY,_xlpm.MVToday-_xlpm.MVY))</f>
        <v>55395.0285</v>
      </c>
      <c r="AS18" s="332">
        <f ca="1">_xlfn.LET(_xlpm.MVToday,DataShift!AV518,         _xlpm.MVY,DataShift!AU519,        _xlpm.MVYY, DataShift!AT519,         _xlpm.MVYYY, DataShift!AS519,                      IF(_xlpm.MVToday=_xlpm.MVY,      _xlpm.MVYY-_xlpm.MVYYY,          _xlpm.MVY-_xlpm.MVYY))</f>
        <v>2642.8450000000012</v>
      </c>
      <c r="AT18" s="969">
        <f ca="1">TabCalc[[#This Row],[Y]]/TabCalc[[#This Row],[M]]</f>
        <v>1.368593169044531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-0.84633657955224328</v>
      </c>
      <c r="AZ18" s="80">
        <f t="shared" ca="1" si="1"/>
        <v>0</v>
      </c>
      <c r="BA18" s="88">
        <f ca="1">_xlfn.XLOOKUP(TabCalc[[#This Row],[Ticker]],[1]!RTData[Ticker_Symbol],[1]!RTData[V/VA])</f>
        <v>1.1231597996094751</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1.1231597996094751</v>
      </c>
      <c r="BD18" s="85" cm="1">
        <f t="array" aca="1" ref="BD18" ca="1">INDEX(TabReg[], 1, _xlfn.XMATCH(TabCalc[[#This Row],[Ticker]]&amp;1, TabReg[#Headers], 0))</f>
        <v>250</v>
      </c>
      <c r="BE18" s="157">
        <f ca="1">TabCalc[[#This Row],[Nbegin]]*TabCalc[[#This Row],[M]]*TabCalc[[#This Row],[Scale]]+TabCalc[[#This Row],[ValueBegin]]</f>
        <v>5532.5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92020.195999999996</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-14092.502248800069</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40.69</v>
      </c>
      <c r="BS18" s="172" t="str">
        <f ca="1">IF(TabCalc[[#This Row],[EfCost]]+TabCalc[[#This Row],[M_V]]&lt;TabCalc[[#This Row],[NoT_GL]],"Pile","")</f>
        <v>Pile</v>
      </c>
      <c r="BT18" s="163">
        <f ca="1">_xlfn.XLOOKUP(TabCalc[[#This Row],[Ticker]],[1]!RTData[Ticker_Symbol],[1]!RTData[Last trade time])</f>
        <v>46002.708333333336</v>
      </c>
      <c r="BU18" s="173">
        <f ca="1">(TabCalc[[#This Row],[ValueBegin]]+(TabCalc[[#This Row],[M]]-TabCalc[[#This Row],[A]])*TabCalc[[#This Row],[NAfter]])*TabCalc[[#This Row],[Scale]]</f>
        <v>-28332.753999999994</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-28082.753999999994</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831.94675540765365</v>
      </c>
      <c r="CX18" s="402">
        <f ca="1">IF(TabCalc[[#This Row],[ntoBuy]]*TabCalc[[#This Row],[M]]&lt;=0,0,TabCalc[[#This Row],[ntoBuy]]*TabCalc[[#This Row],[M]])</f>
        <v>19242.928452579028</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-28082.753999999994</v>
      </c>
      <c r="DD18" s="88">
        <f ca="1">IFERROR((TabCalc[[#This Row],[M]]+TabCalc[[#This Row],[L_Bp]])/ABS(TabCalc[[#This Row],[L_Bp]])/(TODAY()-TabCalc[[#This Row],[L_Bdate]])*360,"")</f>
        <v>-0.39859186918010464</v>
      </c>
      <c r="DE18" s="308">
        <f ca="1">MEDIAN(DataShift!F718:Z718)</f>
        <v>1.1620000000000001E-3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5782.5</v>
      </c>
      <c r="DH18" s="85" cm="1">
        <f t="array" aca="1" ref="DH18" ca="1">SUMPRODUCT(ISNUMBER(INDIRECT("TabReg["&amp;TabCalc[[#This Row],[Ticker]]&amp;"2]"))* INDIRECT("TabReg["&amp;TabCalc[[#This Row],[Ticker]]&amp;"1]") * INDIRECT("TabReg["&amp;TabCalc[[#This Row],[Ticker]]&amp;"2]") )*TabCalc[[#This Row],[Scale]]</f>
        <v>-105847.59200000006</v>
      </c>
      <c r="DK18" s="85">
        <f ca="1"/>
        <v>470450</v>
      </c>
      <c r="DL18" s="88">
        <f t="shared" ca="1" si="2"/>
        <v>2.2322490602307781</v>
      </c>
      <c r="DM18" t="str">
        <f ca="1">_xlfn.XLOOKUP(DK18,TabCalc[Column1],TabCalc[Ticker])</f>
        <v>ASML</v>
      </c>
      <c r="DN18" s="85">
        <f ca="1">_xlfn.XLOOKUP(DM18,TabCalc[Ticker],TabCalc[ValueBegin])</f>
        <v>-448050</v>
      </c>
      <c r="DO18" s="85">
        <f ca="1">_xlfn.XLOOKUP(DM18,TabCalc[Ticker],TabCalc[M_V])</f>
        <v>2627406.7960000001</v>
      </c>
      <c r="DP18" s="85">
        <f ca="1">_xlfn.XLOOKUP(DM18,TabCalc[Ticker],TabCalc[GL])</f>
        <v>1000159.1914364002</v>
      </c>
      <c r="DQ18" s="88"/>
      <c r="DR18" s="88"/>
      <c r="DS18" s="86" t="s">
        <v>15</v>
      </c>
      <c r="DT18" s="79">
        <v>1889</v>
      </c>
      <c r="DU18" s="313">
        <v>-46.62</v>
      </c>
      <c r="DW18" s="80">
        <v>96160</v>
      </c>
      <c r="DX18" s="80">
        <f ca="1">DW18-TabCalc[[#This Row],[M_V]]</f>
        <v>3889.8040000000037</v>
      </c>
    </row>
    <row r="19" spans="1:128">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168028.09589999999</v>
      </c>
      <c r="G19" s="80">
        <f ca="1">IFERROR(TabCalc[[#This Row],[SB]]-TabCalc[[#This Row],[SST]],TabCalc[[#This Row],[SB]])</f>
        <v>1400</v>
      </c>
      <c r="H19" s="530" t="str">
        <f ca="1">[1]!RTData[[#This Row],[Ticker_Symbol]]</f>
        <v>DVA</v>
      </c>
      <c r="I19" s="381">
        <f ca="1">_xlfn.XLOOKUP(TabCalc[[#This Row],[Ticker]],[1]!RTData[Ticker_Symbol],[1]!RTData[M-Price])</f>
        <v>120.345</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1.4029E-2</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-0.38288285944894701</v>
      </c>
      <c r="T19" s="886">
        <f ca="1">IFERROR(SUMPRODUCT(DataShift!F1511:Z1511,DataShift!F719:Z719)/SQRT(SUMPRODUCT(DataShift!F1511:Z1511,DataShift!F1511:Z1511)*SUMPRODUCT(DataShift!F719:Z719,DataShift!F719:Z719)),0)</f>
        <v>5.9225119557749249E-2</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286</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47">
        <f ca="1">(TabCalc[[#This Row],[M]]+TabCalc[[#This Row],[L_Bp]])/TabCalc[[#This Row],[M]]</f>
        <v>1.703435954962801E-3</v>
      </c>
      <c r="AE19" s="209">
        <f ca="1">IFERROR(MIN(TabCalc[[#This Row],[L_B1n]],TabCalc[[#This Row],[NAfter]])*(TabCalc[[#This Row],[M]]+TabCalc[[#This Row],[L_B1p]])*TabCalc[[#This Row],[Scale]],"")</f>
        <v>2330.9999999999891</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6375.9999999999991</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4951.9999999999982</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1169</v>
      </c>
      <c r="AR19" s="332">
        <f ca="1">_xlfn.LET(_xlpm.MVToday,DataShift!AV519,         _xlpm.MVY,DataShift!AU520,        _xlpm.MVYY, DataShift!AT520,                                IF(_xlpm.MVToday=_xlpm.MVY,_xlpm.MVY-_xlpm.MVYY,_xlpm.MVToday-_xlpm.MVY))</f>
        <v>18908.808000000005</v>
      </c>
      <c r="AS19" s="332">
        <f ca="1">_xlfn.LET(_xlpm.MVToday,DataShift!AV519,         _xlpm.MVY,DataShift!AU520,        _xlpm.MVYY, DataShift!AT520,         _xlpm.MVYYY, DataShift!AS520,                      IF(_xlpm.MVToday=_xlpm.MVY,      _xlpm.MVYY-_xlpm.MVYYY,          _xlpm.MVY-_xlpm.MVYY))</f>
        <v>438.81200000000536</v>
      </c>
      <c r="AT19" s="969">
        <f ca="1">TabCalc[[#This Row],[Y]]/TabCalc[[#This Row],[M]]</f>
        <v>1.200714612156716</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Resell</v>
      </c>
      <c r="AX19" s="80">
        <f ca="1">TabCalc[[#This Row],[NAfter]]-TabCalc[[#This Row],[Nbegin]]</f>
        <v>400</v>
      </c>
      <c r="AY19" s="303">
        <f ca="1">IFERROR((TabCalc[[#This Row],[M]]-TabCalc[[#This Row],[Y]])*(TabCalc[[#This Row],[M]]-TabCalc[[#This Row],[Y]])*(TabCalc[[#This Row],[M]]-TabCalc[[#This Row],[Y]])/(TabCalc[[#This Row],[Y]]*TabCalc[[#This Row],[M]]),"")</f>
        <v>-0.81044813484616984</v>
      </c>
      <c r="AZ19" s="80">
        <f t="shared" ca="1" si="1"/>
        <v>0</v>
      </c>
      <c r="BA19" s="88">
        <f ca="1">_xlfn.XLOOKUP(TabCalc[[#This Row],[Ticker]],[1]!RTData[Ticker_Symbol],[1]!RTData[V/VA])</f>
        <v>1.0797941516982796</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1.0797941516982796</v>
      </c>
      <c r="BD19" s="85" cm="1">
        <f t="array" aca="1" ref="BD19" ca="1">INDEX(TabReg[], 1, _xlfn.XMATCH(TabCalc[[#This Row],[Ticker]]&amp;1, TabReg[#Headers], 0))</f>
        <v>1000</v>
      </c>
      <c r="BE19" s="157">
        <f ca="1">TabCalc[[#This Row],[Nbegin]]*TabCalc[[#This Row],[M]]*TabCalc[[#This Row],[Scale]]+TabCalc[[#This Row],[ValueBegin]]</f>
        <v>40145</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87828.095899999986</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37859.986344659934</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152.75</v>
      </c>
      <c r="BS19" s="172" t="str">
        <f ca="1">IF(TabCalc[[#This Row],[EfCost]]+TabCalc[[#This Row],[M_V]]&lt;TabCalc[[#This Row],[NoT_GL]],"Pile","")</f>
        <v>Pile</v>
      </c>
      <c r="BT19" s="163">
        <f ca="1">_xlfn.XLOOKUP(TabCalc[[#This Row],[Ticker]],[1]!RTData[Ticker_Symbol],[1]!RTData[Last trade time])</f>
        <v>46002.876074316409</v>
      </c>
      <c r="BU19" s="173">
        <f ca="1">(TabCalc[[#This Row],[ValueBegin]]+(TabCalc[[#This Row],[M]]-TabCalc[[#This Row],[A]])*TabCalc[[#This Row],[NAfter]])*TabCalc[[#This Row],[Scale]]</f>
        <v>-80350.309599999979</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-150.30959999998572</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1254.7051442910918</v>
      </c>
      <c r="CX19" s="402">
        <f ca="1">IF(TabCalc[[#This Row],[ntoBuy]]*TabCalc[[#This Row],[M]]&lt;=0,0,TabCalc[[#This Row],[ntoBuy]]*TabCalc[[#This Row],[M]])</f>
        <v>150997.49058971144</v>
      </c>
      <c r="CY19" s="402">
        <f ca="1">IF(TabCalc[[#This Row],[M]]&gt;ABS(TabCalc[[#This Row],[L_Bp]]),MIN(TabCalc[[#This Row],[NAfter]],DesiredSaleGain/(TabCalc[[#This Row],[M]]+TabCalc[[#This Row],[L_Bp]])),0)/TabCalc[[#This Row],[Scale]]</f>
        <v>1400</v>
      </c>
      <c r="CZ19" s="403">
        <f ca="1">TabCalc[[#This Row],[ntoSell]]*TabCalc[[#This Row],[M]]</f>
        <v>168483</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-150.30959999998572</v>
      </c>
      <c r="DD19" s="88">
        <f ca="1">IFERROR((TabCalc[[#This Row],[M]]+TabCalc[[#This Row],[L_Bp]])/ABS(TabCalc[[#This Row],[L_Bp]])/(TODAY()-TabCalc[[#This Row],[L_Bdate]])*360,"")</f>
        <v>1.9815591487350615E-2</v>
      </c>
      <c r="DE19" s="308">
        <f ca="1">MEDIAN(DataShift!F719:Z719)</f>
        <v>-4.2700000000000002E-4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120345</v>
      </c>
      <c r="DH19" s="85" cm="1">
        <f t="array" aca="1" ref="DH19" ca="1">SUMPRODUCT(ISNUMBER(INDIRECT("TabReg["&amp;TabCalc[[#This Row],[Ticker]]&amp;"2]"))* INDIRECT("TabReg["&amp;TabCalc[[#This Row],[Ticker]]&amp;"1]") * INDIRECT("TabReg["&amp;TabCalc[[#This Row],[Ticker]]&amp;"2]") )*TabCalc[[#This Row],[Scale]]</f>
        <v>-129394.81000000006</v>
      </c>
      <c r="DK19" s="85">
        <f ca="1"/>
        <v>460560</v>
      </c>
      <c r="DL19" s="88">
        <f t="shared" ca="1" si="2"/>
        <v>0.54567343399198165</v>
      </c>
      <c r="DM19" t="str">
        <f ca="1">_xlfn.XLOOKUP(DK19,TabCalc[Column1],TabCalc[Ticker])</f>
        <v>SAFAMZN</v>
      </c>
      <c r="DN19" s="85">
        <f ca="1">_xlfn.XLOOKUP(DM19,TabCalc[Ticker],TabCalc[ValueBegin])</f>
        <v>-314280</v>
      </c>
      <c r="DO19" s="85">
        <f ca="1">_xlfn.XLOOKUP(DM19,TabCalc[Ticker],TabCalc[M_V])</f>
        <v>344487.36599999998</v>
      </c>
      <c r="DP19" s="85">
        <f ca="1">_xlfn.XLOOKUP(DM19,TabCalc[Ticker],TabCalc[GL])</f>
        <v>171494.246835</v>
      </c>
      <c r="DQ19" s="88"/>
      <c r="DR19" s="88"/>
      <c r="DS19" s="86" t="s">
        <v>16</v>
      </c>
      <c r="DT19" s="79">
        <v>340000</v>
      </c>
      <c r="DU19" s="313">
        <v>-8.98</v>
      </c>
      <c r="DW19" s="80">
        <v>167958</v>
      </c>
      <c r="DX19" s="80">
        <f ca="1">DW19-TabCalc[[#This Row],[M_V]]</f>
        <v>-70.095899999985704</v>
      </c>
    </row>
    <row r="20" spans="1:128">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91193.111999999994</v>
      </c>
      <c r="G20" s="80">
        <f ca="1">IFERROR(TabCalc[[#This Row],[SB]]-TabCalc[[#This Row],[SST]],TabCalc[[#This Row],[SB]])</f>
        <v>6000</v>
      </c>
      <c r="H20" s="530" t="str">
        <f ca="1">[1]!RTData[[#This Row],[Ticker_Symbol]]</f>
        <v>DXC</v>
      </c>
      <c r="I20" s="381">
        <f ca="1">_xlfn.XLOOKUP(TabCalc[[#This Row],[Ticker]],[1]!RTData[Ticker_Symbol],[1]!RTData[M-Price])</f>
        <v>15.24</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7.9369999999999996E-3</v>
      </c>
      <c r="N20" s="1041" t="s">
        <v>2946</v>
      </c>
      <c r="O20" s="886" t="e">
        <f>TabCalc[[#This Row],[Up20]]-1+TabCalc[[#This Row],[Up20]]</f>
        <v>#VALUE!</v>
      </c>
      <c r="P20" s="886" t="e">
        <f>TabCalc[[#This Row],[Up20]]-TabCalc[[#This Row],[Up150]]</f>
        <v>#VALUE!</v>
      </c>
      <c r="Q20" s="886" t="s">
        <v>2947</v>
      </c>
      <c r="R20" s="886" t="e">
        <f>TabCalc[[#This Row],[Up150]]-1+TabCalc[[#This Row],[Up150]]</f>
        <v>#VALUE!</v>
      </c>
      <c r="S20" s="886">
        <f ca="1">IFERROR(SUMPRODUCT(DataShift!F1512:Z1512,DataShift!AB719:AV719)/SQRT(SUMPRODUCT(DataShift!F1512:Z1512,DataShift!F1512:Z1512)*SUMPRODUCT(DataShift!AB719:AV719,DataShift!AB719:AV719)),0)</f>
        <v>-0.94328898111152304</v>
      </c>
      <c r="T20" s="886">
        <f ca="1">IFERROR(SUMPRODUCT(DataShift!F1512:Z1512,DataShift!F720:Z720)/SQRT(SUMPRODUCT(DataShift!F1512:Z1512,DataShift!F1512:Z1512)*SUMPRODUCT(DataShift!F720:Z720,DataShift!F720:Z720)),0)</f>
        <v>-0.1934824478765961</v>
      </c>
      <c r="U20" s="996">
        <v>4000</v>
      </c>
      <c r="V20" s="996">
        <v>2000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-11,220 = $ -170,993</v>
      </c>
      <c r="Z20" s="209">
        <f ca="1">INT(MIN(TabCalc[[#This Row],[L_Bn]],TabCalc[[#This Row],[NAfter]])*(TabCalc[[#This Row],[M]]+TabCalc[[#This Row],[L_Bp]])*Comm_Net*TabCalc[[#This Row],[Scale]])</f>
        <v>3031</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47">
        <f ca="1">(TabCalc[[#This Row],[M]]+TabCalc[[#This Row],[L_Bp]])/TabCalc[[#This Row],[M]]</f>
        <v>4.986876640419946E-2</v>
      </c>
      <c r="AE20" s="209">
        <f ca="1">IFERROR(MIN(TabCalc[[#This Row],[L_B1n]],TabCalc[[#This Row],[NAfter]])*(TabCalc[[#This Row],[M]]+TabCalc[[#This Row],[L_B1p]])*TabCalc[[#This Row],[Scale]],"")</f>
        <v>-13309.999999999995</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20320</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16364.399999999996</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540</v>
      </c>
      <c r="AR20" s="332">
        <f ca="1">_xlfn.LET(_xlpm.MVToday,DataShift!AV520,         _xlpm.MVY,DataShift!AU521,        _xlpm.MVYY, DataShift!AT521,                                IF(_xlpm.MVToday=_xlpm.MVY,_xlpm.MVY-_xlpm.MVYY,_xlpm.MVToday-_xlpm.MVY))</f>
        <v>-75757.899899999989</v>
      </c>
      <c r="AS20" s="332">
        <f ca="1">_xlfn.LET(_xlpm.MVToday,DataShift!AV520,         _xlpm.MVY,DataShift!AU521,        _xlpm.MVYY, DataShift!AT521,         _xlpm.MVYYY, DataShift!AS521,                      IF(_xlpm.MVToday=_xlpm.MVY,      _xlpm.MVYY-_xlpm.MVYYY,          _xlpm.MVY-_xlpm.MVYY))</f>
        <v>2324.7062999999907</v>
      </c>
      <c r="AT20" s="969">
        <f ca="1">TabCalc[[#This Row],[Y]]/TabCalc[[#This Row],[M]]</f>
        <v>0.95144356955380571</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4111</v>
      </c>
      <c r="AY20" s="303">
        <f ca="1">IFERROR((TabCalc[[#This Row],[M]]-TabCalc[[#This Row],[Y]])*(TabCalc[[#This Row],[M]]-TabCalc[[#This Row],[Y]])*(TabCalc[[#This Row],[M]]-TabCalc[[#This Row],[Y]])/(TabCalc[[#This Row],[Y]]*TabCalc[[#This Row],[M]]),"")</f>
        <v>1.8337587111955851E-3</v>
      </c>
      <c r="AZ20" s="80">
        <f t="shared" ca="1" si="1"/>
        <v>0</v>
      </c>
      <c r="BA20" s="88">
        <f ca="1">_xlfn.XLOOKUP(TabCalc[[#This Row],[Ticker]],[1]!RTData[Ticker_Symbol],[1]!RTData[V/VA])</f>
        <v>1.144784804822979</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1.144784804822979</v>
      </c>
      <c r="BD20" s="85" cm="1">
        <f t="array" aca="1" ref="BD20" ca="1">INDEX(TabReg[], 1, _xlfn.XMATCH(TabCalc[[#This Row],[Ticker]]&amp;1, TabReg[#Headers], 0))</f>
        <v>1889</v>
      </c>
      <c r="BE20" s="157">
        <f ca="1">TabCalc[[#This Row],[Nbegin]]*TabCalc[[#This Row],[M]]*TabCalc[[#This Row],[Scale]]+TabCalc[[#This Row],[ValueBegin]]</f>
        <v>-59276.819999999992</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3127.9320000000007</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-36960.357173399971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31.97</v>
      </c>
      <c r="BS20" s="172" t="str">
        <f ca="1">IF(TabCalc[[#This Row],[EfCost]]+TabCalc[[#This Row],[M_V]]&lt;TabCalc[[#This Row],[NoT_GL]],"Pile","")</f>
        <v/>
      </c>
      <c r="BT20" s="163">
        <f ca="1">_xlfn.XLOOKUP(TabCalc[[#This Row],[Ticker]],[1]!RTData[Ticker_Symbol],[1]!RTData[Last trade time])</f>
        <v>46002.876041642972</v>
      </c>
      <c r="BU20" s="173">
        <f ca="1">(TabCalc[[#This Row],[ValueBegin]]+(TabCalc[[#This Row],[M]]-TabCalc[[#This Row],[A]])*TabCalc[[#This Row],[NAfter]])*TabCalc[[#This Row],[Scale]]</f>
        <v>-91927.322999999989</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-3862.1429999999996</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984.25196850393695</v>
      </c>
      <c r="CX20" s="402">
        <f ca="1">IF(TabCalc[[#This Row],[ntoBuy]]*TabCalc[[#This Row],[M]]&lt;=0,0,TabCalc[[#This Row],[ntoBuy]]*TabCalc[[#This Row],[M]])</f>
        <v>15000</v>
      </c>
      <c r="CY20" s="402">
        <f ca="1">IF(TabCalc[[#This Row],[M]]&gt;ABS(TabCalc[[#This Row],[L_Bp]]),MIN(TabCalc[[#This Row],[NAfter]],DesiredSaleGain/(TabCalc[[#This Row],[M]]+TabCalc[[#This Row],[L_Bp]])),0)/TabCalc[[#This Row],[Scale]]</f>
        <v>6000</v>
      </c>
      <c r="CZ20" s="403">
        <f ca="1">TabCalc[[#This Row],[ntoSell]]*TabCalc[[#This Row],[M]]</f>
        <v>91440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-3862.1429999999996</v>
      </c>
      <c r="DD20" s="88">
        <f ca="1">IFERROR((TabCalc[[#This Row],[M]]+TabCalc[[#This Row],[L_Bp]])/ABS(TabCalc[[#This Row],[L_Bp]])/(TODAY()-TabCalc[[#This Row],[L_Bdate]])*360,"")</f>
        <v>0.13213306030985586</v>
      </c>
      <c r="DE20" s="308">
        <f ca="1">MEDIAN(DataShift!F720:Z720)</f>
        <v>-1.5100000000000001E-3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28788.36</v>
      </c>
      <c r="DH20" s="85" cm="1">
        <f t="array" aca="1" ref="DH20" ca="1">SUMPRODUCT(ISNUMBER(INDIRECT("TabReg["&amp;TabCalc[[#This Row],[Ticker]]&amp;"2]"))* INDIRECT("TabReg["&amp;TabCalc[[#This Row],[Ticker]]&amp;"1]") * INDIRECT("TabReg["&amp;TabCalc[[#This Row],[Ticker]]&amp;"2]") )*TabCalc[[#This Row],[Scale]]</f>
        <v>-127584.64699999997</v>
      </c>
      <c r="DK20" s="85">
        <f ca="1"/>
        <v>451450.00000000006</v>
      </c>
      <c r="DL20" s="88">
        <f t="shared" ca="1" si="2"/>
        <v>0.56744453098466074</v>
      </c>
      <c r="DM20" t="str">
        <f ca="1">_xlfn.XLOOKUP(DK20,TabCalc[Column1],TabCalc[Ticker])</f>
        <v>AZN</v>
      </c>
      <c r="DN20" s="85">
        <f ca="1">_xlfn.XLOOKUP(DM20,TabCalc[Ticker],TabCalc[ValueBegin])</f>
        <v>-270550</v>
      </c>
      <c r="DO20" s="85">
        <f ca="1">_xlfn.XLOOKUP(DM20,TabCalc[Ticker],TabCalc[M_V])</f>
        <v>45023.108499999995</v>
      </c>
      <c r="DP20" s="85">
        <f ca="1">_xlfn.XLOOKUP(DM20,TabCalc[Ticker],TabCalc[GL])</f>
        <v>153522.11785789995</v>
      </c>
      <c r="DQ20" s="88"/>
      <c r="DR20" s="88"/>
      <c r="DS20" s="86" t="s">
        <v>17</v>
      </c>
      <c r="DT20" s="80">
        <v>17687</v>
      </c>
      <c r="DU20" s="313">
        <v>-5.5781000000000001</v>
      </c>
      <c r="DW20" s="80">
        <v>81300</v>
      </c>
      <c r="DX20" s="80">
        <f ca="1">DW20-TabCalc[[#This Row],[M_V]]</f>
        <v>-9893.1119999999937</v>
      </c>
    </row>
    <row r="21" spans="1:128">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374860.13750000001</v>
      </c>
      <c r="G21" s="80">
        <f ca="1">IFERROR(TabCalc[[#This Row],[SB]]-TabCalc[[#This Row],[SST]],TabCalc[[#This Row],[SB]])</f>
        <v>25000</v>
      </c>
      <c r="H21" s="530" t="str">
        <f ca="1">[1]!RTData[[#This Row],[Ticker_Symbol]]</f>
        <v>EOAN</v>
      </c>
      <c r="I21" s="381">
        <f ca="1">_xlfn.XLOOKUP(TabCalc[[#This Row],[Ticker]],[1]!RTData[Ticker_Symbol],[1]!RTData[M-Price])</f>
        <v>15.035</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-3.3119000000000003E-2</v>
      </c>
      <c r="N21" s="1041">
        <v>0</v>
      </c>
      <c r="O21" s="886">
        <f>TabCalc[[#This Row],[Up20]]-1+TabCalc[[#This Row],[Up20]]</f>
        <v>-1</v>
      </c>
      <c r="P21" s="886">
        <f>TabCalc[[#This Row],[Up20]]-TabCalc[[#This Row],[Up150]]</f>
        <v>-0.4</v>
      </c>
      <c r="Q21" s="886">
        <v>0.4</v>
      </c>
      <c r="R21" s="886">
        <f>TabCalc[[#This Row],[Up150]]-1+TabCalc[[#This Row],[Up150]]</f>
        <v>-0.19999999999999996</v>
      </c>
      <c r="S21" s="886">
        <f ca="1">IFERROR(SUMPRODUCT(DataShift!F1513:Z1513,DataShift!AB720:AV720)/SQRT(SUMPRODUCT(DataShift!F1513:Z1513,DataShift!F1513:Z1513)*SUMPRODUCT(DataShift!AB720:AV720,DataShift!AB720:AV720)),0)</f>
        <v>-0.73045276861302189</v>
      </c>
      <c r="T21" s="886">
        <f ca="1">IFERROR(SUMPRODUCT(DataShift!F1513:Z1513,DataShift!F721:Z721)/SQRT(SUMPRODUCT(DataShift!F1513:Z1513,DataShift!F1513:Z1513)*SUMPRODUCT(DataShift!F721:Z721,DataShift!F721:Z721)),0)</f>
        <v>-0.27148196332643648</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-4638</v>
      </c>
      <c r="AA21" s="206" cm="1">
        <f t="array" aca="1" ref="AA21" ca="1">_xlfn.XLOOKUP(TabCalc[[#This Row],[L_Bp]],INDIRECT("TabReg["&amp;TabCalc[[#This Row],[Ticker]]&amp;"2]"),INDIRECT("TabReg["&amp;TabCalc[[#This Row],[Ticker]]&amp;"]"))</f>
        <v>46000</v>
      </c>
      <c r="AB21" s="177" cm="1">
        <f t="array" aca="1" ref="AB21" ca="1">_xlfn.XLOOKUP(TabCalc[[#This Row],[L_Bp]],INDIRECT("TabReg["&amp;TabCalc[[#This Row],[Ticker]]&amp;"2]"),INDIRECT("TabReg["&amp;TabCalc[[#This Row],[Ticker]]&amp;"1]"))</f>
        <v>10000</v>
      </c>
      <c r="AC21" s="188" cm="1">
        <f t="array" aca="1" ref="AC21" ca="1">IFERROR(INDEX(INDIRECT("TabReg["&amp;TabCalc[[#This Row],[Ticker]]&amp;"2]"),    _xlfn.XMATCH(    MAX(    _xlfn._xlws.FILTER(INDIRECT("TabReg["&amp;TabCalc[[#This Row],[Ticker]]&amp;"]"), INDIRECT("TabReg["&amp;TabCalc[[#This Row],[Ticker]]&amp;"2]")&lt;0)     ), INDIRECT("TabReg["&amp;TabCalc[[#This Row],[Ticker]]&amp;"]"),      0)), "")</f>
        <v>-15.5</v>
      </c>
      <c r="AD21" s="1447">
        <f ca="1">(TabCalc[[#This Row],[M]]+TabCalc[[#This Row],[L_Bp]])/TabCalc[[#This Row],[M]]</f>
        <v>-3.0927835051546382E-2</v>
      </c>
      <c r="AE21" s="209">
        <f ca="1">IFERROR(MIN(TabCalc[[#This Row],[L_B1n]],TabCalc[[#This Row],[NAfter]])*(TabCalc[[#This Row],[M]]+TabCalc[[#This Row],[L_B1p]])*TabCalc[[#This Row],[Scale]],"")</f>
        <v>-14522.249999999985</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45966</v>
      </c>
      <c r="AG21" s="177" cm="1">
        <f t="array" aca="1" ref="AG21" ca="1">IFERROR(_xlfn.XLOOKUP(TabCalc[[#This Row],[L_B1D]],INDIRECT("TabReg["&amp;TabCalc[[#This Row],[Ticker]]&amp;"]"),INDIRECT("TabReg["&amp;TabCalc[[#This Row],[Ticker]]&amp;"1]")),0)</f>
        <v>14450</v>
      </c>
      <c r="AH21" s="188" cm="1">
        <f t="array" aca="1" ref="AH21" ca="1">IFERROR(_xlfn.XLOOKUP(TabCalc[[#This Row],[L_B1D]],INDIRECT("TabReg["&amp;TabCalc[[#This Row],[Ticker]]&amp;"]"),INDIRECT("TabReg["&amp;TabCalc[[#This Row],[Ticker]]&amp;"2]")),0)</f>
        <v>-16.04</v>
      </c>
      <c r="AI21" s="298">
        <f ca="1">IFERROR(TabCalc[[#This Row],[L_Sn]]*(TabCalc[[#This Row],[L_Sp]]-TabCalc[[#This Row],[M]])*TabCalc[[#This Row],[Scale]],"")</f>
        <v>3472.0000000000027</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1912.5000000000014</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-10625</v>
      </c>
      <c r="AR21" s="332">
        <f ca="1">_xlfn.LET(_xlpm.MVToday,DataShift!AV521,         _xlpm.MVY,DataShift!AU522,        _xlpm.MVYY, DataShift!AT522,                                IF(_xlpm.MVToday=_xlpm.MVY,_xlpm.MVY-_xlpm.MVYY,_xlpm.MVToday-_xlpm.MVY))</f>
        <v>76834.983899999992</v>
      </c>
      <c r="AS21" s="332">
        <f ca="1">_xlfn.LET(_xlpm.MVToday,DataShift!AV521,         _xlpm.MVY,DataShift!AU522,        _xlpm.MVYY, DataShift!AT522,         _xlpm.MVYYY, DataShift!AS522,                      IF(_xlpm.MVToday=_xlpm.MVY,      _xlpm.MVYY-_xlpm.MVYYY,          _xlpm.MVY-_xlpm.MVYY))</f>
        <v>718.05599999999686</v>
      </c>
      <c r="AT21" s="969">
        <f ca="1">TabCalc[[#This Row],[Y]]/TabCalc[[#This Row],[M]]</f>
        <v>1.126317259727303</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B_more</v>
      </c>
      <c r="AX21" s="80">
        <f ca="1">TabCalc[[#This Row],[NAfter]]-TabCalc[[#This Row],[Nbegin]]</f>
        <v>-315000</v>
      </c>
      <c r="AY21" s="303">
        <f ca="1">IFERROR((TabCalc[[#This Row],[M]]-TabCalc[[#This Row],[Y]])*(TabCalc[[#This Row],[M]]-TabCalc[[#This Row],[Y]])*(TabCalc[[#This Row],[M]]-TabCalc[[#This Row],[Y]])/(TabCalc[[#This Row],[Y]]*TabCalc[[#This Row],[M]]),"")</f>
        <v>-2.6904862707847661E-2</v>
      </c>
      <c r="AZ21" s="80">
        <f t="shared" ca="1" si="1"/>
        <v>315000</v>
      </c>
      <c r="BA21" s="88">
        <f ca="1">_xlfn.XLOOKUP(TabCalc[[#This Row],[Ticker]],[1]!RTData[Ticker_Symbol],[1]!RTData[V/VA])</f>
        <v>8.077429734486519E-3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8.077429734486519E-3</v>
      </c>
      <c r="BD21" s="85" cm="1">
        <f t="array" aca="1" ref="BD21" ca="1">INDEX(TabReg[], 1, _xlfn.XMATCH(TabCalc[[#This Row],[Ticker]]&amp;1, TabReg[#Headers], 0))</f>
        <v>340000</v>
      </c>
      <c r="BE21" s="157">
        <f ca="1">TabCalc[[#This Row],[Nbegin]]*TabCalc[[#This Row],[M]]*TabCalc[[#This Row],[Scale]]+TabCalc[[#This Row],[ValueBegin]]</f>
        <v>2058700</v>
      </c>
      <c r="BF21" s="332" t="str" cm="1">
        <f t="array" aca="1" ref="BF21" ca="1">_xlfn.IFS(TabCalc[[#This Row],[Cost+Gain]]&gt;0,"Free",             TabCalc[[#This Row],[GL]]&gt;0,"Gainer",                TRUE,"Looser")</f>
        <v>Free</v>
      </c>
      <c r="BG21" s="157">
        <f ca="1">TabCalc[[#This Row],[Tot_Paid]]-TabCalc[[#This Row],[ValueBegin]]</f>
        <v>-1061077.3807999999</v>
      </c>
      <c r="BH21" s="333">
        <f ca="1">IF(TabCalc[[#This Row],[EfCost]]&gt;TabCalc[[#This Row],[ValueBegin]],       0,        TabCalc[[#This Row],[EfCost]]-TabCalc[[#This Row],[ValueBegin]]*(1+Commission))</f>
        <v>0</v>
      </c>
      <c r="BI21" s="334">
        <f ca="1">TabCalc[[#This Row],[M_V]]+TabCalc[[#This Row],[ValueBegin]]</f>
        <v>-2678339.8624999998</v>
      </c>
      <c r="BJ21" s="157" cm="1">
        <f t="array" aca="1" ref="BJ21" ca="1">SUMPRODUCT(_xlfn._xlws.FILTER(INDIRECT("TabReg["&amp;TabCalc[[#This Row],[Ticker]]&amp;"1]") * INDIRECT("TabReg["&amp;TabCalc[[#This Row],[Ticker]]&amp;"2]"), INDIRECT("TabReg["&amp;TabCalc[[#This Row],[Ticker]]&amp;"2]")&lt;0))*(1+Commission)*TabCalc[[#This Row],[Scale]]</f>
        <v>-4114277.3807999999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773013.12209999992</v>
      </c>
      <c r="BM21" s="157">
        <f ca="1">TabCalc[[#This Row],[M_V]]*(1-Commission)+TabCalc[[#This Row],[EfCost]]</f>
        <v>1146898.6232424998</v>
      </c>
      <c r="BN21" s="157">
        <f ca="1">IF(        OR( TabCalc[[#This Row],[GL]]&gt;ABS(TabCalc[[#This Row],[EfCost]]),TabCalc[[#This Row],[NAfter]]=0),             TabCalc[[#This Row],[GL]],     0)</f>
        <v>1146898.6232424998</v>
      </c>
      <c r="BO21" s="157" cm="1">
        <f t="array" aca="1" ref="BO21" ca="1">SUMPRODUCT(_xlfn._xlws.FILTER(IF(INDIRECT("TabReg["&amp;TabCalc[[#This Row],[Ticker]]&amp;"2]") ="", 0, INDIRECT("TabReg["&amp;TabCalc[[#This Row],[Ticker]]&amp;"1]")  ),  INDIRECT("TabReg["&amp;TabCalc[[#This Row],[Ticker]]&amp;"2]") &lt; 0))</f>
        <v>419700</v>
      </c>
      <c r="BP21" s="157">
        <f ca="1">TabCalc[[#This Row],[SB]]-TabCalc[[#This Row],[Nbegin]]</f>
        <v>79700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46002.863194444442</v>
      </c>
      <c r="BU21" s="173">
        <f ca="1">(TabCalc[[#This Row],[ValueBegin]]+(TabCalc[[#This Row],[M]]-TabCalc[[#This Row],[A]])*TabCalc[[#This Row],[NAfter]])*TabCalc[[#This Row],[Scale]]</f>
        <v>-3078209.5970000001</v>
      </c>
      <c r="BV21" s="185" cm="1">
        <f t="array" aca="1" ref="BV21" ca="1">_xlfn.XLOOKUP(TabCalc[[#This Row],[Ticker]],TabReg[[#Headers],[AAPL]:[UnknownX28]],Reg!B$72:KF$72)+3</f>
        <v>37</v>
      </c>
      <c r="BW21" s="186" cm="1">
        <f t="array" aca="1" ref="BW21" ca="1">_xlfn.XLOOKUP(TabCalc[[#This Row],[Ticker]],TabReg[[#Headers],[AAPL]:[UnknownX28]],Reg!B$73:KF$73)+2</f>
        <v>57</v>
      </c>
      <c r="BX21" s="187">
        <f ca="1">IFERROR(MAX(TabCalc[[#This Row],[Max_SD]],TabCalc[[#This Row],[Max_PD]]),0)</f>
        <v>46000</v>
      </c>
      <c r="BY21" s="187" t="str" cm="1">
        <f t="array" aca="1" ref="BY21" ca="1">_xlfn.LET(_xlpm.lastTy,TabCalc[[#This Row],[L_TP]],_xlfn.IFS(_xlpm.lastTy&lt;0,"Purchase",_xlpm.lastTy&gt;0,"Sale"))</f>
        <v>Purchase</v>
      </c>
      <c r="BZ21" s="186" cm="1">
        <f t="array" aca="1" ref="BZ21" ca="1">INDEX(Reg!$A$1:$KF$73,TabCalc[[#This Row],[L_I1]],TabCalc[[#This Row],[L_I2]])</f>
        <v>10000</v>
      </c>
      <c r="CA21" s="188" cm="1">
        <f t="array" aca="1" ref="CA21" ca="1">INDEX(Reg!$A$1:$KF$73,TabCalc[[#This Row],[L_I1]],TabCalc[[#This Row],[L_I2]]+1)</f>
        <v>-15.5</v>
      </c>
      <c r="CB21" s="157">
        <f ca="1">TabCalc[[#This Row],[NAfter]]*(TabCalc[[#This Row],[M]]-IF(TabCalc[[#This Row],[E]]&gt;0,0,TabCalc[[#This Row],[A]]))</f>
        <v>-25009.59699999994</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46000</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4608.2949308755724</v>
      </c>
      <c r="CX21" s="402">
        <f ca="1">IF(TabCalc[[#This Row],[ntoBuy]]*TabCalc[[#This Row],[M]]&lt;=0,0,TabCalc[[#This Row],[ntoBuy]]*TabCalc[[#This Row],[M]])</f>
        <v>69285.714285714232</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-25009.59699999994</v>
      </c>
      <c r="DD21" s="88">
        <f ca="1">IFERROR((TabCalc[[#This Row],[M]]+TabCalc[[#This Row],[L_Bp]])/ABS(TabCalc[[#This Row],[L_Bp]])/(TODAY()-TabCalc[[#This Row],[L_Bdate]])*360,"")</f>
        <v>-5.3999999999999986</v>
      </c>
      <c r="DE21" s="308">
        <f ca="1">MEDIAN(DataShift!F721:Z721)</f>
        <v>7.9369999999999996E-3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5111900</v>
      </c>
      <c r="DH21" s="85" cm="1">
        <f t="array" aca="1" ref="DH21" ca="1">SUMPRODUCT(ISNUMBER(INDIRECT("TabReg["&amp;TabCalc[[#This Row],[Ticker]]&amp;"2]"))* INDIRECT("TabReg["&amp;TabCalc[[#This Row],[Ticker]]&amp;"1]") * INDIRECT("TabReg["&amp;TabCalc[[#This Row],[Ticker]]&amp;"2]") )*TabCalc[[#This Row],[Scale]]</f>
        <v>771008.5</v>
      </c>
      <c r="DK21" s="85">
        <f ca="1"/>
        <v>432900</v>
      </c>
      <c r="DL21" s="88">
        <f t="shared" ca="1" si="2"/>
        <v>0.10494910878176082</v>
      </c>
      <c r="DM21" t="str">
        <f ca="1">_xlfn.XLOOKUP(DK21,TabCalc[Column1],TabCalc[Ticker])</f>
        <v>MVERWE</v>
      </c>
      <c r="DN21" s="85">
        <f ca="1">_xlfn.XLOOKUP(DM21,TabCalc[Ticker],TabCalc[ValueBegin])</f>
        <v>-358800</v>
      </c>
      <c r="DO21" s="85">
        <f ca="1">_xlfn.XLOOKUP(DM21,TabCalc[Ticker],TabCalc[M_V])</f>
        <v>43.173116999999998</v>
      </c>
      <c r="DP21" s="85">
        <f ca="1">_xlfn.XLOOKUP(DM21,TabCalc[Ticker],TabCalc[GL])</f>
        <v>37655.740230895783</v>
      </c>
      <c r="DQ21" s="88"/>
      <c r="DR21" s="88"/>
      <c r="DS21" t="s">
        <v>18</v>
      </c>
      <c r="DT21" s="80">
        <v>50000</v>
      </c>
      <c r="DU21" s="313">
        <v>-9.02</v>
      </c>
      <c r="DW21" s="80">
        <v>8662.5</v>
      </c>
      <c r="DX21" s="80">
        <f ca="1">DW21-TabCalc[[#This Row],[M_V]]</f>
        <v>-366197.63750000001</v>
      </c>
    </row>
    <row r="22" spans="1:128">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-0.91890438710231992</v>
      </c>
      <c r="T22" s="886">
        <f ca="1">IFERROR(SUMPRODUCT(DataShift!F1514:Z1514,DataShift!F722:Z722)/SQRT(SUMPRODUCT(DataShift!F1514:Z1514,DataShift!F1514:Z1514)*SUMPRODUCT(DataShift!F722:Z722,DataShift!F722:Z722)),0)</f>
        <v>2.8535487115443894E-3</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47">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-283667.02549999999</v>
      </c>
      <c r="AS22" s="332">
        <f ca="1">_xlfn.LET(_xlpm.MVToday,DataShift!AV522,         _xlpm.MVY,DataShift!AU523,        _xlpm.MVYY, DataShift!AT523,         _xlpm.MVYYY, DataShift!AS523,                      IF(_xlpm.MVToday=_xlpm.MVY,      _xlpm.MVYY-_xlpm.MVYYY,          _xlpm.MVY-_xlpm.MVYY))</f>
        <v>-12840.237499999988</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-1.0059758610538709</v>
      </c>
      <c r="DE22" s="308">
        <f ca="1">MEDIAN(DataShift!F722:Z722)</f>
        <v>1.3139999999999998E-3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396350</v>
      </c>
      <c r="DL22" s="88">
        <f t="shared" ca="1" si="2"/>
        <v>0.70227275074377637</v>
      </c>
      <c r="DM22" t="str">
        <f ca="1">_xlfn.XLOOKUP(DK22,TabCalc[Column1],TabCalc[Ticker])</f>
        <v>CSCO</v>
      </c>
      <c r="DN22" s="85">
        <f ca="1">_xlfn.XLOOKUP(DM22,TabCalc[Ticker],TabCalc[ValueBegin])</f>
        <v>-198850.00000000003</v>
      </c>
      <c r="DO22" s="85">
        <f ca="1">_xlfn.XLOOKUP(DM22,TabCalc[Ticker],TabCalc[M_V])</f>
        <v>79055.97099999999</v>
      </c>
      <c r="DP22" s="85">
        <f ca="1">_xlfn.XLOOKUP(DM22,TabCalc[Ticker],TabCalc[GL])</f>
        <v>139646.93648539996</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80.626718499999996</v>
      </c>
      <c r="G23" s="80">
        <f ca="1">IFERROR(TabCalc[[#This Row],[SB]]-TabCalc[[#This Row],[SST]],TabCalc[[#This Row],[SB]])</f>
        <v>1</v>
      </c>
      <c r="H23" s="530" t="str">
        <f ca="1">[1]!RTData[[#This Row],[Ticker_Symbol]]</f>
        <v>GM</v>
      </c>
      <c r="I23" s="381">
        <f ca="1">_xlfn.XLOOKUP(TabCalc[[#This Row],[Ticker]],[1]!RTData[Ticker_Symbol],[1]!RTData[M-Price])</f>
        <v>80.844999999999999</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5.5690000000000004E-4</v>
      </c>
      <c r="N23" s="1041">
        <v>0</v>
      </c>
      <c r="O23" s="886">
        <f>TabCalc[[#This Row],[Up20]]-1+TabCalc[[#This Row],[Up20]]</f>
        <v>-1</v>
      </c>
      <c r="P23" s="886">
        <f>TabCalc[[#This Row],[Up20]]-TabCalc[[#This Row],[Up150]]</f>
        <v>-0.22222222222222221</v>
      </c>
      <c r="Q23" s="886">
        <v>0.22222222222222221</v>
      </c>
      <c r="R23" s="886">
        <f>TabCalc[[#This Row],[Up150]]-1+TabCalc[[#This Row],[Up150]]</f>
        <v>-0.55555555555555558</v>
      </c>
      <c r="S23" s="886">
        <f ca="1">IFERROR(SUMPRODUCT(DataShift!F1515:Z1515,DataShift!AB722:AV722)/SQRT(SUMPRODUCT(DataShift!F1515:Z1515,DataShift!F1515:Z1515)*SUMPRODUCT(DataShift!AB722:AV722,DataShift!AB722:AV722)),0)</f>
        <v>-0.85565983444823468</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34</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47">
        <f ca="1">(TabCalc[[#This Row],[M]]+TabCalc[[#This Row],[L_Bp]])/TabCalc[[#This Row],[M]]</f>
        <v>0.42264827756818601</v>
      </c>
      <c r="AE23" s="209">
        <f ca="1">IFERROR(MIN(TabCalc[[#This Row],[L_B1n]],TabCalc[[#This Row],[NAfter]])*(TabCalc[[#This Row],[M]]+TabCalc[[#This Row],[L_B1p]])*TabCalc[[#This Row],[Scale]],"")</f>
        <v>37.295000000000002</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-34.965000000000046</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-32879.879999999997</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0.40500000000000114</v>
      </c>
      <c r="AR23" s="332">
        <f ca="1">_xlfn.LET(_xlpm.MVToday,DataShift!AV523,         _xlpm.MVY,DataShift!AU524,        _xlpm.MVYY, DataShift!AT524,                                IF(_xlpm.MVToday=_xlpm.MVY,_xlpm.MVY-_xlpm.MVYY,_xlpm.MVToday-_xlpm.MVY))</f>
        <v>368840.43469999998</v>
      </c>
      <c r="AS23" s="332">
        <f ca="1">_xlfn.LET(_xlpm.MVToday,DataShift!AV523,         _xlpm.MVY,DataShift!AU524,        _xlpm.MVYY, DataShift!AT524,         _xlpm.MVYYY, DataShift!AS524,                      IF(_xlpm.MVToday=_xlpm.MVY,      _xlpm.MVYY-_xlpm.MVYYY,          _xlpm.MVY-_xlpm.MVYY))</f>
        <v>0</v>
      </c>
      <c r="AT23" s="969">
        <f ca="1">TabCalc[[#This Row],[Y]]/TabCalc[[#This Row],[M]]</f>
        <v>0.91866200754530269</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4.7356299319782261E-2</v>
      </c>
      <c r="AZ23" s="80">
        <f t="shared" ca="1" si="1"/>
        <v>999</v>
      </c>
      <c r="BA23" s="88">
        <f ca="1">_xlfn.XLOOKUP(TabCalc[[#This Row],[Ticker]],[1]!RTData[Ticker_Symbol],[1]!RTData[V/VA])</f>
        <v>1.0689103082554057</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1.0689103082554057</v>
      </c>
      <c r="BD23" s="85" cm="1">
        <f t="array" aca="1" ref="BD23" ca="1">INDEX(TabReg[], 1, _xlfn.XMATCH(TabCalc[[#This Row],[Ticker]]&amp;1, TabReg[#Headers], 0))</f>
        <v>1000</v>
      </c>
      <c r="BE23" s="157">
        <f ca="1">TabCalc[[#This Row],[Nbegin]]*TabCalc[[#This Row],[M]]*TabCalc[[#This Row],[Scale]]+TabCalc[[#This Row],[ValueBegin]]</f>
        <v>43445</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-37319.373281499997</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271502.06449399999</v>
      </c>
      <c r="BL23" s="157" cm="1">
        <f t="array" aca="1" ref="BL23" ca="1">SUMPRODUCT(ISNUMBER(INDIRECT("TabReg["&amp;TabCalc[[#This Row],[Ticker]]&amp;"2]"))* INDIRECT("TabReg["&amp;TabCalc[[#This Row],[Ticker]]&amp;"1]") * INDIRECT("TabReg["&amp;TabCalc[[#This Row],[Ticker]]&amp;"2]"))*TabCalc[[#This Row],[Scale]]*(1+Commission)</f>
        <v>14438.011481999998</v>
      </c>
      <c r="BM23" s="157">
        <f ca="1">TabCalc[[#This Row],[M_V]]*(1-Commission)+TabCalc[[#This Row],[EfCost]]</f>
        <v>14518.428571031898</v>
      </c>
      <c r="BN23" s="157">
        <f ca="1">IF(        OR( TabCalc[[#This Row],[GL]]&gt;ABS(TabCalc[[#This Row],[EfCost]]),TabCalc[[#This Row],[NAfter]]=0),             TabCalc[[#This Row],[GL]],     0)</f>
        <v>14518.428571031898</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46002.876132175785</v>
      </c>
      <c r="BU23" s="173">
        <f ca="1">(TabCalc[[#This Row],[ValueBegin]]+(TabCalc[[#This Row],[M]]-TabCalc[[#This Row],[A]])*TabCalc[[#This Row],[NAfter]])*TabCalc[[#This Row],[Scale]]</f>
        <v>-37365.952357599999</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34.047642400000001</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80.844999999999999</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34.047642400000001</v>
      </c>
      <c r="DD23" s="88">
        <f ca="1">IFERROR((TabCalc[[#This Row],[M]]+TabCalc[[#This Row],[L_Bp]])/ABS(TabCalc[[#This Row],[L_Bp]])/(TODAY()-TabCalc[[#This Row],[L_Bdate]])*360,"")</f>
        <v>0.53673466645047474</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80845</v>
      </c>
      <c r="DH23" s="85" cm="1">
        <f t="array" aca="1" ref="DH23" ca="1">SUMPRODUCT(ISNUMBER(INDIRECT("TabReg["&amp;TabCalc[[#This Row],[Ticker]]&amp;"2]"))* INDIRECT("TabReg["&amp;TabCalc[[#This Row],[Ticker]]&amp;"1]") * INDIRECT("TabReg["&amp;TabCalc[[#This Row],[Ticker]]&amp;"2]") )*TabCalc[[#This Row],[Scale]]</f>
        <v>14400.57</v>
      </c>
      <c r="DK23" s="85">
        <f ca="1"/>
        <v>395190</v>
      </c>
      <c r="DL23" s="88">
        <f t="shared" ca="1" si="2"/>
        <v>3.1253720385299539</v>
      </c>
      <c r="DM23" t="str">
        <f ca="1">_xlfn.XLOOKUP(DK23,TabCalc[Column1],TabCalc[Ticker])</f>
        <v>THC</v>
      </c>
      <c r="DN23" s="85">
        <f ca="1">_xlfn.XLOOKUP(DM23,TabCalc[Ticker],TabCalc[ValueBegin])</f>
        <v>-92140</v>
      </c>
      <c r="DO23" s="85">
        <f ca="1">_xlfn.XLOOKUP(DM23,TabCalc[Ticker],TabCalc[M_V])</f>
        <v>295592.24024999997</v>
      </c>
      <c r="DP23" s="85">
        <f ca="1">_xlfn.XLOOKUP(DM23,TabCalc[Ticker],TabCalc[GL])</f>
        <v>287971.77963014995</v>
      </c>
      <c r="DQ23" s="88"/>
      <c r="DR23" s="88"/>
      <c r="DS23" s="86" t="s">
        <v>20</v>
      </c>
      <c r="DT23" s="79">
        <v>12000</v>
      </c>
      <c r="DU23" s="313">
        <v>-11.16</v>
      </c>
      <c r="DW23" s="80">
        <v>668.7</v>
      </c>
      <c r="DX23" s="80">
        <f ca="1">DW23-TabCalc[[#This Row],[M_V]]</f>
        <v>588.07328150000001</v>
      </c>
    </row>
    <row r="24" spans="1:128">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347527.13639999996</v>
      </c>
      <c r="G24" s="80">
        <f ca="1">IFERROR(TabCalc[[#This Row],[SB]]-TabCalc[[#This Row],[SST]],TabCalc[[#This Row],[SB]])</f>
        <v>14200</v>
      </c>
      <c r="H24" s="530" t="str">
        <f ca="1">[1]!RTData[[#This Row],[Ticker_Symbol]]</f>
        <v>HPE</v>
      </c>
      <c r="I24" s="381">
        <f ca="1">_xlfn.XLOOKUP(TabCalc[[#This Row],[Ticker]],[1]!RTData[Ticker_Symbol],[1]!RTData[M-Price])</f>
        <v>24.54</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-2.8504000000000002E-2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-0.67813269024449141</v>
      </c>
      <c r="T24" s="886">
        <f ca="1">IFERROR(SUMPRODUCT(DataShift!F1516:Z1516,DataShift!F724:Z724)/SQRT(SUMPRODUCT(DataShift!F1516:Z1516,DataShift!F1516:Z1516)*SUMPRODUCT(DataShift!F724:Z724,DataShift!F724:Z724)),0)</f>
        <v>-0.60544910194702783</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12865</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47">
        <f ca="1">(TabCalc[[#This Row],[M]]+TabCalc[[#This Row],[L_Bp]])/TabCalc[[#This Row],[M]]</f>
        <v>0.10513447432762829</v>
      </c>
      <c r="AE24" s="209">
        <f ca="1">IFERROR(MIN(TabCalc[[#This Row],[L_B1n]],TabCalc[[#This Row],[NAfter]])*(TabCalc[[#This Row],[M]]+TabCalc[[#This Row],[L_B1p]])*TabCalc[[#This Row],[Scale]],"")</f>
        <v>3438.0000000000005</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-755.9999999999967</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1836.0000000000014</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-2272</v>
      </c>
      <c r="AR24" s="332">
        <f ca="1">_xlfn.LET(_xlpm.MVToday,DataShift!AV524,         _xlpm.MVY,DataShift!AU525,        _xlpm.MVYY, DataShift!AT525,                                IF(_xlpm.MVToday=_xlpm.MVY,_xlpm.MVY-_xlpm.MVYY,_xlpm.MVToday-_xlpm.MVY))</f>
        <v>5939.0760815000003</v>
      </c>
      <c r="AS24" s="332">
        <f ca="1">_xlfn.LET(_xlpm.MVToday,DataShift!AV524,         _xlpm.MVY,DataShift!AU525,        _xlpm.MVYY, DataShift!AT525,         _xlpm.MVYYY, DataShift!AS525,                      IF(_xlpm.MVToday=_xlpm.MVY,      _xlpm.MVYY-_xlpm.MVYYY,          _xlpm.MVY-_xlpm.MVYY))</f>
        <v>3.9891999999994709E-2</v>
      </c>
      <c r="AT24" s="969">
        <f ca="1">TabCalc[[#This Row],[Y]]/TabCalc[[#This Row],[M]]</f>
        <v>1.0753418907905461</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-9.7597240700124585E-3</v>
      </c>
      <c r="AZ24" s="80">
        <f t="shared" ca="1" si="1"/>
        <v>0</v>
      </c>
      <c r="BA24" s="88">
        <f ca="1">_xlfn.XLOOKUP(TabCalc[[#This Row],[Ticker]],[1]!RTData[Ticker_Symbol],[1]!RTData[V/VA])</f>
        <v>0.88895401902287108</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0.88895401902287108</v>
      </c>
      <c r="BD24" s="85" cm="1">
        <f t="array" aca="1" ref="BD24" ca="1">INDEX(TabReg[], 1, _xlfn.XMATCH(TabCalc[[#This Row],[Ticker]]&amp;1, TabReg[#Headers], 0))</f>
        <v>12000</v>
      </c>
      <c r="BE24" s="157">
        <f ca="1">TabCalc[[#This Row],[Nbegin]]*TabCalc[[#This Row],[M]]*TabCalc[[#This Row],[Scale]]+TabCalc[[#This Row],[ValueBegin]]</f>
        <v>160560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213607.13639999996</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200153.73184535993</v>
      </c>
      <c r="BN24" s="157">
        <f ca="1">IF(        OR( TabCalc[[#This Row],[GL]]&gt;ABS(TabCalc[[#This Row],[EfCost]]),TabCalc[[#This Row],[NAfter]]=0),             TabCalc[[#This Row],[GL]],     0)</f>
        <v>200153.73184535993</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4" s="172" t="str">
        <f ca="1">IF(TabCalc[[#This Row],[EfCost]]+TabCalc[[#This Row],[M_V]]&lt;TabCalc[[#This Row],[NoT_GL]],"Pile","")</f>
        <v/>
      </c>
      <c r="BT24" s="163">
        <f ca="1">_xlfn.XLOOKUP(TabCalc[[#This Row],[Ticker]],[1]!RTData[Ticker_Symbol],[1]!RTData[Last trade time])</f>
        <v>46002.876164363282</v>
      </c>
      <c r="BU24" s="173">
        <f ca="1">(TabCalc[[#This Row],[ValueBegin]]+(TabCalc[[#This Row],[M]]-TabCalc[[#This Row],[A]])*TabCalc[[#This Row],[NAfter]])*TabCalc[[#This Row],[Scale]]</f>
        <v>-83576.946763200016</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50343.053236799984</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0</v>
      </c>
      <c r="CX24" s="402">
        <f ca="1">IF(TabCalc[[#This Row],[ntoBuy]]*TabCalc[[#This Row],[M]]&lt;=0,0,TabCalc[[#This Row],[ntoBuy]]*TabCalc[[#This Row],[M]])</f>
        <v>0</v>
      </c>
      <c r="CY24" s="402">
        <f ca="1">IF(TabCalc[[#This Row],[M]]&gt;ABS(TabCalc[[#This Row],[L_Bp]]),MIN(TabCalc[[#This Row],[NAfter]],DesiredSaleGain/(TabCalc[[#This Row],[M]]+TabCalc[[#This Row],[L_Bp]])),0)/TabCalc[[#This Row],[Scale]]</f>
        <v>1937.9844961240324</v>
      </c>
      <c r="CZ24" s="403">
        <f ca="1">TabCalc[[#This Row],[ntoSell]]*TabCalc[[#This Row],[M]]</f>
        <v>47558.139534883754</v>
      </c>
      <c r="DA24" s="396">
        <f ca="1">_xlfn.LET(_xlpm.nToSell,IF(TabCalc[[#This Row],[M]]-TabCalc[[#This Row],[A]]&lt;=0,"",INT(DesiredSaleGain/(TabCalc[[#This Row],[M]]-IF(TabCalc[[#This Row],[E]]&gt;0,0,TabCalc[[#This Row],[A]])))),IF(_xlpm.nToSell&lt;=TabCalc[[#This Row],[NAfter]],_xlpm.nToSell,0))</f>
        <v>1410</v>
      </c>
      <c r="DB24" s="334">
        <f ca="1">IFERROR(TabCalc[[#This Row],[NMA]]*TabCalc[[#This Row],[M]],"")</f>
        <v>34601.4</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50343.053236799984</v>
      </c>
      <c r="DD24" s="88">
        <f ca="1">IFERROR((TabCalc[[#This Row],[M]]+TabCalc[[#This Row],[L_Bp]])/ABS(TabCalc[[#This Row],[L_Bp]])/(TODAY()-TabCalc[[#This Row],[L_Bdate]])*360,"")</f>
        <v>4.6994535519125655</v>
      </c>
      <c r="DE24" s="308">
        <f ca="1">MEDIAN(DataShift!F724:Z724)</f>
        <v>8.9790000000000009E-3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294480</v>
      </c>
      <c r="DH24" s="85" cm="1">
        <f t="array" aca="1" ref="DH24" ca="1">SUMPRODUCT(ISNUMBER(INDIRECT("TabReg["&amp;TabCalc[[#This Row],[Ticker]]&amp;"2]"))* INDIRECT("TabReg["&amp;TabCalc[[#This Row],[Ticker]]&amp;"1]") * INDIRECT("TabReg["&amp;TabCalc[[#This Row],[Ticker]]&amp;"2]") )*TabCalc[[#This Row],[Scale]]</f>
        <v>-146090</v>
      </c>
      <c r="DK24" s="85">
        <f ca="1"/>
        <v>376360</v>
      </c>
      <c r="DL24" s="88">
        <f t="shared" ca="1" si="2"/>
        <v>0.59377362724074811</v>
      </c>
      <c r="DM24" t="str">
        <f ca="1">_xlfn.XLOOKUP(DK24,TabCalc[Column1],TabCalc[Ticker])</f>
        <v>NFLX</v>
      </c>
      <c r="DN24" s="85">
        <f ca="1">_xlfn.XLOOKUP(DM24,TabCalc[Ticker],TabCalc[ValueBegin])</f>
        <v>-1572600</v>
      </c>
      <c r="DO24" s="85">
        <f ca="1">_xlfn.XLOOKUP(DM24,TabCalc[Ticker],TabCalc[M_V])</f>
        <v>3378094.452</v>
      </c>
      <c r="DP24" s="85">
        <f ca="1">_xlfn.XLOOKUP(DM24,TabCalc[Ticker],TabCalc[GL])</f>
        <v>933768.40619880054</v>
      </c>
      <c r="DQ24" s="88"/>
      <c r="DR24" s="88"/>
      <c r="DS24" s="86" t="s">
        <v>21</v>
      </c>
      <c r="DT24" s="79">
        <v>1000</v>
      </c>
      <c r="DU24" s="313">
        <v>-15.7</v>
      </c>
      <c r="DW24" s="80">
        <v>216935.99999999997</v>
      </c>
      <c r="DX24" s="80">
        <f ca="1">DW24-TabCalc[[#This Row],[M_V]]</f>
        <v>-130591.13639999999</v>
      </c>
    </row>
    <row r="25" spans="1:128">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228027.65849999999</v>
      </c>
      <c r="G25" s="80">
        <f ca="1">IFERROR(TabCalc[[#This Row],[SB]]-TabCalc[[#This Row],[SST]],TabCalc[[#This Row],[SB]])</f>
        <v>9000</v>
      </c>
      <c r="H25" s="530" t="str">
        <f ca="1">[1]!RTData[[#This Row],[Ticker_Symbol]]</f>
        <v>HPQ</v>
      </c>
      <c r="I25" s="381">
        <f ca="1">_xlfn.XLOOKUP(TabCalc[[#This Row],[Ticker]],[1]!RTData[Ticker_Symbol],[1]!RTData[M-Price])</f>
        <v>25.405000000000001</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8.5350000000000009E-3</v>
      </c>
      <c r="N25" s="1041">
        <v>0</v>
      </c>
      <c r="O25" s="886">
        <f>TabCalc[[#This Row],[Up20]]-1+TabCalc[[#This Row],[Up20]]</f>
        <v>-1</v>
      </c>
      <c r="P25" s="886">
        <f>TabCalc[[#This Row],[Up20]]-TabCalc[[#This Row],[Up150]]</f>
        <v>-0.8571428571428571</v>
      </c>
      <c r="Q25" s="886">
        <v>0.8571428571428571</v>
      </c>
      <c r="R25" s="886">
        <f>TabCalc[[#This Row],[Up150]]-1+TabCalc[[#This Row],[Up150]]</f>
        <v>0.71428571428571419</v>
      </c>
      <c r="S25" s="886">
        <f ca="1">IFERROR(SUMPRODUCT(DataShift!F1517:Z1517,DataShift!AB724:AV724)/SQRT(SUMPRODUCT(DataShift!F1517:Z1517,DataShift!F1517:Z1517)*SUMPRODUCT(DataShift!AB724:AV724,DataShift!AB724:AV724)),0)</f>
        <v>-0.86158459516993424</v>
      </c>
      <c r="T25" s="886">
        <f ca="1">IFERROR(SUMPRODUCT(DataShift!F1517:Z1517,DataShift!F725:Z725)/SQRT(SUMPRODUCT(DataShift!F1517:Z1517,DataShift!F1517:Z1517)*SUMPRODUCT(DataShift!F725:Z725,DataShift!F725:Z725)),0)</f>
        <v>-0.16307224389685154</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498</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47">
        <f ca="1">(TabCalc[[#This Row],[M]]+TabCalc[[#This Row],[L_Bp]])/TabCalc[[#This Row],[M]]</f>
        <v>4.9202912812438496E-3</v>
      </c>
      <c r="AE25" s="209">
        <f ca="1">IFERROR(MIN(TabCalc[[#This Row],[L_B1n]],TabCalc[[#This Row],[NAfter]])*(TabCalc[[#This Row],[M]]+TabCalc[[#This Row],[L_B1p]])*TabCalc[[#This Row],[Scale]],"")</f>
        <v>-2125</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3535</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6699.9999999999891</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2655</v>
      </c>
      <c r="AR25" s="332">
        <f ca="1">_xlfn.LET(_xlpm.MVToday,DataShift!AV525,         _xlpm.MVY,DataShift!AU526,        _xlpm.MVYY, DataShift!AT526,                                IF(_xlpm.MVToday=_xlpm.MVY,_xlpm.MVY-_xlpm.MVYY,_xlpm.MVToday-_xlpm.MVY))</f>
        <v>-347446.50968149997</v>
      </c>
      <c r="AS25" s="332">
        <f ca="1">_xlfn.LET(_xlpm.MVToday,DataShift!AV525,         _xlpm.MVY,DataShift!AU526,        _xlpm.MVYY, DataShift!AT526,         _xlpm.MVYYY, DataShift!AS526,                      IF(_xlpm.MVToday=_xlpm.MVY,      _xlpm.MVYY-_xlpm.MVYYY,          _xlpm.MVY-_xlpm.MVYY))</f>
        <v>-10338.011800000037</v>
      </c>
      <c r="AT25" s="969">
        <f ca="1">TabCalc[[#This Row],[Y]]/TabCalc[[#This Row],[M]]</f>
        <v>1.018746309781539</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Resell</v>
      </c>
      <c r="AX25" s="80">
        <f ca="1">TabCalc[[#This Row],[NAfter]]-TabCalc[[#This Row],[Nbegin]]</f>
        <v>8000</v>
      </c>
      <c r="AY25" s="303">
        <f ca="1">IFERROR((TabCalc[[#This Row],[M]]-TabCalc[[#This Row],[Y]])*(TabCalc[[#This Row],[M]]-TabCalc[[#This Row],[Y]])*(TabCalc[[#This Row],[M]]-TabCalc[[#This Row],[Y]])/(TabCalc[[#This Row],[Y]]*TabCalc[[#This Row],[M]]),"")</f>
        <v>-1.6428598612641858E-4</v>
      </c>
      <c r="AZ25" s="80">
        <f t="shared" ca="1" si="1"/>
        <v>0</v>
      </c>
      <c r="BA25" s="88">
        <f ca="1">_xlfn.XLOOKUP(TabCalc[[#This Row],[Ticker]],[1]!RTData[Ticker_Symbol],[1]!RTData[V/VA])</f>
        <v>0.75804832493027485</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0.75804832493027485</v>
      </c>
      <c r="BD25" s="85" cm="1">
        <f t="array" aca="1" ref="BD25" ca="1">INDEX(TabReg[], 1, _xlfn.XMATCH(TabCalc[[#This Row],[Ticker]]&amp;1, TabReg[#Headers], 0))</f>
        <v>1000</v>
      </c>
      <c r="BE25" s="157">
        <f ca="1">TabCalc[[#This Row],[Nbegin]]*TabCalc[[#This Row],[M]]*TabCalc[[#This Row],[Scale]]+TabCalc[[#This Row],[ValueBegin]]</f>
        <v>9705</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212327.65849999999</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41877.79752870003</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32.83</v>
      </c>
      <c r="BS25" s="172" t="str">
        <f ca="1">IF(TabCalc[[#This Row],[EfCost]]+TabCalc[[#This Row],[M_V]]&lt;TabCalc[[#This Row],[NoT_GL]],"Pile","")</f>
        <v/>
      </c>
      <c r="BT25" s="163">
        <f ca="1">_xlfn.XLOOKUP(TabCalc[[#This Row],[Ticker]],[1]!RTData[Ticker_Symbol],[1]!RTData[Last trade time])</f>
        <v>46002.876040937503</v>
      </c>
      <c r="BU25" s="173">
        <f ca="1">(TabCalc[[#This Row],[ValueBegin]]+(TabCalc[[#This Row],[M]]-TabCalc[[#This Row],[A]])*TabCalc[[#This Row],[NAfter]])*TabCalc[[#This Row],[Scale]]</f>
        <v>-19267.185999999987</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-3567.1859999999888</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1414.4271570014143</v>
      </c>
      <c r="CX25" s="402">
        <f ca="1">IF(TabCalc[[#This Row],[ntoBuy]]*TabCalc[[#This Row],[M]]&lt;=0,0,TabCalc[[#This Row],[ntoBuy]]*TabCalc[[#This Row],[M]])</f>
        <v>35933.52192362093</v>
      </c>
      <c r="CY25" s="402">
        <f ca="1">IF(TabCalc[[#This Row],[M]]&gt;ABS(TabCalc[[#This Row],[L_Bp]]),MIN(TabCalc[[#This Row],[NAfter]],DesiredSaleGain/(TabCalc[[#This Row],[M]]+TabCalc[[#This Row],[L_Bp]])),0)/TabCalc[[#This Row],[Scale]]</f>
        <v>9000</v>
      </c>
      <c r="CZ25" s="403">
        <f ca="1">TabCalc[[#This Row],[ntoSell]]*TabCalc[[#This Row],[M]]</f>
        <v>228645</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-3567.1859999999888</v>
      </c>
      <c r="DD25" s="88">
        <f ca="1">IFERROR((TabCalc[[#This Row],[M]]+TabCalc[[#This Row],[L_Bp]])/ABS(TabCalc[[#This Row],[L_Bp]])/(TODAY()-TabCalc[[#This Row],[L_Bdate]])*360,"")</f>
        <v>0.22250791139240503</v>
      </c>
      <c r="DE25" s="308">
        <f ca="1">MEDIAN(DataShift!F725:Z725)</f>
        <v>2.7369999999999998E-3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25405</v>
      </c>
      <c r="DH25" s="85" cm="1">
        <f t="array" aca="1" ref="DH25" ca="1">SUMPRODUCT(ISNUMBER(INDIRECT("TabReg["&amp;TabCalc[[#This Row],[Ticker]]&amp;"2]"))* INDIRECT("TabReg["&amp;TabCalc[[#This Row],[Ticker]]&amp;"1]") * INDIRECT("TabReg["&amp;TabCalc[[#This Row],[Ticker]]&amp;"2]") )*TabCalc[[#This Row],[Scale]]</f>
        <v>-185075.79199999996</v>
      </c>
      <c r="DK25" s="85">
        <f ca="1"/>
        <v>341124</v>
      </c>
      <c r="DL25" s="88">
        <f t="shared" ca="1" si="2"/>
        <v>0.18843198577520584</v>
      </c>
      <c r="DM25" t="str">
        <f ca="1">_xlfn.XLOOKUP(DK25,TabCalc[Column1],TabCalc[Ticker])</f>
        <v>NEE</v>
      </c>
      <c r="DN25" s="85">
        <f ca="1">_xlfn.XLOOKUP(DM25,TabCalc[Ticker],TabCalc[ValueBegin])</f>
        <v>-303902.86</v>
      </c>
      <c r="DO25" s="85">
        <f ca="1">_xlfn.XLOOKUP(DM25,TabCalc[Ticker],TabCalc[M_V])</f>
        <v>243083.11870599998</v>
      </c>
      <c r="DP25" s="85">
        <f ca="1">_xlfn.XLOOKUP(DM25,TabCalc[Ticker],TabCalc[GL])</f>
        <v>57265.019392564369</v>
      </c>
      <c r="DQ25" s="88"/>
      <c r="DR25" s="88"/>
      <c r="DS25" s="86" t="s">
        <v>22</v>
      </c>
      <c r="DT25" s="79">
        <v>500000</v>
      </c>
      <c r="DU25" s="313">
        <v>-157</v>
      </c>
      <c r="DW25" s="80">
        <v>129725</v>
      </c>
      <c r="DX25" s="80">
        <f ca="1">DW25-TabCalc[[#This Row],[M_V]]</f>
        <v>-98302.65849999999</v>
      </c>
    </row>
    <row r="26" spans="1:128">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396526.48</v>
      </c>
      <c r="G26" s="80">
        <f ca="1">IFERROR(TabCalc[[#This Row],[SB]]-TabCalc[[#This Row],[SST]],TabCalc[[#This Row],[SB]])</f>
        <v>100000</v>
      </c>
      <c r="H26" s="530" t="str">
        <f ca="1">[1]!RTData[[#This Row],[Ticker_Symbol]]</f>
        <v>IAG</v>
      </c>
      <c r="I26" s="381">
        <f ca="1">_xlfn.XLOOKUP(TabCalc[[#This Row],[Ticker]],[1]!RTData[Ticker_Symbol],[1]!RTData[M-Price])</f>
        <v>397.6</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3.1120000000000002E-2</v>
      </c>
      <c r="N26" s="1041">
        <v>0</v>
      </c>
      <c r="O26" s="886">
        <f>TabCalc[[#This Row],[Up20]]-1+TabCalc[[#This Row],[Up20]]</f>
        <v>-1</v>
      </c>
      <c r="P26" s="886">
        <f>TabCalc[[#This Row],[Up20]]-TabCalc[[#This Row],[Up150]]</f>
        <v>-0.52380952380952384</v>
      </c>
      <c r="Q26" s="886">
        <v>0.52380952380952384</v>
      </c>
      <c r="R26" s="886">
        <f>TabCalc[[#This Row],[Up150]]-1+TabCalc[[#This Row],[Up150]]</f>
        <v>4.7619047619047672E-2</v>
      </c>
      <c r="S26" s="886">
        <f ca="1">IFERROR(SUMPRODUCT(DataShift!F1518:Z1518,DataShift!AB725:AV725)/SQRT(SUMPRODUCT(DataShift!F1518:Z1518,DataShift!F1518:Z1518)*SUMPRODUCT(DataShift!AB725:AV725,DataShift!AB725:AV725)),0)</f>
        <v>-0.90356246091399062</v>
      </c>
      <c r="T26" s="886">
        <f ca="1">IFERROR(SUMPRODUCT(DataShift!F1518:Z1518,DataShift!F726:Z726)/SQRT(SUMPRODUCT(DataShift!F1518:Z1518,DataShift!F1518:Z1518)*SUMPRODUCT(DataShift!F726:Z726,DataShift!F726:Z726)),0)</f>
        <v>-0.27500207755241191</v>
      </c>
      <c r="U26" s="996">
        <v>100000</v>
      </c>
      <c r="V26" s="996">
        <v>0</v>
      </c>
      <c r="W26" s="996">
        <v>0</v>
      </c>
      <c r="X26" s="886"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2233</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47">
        <f ca="1">(TabCalc[[#This Row],[M]]+TabCalc[[#This Row],[L_Bp]])/TabCalc[[#This Row],[M]]</f>
        <v>5.6338028169014169E-2</v>
      </c>
      <c r="AE26" s="209">
        <f ca="1">IFERROR(MIN(TabCalc[[#This Row],[L_B1n]],TabCalc[[#This Row],[NAfter]])*(TabCalc[[#This Row],[M]]+TabCalc[[#This Row],[L_B1p]])*TabCalc[[#This Row],[Scale]],"")</f>
        <v>29717.600000000006</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40.999999999996817</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159.99999999999659</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8700</v>
      </c>
      <c r="AR26" s="332">
        <f ca="1">_xlfn.LET(_xlpm.MVToday,DataShift!AV526,         _xlpm.MVY,DataShift!AU527,        _xlpm.MVYY, DataShift!AT527,                                IF(_xlpm.MVToday=_xlpm.MVY,_xlpm.MVY-_xlpm.MVYY,_xlpm.MVToday-_xlpm.MVY))</f>
        <v>119499.47789999997</v>
      </c>
      <c r="AS26" s="332">
        <f ca="1">_xlfn.LET(_xlpm.MVToday,DataShift!AV526,         _xlpm.MVY,DataShift!AU527,        _xlpm.MVYY, DataShift!AT527,         _xlpm.MVYYY, DataShift!AS527,                      IF(_xlpm.MVToday=_xlpm.MVY,      _xlpm.MVYY-_xlpm.MVYYY,          _xlpm.MVY-_xlpm.MVYY))</f>
        <v>-852.69150000001537</v>
      </c>
      <c r="AT26" s="969">
        <f ca="1">TabCalc[[#This Row],[Y]]/TabCalc[[#This Row],[M]]</f>
        <v>1.160889134808853</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-1.426381764423809</v>
      </c>
      <c r="AZ26" s="80">
        <f t="shared" ca="1" si="1"/>
        <v>400000</v>
      </c>
      <c r="BA26" s="88">
        <f ca="1">_xlfn.XLOOKUP(TabCalc[[#This Row],[Ticker]],[1]!RTData[Ticker_Symbol],[1]!RTData[V/VA])</f>
        <v>0.83897669667496144</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0.83897669667496144</v>
      </c>
      <c r="BD26" s="85" cm="1">
        <f t="array" aca="1" ref="BD26" ca="1">INDEX(TabReg[], 1, _xlfn.XMATCH(TabCalc[[#This Row],[Ticker]]&amp;1, TabReg[#Headers], 0))</f>
        <v>500000</v>
      </c>
      <c r="BE26" s="157">
        <f ca="1">TabCalc[[#This Row],[Nbegin]]*TabCalc[[#This Row],[M]]*TabCalc[[#This Row],[Scale]]+TabCalc[[#This Row],[ValueBegin]]</f>
        <v>1203000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-388473.52</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1169183.5505864599</v>
      </c>
      <c r="BN26" s="157">
        <f ca="1">IF(        OR( TabCalc[[#This Row],[GL]]&gt;ABS(TabCalc[[#This Row],[EfCost]]),TabCalc[[#This Row],[NAfter]]=0),             TabCalc[[#This Row],[GL]],     0)</f>
        <v>1169183.5505864599</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46002.686080821091</v>
      </c>
      <c r="BU26" s="173">
        <f ca="1">(TabCalc[[#This Row],[ValueBegin]]+(TabCalc[[#This Row],[M]]-TabCalc[[#This Row],[A]])*TabCalc[[#This Row],[NAfter]])*TabCalc[[#This Row],[Scale]]</f>
        <v>95095.906052000006</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10294590.6052</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12195.121951220459</v>
      </c>
      <c r="CX26" s="402">
        <f ca="1">IF(TabCalc[[#This Row],[ntoBuy]]*TabCalc[[#This Row],[M]]&lt;=0,0,TabCalc[[#This Row],[ntoBuy]]*TabCalc[[#This Row],[M]])</f>
        <v>4848780.4878052548</v>
      </c>
      <c r="CY26" s="402">
        <f ca="1">IF(TabCalc[[#This Row],[M]]&gt;ABS(TabCalc[[#This Row],[L_Bp]]),MIN(TabCalc[[#This Row],[NAfter]],DesiredSaleGain/(TabCalc[[#This Row],[M]]+TabCalc[[#This Row],[L_Bp]])),0)/TabCalc[[#This Row],[Scale]]</f>
        <v>22321.428571428536</v>
      </c>
      <c r="CZ26" s="403">
        <f ca="1">TabCalc[[#This Row],[ntoSell]]*TabCalc[[#This Row],[M]]</f>
        <v>8874999.999999987</v>
      </c>
      <c r="DA26" s="396">
        <f ca="1">_xlfn.LET(_xlpm.nToSell,IF(TabCalc[[#This Row],[M]]-TabCalc[[#This Row],[A]]&lt;=0,"",INT(DesiredSaleGain/(TabCalc[[#This Row],[M]]-IF(TabCalc[[#This Row],[E]]&gt;0,0,TabCalc[[#This Row],[A]])))),IF(_xlpm.nToSell&lt;=TabCalc[[#This Row],[NAfter]],_xlpm.nToSell,0))</f>
        <v>48</v>
      </c>
      <c r="DB26" s="334">
        <f ca="1">IFERROR(TabCalc[[#This Row],[NMA]]*TabCalc[[#This Row],[M]],"")</f>
        <v>19084.800000000003</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102945.90605200001</v>
      </c>
      <c r="DD26" s="88">
        <f ca="1">IFERROR((TabCalc[[#This Row],[M]]+TabCalc[[#This Row],[L_Bp]])/ABS(TabCalc[[#This Row],[L_Bp]])/(TODAY()-TabCalc[[#This Row],[L_Bdate]])*360,"")</f>
        <v>1.0746268656716436</v>
      </c>
      <c r="DE26" s="308">
        <f ca="1">MEDIAN(DataShift!F726:Z726)</f>
        <v>4.7089999999999996E-3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1988000</v>
      </c>
      <c r="DH26" s="85" cm="1">
        <f t="array" aca="1" ref="DH26" ca="1">SUMPRODUCT(ISNUMBER(INDIRECT("TabReg["&amp;TabCalc[[#This Row],[Ticker]]&amp;"2]"))* INDIRECT("TabReg["&amp;TabCalc[[#This Row],[Ticker]]&amp;"1]") * INDIRECT("TabReg["&amp;TabCalc[[#This Row],[Ticker]]&amp;"2]") )*TabCalc[[#This Row],[Scale]]</f>
        <v>771681.66710000008</v>
      </c>
      <c r="DK26" s="85">
        <f ca="1"/>
        <v>324900</v>
      </c>
      <c r="DL26" s="88">
        <f t="shared" ca="1" si="2"/>
        <v>0.24590031832577228</v>
      </c>
      <c r="DM26" t="str">
        <f ca="1">_xlfn.XLOOKUP(DK26,TabCalc[Column1],TabCalc[Ticker])</f>
        <v>POET</v>
      </c>
      <c r="DN26" s="85">
        <f ca="1">_xlfn.XLOOKUP(DM26,TabCalc[Ticker],TabCalc[ValueBegin])</f>
        <v>-295684.51</v>
      </c>
      <c r="DO26" s="85">
        <f ca="1">_xlfn.XLOOKUP(DM26,TabCalc[Ticker],TabCalc[M_V])</f>
        <v>342024.03499999997</v>
      </c>
      <c r="DP26" s="85">
        <f ca="1">_xlfn.XLOOKUP(DM26,TabCalc[Ticker],TabCalc[GL])</f>
        <v>72708.915133000002</v>
      </c>
      <c r="DQ26" s="88"/>
      <c r="DR26" s="88"/>
      <c r="DS26" s="86" t="s">
        <v>23</v>
      </c>
      <c r="DT26" s="79">
        <v>5000</v>
      </c>
      <c r="DU26" s="313">
        <v>-35.54</v>
      </c>
      <c r="DW26" s="80">
        <v>802940</v>
      </c>
      <c r="DX26" s="80">
        <f ca="1">DW26-TabCalc[[#This Row],[M_V]]</f>
        <v>406413.52</v>
      </c>
    </row>
    <row r="27" spans="1:128">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434329.13649999996</v>
      </c>
      <c r="G27" s="80">
        <f ca="1">IFERROR(TabCalc[[#This Row],[SB]]-TabCalc[[#This Row],[SST]],TabCalc[[#This Row],[SB]])</f>
        <v>7000</v>
      </c>
      <c r="H27" s="530" t="str">
        <f ca="1">[1]!RTData[[#This Row],[Ticker_Symbol]]</f>
        <v>KR</v>
      </c>
      <c r="I27" s="381">
        <f ca="1">_xlfn.XLOOKUP(TabCalc[[#This Row],[Ticker]],[1]!RTData[Ticker_Symbol],[1]!RTData[M-Price])</f>
        <v>62.215000000000003</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1.5921000000000001E-2</v>
      </c>
      <c r="N27" s="1041">
        <v>0</v>
      </c>
      <c r="O27" s="886">
        <f>TabCalc[[#This Row],[Up20]]-1+TabCalc[[#This Row],[Up20]]</f>
        <v>-1</v>
      </c>
      <c r="P27" s="886">
        <f>TabCalc[[#This Row],[Up20]]-TabCalc[[#This Row],[Up150]]</f>
        <v>-0.33333333333333331</v>
      </c>
      <c r="Q27" s="886">
        <v>0.33333333333333331</v>
      </c>
      <c r="R27" s="886">
        <f>TabCalc[[#This Row],[Up150]]-1+TabCalc[[#This Row],[Up150]]</f>
        <v>-0.33333333333333343</v>
      </c>
      <c r="S27" s="886">
        <f ca="1">IFERROR(SUMPRODUCT(DataShift!F1519:Z1519,DataShift!AB726:AV726)/SQRT(SUMPRODUCT(DataShift!F1519:Z1519,DataShift!F1519:Z1519)*SUMPRODUCT(DataShift!AB726:AV726,DataShift!AB726:AV726)),0)</f>
        <v>0</v>
      </c>
      <c r="T27" s="886">
        <f ca="1">IFERROR(SUMPRODUCT(DataShift!F1519:Z1519,DataShift!F727:Z727)/SQRT(SUMPRODUCT(DataShift!F1519:Z1519,DataShift!F1519:Z1519)*SUMPRODUCT(DataShift!F727:Z727,DataShift!F727:Z727)),0)</f>
        <v>0</v>
      </c>
      <c r="U27" s="996">
        <v>0</v>
      </c>
      <c r="V27" s="996">
        <v>7000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468</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47">
        <f ca="1">(TabCalc[[#This Row],[M]]+TabCalc[[#This Row],[L_Bp]])/TabCalc[[#This Row],[M]]</f>
        <v>3.7772241420880258E-3</v>
      </c>
      <c r="AE27" s="209">
        <f ca="1">IFERROR(MIN(TabCalc[[#This Row],[L_B1n]],TabCalc[[#This Row],[NAfter]])*(TabCalc[[#This Row],[M]]+TabCalc[[#This Row],[L_B1p]])*TabCalc[[#This Row],[Scale]],"")</f>
        <v>-2949.9999999999886</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5134.9999999999909</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2685.0000000000023</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4235</v>
      </c>
      <c r="AR27" s="332">
        <f ca="1">_xlfn.LET(_xlpm.MVToday,DataShift!AV527,         _xlpm.MVY,DataShift!AU528,        _xlpm.MVYY, DataShift!AT528,                                IF(_xlpm.MVToday=_xlpm.MVY,_xlpm.MVY-_xlpm.MVYY,_xlpm.MVToday-_xlpm.MVY))</f>
        <v>-168498.82149999999</v>
      </c>
      <c r="AS27" s="332">
        <f ca="1">_xlfn.LET(_xlpm.MVToday,DataShift!AV527,         _xlpm.MVY,DataShift!AU528,        _xlpm.MVYY, DataShift!AT528,         _xlpm.MVYYY, DataShift!AS528,                      IF(_xlpm.MVToday=_xlpm.MVY,      _xlpm.MVYY-_xlpm.MVYYY,          _xlpm.MVY-_xlpm.MVYY))</f>
        <v>11967.599999999977</v>
      </c>
      <c r="AT27" s="969">
        <f ca="1">TabCalc[[#This Row],[Y]]/TabCalc[[#This Row],[M]]</f>
        <v>1.195268665112915</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-0.3875495556424558</v>
      </c>
      <c r="AZ27" s="80">
        <f t="shared" ca="1" si="1"/>
        <v>0</v>
      </c>
      <c r="BA27" s="88">
        <f ca="1">_xlfn.XLOOKUP(TabCalc[[#This Row],[Ticker]],[1]!RTData[Ticker_Symbol],[1]!RTData[V/VA])</f>
        <v>1.053096110163761</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1.053096110163761</v>
      </c>
      <c r="BD27" s="85" cm="1">
        <f t="array" aca="1" ref="BD27" ca="1">INDEX(TabReg[], 1, _xlfn.XMATCH(TabCalc[[#This Row],[Ticker]]&amp;1, TabReg[#Headers], 0))</f>
        <v>5000</v>
      </c>
      <c r="BE27" s="157">
        <f ca="1">TabCalc[[#This Row],[Nbegin]]*TabCalc[[#This Row],[M]]*TabCalc[[#This Row],[Scale]]+TabCalc[[#This Row],[ValueBegin]]</f>
        <v>133375</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256629.13649999996</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86980.033519099932</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80.22</v>
      </c>
      <c r="BS27" s="172" t="str">
        <f ca="1">IF(TabCalc[[#This Row],[EfCost]]+TabCalc[[#This Row],[M_V]]&lt;TabCalc[[#This Row],[NoT_GL]],"Pile","")</f>
        <v>Pile</v>
      </c>
      <c r="BT27" s="163">
        <f ca="1">_xlfn.XLOOKUP(TabCalc[[#This Row],[Ticker]],[1]!RTData[Ticker_Symbol],[1]!RTData[Last trade time])</f>
        <v>46002.875920705468</v>
      </c>
      <c r="BU27" s="173">
        <f ca="1">(TabCalc[[#This Row],[ValueBegin]]+(TabCalc[[#This Row],[M]]-TabCalc[[#This Row],[A]])*TabCalc[[#This Row],[NAfter]])*TabCalc[[#This Row],[Scale]]</f>
        <v>-198485.27819999991</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-20785.27819999991</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973.70983446932985</v>
      </c>
      <c r="CX27" s="402">
        <f ca="1">IF(TabCalc[[#This Row],[ntoBuy]]*TabCalc[[#This Row],[M]]&lt;=0,0,TabCalc[[#This Row],[ntoBuy]]*TabCalc[[#This Row],[M]])</f>
        <v>60579.357351509359</v>
      </c>
      <c r="CY27" s="402">
        <f ca="1">IF(TabCalc[[#This Row],[M]]&gt;ABS(TabCalc[[#This Row],[L_Bp]]),MIN(TabCalc[[#This Row],[NAfter]],DesiredSaleGain/(TabCalc[[#This Row],[M]]+TabCalc[[#This Row],[L_Bp]])),0)/TabCalc[[#This Row],[Scale]]</f>
        <v>7000</v>
      </c>
      <c r="CZ27" s="403">
        <f ca="1">TabCalc[[#This Row],[ntoSell]]*TabCalc[[#This Row],[M]]</f>
        <v>435505</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-20785.27819999991</v>
      </c>
      <c r="DD27" s="88">
        <f ca="1">IFERROR((TabCalc[[#This Row],[M]]+TabCalc[[#This Row],[L_Bp]])/ABS(TabCalc[[#This Row],[L_Bp]])/(TODAY()-TabCalc[[#This Row],[L_Bdate]])*360,"")</f>
        <v>0.19499377679436306</v>
      </c>
      <c r="DE27" s="308">
        <f ca="1">MEDIAN(DataShift!F727:Z727)</f>
        <v>-2.454E-3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311075</v>
      </c>
      <c r="DH27" s="85" cm="1">
        <f t="array" aca="1" ref="DH27" ca="1">SUMPRODUCT(ISNUMBER(INDIRECT("TabReg["&amp;TabCalc[[#This Row],[Ticker]]&amp;"2]"))* INDIRECT("TabReg["&amp;TabCalc[[#This Row],[Ticker]]&amp;"1]") * INDIRECT("TabReg["&amp;TabCalc[[#This Row],[Ticker]]&amp;"2]") )*TabCalc[[#This Row],[Scale]]</f>
        <v>-345322.01</v>
      </c>
      <c r="DK27" s="85">
        <f ca="1"/>
        <v>321800</v>
      </c>
      <c r="DL27" s="88">
        <f t="shared" ca="1" si="2"/>
        <v>0.44407651561895045</v>
      </c>
      <c r="DM27" t="str">
        <f ca="1">_xlfn.XLOOKUP(DK27,TabCalc[Column1],TabCalc[Ticker])</f>
        <v>GLE</v>
      </c>
      <c r="DN27" s="85">
        <f ca="1">_xlfn.XLOOKUP(DM27,TabCalc[Ticker],TabCalc[ValueBegin])</f>
        <v>-98150</v>
      </c>
      <c r="DO27" s="85">
        <f ca="1">_xlfn.XLOOKUP(DM27,TabCalc[Ticker],TabCalc[M_V])</f>
        <v>0</v>
      </c>
      <c r="DP27" s="85">
        <f ca="1">_xlfn.XLOOKUP(DM27,TabCalc[Ticker],TabCalc[GL])</f>
        <v>43586.110007999989</v>
      </c>
      <c r="DQ27" s="88"/>
      <c r="DR27" s="88"/>
      <c r="DS27" s="86" t="s">
        <v>24</v>
      </c>
      <c r="DT27" s="79">
        <v>2276</v>
      </c>
      <c r="DU27" s="313">
        <v>-17.760724956063267</v>
      </c>
      <c r="DW27" s="80">
        <v>318750</v>
      </c>
      <c r="DX27" s="80">
        <f ca="1">DW27-TabCalc[[#This Row],[M_V]]</f>
        <v>-115579.13649999996</v>
      </c>
    </row>
    <row r="28" spans="1:128">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11.5</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-4.3290000000000004E-3</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-0.91722357147759792</v>
      </c>
      <c r="T28" s="886">
        <f ca="1">IFERROR(SUMPRODUCT(DataShift!F1520:Z1520,DataShift!F728:Z728)/SQRT(SUMPRODUCT(DataShift!F1520:Z1520,DataShift!F1520:Z1520)*SUMPRODUCT(DataShift!F728:Z728,DataShift!F728:Z728)),0)</f>
        <v>-8.8290013017873741E-3</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47">
        <f ca="1">(TabCalc[[#This Row],[M]]+TabCalc[[#This Row],[L_Bp]])/TabCalc[[#This Row],[M]]</f>
        <v>0.3547826086956522</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-9119.9999999999982</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-14878.212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-37802.656499999983</v>
      </c>
      <c r="AS28" s="332">
        <f ca="1">_xlfn.LET(_xlpm.MVToday,DataShift!AV528,         _xlpm.MVY,DataShift!AU529,        _xlpm.MVYY, DataShift!AT529,         _xlpm.MVYYY, DataShift!AS529,                      IF(_xlpm.MVToday=_xlpm.MVY,      _xlpm.MVYY-_xlpm.MVYYY,          _xlpm.MVY-_xlpm.MVYY))</f>
        <v>6806.5724999999511</v>
      </c>
      <c r="AT28" s="969">
        <f ca="1">TabCalc[[#This Row],[Y]]/TabCalc[[#This Row],[M]]</f>
        <v>1.3043478260869565</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-0.24855072463768116</v>
      </c>
      <c r="AZ28" s="80">
        <f t="shared" ca="1" si="1"/>
        <v>2276</v>
      </c>
      <c r="BA28" s="88">
        <f ca="1">_xlfn.XLOOKUP(TabCalc[[#This Row],[Ticker]],[1]!RTData[Ticker_Symbol],[1]!RTData[V/VA])</f>
        <v>0.63306340549771389</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0.63306340549771389</v>
      </c>
      <c r="BD28" s="85" cm="1">
        <f t="array" aca="1" ref="BD28" ca="1">INDEX(TabReg[], 1, _xlfn.XMATCH(TabCalc[[#This Row],[Ticker]]&amp;1, TabReg[#Headers], 0))</f>
        <v>2276</v>
      </c>
      <c r="BE28" s="157">
        <f ca="1">TabCalc[[#This Row],[Nbegin]]*TabCalc[[#This Row],[M]]*TabCalc[[#This Row],[Scale]]+TabCalc[[#This Row],[ValueBegin]]</f>
        <v>-14249.409999999996</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46002.875197499998</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0.55139688713031865</v>
      </c>
      <c r="DE28" s="308">
        <f ca="1">MEDIAN(DataShift!F728:Z728)</f>
        <v>3.7299999999999998E-3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26174</v>
      </c>
      <c r="DH28" s="85" cm="1">
        <f t="array" aca="1" ref="DH28" ca="1">SUMPRODUCT(ISNUMBER(INDIRECT("TabReg["&amp;TabCalc[[#This Row],[Ticker]]&amp;"2]"))* INDIRECT("TabReg["&amp;TabCalc[[#This Row],[Ticker]]&amp;"1]") * INDIRECT("TabReg["&amp;TabCalc[[#This Row],[Ticker]]&amp;"2]") )*TabCalc[[#This Row],[Scale]]</f>
        <v>-16028.984799999995</v>
      </c>
      <c r="DK28" s="85">
        <f ca="1"/>
        <v>320450</v>
      </c>
      <c r="DL28" s="88">
        <f t="shared" ca="1" si="2"/>
        <v>0.56165230604986927</v>
      </c>
      <c r="DM28" t="str">
        <f ca="1">_xlfn.XLOOKUP(DK28,TabCalc[Column1],TabCalc[Ticker])</f>
        <v>VLVLY</v>
      </c>
      <c r="DN28" s="85">
        <f ca="1">_xlfn.XLOOKUP(DM28,TabCalc[Ticker],TabCalc[ValueBegin])</f>
        <v>-191300</v>
      </c>
      <c r="DO28" s="85">
        <f ca="1">_xlfn.XLOOKUP(DM28,TabCalc[Ticker],TabCalc[M_V])</f>
        <v>83092.044099999999</v>
      </c>
      <c r="DP28" s="85">
        <f ca="1">_xlfn.XLOOKUP(DM28,TabCalc[Ticker],TabCalc[GL])</f>
        <v>107444.08614733999</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86.266449999999992</v>
      </c>
      <c r="G29" s="80">
        <f ca="1">IFERROR(TabCalc[[#This Row],[SB]]-TabCalc[[#This Row],[SST]],TabCalc[[#This Row],[SB]])</f>
        <v>10</v>
      </c>
      <c r="H29" s="530" t="str">
        <f ca="1">[1]!RTData[[#This Row],[Ticker_Symbol]]</f>
        <v>LUMN</v>
      </c>
      <c r="I29" s="381">
        <f ca="1">_xlfn.XLOOKUP(TabCalc[[#This Row],[Ticker]],[1]!RTData[Ticker_Symbol],[1]!RTData[M-Price])</f>
        <v>8.65</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-4.6029999999999995E-3</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-0.86598045786823652</v>
      </c>
      <c r="T29" s="886">
        <f ca="1">IFERROR(SUMPRODUCT(DataShift!F1521:Z1521,DataShift!F729:Z729)/SQRT(SUMPRODUCT(DataShift!F1521:Z1521,DataShift!F1521:Z1521)*SUMPRODUCT(DataShift!F729:Z729,DataShift!F729:Z729)),0)</f>
        <v>7.1355450510702427E-3</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35</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47">
        <f ca="1">(TabCalc[[#This Row],[M]]+TabCalc[[#This Row],[L_Bp]])/TabCalc[[#This Row],[M]]</f>
        <v>0.41406936416184975</v>
      </c>
      <c r="AE29" s="209">
        <f ca="1">IFERROR(MIN(TabCalc[[#This Row],[L_B1n]],TabCalc[[#This Row],[NAfter]])*(TabCalc[[#This Row],[M]]+TabCalc[[#This Row],[L_B1p]])*TabCalc[[#This Row],[Scale]],"")</f>
        <v>56.7</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-1831.5000000000005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-3090.0000000000009</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0.40000000000000568</v>
      </c>
      <c r="AR29" s="332">
        <f ca="1">_xlfn.LET(_xlpm.MVToday,DataShift!AV529,         _xlpm.MVY,DataShift!AU530,        _xlpm.MVYY, DataShift!AT530,                                IF(_xlpm.MVToday=_xlpm.MVY,_xlpm.MVY-_xlpm.MVYY,_xlpm.MVToday-_xlpm.MVY))</f>
        <v>434329.13649999996</v>
      </c>
      <c r="AS29" s="332">
        <f ca="1">_xlfn.LET(_xlpm.MVToday,DataShift!AV529,         _xlpm.MVY,DataShift!AU530,        _xlpm.MVYY, DataShift!AT530,         _xlpm.MVYYY, DataShift!AS530,                      IF(_xlpm.MVToday=_xlpm.MVY,      _xlpm.MVYY-_xlpm.MVYYY,          _xlpm.MVY-_xlpm.MVYY))</f>
        <v>0</v>
      </c>
      <c r="AT29" s="969">
        <f ca="1">TabCalc[[#This Row],[Y]]/TabCalc[[#This Row],[M]]</f>
        <v>0.83618497109826584</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4.5475237739039748E-2</v>
      </c>
      <c r="AZ29" s="80">
        <f t="shared" ca="1" si="1"/>
        <v>1990</v>
      </c>
      <c r="BA29" s="88">
        <f ca="1">_xlfn.XLOOKUP(TabCalc[[#This Row],[Ticker]],[1]!RTData[Ticker_Symbol],[1]!RTData[V/VA])</f>
        <v>0.59192387880588593</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0.59192387880588593</v>
      </c>
      <c r="BD29" s="85" cm="1">
        <f t="array" aca="1" ref="BD29" ca="1">INDEX(TabReg[], 1, _xlfn.XMATCH(TabCalc[[#This Row],[Ticker]]&amp;1, TabReg[#Headers], 0))</f>
        <v>2000</v>
      </c>
      <c r="BE29" s="157">
        <f ca="1">TabCalc[[#This Row],[Nbegin]]*TabCalc[[#This Row],[M]]*TabCalc[[#This Row],[Scale]]+TabCalc[[#This Row],[ValueBegin]]</f>
        <v>-37453.100000000006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-54666.833550000003</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14815.138497229998</v>
      </c>
      <c r="BN29" s="157">
        <f ca="1">IF(        OR( TabCalc[[#This Row],[GL]]&gt;ABS(TabCalc[[#This Row],[EfCost]]),TabCalc[[#This Row],[NAfter]]=0),             TabCalc[[#This Row],[GL]],     0)</f>
        <v>14815.138497229998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46002.876173750003</v>
      </c>
      <c r="BU29" s="173">
        <f ca="1">(TabCalc[[#This Row],[ValueBegin]]+(TabCalc[[#This Row],[M]]-TabCalc[[#This Row],[A]])*TabCalc[[#This Row],[NAfter]])*TabCalc[[#This Row],[Scale]]</f>
        <v>-54717.414775800004</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35.685224200000007</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86.5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35.685224200000007</v>
      </c>
      <c r="DD29" s="88">
        <f ca="1">IFERROR((TabCalc[[#This Row],[M]]+TabCalc[[#This Row],[L_Bp]])/ABS(TabCalc[[#This Row],[L_Bp]])/(TODAY()-TabCalc[[#This Row],[L_Bdate]])*360,"")</f>
        <v>0.80002263421287867</v>
      </c>
      <c r="DE29" s="308">
        <f ca="1">MEDIAN(DataShift!F729:Z729)</f>
        <v>6.8289999999999991E-3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17300</v>
      </c>
      <c r="DH29" s="85" cm="1">
        <f t="array" aca="1" ref="DH29" ca="1">SUMPRODUCT(ISNUMBER(INDIRECT("TabReg["&amp;TabCalc[[#This Row],[Ticker]]&amp;"2]"))* INDIRECT("TabReg["&amp;TabCalc[[#This Row],[Ticker]]&amp;"1]") * INDIRECT("TabReg["&amp;TabCalc[[#This Row],[Ticker]]&amp;"2]") )*TabCalc[[#This Row],[Scale]]</f>
        <v>14690.9</v>
      </c>
      <c r="DK29" s="85">
        <f ca="1"/>
        <v>315295.5</v>
      </c>
      <c r="DL29" s="88">
        <f t="shared" ca="1" si="2"/>
        <v>0.40759693260427265</v>
      </c>
      <c r="DM29" t="str">
        <f ca="1">_xlfn.XLOOKUP(DK29,TabCalc[Column1],TabCalc[Ticker])</f>
        <v>SAFGM</v>
      </c>
      <c r="DN29" s="85">
        <f ca="1">_xlfn.XLOOKUP(DM29,TabCalc[Ticker],TabCalc[ValueBegin])</f>
        <v>-153348</v>
      </c>
      <c r="DO29" s="85">
        <f ca="1">_xlfn.XLOOKUP(DM29,TabCalc[Ticker],TabCalc[M_V])</f>
        <v>0</v>
      </c>
      <c r="DP29" s="85">
        <f ca="1">_xlfn.XLOOKUP(DM29,TabCalc[Ticker],TabCalc[GL])</f>
        <v>62504.174421000003</v>
      </c>
      <c r="DQ29" s="88"/>
      <c r="DR29" s="88"/>
      <c r="DS29" s="86" t="s">
        <v>26</v>
      </c>
      <c r="DT29" s="79">
        <v>200</v>
      </c>
      <c r="DU29" s="313">
        <v>-125.15535</v>
      </c>
      <c r="DW29" s="80">
        <v>105.35</v>
      </c>
      <c r="DX29" s="80">
        <f ca="1">DW29-TabCalc[[#This Row],[M_V]]</f>
        <v>19.083550000000002</v>
      </c>
    </row>
    <row r="30" spans="1:128">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354599.98800000001</v>
      </c>
      <c r="G30" s="80">
        <f ca="1">IFERROR(TabCalc[[#This Row],[SB]]-TabCalc[[#This Row],[SST]],TabCalc[[#This Row],[SB]])</f>
        <v>12000</v>
      </c>
      <c r="H30" s="530" t="str">
        <f ca="1">[1]!RTData[[#This Row],[Ticker_Symbol]]</f>
        <v>MRNA</v>
      </c>
      <c r="I30" s="381">
        <f ca="1">_xlfn.XLOOKUP(TabCalc[[#This Row],[Ticker]],[1]!RTData[Ticker_Symbol],[1]!RTData[M-Price])</f>
        <v>29.63</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2.0668000000000002E-2</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-0.89495873059389786</v>
      </c>
      <c r="T30" s="886">
        <f ca="1">IFERROR(SUMPRODUCT(DataShift!F1522:Z1522,DataShift!F730:Z730)/SQRT(SUMPRODUCT(DataShift!F1522:Z1522,DataShift!F1522:Z1522)*SUMPRODUCT(DataShift!F730:Z730,DataShift!F730:Z730)),0)</f>
        <v>-5.6322308045762808E-3</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70,374 = $ 2,085,181</v>
      </c>
      <c r="Z30" s="209">
        <f ca="1">INT(MIN(TabCalc[[#This Row],[L_Bn]],TabCalc[[#This Row],[NAfter]])*(TabCalc[[#This Row],[M]]+TabCalc[[#This Row],[L_Bp]])*Comm_Net*TabCalc[[#This Row],[Scale]])</f>
        <v>-35066</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47">
        <f ca="1">(TabCalc[[#This Row],[M]]+TabCalc[[#This Row],[L_Bp]])/TabCalc[[#This Row],[M]]</f>
        <v>-0.39554505568680404</v>
      </c>
      <c r="AE30" s="209">
        <f ca="1">IFERROR(MIN(TabCalc[[#This Row],[L_B1n]],TabCalc[[#This Row],[NAfter]])*(TabCalc[[#This Row],[M]]+TabCalc[[#This Row],[L_B1p]])*TabCalc[[#This Row],[Scale]],"")</f>
        <v>-17500.000000000004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87915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267904</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7560</v>
      </c>
      <c r="AR30" s="332">
        <f ca="1">_xlfn.LET(_xlpm.MVToday,DataShift!AV530,         _xlpm.MVY,DataShift!AU531,        _xlpm.MVYY, DataShift!AT531,                                IF(_xlpm.MVToday=_xlpm.MVY,_xlpm.MVY-_xlpm.MVYY,_xlpm.MVToday-_xlpm.MVY))</f>
        <v>-86.266449999999992</v>
      </c>
      <c r="AS30" s="332">
        <f ca="1">_xlfn.LET(_xlpm.MVToday,DataShift!AV530,         _xlpm.MVY,DataShift!AU531,        _xlpm.MVYY, DataShift!AT531,         _xlpm.MVYYY, DataShift!AS531,                      IF(_xlpm.MVToday=_xlpm.MVY,      _xlpm.MVYY-_xlpm.MVYYY,          _xlpm.MVY-_xlpm.MVYY))</f>
        <v>-0.44878500000000088</v>
      </c>
      <c r="AT30" s="969">
        <f ca="1">TabCalc[[#This Row],[Y]]/TabCalc[[#This Row],[M]]</f>
        <v>1.207484981437732</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-0.21918453710919086</v>
      </c>
      <c r="AZ30" s="80">
        <f t="shared" ca="1" si="1"/>
        <v>0</v>
      </c>
      <c r="BA30" s="88">
        <f ca="1">_xlfn.XLOOKUP(TabCalc[[#This Row],[Ticker]],[1]!RTData[Ticker_Symbol],[1]!RTData[V/VA])</f>
        <v>0.78849697446149747</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0.78849697446149747</v>
      </c>
      <c r="BD30" s="85" cm="1">
        <f t="array" aca="1" ref="BD30" ca="1">INDEX(TabReg[], 1, _xlfn.XMATCH(TabCalc[[#This Row],[Ticker]]&amp;1, TabReg[#Headers], 0))</f>
        <v>200</v>
      </c>
      <c r="BE30" s="157">
        <f ca="1">TabCalc[[#This Row],[Nbegin]]*TabCalc[[#This Row],[M]]*TabCalc[[#This Row],[Scale]]+TabCalc[[#This Row],[ValueBegin]]</f>
        <v>-19105.07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329568.91800000001</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-461638.26709079993</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68.24</v>
      </c>
      <c r="BS30" s="172" t="str">
        <f ca="1">IF(TabCalc[[#This Row],[EfCost]]+TabCalc[[#This Row],[M_V]]&lt;TabCalc[[#This Row],[NoT_GL]],"Pile","")</f>
        <v>Pile</v>
      </c>
      <c r="BT30" s="163">
        <f ca="1">_xlfn.XLOOKUP(TabCalc[[#This Row],[Ticker]],[1]!RTData[Ticker_Symbol],[1]!RTData[Last trade time])</f>
        <v>46002.875958541408</v>
      </c>
      <c r="BU30" s="173">
        <f ca="1">(TabCalc[[#This Row],[ValueBegin]]+(TabCalc[[#This Row],[M]]-TabCalc[[#This Row],[A]])*TabCalc[[#This Row],[NAfter]])*TabCalc[[#This Row],[Scale]]</f>
        <v>-531450.44450400001</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-506419.37450400001</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85.309674117044878</v>
      </c>
      <c r="CX30" s="402">
        <f ca="1">IF(TabCalc[[#This Row],[ntoBuy]]*TabCalc[[#This Row],[M]]&lt;=0,0,TabCalc[[#This Row],[ntoBuy]]*TabCalc[[#This Row],[M]])</f>
        <v>2527.7256440880396</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-506419.37450400001</v>
      </c>
      <c r="DD30" s="88">
        <f ca="1">IFERROR((TabCalc[[#This Row],[M]]+TabCalc[[#This Row],[L_Bp]])/ABS(TabCalc[[#This Row],[L_Bp]])/(TODAY()-TabCalc[[#This Row],[L_Bdate]])*360,"")</f>
        <v>-0.3228996066306461</v>
      </c>
      <c r="DE30" s="308">
        <f ca="1">MEDIAN(DataShift!F730:Z730)</f>
        <v>-5.4699999999999996E-4</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5926</v>
      </c>
      <c r="DH30" s="85" cm="1">
        <f t="array" aca="1" ref="DH30" ca="1">SUMPRODUCT(ISNUMBER(INDIRECT("TabReg["&amp;TabCalc[[#This Row],[Ticker]]&amp;"2]"))* INDIRECT("TabReg["&amp;TabCalc[[#This Row],[Ticker]]&amp;"1]") * INDIRECT("TabReg["&amp;TabCalc[[#This Row],[Ticker]]&amp;"2]") )*TabCalc[[#This Row],[Scale]]</f>
        <v>-813201.97</v>
      </c>
      <c r="DK30" s="85">
        <f ca="1"/>
        <v>313950</v>
      </c>
      <c r="DL30" s="88">
        <f t="shared" ca="1" si="2"/>
        <v>-0.28221419090720024</v>
      </c>
      <c r="DM30" t="str">
        <f ca="1">_xlfn.XLOOKUP(DK30,TabCalc[Column1],TabCalc[Ticker])</f>
        <v>SAP</v>
      </c>
      <c r="DN30" s="85">
        <f ca="1">_xlfn.XLOOKUP(DM30,TabCalc[Ticker],TabCalc[ValueBegin])</f>
        <v>-139573.04999999999</v>
      </c>
      <c r="DO30" s="85">
        <f ca="1">_xlfn.XLOOKUP(DM30,TabCalc[Ticker],TabCalc[M_V])</f>
        <v>793192.58199999994</v>
      </c>
      <c r="DP30" s="85">
        <f ca="1">_xlfn.XLOOKUP(DM30,TabCalc[Ticker],TabCalc[GL])</f>
        <v>-39389.495378200198</v>
      </c>
      <c r="DQ30" s="88"/>
      <c r="DR30" s="88"/>
      <c r="DS30" s="86" t="s">
        <v>27</v>
      </c>
      <c r="DT30" s="79">
        <v>10000</v>
      </c>
      <c r="DU30" s="313">
        <v>-105.48</v>
      </c>
      <c r="DW30" s="80">
        <v>285000</v>
      </c>
      <c r="DX30" s="80">
        <f ca="1">DW30-TabCalc[[#This Row],[M_V]]</f>
        <v>-69599.988000000012</v>
      </c>
    </row>
    <row r="31" spans="1:128">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4821646.3099999996</v>
      </c>
      <c r="G31" s="80">
        <f ca="1">IFERROR(TabCalc[[#This Row],[SB]]-TabCalc[[#This Row],[SST]],TabCalc[[#This Row],[SB]])</f>
        <v>10000</v>
      </c>
      <c r="H31" s="530" t="str">
        <f ca="1">[1]!RTData[[#This Row],[Ticker_Symbol]]</f>
        <v>MSFT</v>
      </c>
      <c r="I31" s="381">
        <f ca="1">_xlfn.XLOOKUP(TabCalc[[#This Row],[Ticker]],[1]!RTData[Ticker_Symbol],[1]!RTData[M-Price])</f>
        <v>483.47</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1.026E-2</v>
      </c>
      <c r="N31" s="1041">
        <v>0</v>
      </c>
      <c r="O31" s="886">
        <f>TabCalc[[#This Row],[Up20]]-1+TabCalc[[#This Row],[Up20]]</f>
        <v>-1</v>
      </c>
      <c r="P31" s="886">
        <f>TabCalc[[#This Row],[Up20]]-TabCalc[[#This Row],[Up150]]</f>
        <v>-0.33333333333333331</v>
      </c>
      <c r="Q31" s="886">
        <v>0.33333333333333331</v>
      </c>
      <c r="R31" s="886">
        <f>TabCalc[[#This Row],[Up150]]-1+TabCalc[[#This Row],[Up150]]</f>
        <v>-0.33333333333333343</v>
      </c>
      <c r="S31" s="886">
        <f ca="1">IFERROR(SUMPRODUCT(DataShift!F1523:Z1523,DataShift!AB730:AV730)/SQRT(SUMPRODUCT(DataShift!F1523:Z1523,DataShift!F1523:Z1523)*SUMPRODUCT(DataShift!AB730:AV730,DataShift!AB730:AV730)),0)</f>
        <v>-0.83841828721259859</v>
      </c>
      <c r="T31" s="886">
        <f ca="1">IFERROR(SUMPRODUCT(DataShift!F1523:Z1523,DataShift!F731:Z731)/SQRT(SUMPRODUCT(DataShift!F1523:Z1523,DataShift!F1523:Z1523)*SUMPRODUCT(DataShift!F731:Z731,DataShift!F731:Z731)),0)</f>
        <v>-0.33489138536208363</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915</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47">
        <f ca="1">(TabCalc[[#This Row],[M]]+TabCalc[[#This Row],[L_Bp]])/TabCalc[[#This Row],[M]]</f>
        <v>9.4938672513290006E-3</v>
      </c>
      <c r="AE31" s="209">
        <f ca="1">IFERROR(MIN(TabCalc[[#This Row],[L_B1n]],TabCalc[[#This Row],[NAfter]])*(TabCalc[[#This Row],[M]]+TabCalc[[#This Row],[L_B1p]])*TabCalc[[#This Row],[Scale]],"")</f>
        <v>-4554.0000000000018</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6067.49999999999</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6354.9999999999955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70700</v>
      </c>
      <c r="AR31" s="332">
        <f ca="1">_xlfn.LET(_xlpm.MVToday,DataShift!AV531,         _xlpm.MVY,DataShift!AU532,        _xlpm.MVYY, DataShift!AT532,                                IF(_xlpm.MVToday=_xlpm.MVY,_xlpm.MVY-_xlpm.MVYY,_xlpm.MVToday-_xlpm.MVY))</f>
        <v>-354513.72155000002</v>
      </c>
      <c r="AS31" s="332">
        <f ca="1">_xlfn.LET(_xlpm.MVToday,DataShift!AV531,         _xlpm.MVY,DataShift!AU532,        _xlpm.MVYY, DataShift!AT532,         _xlpm.MVYYY, DataShift!AS532,                      IF(_xlpm.MVToday=_xlpm.MVY,      _xlpm.MVYY-_xlpm.MVYYY,          _xlpm.MVY-_xlpm.MVYY))</f>
        <v>7180.5599999999977</v>
      </c>
      <c r="AT31" s="969">
        <f ca="1">TabCalc[[#This Row],[Y]]/TabCalc[[#This Row],[M]]</f>
        <v>1.2935851242062588</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-9.4575066864242547</v>
      </c>
      <c r="AZ31" s="80">
        <f t="shared" ca="1" si="1"/>
        <v>0</v>
      </c>
      <c r="BA31" s="88">
        <f ca="1">_xlfn.XLOOKUP(TabCalc[[#This Row],[Ticker]],[1]!RTData[Ticker_Symbol],[1]!RTData[V/VA])</f>
        <v>0.86604808882101203</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0.86604808882101203</v>
      </c>
      <c r="BD31" s="85" cm="1">
        <f t="array" aca="1" ref="BD31" ca="1">INDEX(TabReg[], 1, _xlfn.XMATCH(TabCalc[[#This Row],[Ticker]]&amp;1, TabReg[#Headers], 0))</f>
        <v>10000</v>
      </c>
      <c r="BE31" s="157">
        <f ca="1">TabCalc[[#This Row],[Nbegin]]*TabCalc[[#This Row],[M]]*TabCalc[[#This Row],[Scale]]+TabCalc[[#This Row],[ValueBegin]]</f>
        <v>3779900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3766846.3099999996</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3796257.0008499995</v>
      </c>
      <c r="BN31" s="157">
        <f ca="1">IF(        OR( TabCalc[[#This Row],[GL]]&gt;ABS(TabCalc[[#This Row],[EfCost]]),TabCalc[[#This Row],[NAfter]]=0),             TabCalc[[#This Row],[GL]],     0)</f>
        <v>3796257.0008499995</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164.22</v>
      </c>
      <c r="BS31" s="172" t="str">
        <f ca="1">IF(TabCalc[[#This Row],[EfCost]]+TabCalc[[#This Row],[M_V]]&lt;TabCalc[[#This Row],[NoT_GL]],"Pile","")</f>
        <v/>
      </c>
      <c r="BT31" s="163">
        <f ca="1">_xlfn.XLOOKUP(TabCalc[[#This Row],[Ticker]],[1]!RTData[Ticker_Symbol],[1]!RTData[Last trade time])</f>
        <v>46002.876085983597</v>
      </c>
      <c r="BU31" s="173">
        <f ca="1">(TabCalc[[#This Row],[ValueBegin]]+(TabCalc[[#This Row],[M]]-TabCalc[[#This Row],[A]])*TabCalc[[#This Row],[NAfter]])*TabCalc[[#This Row],[Scale]]</f>
        <v>402351.54704000033</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1457151.5470400003</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123.60939431396807</v>
      </c>
      <c r="CX31" s="402">
        <f ca="1">IF(TabCalc[[#This Row],[ntoBuy]]*TabCalc[[#This Row],[M]]&lt;=0,0,TabCalc[[#This Row],[ntoBuy]]*TabCalc[[#This Row],[M]])</f>
        <v>59761.433868974142</v>
      </c>
      <c r="CY31" s="402">
        <f ca="1">IF(TabCalc[[#This Row],[M]]&gt;ABS(TabCalc[[#This Row],[L_Bp]]),MIN(TabCalc[[#This Row],[NAfter]],DesiredSaleGain/(TabCalc[[#This Row],[M]]+TabCalc[[#This Row],[L_Bp]])),0)/TabCalc[[#This Row],[Scale]]</f>
        <v>1089.3246187363759</v>
      </c>
      <c r="CZ31" s="403">
        <f ca="1">TabCalc[[#This Row],[ntoSell]]*TabCalc[[#This Row],[M]]</f>
        <v>526655.77342047566</v>
      </c>
      <c r="DA31" s="396">
        <f ca="1">_xlfn.LET(_xlpm.nToSell,IF(TabCalc[[#This Row],[M]]-TabCalc[[#This Row],[A]]&lt;=0,"",INT(DesiredSaleGain/(TabCalc[[#This Row],[M]]-IF(TabCalc[[#This Row],[E]]&gt;0,0,TabCalc[[#This Row],[A]])))),IF(_xlpm.nToSell&lt;=TabCalc[[#This Row],[NAfter]],_xlpm.nToSell,0))</f>
        <v>34</v>
      </c>
      <c r="DB31" s="334">
        <f ca="1">IFERROR(TabCalc[[#This Row],[NMA]]*TabCalc[[#This Row],[M]],"")</f>
        <v>16437.98</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1457151.5470400003</v>
      </c>
      <c r="DD31" s="88">
        <f ca="1">IFERROR((TabCalc[[#This Row],[M]]+TabCalc[[#This Row],[L_Bp]])/ABS(TabCalc[[#This Row],[L_Bp]])/(TODAY()-TabCalc[[#This Row],[L_Bdate]])*360,"")</f>
        <v>0.43131891079185064</v>
      </c>
      <c r="DE31" s="308">
        <f ca="1">MEDIAN(DataShift!F731:Z731)</f>
        <v>1.2978E-2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4834700</v>
      </c>
      <c r="DH31" s="85" cm="1">
        <f t="array" aca="1" ref="DH31" ca="1">SUMPRODUCT(ISNUMBER(INDIRECT("TabReg["&amp;TabCalc[[#This Row],[Ticker]]&amp;"2]"))* INDIRECT("TabReg["&amp;TabCalc[[#This Row],[Ticker]]&amp;"1]") * INDIRECT("TabReg["&amp;TabCalc[[#This Row],[Ticker]]&amp;"2]") )*TabCalc[[#This Row],[Scale]]</f>
        <v>-1010226.44</v>
      </c>
      <c r="DK31" s="85">
        <f ca="1"/>
        <v>311075</v>
      </c>
      <c r="DL31" s="88">
        <f t="shared" ca="1" si="2"/>
        <v>0.48947683466010089</v>
      </c>
      <c r="DM31" t="str">
        <f ca="1">_xlfn.XLOOKUP(DK31,TabCalc[Column1],TabCalc[Ticker])</f>
        <v>KR</v>
      </c>
      <c r="DN31" s="85">
        <f ca="1">_xlfn.XLOOKUP(DM31,TabCalc[Ticker],TabCalc[ValueBegin])</f>
        <v>-177700</v>
      </c>
      <c r="DO31" s="85">
        <f ca="1">_xlfn.XLOOKUP(DM31,TabCalc[Ticker],TabCalc[M_V])</f>
        <v>434329.13649999996</v>
      </c>
      <c r="DP31" s="85">
        <f ca="1">_xlfn.XLOOKUP(DM31,TabCalc[Ticker],TabCalc[GL])</f>
        <v>86980.033519099932</v>
      </c>
      <c r="DQ31" s="88"/>
      <c r="DR31" s="88"/>
      <c r="DS31" s="86" t="s">
        <v>28</v>
      </c>
      <c r="DT31" s="79">
        <v>4200</v>
      </c>
      <c r="DU31" s="313">
        <v>-72.357823809523808</v>
      </c>
      <c r="DW31" s="80">
        <v>5040434</v>
      </c>
      <c r="DX31" s="80">
        <f ca="1">DW31-TabCalc[[#This Row],[M_V]]</f>
        <v>218787.69000000041</v>
      </c>
    </row>
    <row r="32" spans="1:128">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243083.11870599998</v>
      </c>
      <c r="G32" s="80">
        <f ca="1">IFERROR(TabCalc[[#This Row],[SB]]-TabCalc[[#This Row],[SST]],TabCalc[[#This Row],[SB]])</f>
        <v>3001</v>
      </c>
      <c r="H32" s="530" t="str">
        <f ca="1">[1]!RTData[[#This Row],[Ticker_Symbol]]</f>
        <v>NEE</v>
      </c>
      <c r="I32" s="381">
        <f ca="1">_xlfn.XLOOKUP(TabCalc[[#This Row],[Ticker]],[1]!RTData[Ticker_Symbol],[1]!RTData[M-Price])</f>
        <v>81.22</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-6.1519999999999999E-4</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-0.93984255948163065</v>
      </c>
      <c r="T32" s="886">
        <f ca="1">IFERROR(SUMPRODUCT(DataShift!F1524:Z1524,DataShift!F732:Z732)/SQRT(SUMPRODUCT(DataShift!F1524:Z1524,DataShift!F1524:Z1524)*SUMPRODUCT(DataShift!F732:Z732,DataShift!F732:Z732)),0)</f>
        <v>0.22612064134513518</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-7660</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47">
        <f ca="1">(TabCalc[[#This Row],[M]]+TabCalc[[#This Row],[L_Bp]])/TabCalc[[#This Row],[M]]</f>
        <v>-3.1519330214232977E-2</v>
      </c>
      <c r="AE32" s="209">
        <f ca="1">IFERROR(MIN(TabCalc[[#This Row],[L_B1n]],TabCalc[[#This Row],[NAfter]])*(TabCalc[[#This Row],[M]]+TabCalc[[#This Row],[L_B1p]])*TabCalc[[#This Row],[Scale]],"")</f>
        <v>30668.890556999984</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259.3500000000023</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1045.4999999999998</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-180.05999999999767</v>
      </c>
      <c r="AR32" s="332">
        <f ca="1">_xlfn.LET(_xlpm.MVToday,DataShift!AV532,         _xlpm.MVY,DataShift!AU533,        _xlpm.MVYY, DataShift!AT533,                                IF(_xlpm.MVToday=_xlpm.MVY,_xlpm.MVY-_xlpm.MVYY,_xlpm.MVToday-_xlpm.MVY))</f>
        <v>-4467046.3219999997</v>
      </c>
      <c r="AS32" s="332">
        <f ca="1">_xlfn.LET(_xlpm.MVToday,DataShift!AV532,         _xlpm.MVY,DataShift!AU533,        _xlpm.MVYY, DataShift!AT533,         _xlpm.MVYYY, DataShift!AS533,                      IF(_xlpm.MVToday=_xlpm.MVY,      _xlpm.MVYY-_xlpm.MVYYY,          _xlpm.MVY-_xlpm.MVYY))</f>
        <v>51321.058000000194</v>
      </c>
      <c r="AT32" s="969">
        <f ca="1">TabCalc[[#This Row],[Y]]/TabCalc[[#This Row],[M]]</f>
        <v>1.1204136912090619</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-0.12656458134330587</v>
      </c>
      <c r="AZ32" s="80">
        <f t="shared" ca="1" si="1"/>
        <v>1199</v>
      </c>
      <c r="BA32" s="88">
        <f ca="1">_xlfn.XLOOKUP(TabCalc[[#This Row],[Ticker]],[1]!RTData[Ticker_Symbol],[1]!RTData[V/VA])</f>
        <v>0.90268026031108495</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0.90268026031108495</v>
      </c>
      <c r="BD32" s="85" cm="1">
        <f t="array" aca="1" ref="BD32" ca="1">INDEX(TabReg[], 1, _xlfn.XMATCH(TabCalc[[#This Row],[Ticker]]&amp;1, TabReg[#Headers], 0))</f>
        <v>4200</v>
      </c>
      <c r="BE32" s="157">
        <f ca="1">TabCalc[[#This Row],[Nbegin]]*TabCalc[[#This Row],[M]]*TabCalc[[#This Row],[Scale]]+TabCalc[[#This Row],[ValueBegin]]</f>
        <v>37221.140000000014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-60819.741294000007</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57265.019392564369</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102.57</v>
      </c>
      <c r="BS32" s="172" t="str">
        <f ca="1">IF(TabCalc[[#This Row],[EfCost]]+TabCalc[[#This Row],[M_V]]&lt;TabCalc[[#This Row],[NoT_GL]],"Pile","")</f>
        <v/>
      </c>
      <c r="BT32" s="163">
        <f ca="1">_xlfn.XLOOKUP(TabCalc[[#This Row],[Ticker]],[1]!RTData[Ticker_Symbol],[1]!RTData[Last trade time])</f>
        <v>46002.875988286716</v>
      </c>
      <c r="BU32" s="173">
        <f ca="1">(TabCalc[[#This Row],[ValueBegin]]+(TabCalc[[#This Row],[M]]-TabCalc[[#This Row],[A]])*TabCalc[[#This Row],[NAfter]])*TabCalc[[#This Row],[Scale]]</f>
        <v>-312226.30904415174</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-8323.4490441517701</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7692.3076923076251</v>
      </c>
      <c r="CX32" s="402">
        <f ca="1">IF(TabCalc[[#This Row],[ntoBuy]]*TabCalc[[#This Row],[M]]&lt;=0,0,TabCalc[[#This Row],[ntoBuy]]*TabCalc[[#This Row],[M]])</f>
        <v>624769.23076922528</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-8323.4490441517701</v>
      </c>
      <c r="DD32" s="88">
        <f ca="1">IFERROR((TabCalc[[#This Row],[M]]+TabCalc[[#This Row],[L_Bp]])/ABS(TabCalc[[#This Row],[L_Bp]])/(TODAY()-TabCalc[[#This Row],[L_Bdate]])*360,"")</f>
        <v>-1.5714626743511932</v>
      </c>
      <c r="DE32" s="308">
        <f ca="1">MEDIAN(DataShift!F732:Z732)</f>
        <v>-1.66E-4</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341124</v>
      </c>
      <c r="DH32" s="85" cm="1">
        <f t="array" aca="1" ref="DH32" ca="1">SUMPRODUCT(ISNUMBER(INDIRECT("TabReg["&amp;TabCalc[[#This Row],[Ticker]]&amp;"2]"))* INDIRECT("TabReg["&amp;TabCalc[[#This Row],[Ticker]]&amp;"1]") * INDIRECT("TabReg["&amp;TabCalc[[#This Row],[Ticker]]&amp;"2]") )*TabCalc[[#This Row],[Scale]]</f>
        <v>-184705.84800000003</v>
      </c>
      <c r="DK32" s="85">
        <f ca="1"/>
        <v>300700</v>
      </c>
      <c r="DL32" s="88">
        <f t="shared" ca="1" si="2"/>
        <v>8.2077949519710217E-2</v>
      </c>
      <c r="DM32" t="str">
        <f ca="1">_xlfn.XLOOKUP(DK32,TabCalc[Column1],TabCalc[Ticker])</f>
        <v>MVEEOAN</v>
      </c>
      <c r="DN32" s="85">
        <f ca="1">_xlfn.XLOOKUP(DM32,TabCalc[Ticker],TabCalc[ValueBegin])</f>
        <v>-221206</v>
      </c>
      <c r="DO32" s="85">
        <f ca="1">_xlfn.XLOOKUP(DM32,TabCalc[Ticker],TabCalc[M_V])</f>
        <v>149.94405499999999</v>
      </c>
      <c r="DP32" s="85">
        <f ca="1">_xlfn.XLOOKUP(DM32,TabCalc[Ticker],TabCalc[GL])</f>
        <v>18156.134901457019</v>
      </c>
      <c r="DQ32" s="88"/>
      <c r="DR32" s="88"/>
      <c r="DS32" s="86" t="s">
        <v>29</v>
      </c>
      <c r="DT32" s="79">
        <v>15000</v>
      </c>
      <c r="DU32" s="313">
        <v>-19.104759999999999</v>
      </c>
      <c r="DW32" s="80">
        <v>32680</v>
      </c>
      <c r="DX32" s="80">
        <f ca="1">DW32-TabCalc[[#This Row],[M_V]]</f>
        <v>-210403.11870599998</v>
      </c>
    </row>
    <row r="33" spans="1:128">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1685746.1629999999</v>
      </c>
      <c r="G33" s="80">
        <f ca="1">IFERROR(TabCalc[[#This Row],[SB]]-TabCalc[[#This Row],[SST]],TabCalc[[#This Row],[SB]])</f>
        <v>17000</v>
      </c>
      <c r="H33" s="530" t="str">
        <f ca="1">[1]!RTData[[#This Row],[Ticker_Symbol]]</f>
        <v>NEM</v>
      </c>
      <c r="I33" s="381">
        <f ca="1">_xlfn.XLOOKUP(TabCalc[[#This Row],[Ticker]],[1]!RTData[Ticker_Symbol],[1]!RTData[M-Price])</f>
        <v>99.43</v>
      </c>
      <c r="J33" s="380">
        <v>67.009778907882335</v>
      </c>
      <c r="K33" s="379">
        <f ca="1">_xlfn.XLOOKUP(TabCalc[[#This Row],[Ticker]],[1]!RTData[Ticker_Symbol],[1]!RTData[1YT])</f>
        <v>104.779</v>
      </c>
      <c r="L33" s="380">
        <f ca="1">IF(OR(TabCalc[[#This Row],[NAfter]]=0,TabCalc[[#This Row],[EfCost]]&gt;0),0,TabCalc[[#This Row],[EfCost]]/TabCalc[[#This Row],[NAfter]]/TabCalc[[#This Row],[Scale]])</f>
        <v>-11.878749951882343</v>
      </c>
      <c r="M33" s="727">
        <f ca="1">_xlfn.XLOOKUP(TabCalc[[#This Row],[Ticker]],[1]!RTData[Ticker_Symbol],[1]!RTData[Change%])</f>
        <v>5.3284000000000005E-2</v>
      </c>
      <c r="N33" s="1041" t="s">
        <v>2967</v>
      </c>
      <c r="O33" s="886" t="e">
        <f>TabCalc[[#This Row],[Up20]]-1+TabCalc[[#This Row],[Up20]]</f>
        <v>#VALUE!</v>
      </c>
      <c r="P33" s="886" t="e">
        <f>TabCalc[[#This Row],[Up20]]-TabCalc[[#This Row],[Up150]]</f>
        <v>#VALUE!</v>
      </c>
      <c r="Q33" s="886" t="s">
        <v>2968</v>
      </c>
      <c r="R33" s="886" t="e">
        <f>TabCalc[[#This Row],[Up150]]-1+TabCalc[[#This Row],[Up150]]</f>
        <v>#VALUE!</v>
      </c>
      <c r="S33" s="886">
        <f ca="1">IFERROR(SUMPRODUCT(DataShift!F1525:Z1525,DataShift!AB732:AV732)/SQRT(SUMPRODUCT(DataShift!F1525:Z1525,DataShift!F1525:Z1525)*SUMPRODUCT(DataShift!AB732:AV732,DataShift!AB732:AV732)),0)</f>
        <v>-0.80432979493305168</v>
      </c>
      <c r="T33" s="886">
        <f ca="1">IFERROR(SUMPRODUCT(DataShift!F1525:Z1525,DataShift!F733:Z733)/SQRT(SUMPRODUCT(DataShift!F1525:Z1525,DataShift!F1525:Z1525)*SUMPRODUCT(DataShift!F733:Z733,DataShift!F733:Z733)),0)</f>
        <v>-0.17741281998931499</v>
      </c>
      <c r="U33" s="996">
        <v>17000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40989</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447">
        <f ca="1">(TabCalc[[#This Row],[M]]+TabCalc[[#This Row],[L_Bp]])/TabCalc[[#This Row],[M]]</f>
        <v>0.20667806497033098</v>
      </c>
      <c r="AE33" s="209">
        <f ca="1">IFERROR(MIN(TabCalc[[#This Row],[L_B1n]],TabCalc[[#This Row],[NAfter]])*(TabCalc[[#This Row],[M]]+TabCalc[[#This Row],[L_B1p]])*TabCalc[[#This Row],[Scale]],"")</f>
        <v>19550.000000000011</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-80.000000000012506</v>
      </c>
      <c r="AJ33" s="206" cm="1">
        <f t="array" aca="1" ref="AJ33" ca="1">IFERROR(_xlfn.XLOOKUP(TabCalc[[#This Row],[L_Sp]],INDIRECT("TabReg["&amp;TabCalc[[#This Row],[Ticker]]&amp;"2]"),INDIRECT("TabReg["&amp;TabCalc[[#This Row],[Ticker]]&amp;"]")),0)</f>
        <v>46002</v>
      </c>
      <c r="AK33" s="177" cm="1">
        <f t="array" aca="1" ref="AK33" ca="1">IFERROR(_xlfn.XLOOKUP(TabCalc[[#This Row],[L_Sp]],INDIRECT("TabReg["&amp;TabCalc[[#This Row],[Ticker]]&amp;"2]"),INDIRECT("TabReg["&amp;TabCalc[[#This Row],[Ticker]]&amp;"1]")),0)</f>
        <v>1000</v>
      </c>
      <c r="AL33" s="188" cm="1">
        <f t="array" aca="1" ref="AL33" ca="1">IFERROR(INDEX(INDIRECT("TabReg["&amp;TabCalc[[#This Row],[Ticker]]&amp;"2]"), _xlfn.XMATCH(MAX(_xlfn._xlws.FILTER(INDIRECT("TabReg["&amp;TabCalc[[#This Row],[Ticker]]&amp;"]"), INDIRECT("TabReg["&amp;TabCalc[[#This Row],[Ticker]]&amp;"2]")&gt;0)), INDIRECT("TabReg["&amp;TabCalc[[#This Row],[Ticker]]&amp;"]"), 0)), 0)</f>
        <v>99.35</v>
      </c>
      <c r="AM33" s="210">
        <f ca="1">IFERROR(TabCalc[[#This Row],[L_S1n]]*(TabCalc[[#This Row],[L_S1p]]-TabCalc[[#This Row],[M]])*TabCalc[[#This Row],[Scale]],0)</f>
        <v>-18040.000000000022</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90.41</v>
      </c>
      <c r="AQ33" s="332">
        <f ca="1">_xlfn.LET(_xlpm.MVOpen,[1]!RTData[[#This Row],[Open]]*TabCalc[[#This Row],[NAfter]],_xlpm.MVNow,TabCalc[[#This Row],[M]]*TabCalc[[#This Row],[NAfter]],_xlpm.MVNow-_xlpm.MVOpen)*TabCalc[[#This Row],[Scale]]</f>
        <v>75310</v>
      </c>
      <c r="AR33" s="332">
        <f ca="1">_xlfn.LET(_xlpm.MVToday,DataShift!AV533,         _xlpm.MVY,DataShift!AU534,        _xlpm.MVYY, DataShift!AT534,                                IF(_xlpm.MVToday=_xlpm.MVY,_xlpm.MVY-_xlpm.MVYY,_xlpm.MVToday-_xlpm.MVY))</f>
        <v>4578563.1912939996</v>
      </c>
      <c r="AS33" s="332">
        <f ca="1">_xlfn.LET(_xlpm.MVToday,DataShift!AV533,         _xlpm.MVY,DataShift!AU534,        _xlpm.MVYY, DataShift!AT534,         _xlpm.MVYYY, DataShift!AS534,                      IF(_xlpm.MVToday=_xlpm.MVY,      _xlpm.MVYY-_xlpm.MVYYY,          _xlpm.MVY-_xlpm.MVYY))</f>
        <v>-179.57383800001116</v>
      </c>
      <c r="AT33" s="969">
        <f ca="1">TabCalc[[#This Row],[Y]]/TabCalc[[#This Row],[M]]</f>
        <v>1.0537966408528612</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2000</v>
      </c>
      <c r="AY33" s="303">
        <f ca="1">IFERROR((TabCalc[[#This Row],[M]]-TabCalc[[#This Row],[Y]])*(TabCalc[[#This Row],[M]]-TabCalc[[#This Row],[Y]])*(TabCalc[[#This Row],[M]]-TabCalc[[#This Row],[Y]])/(TabCalc[[#This Row],[Y]]*TabCalc[[#This Row],[M]]),"")</f>
        <v>-1.4690145759651543E-2</v>
      </c>
      <c r="AZ33" s="80">
        <f t="shared" ca="1" si="1"/>
        <v>0</v>
      </c>
      <c r="BA33" s="88">
        <f ca="1">_xlfn.XLOOKUP(TabCalc[[#This Row],[Ticker]],[1]!RTData[Ticker_Symbol],[1]!RTData[V/VA])</f>
        <v>1.2314631296255434</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1.2314631296255434</v>
      </c>
      <c r="BD33" s="85" cm="1">
        <f t="array" aca="1" ref="BD33" ca="1">INDEX(TabReg[], 1, _xlfn.XMATCH(TabCalc[[#This Row],[Ticker]]&amp;1, TabReg[#Headers], 0))</f>
        <v>15000</v>
      </c>
      <c r="BE33" s="157">
        <f ca="1">TabCalc[[#This Row],[Nbegin]]*TabCalc[[#This Row],[M]]*TabCalc[[#This Row],[Scale]]+TabCalc[[#This Row],[ValueBegin]]</f>
        <v>1204878.6000000001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0</v>
      </c>
      <c r="BI33" s="334">
        <f ca="1">TabCalc[[#This Row],[M_V]]+TabCalc[[#This Row],[ValueBegin]]</f>
        <v>1399174.763</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2597363.869988</v>
      </c>
      <c r="BL33" s="157" cm="1">
        <f t="array" aca="1" ref="BL33" ca="1">SUMPRODUCT(ISNUMBER(INDIRECT("TabReg["&amp;TabCalc[[#This Row],[Ticker]]&amp;"2]"))* INDIRECT("TabReg["&amp;TabCalc[[#This Row],[Ticker]]&amp;"1]") * INDIRECT("TabReg["&amp;TabCalc[[#This Row],[Ticker]]&amp;"2]"))*TabCalc[[#This Row],[Scale]]*(1+Commission)</f>
        <v>-201938.74918199982</v>
      </c>
      <c r="BM33" s="157">
        <f ca="1">TabCalc[[#This Row],[M_V]]*(1-Commission)+TabCalc[[#This Row],[EfCost]]</f>
        <v>1479424.4737942</v>
      </c>
      <c r="BN33" s="157">
        <f ca="1">IF(        OR( TabCalc[[#This Row],[GL]]&gt;ABS(TabCalc[[#This Row],[EfCost]]),TabCalc[[#This Row],[NAfter]]=0),             TabCalc[[#This Row],[GL]],     0)</f>
        <v>1479424.4737942</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47000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46002.876140497654</v>
      </c>
      <c r="BU33" s="173">
        <f ca="1">(TabCalc[[#This Row],[ValueBegin]]+(TabCalc[[#This Row],[M]]-TabCalc[[#This Row],[A]])*TabCalc[[#This Row],[NAfter]])*TabCalc[[#This Row],[Scale]]</f>
        <v>264572.35856600042</v>
      </c>
      <c r="BV33" s="185" cm="1">
        <f t="array" aca="1" ref="BV33" ca="1">_xlfn.XLOOKUP(TabCalc[[#This Row],[Ticker]],TabReg[[#Headers],[AAPL]:[UnknownX28]],Reg!B$72:KF$72)+3</f>
        <v>44</v>
      </c>
      <c r="BW33" s="186" cm="1">
        <f t="array" aca="1" ref="BW33" ca="1">_xlfn.XLOOKUP(TabCalc[[#This Row],[Ticker]],TabReg[[#Headers],[AAPL]:[UnknownX28]],Reg!B$73:KF$73)+2</f>
        <v>93</v>
      </c>
      <c r="BX33" s="187">
        <f ca="1">IFERROR(MAX(TabCalc[[#This Row],[Max_SD]],TabCalc[[#This Row],[Max_PD]]),0)</f>
        <v>46002</v>
      </c>
      <c r="BY33" s="187" t="str" cm="1">
        <f t="array" aca="1" ref="BY33" ca="1">_xlfn.LET(_xlpm.lastTy,TabCalc[[#This Row],[L_TP]],_xlfn.IFS(_xlpm.lastTy&lt;0,"Purchase",_xlpm.lastTy&gt;0,"Sale"))</f>
        <v>Sale</v>
      </c>
      <c r="BZ33" s="186" cm="1">
        <f t="array" aca="1" ref="BZ33" ca="1">INDEX(Reg!$A$1:$KF$73,TabCalc[[#This Row],[L_I1]],TabCalc[[#This Row],[L_I2]])</f>
        <v>1000</v>
      </c>
      <c r="CA33" s="188" cm="1">
        <f t="array" aca="1" ref="CA33" ca="1">INDEX(Reg!$A$1:$KF$73,TabCalc[[#This Row],[L_I1]],TabCalc[[#This Row],[L_I2]]+1)</f>
        <v>99.35</v>
      </c>
      <c r="CB33" s="157">
        <f ca="1">TabCalc[[#This Row],[NAfter]]*(TabCalc[[#This Row],[M]]-IF(TabCalc[[#This Row],[E]]&gt;0,0,TabCalc[[#This Row],[A]]))</f>
        <v>551143.75856600038</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46002</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99.35</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45950</v>
      </c>
      <c r="CR33" s="174" cm="1">
        <f t="array" aca="1" ref="CR33" ca="1">IFERROR(_xlfn.XLOOKUP(TabCalc[[#This Row],[BS2P]],INDIRECT("TabReg["&amp;TabCalc[[#This Row],[Ticker]]&amp;"2]"),INDIRECT("TabReg["&amp;TabCalc[[#This Row],[Ticker]]&amp;"1]")),0)</f>
        <v>1000</v>
      </c>
      <c r="CS33" s="169">
        <f ca="1">_xlfn.MAXIFS(INDIRECT("TabReg["&amp;TabCalc[[#This Row],[Ticker]]&amp;"2]"), INDIRECT("TabReg["&amp;TabCalc[[#This Row],[Ticker]]&amp;"2]"), "&lt;" &amp; MAX(INDIRECT("TabReg["&amp;TabCalc[[#This Row],[Ticker]]&amp;"2]")))</f>
        <v>94.22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243.30900243308989</v>
      </c>
      <c r="CZ33" s="403">
        <f ca="1">TabCalc[[#This Row],[ntoSell]]*TabCalc[[#This Row],[M]]</f>
        <v>24192.214111922131</v>
      </c>
      <c r="DA33" s="396">
        <f ca="1">_xlfn.LET(_xlpm.nToSell,IF(TabCalc[[#This Row],[M]]-TabCalc[[#This Row],[A]]&lt;=0,"",INT(DesiredSaleGain/(TabCalc[[#This Row],[M]]-IF(TabCalc[[#This Row],[E]]&gt;0,0,TabCalc[[#This Row],[A]])))),IF(_xlpm.nToSell&lt;=TabCalc[[#This Row],[NAfter]],_xlpm.nToSell,0))</f>
        <v>154</v>
      </c>
      <c r="DB33" s="334">
        <f ca="1">IFERROR(TabCalc[[#This Row],[NMA]]*TabCalc[[#This Row],[M]],"")</f>
        <v>15312.220000000001</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551143.75856600038</v>
      </c>
      <c r="DD33" s="88">
        <f ca="1">IFERROR((TabCalc[[#This Row],[M]]+TabCalc[[#This Row],[L_Bp]])/ABS(TabCalc[[#This Row],[L_Bp]])/(TODAY()-TabCalc[[#This Row],[L_Bdate]])*360,"")</f>
        <v>2.5348116879557057</v>
      </c>
      <c r="DE33" s="308">
        <f ca="1">MEDIAN(DataShift!F733:Z733)</f>
        <v>8.2699999999999994E-4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1491450</v>
      </c>
      <c r="DH33" s="85" cm="1">
        <f t="array" aca="1" ref="DH33" ca="1">SUMPRODUCT(ISNUMBER(INDIRECT("TabReg["&amp;TabCalc[[#This Row],[Ticker]]&amp;"2]"))* INDIRECT("TabReg["&amp;TabCalc[[#This Row],[Ticker]]&amp;"1]") * INDIRECT("TabReg["&amp;TabCalc[[#This Row],[Ticker]]&amp;"2]") )*TabCalc[[#This Row],[Scale]]</f>
        <v>-201415.06999999983</v>
      </c>
      <c r="DK33" s="85">
        <f ca="1"/>
        <v>294480</v>
      </c>
      <c r="DL33" s="88">
        <f t="shared" ca="1" si="2"/>
        <v>1.4945768506971322</v>
      </c>
      <c r="DM33" t="str">
        <f ca="1">_xlfn.XLOOKUP(DK33,TabCalc[Column1],TabCalc[Ticker])</f>
        <v>HPE</v>
      </c>
      <c r="DN33" s="85">
        <f ca="1">_xlfn.XLOOKUP(DM33,TabCalc[Ticker],TabCalc[ValueBegin])</f>
        <v>-133920</v>
      </c>
      <c r="DO33" s="85">
        <f ca="1">_xlfn.XLOOKUP(DM33,TabCalc[Ticker],TabCalc[M_V])</f>
        <v>347527.13639999996</v>
      </c>
      <c r="DP33" s="85">
        <f ca="1">_xlfn.XLOOKUP(DM33,TabCalc[Ticker],TabCalc[GL])</f>
        <v>200153.73184535993</v>
      </c>
      <c r="DQ33" s="88"/>
      <c r="DR33" s="88"/>
      <c r="DS33" s="86" t="s">
        <v>30</v>
      </c>
      <c r="DT33" s="79">
        <v>4000</v>
      </c>
      <c r="DU33" s="313">
        <v>-393.15</v>
      </c>
      <c r="DW33" s="80">
        <v>1419840</v>
      </c>
      <c r="DX33" s="80">
        <f ca="1">DW33-TabCalc[[#This Row],[M_V]]</f>
        <v>-265906.16299999994</v>
      </c>
    </row>
    <row r="34" spans="1:128">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3378094.452</v>
      </c>
      <c r="G34" s="80">
        <f ca="1">IFERROR(TabCalc[[#This Row],[SB]]-TabCalc[[#This Row],[SST]],TabCalc[[#This Row],[SB]])</f>
        <v>36000</v>
      </c>
      <c r="H34" s="530" t="str">
        <f ca="1">[1]!RTData[[#This Row],[Ticker_Symbol]]</f>
        <v>NFLX</v>
      </c>
      <c r="I34" s="381">
        <f ca="1">_xlfn.XLOOKUP(TabCalc[[#This Row],[Ticker]],[1]!RTData[Ticker_Symbol],[1]!RTData[M-Price])</f>
        <v>94.09</v>
      </c>
      <c r="J34" s="380">
        <v>111.38831573142856</v>
      </c>
      <c r="K34" s="379">
        <f ca="1">_xlfn.XLOOKUP(TabCalc[[#This Row],[Ticker]],[1]!RTData[Ticker_Symbol],[1]!RTData[1YT])</f>
        <v>133.41245000000001</v>
      </c>
      <c r="L34" s="380">
        <f ca="1">IF(OR(TabCalc[[#This Row],[NAfter]]=0,TabCalc[[#This Row],[EfCost]]&gt;0),0,TabCalc[[#This Row],[EfCost]]/TabCalc[[#This Row],[NAfter]]/TabCalc[[#This Row],[Scale]])</f>
        <v>-67.653972228499981</v>
      </c>
      <c r="M34" s="727">
        <f ca="1">_xlfn.XLOOKUP(TabCalc[[#This Row],[Ticker]],[1]!RTData[Ticker_Symbol],[1]!RTData[Change%])</f>
        <v>1.4884999999999999E-2</v>
      </c>
      <c r="N34" s="1041">
        <v>0</v>
      </c>
      <c r="O34" s="886">
        <f>TabCalc[[#This Row],[Up20]]-1+TabCalc[[#This Row],[Up20]]</f>
        <v>-1</v>
      </c>
      <c r="P34" s="886">
        <f>TabCalc[[#This Row],[Up20]]-TabCalc[[#This Row],[Up150]]</f>
        <v>0</v>
      </c>
      <c r="Q34" s="886">
        <v>0</v>
      </c>
      <c r="R34" s="886">
        <f>TabCalc[[#This Row],[Up150]]-1+TabCalc[[#This Row],[Up150]]</f>
        <v>-1</v>
      </c>
      <c r="S34" s="886">
        <f ca="1">IFERROR(SUMPRODUCT(DataShift!F1526:Z1526,DataShift!AB733:AV733)/SQRT(SUMPRODUCT(DataShift!F1526:Z1526,DataShift!F1526:Z1526)*SUMPRODUCT(DataShift!AB733:AV733,DataShift!AB733:AV733)),0)</f>
        <v>-0.75288209809555073</v>
      </c>
      <c r="T34" s="886">
        <f ca="1">IFERROR(SUMPRODUCT(DataShift!F1526:Z1526,DataShift!F734:Z734)/SQRT(SUMPRODUCT(DataShift!F1526:Z1526,DataShift!F1526:Z1526)*SUMPRODUCT(DataShift!F734:Z734,DataShift!F734:Z734)),0)</f>
        <v>-0.41431511629845885</v>
      </c>
      <c r="U34" s="996">
        <v>0</v>
      </c>
      <c r="V34" s="996">
        <v>35000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1605</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47">
        <f ca="1">(TabCalc[[#This Row],[M]]+TabCalc[[#This Row],[L_Bp]])/TabCalc[[#This Row],[M]]</f>
        <v>1.7111276437453495E-2</v>
      </c>
      <c r="AE34" s="209">
        <f ca="1">IFERROR(MIN(TabCalc[[#This Row],[L_B1n]],TabCalc[[#This Row],[NAfter]])*(TabCalc[[#This Row],[M]]+TabCalc[[#This Row],[L_B1p]])*TabCalc[[#This Row],[Scale]],"")</f>
        <v>-3585.9999999999845</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29265.999999999993</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29442.999999999985</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10800</v>
      </c>
      <c r="AR34" s="332">
        <f ca="1">_xlfn.LET(_xlpm.MVToday,DataShift!AV534,         _xlpm.MVY,DataShift!AU535,        _xlpm.MVYY, DataShift!AT535,                                IF(_xlpm.MVToday=_xlpm.MVY,_xlpm.MVY-_xlpm.MVYY,_xlpm.MVToday-_xlpm.MVY))</f>
        <v>-1442663.0442939999</v>
      </c>
      <c r="AS34" s="332">
        <f ca="1">_xlfn.LET(_xlpm.MVToday,DataShift!AV534,         _xlpm.MVY,DataShift!AU535,        _xlpm.MVYY, DataShift!AT535,         _xlpm.MVYYY, DataShift!AS535,                      IF(_xlpm.MVToday=_xlpm.MVY,      _xlpm.MVYY-_xlpm.MVYYY,          _xlpm.MVY-_xlpm.MVYY))</f>
        <v>-9135.2679999999236</v>
      </c>
      <c r="AT34" s="969">
        <f ca="1">TabCalc[[#This Row],[Y]]/TabCalc[[#This Row],[M]]</f>
        <v>1.4179237963651823</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-4.8437517688645313</v>
      </c>
      <c r="AZ34" s="80">
        <f t="shared" ca="1" si="1"/>
        <v>0</v>
      </c>
      <c r="BA34" s="88">
        <f ca="1">_xlfn.XLOOKUP(TabCalc[[#This Row],[Ticker]],[1]!RTData[Ticker_Symbol],[1]!RTData[V/VA])</f>
        <v>0.93949121229058552</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0.93949121229058552</v>
      </c>
      <c r="BD34" s="85" cm="1">
        <f t="array" aca="1" ref="BD34" ca="1">INDEX(TabReg[], 1, _xlfn.XMATCH(TabCalc[[#This Row],[Ticker]]&amp;1, TabReg[#Headers], 0))</f>
        <v>40000</v>
      </c>
      <c r="BE34" s="157">
        <f ca="1">TabCalc[[#This Row],[Nbegin]]*TabCalc[[#This Row],[M]]*TabCalc[[#This Row],[Scale]]+TabCalc[[#This Row],[ValueBegin]]</f>
        <v>-1196240</v>
      </c>
      <c r="BF34" s="332" t="str" cm="1">
        <f t="array" aca="1" ref="BF34" ca="1">_xlfn.IFS(TabCalc[[#This Row],[Cost+Gain]]&gt;0,"Free",             TabCalc[[#This Row],[GL]]&gt;0,"Gainer",                TRUE,"Looser")</f>
        <v>Gainer</v>
      </c>
      <c r="BG34" s="157">
        <f ca="1">TabCalc[[#This Row],[Tot_Paid]]-TabCalc[[#This Row],[ValueBegin]]</f>
        <v>-5133531.816833999</v>
      </c>
      <c r="BH34" s="333">
        <f ca="1">IF(TabCalc[[#This Row],[EfCost]]&gt;TabCalc[[#This Row],[ValueBegin]],       0,        TabCalc[[#This Row],[EfCost]]-TabCalc[[#This Row],[ValueBegin]]*(1+Commission))</f>
        <v>-858854.24022599938</v>
      </c>
      <c r="BI34" s="334">
        <f ca="1">TabCalc[[#This Row],[M_V]]+TabCalc[[#This Row],[ValueBegin]]</f>
        <v>1805494.452</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-2435543.0002259994</v>
      </c>
      <c r="BM34" s="157">
        <f ca="1">TabCalc[[#This Row],[M_V]]*(1-Commission)+TabCalc[[#This Row],[EfCost]]</f>
        <v>933768.40619880054</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102.16</v>
      </c>
      <c r="BS34" s="172" t="str">
        <f ca="1">IF(TabCalc[[#This Row],[EfCost]]+TabCalc[[#This Row],[M_V]]&lt;TabCalc[[#This Row],[NoT_GL]],"Pile","")</f>
        <v/>
      </c>
      <c r="BT34" s="163">
        <f ca="1">_xlfn.XLOOKUP(TabCalc[[#This Row],[Ticker]],[1]!RTData[Ticker_Symbol],[1]!RTData[Last trade time])</f>
        <v>46002.876229235939</v>
      </c>
      <c r="BU34" s="173">
        <f ca="1">(TabCalc[[#This Row],[ValueBegin]]+(TabCalc[[#This Row],[M]]-TabCalc[[#This Row],[A]])*TabCalc[[#This Row],[NAfter]])*TabCalc[[#This Row],[Scale]]</f>
        <v>-2195339.3663314283</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-622739.36633142817</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170.84671632611227</v>
      </c>
      <c r="CX34" s="402">
        <f ca="1">IF(TabCalc[[#This Row],[ntoBuy]]*TabCalc[[#This Row],[M]]&lt;=0,0,TabCalc[[#This Row],[ntoBuy]]*TabCalc[[#This Row],[M]])</f>
        <v>16074.967539123903</v>
      </c>
      <c r="CY34" s="402">
        <f ca="1">IF(TabCalc[[#This Row],[M]]&gt;ABS(TabCalc[[#This Row],[L_Bp]]),MIN(TabCalc[[#This Row],[NAfter]],DesiredSaleGain/(TabCalc[[#This Row],[M]]+TabCalc[[#This Row],[L_Bp]])),0)/TabCalc[[#This Row],[Scale]]</f>
        <v>3105.5900621118021</v>
      </c>
      <c r="CZ34" s="403">
        <f ca="1">TabCalc[[#This Row],[ntoSell]]*TabCalc[[#This Row],[M]]</f>
        <v>292204.9689440995</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-622739.36633142817</v>
      </c>
      <c r="DD34" s="88">
        <f ca="1">IFERROR((TabCalc[[#This Row],[M]]+TabCalc[[#This Row],[L_Bp]])/ABS(TabCalc[[#This Row],[L_Bp]])/(TODAY()-TabCalc[[#This Row],[L_Bdate]])*360,"")</f>
        <v>6.2673010380622811</v>
      </c>
      <c r="DE34" s="308">
        <f ca="1">MEDIAN(DataShift!F734:Z734)</f>
        <v>1.0095E-2</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376360</v>
      </c>
      <c r="DH34" s="85" cm="1">
        <f t="array" aca="1" ref="DH34" ca="1">SUMPRODUCT(ISNUMBER(INDIRECT("TabReg["&amp;TabCalc[[#This Row],[Ticker]]&amp;"2]"))* INDIRECT("TabReg["&amp;TabCalc[[#This Row],[Ticker]]&amp;"1]") * INDIRECT("TabReg["&amp;TabCalc[[#This Row],[Ticker]]&amp;"2]") )*TabCalc[[#This Row],[Scale]]</f>
        <v>-2429227.0099999998</v>
      </c>
      <c r="DK34" s="85">
        <f ca="1"/>
        <v>282391.40000000002</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-99214.452000000048</v>
      </c>
    </row>
    <row r="35" spans="1:128">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92250.25</v>
      </c>
      <c r="G35" s="80">
        <f ca="1">IFERROR(TabCalc[[#This Row],[SB]]-TabCalc[[#This Row],[SST]],TabCalc[[#This Row],[SB]])</f>
        <v>50000</v>
      </c>
      <c r="H35" s="530" t="str">
        <f ca="1">[1]!RTData[[#This Row],[Ticker_Symbol]]</f>
        <v>NOTE</v>
      </c>
      <c r="I35" s="381">
        <f ca="1">_xlfn.XLOOKUP(TabCalc[[#This Row],[Ticker]],[1]!RTData[Ticker_Symbol],[1]!RTData[M-Price])</f>
        <v>1.85</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7">
        <f ca="1">_xlfn.XLOOKUP(TabCalc[[#This Row],[Ticker]],[1]!RTData[Ticker_Symbol],[1]!RTData[Change%])</f>
        <v>0</v>
      </c>
      <c r="N35" s="1041">
        <v>0</v>
      </c>
      <c r="O35" s="886">
        <f>TabCalc[[#This Row],[Up20]]-1+TabCalc[[#This Row],[Up20]]</f>
        <v>-1</v>
      </c>
      <c r="P35" s="886">
        <f>TabCalc[[#This Row],[Up20]]-TabCalc[[#This Row],[Up150]]</f>
        <v>-0.27272727272727271</v>
      </c>
      <c r="Q35" s="886">
        <v>0.27272727272727271</v>
      </c>
      <c r="R35" s="886">
        <f>TabCalc[[#This Row],[Up150]]-1+TabCalc[[#This Row],[Up150]]</f>
        <v>-0.45454545454545459</v>
      </c>
      <c r="S35" s="886">
        <f ca="1">IFERROR(SUMPRODUCT(DataShift!F1527:Z1527,DataShift!AB734:AV734)/SQRT(SUMPRODUCT(DataShift!F1527:Z1527,DataShift!F1527:Z1527)*SUMPRODUCT(DataShift!AB734:AV734,DataShift!AB734:AV734)),0)</f>
        <v>-0.94177696579719938</v>
      </c>
      <c r="T35" s="886">
        <f ca="1">IFERROR(SUMPRODUCT(DataShift!F1527:Z1527,DataShift!F735:Z735)/SQRT(SUMPRODUCT(DataShift!F1527:Z1527,DataShift!F1527:Z1527)*SUMPRODUCT(DataShift!F735:Z735,DataShift!F735:Z735)),0)</f>
        <v>0.33324716379594177</v>
      </c>
      <c r="U35" s="996">
        <v>0</v>
      </c>
      <c r="V35" s="996">
        <v>50000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-300</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47">
        <f ca="1">(TabCalc[[#This Row],[M]]+TabCalc[[#This Row],[L_Bp]])/TabCalc[[#This Row],[M]]</f>
        <v>-1.621621621621611E-2</v>
      </c>
      <c r="AE35" s="209">
        <f ca="1">IFERROR(MIN(TabCalc[[#This Row],[L_B1n]],TabCalc[[#This Row],[NAfter]])*(TabCalc[[#This Row],[M]]+TabCalc[[#This Row],[L_B1p]])*TabCalc[[#This Row],[Scale]],"")</f>
        <v>-1199.9999999999989</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-500</v>
      </c>
      <c r="AR35" s="332">
        <f ca="1">_xlfn.LET(_xlpm.MVToday,DataShift!AV535,         _xlpm.MVY,DataShift!AU536,        _xlpm.MVYY, DataShift!AT536,                                IF(_xlpm.MVToday=_xlpm.MVY,_xlpm.MVY-_xlpm.MVYY,_xlpm.MVToday-_xlpm.MVY))</f>
        <v>-1692348.2890000001</v>
      </c>
      <c r="AS35" s="332">
        <f ca="1">_xlfn.LET(_xlpm.MVToday,DataShift!AV535,         _xlpm.MVY,DataShift!AU536,        _xlpm.MVYY, DataShift!AT536,         _xlpm.MVYYY, DataShift!AS536,                      IF(_xlpm.MVToday=_xlpm.MVY,      _xlpm.MVYY-_xlpm.MVYYY,          _xlpm.MVY-_xlpm.MVYY))</f>
        <v>49545.86400000006</v>
      </c>
      <c r="AT35" s="969">
        <f ca="1">TabCalc[[#This Row],[Y]]/TabCalc[[#This Row],[M]]</f>
        <v>10.405697297297298</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-147.93588482899915</v>
      </c>
      <c r="AZ35" s="80">
        <f t="shared" ca="1" si="1"/>
        <v>0</v>
      </c>
      <c r="BA35" s="88">
        <f ca="1">_xlfn.XLOOKUP(TabCalc[[#This Row],[Ticker]],[1]!RTData[Ticker_Symbol],[1]!RTData[V/VA])</f>
        <v>0.63952972578909406</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0.63952972578909406</v>
      </c>
      <c r="BD35" s="85" cm="1">
        <f t="array" aca="1" ref="BD35" ca="1">INDEX(TabReg[], 1, _xlfn.XMATCH(TabCalc[[#This Row],[Ticker]]&amp;1, TabReg[#Headers], 0))</f>
        <v>0</v>
      </c>
      <c r="BE35" s="157">
        <f ca="1">TabCalc[[#This Row],[Nbegin]]*TabCalc[[#This Row],[M]]*TabCalc[[#This Row],[Scale]]+TabCalc[[#This Row],[ValueBegin]]</f>
        <v>19800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56550.25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Row],[Ticker]]&amp;"2]"))*TabCalc[[#This Row],[Scale]]*(1+Commission)</f>
        <v>-300021.59084975999</v>
      </c>
      <c r="BM35" s="157">
        <f ca="1">TabCalc[[#This Row],[M_V]]*(1-Commission)+TabCalc[[#This Row],[EfCost]]</f>
        <v>-208011.19149976</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46002.875000995315</v>
      </c>
      <c r="BU35" s="173">
        <f ca="1">(TabCalc[[#This Row],[ValueBegin]]+(TabCalc[[#This Row],[M]]-TabCalc[[#This Row],[A]])*TabCalc[[#This Row],[NAfter]])*TabCalc[[#This Row],[Scale]]</f>
        <v>-243221.59084975999</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-207521.59084975999</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26667</v>
      </c>
      <c r="CJ35" s="169">
        <f ca="1">-IFERROR(MIN(INDIRECT("TabConsolid["&amp;TabCalc[[#This Row],[Ticker]]&amp;"2]")),0)</f>
        <v>9.4328000000000003</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-207521.59084975999</v>
      </c>
      <c r="DD35" s="88">
        <f ca="1">IFERROR((TabCalc[[#This Row],[M]]+TabCalc[[#This Row],[L_Bp]])/ABS(TabCalc[[#This Row],[L_Bp]])/(TODAY()-TabCalc[[#This Row],[L_Bdate]])*360,"")</f>
        <v>-1.9148936170212645</v>
      </c>
      <c r="DE35" s="308">
        <f ca="1">MEDIAN(DataShift!F735:Z735)</f>
        <v>-3.869E-3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55500</v>
      </c>
      <c r="DH35" s="85" cm="1">
        <f t="array" aca="1" ref="DH35" ca="1">SUMPRODUCT(ISNUMBER(INDIRECT("TabReg["&amp;TabCalc[[#This Row],[Ticker]]&amp;"2]"))* INDIRECT("TabReg["&amp;TabCalc[[#This Row],[Ticker]]&amp;"1]") * INDIRECT("TabReg["&amp;TabCalc[[#This Row],[Ticker]]&amp;"2]") )*TabCalc[[#This Row],[Scale]]</f>
        <v>-299243.5576</v>
      </c>
      <c r="DK35" s="85">
        <f ca="1"/>
        <v>223432.95</v>
      </c>
      <c r="DL35" s="88">
        <f t="shared" ref="DL35:DL66" ca="1" si="3">DP35/ABS(DN35)</f>
        <v>1.0188127086228598</v>
      </c>
      <c r="DM35" t="str">
        <f ca="1">_xlfn.XLOOKUP(DK35,TabCalc[Column1],TabCalc[Ticker])</f>
        <v>TSLA</v>
      </c>
      <c r="DN35" s="85">
        <f ca="1">_xlfn.XLOOKUP(DM35,TabCalc[Ticker],TabCalc[ValueBegin])</f>
        <v>-86274</v>
      </c>
      <c r="DO35" s="85">
        <f ca="1">_xlfn.XLOOKUP(DM35,TabCalc[Ticker],TabCalc[M_V])</f>
        <v>445.65936206999999</v>
      </c>
      <c r="DP35" s="85">
        <f ca="1">_xlfn.XLOOKUP(DM35,TabCalc[Ticker],TabCalc[GL])</f>
        <v>87897.047623728606</v>
      </c>
      <c r="DQ35" s="88"/>
      <c r="DR35" s="88"/>
      <c r="DS35" s="86" t="s">
        <v>32</v>
      </c>
      <c r="DT35">
        <v>500</v>
      </c>
      <c r="DU35" s="313">
        <v>-896.1</v>
      </c>
      <c r="DW35" s="80">
        <v>98934.569999999992</v>
      </c>
      <c r="DX35" s="80">
        <f ca="1">DW35-TabCalc[[#This Row],[M_V]]</f>
        <v>6684.3199999999924</v>
      </c>
    </row>
    <row r="36" spans="1:128">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50204.081999999995</v>
      </c>
      <c r="G36" s="80">
        <f ca="1">IFERROR(TabCalc[[#This Row],[SB]]-TabCalc[[#This Row],[SST]],TabCalc[[#This Row],[SB]])</f>
        <v>1000</v>
      </c>
      <c r="H36" s="530" t="str">
        <f ca="1">[1]!RTData[[#This Row],[Ticker_Symbol]]</f>
        <v>PAAS</v>
      </c>
      <c r="I36" s="381">
        <f ca="1">_xlfn.XLOOKUP(TabCalc[[#This Row],[Ticker]],[1]!RTData[Ticker_Symbol],[1]!RTData[M-Price])</f>
        <v>50.34</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3.4525E-2</v>
      </c>
      <c r="N36" s="1041">
        <v>0</v>
      </c>
      <c r="O36" s="886">
        <f>TabCalc[[#This Row],[Up20]]-1+TabCalc[[#This Row],[Up20]]</f>
        <v>-1</v>
      </c>
      <c r="P36" s="886">
        <f>TabCalc[[#This Row],[Up20]]-TabCalc[[#This Row],[Up150]]</f>
        <v>-0.5</v>
      </c>
      <c r="Q36" s="886">
        <v>0.5</v>
      </c>
      <c r="R36" s="886">
        <f>TabCalc[[#This Row],[Up150]]-1+TabCalc[[#This Row],[Up150]]</f>
        <v>0</v>
      </c>
      <c r="S36" s="886">
        <f ca="1">IFERROR(SUMPRODUCT(DataShift!F1528:Z1528,DataShift!AB735:AV735)/SQRT(SUMPRODUCT(DataShift!F1528:Z1528,DataShift!F1528:Z1528)*SUMPRODUCT(DataShift!AB735:AV735,DataShift!AB735:AV735)),0)</f>
        <v>-0.94674312886878509</v>
      </c>
      <c r="T36" s="886">
        <f ca="1">IFERROR(SUMPRODUCT(DataShift!F1528:Z1528,DataShift!F736:Z736)/SQRT(SUMPRODUCT(DataShift!F1528:Z1528,DataShift!F1528:Z1528)*SUMPRODUCT(DataShift!F736:Z736,DataShift!F736:Z736)),0)</f>
        <v>0.53283205284429569</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14580</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47">
        <f ca="1">(TabCalc[[#This Row],[M]]+TabCalc[[#This Row],[L_Bp]])/TabCalc[[#This Row],[M]]</f>
        <v>0.29042510925705212</v>
      </c>
      <c r="AE36" s="209">
        <f ca="1">IFERROR(MIN(TabCalc[[#This Row],[L_B1n]],TabCalc[[#This Row],[NAfter]])*(TabCalc[[#This Row],[M]]+TabCalc[[#This Row],[L_B1p]])*TabCalc[[#This Row],[Scale]],"")</f>
        <v>22810.000000000004</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-4890.0000000000009</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-22974.000000000004</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960</v>
      </c>
      <c r="AR36" s="332">
        <f ca="1">_xlfn.LET(_xlpm.MVToday,DataShift!AV536,         _xlpm.MVY,DataShift!AU537,        _xlpm.MVYY, DataShift!AT537,                                IF(_xlpm.MVToday=_xlpm.MVY,_xlpm.MVY-_xlpm.MVYY,_xlpm.MVToday-_xlpm.MVY))</f>
        <v>3285844.202</v>
      </c>
      <c r="AS36" s="332">
        <f ca="1">_xlfn.LET(_xlpm.MVToday,DataShift!AV536,         _xlpm.MVY,DataShift!AU537,        _xlpm.MVYY, DataShift!AT537,         _xlpm.MVYYY, DataShift!AS537,                      IF(_xlpm.MVToday=_xlpm.MVY,      _xlpm.MVYY-_xlpm.MVYYY,          _xlpm.MVY-_xlpm.MVYY))</f>
        <v>1.8450049999955809</v>
      </c>
      <c r="AT36" s="969">
        <f ca="1">TabCalc[[#This Row],[Y]]/TabCalc[[#This Row],[M]]</f>
        <v>0.94854986094557003</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7.2279094825345013E-3</v>
      </c>
      <c r="AZ36" s="80">
        <f t="shared" ca="1" si="1"/>
        <v>2000</v>
      </c>
      <c r="BA36" s="88">
        <f ca="1">_xlfn.XLOOKUP(TabCalc[[#This Row],[Ticker]],[1]!RTData[Ticker_Symbol],[1]!RTData[V/VA])</f>
        <v>1.2852166012257569</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1.2852166012257569</v>
      </c>
      <c r="BD36" s="85" cm="1">
        <f t="array" aca="1" ref="BD36" ca="1">INDEX(TabReg[], 1, _xlfn.XMATCH(TabCalc[[#This Row],[Ticker]]&amp;1, TabReg[#Headers], 0))</f>
        <v>3000</v>
      </c>
      <c r="BE36" s="157">
        <f ca="1">TabCalc[[#This Row],[Nbegin]]*TabCalc[[#This Row],[M]]*TabCalc[[#This Row],[Scale]]+TabCalc[[#This Row],[ValueBegin]]</f>
        <v>64140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-36675.918000000005</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106132.47661679998</v>
      </c>
      <c r="BN36" s="157">
        <f ca="1">IF(        OR( TabCalc[[#This Row],[GL]]&gt;ABS(TabCalc[[#This Row],[EfCost]]),TabCalc[[#This Row],[NAfter]]=0),             TabCalc[[#This Row],[GL]],     0)</f>
        <v>106132.47661679998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46002.875738460156</v>
      </c>
      <c r="BU36" s="173">
        <f ca="1">(TabCalc[[#This Row],[ValueBegin]]+(TabCalc[[#This Row],[M]]-TabCalc[[#This Row],[A]])*TabCalc[[#This Row],[NAfter]])*TabCalc[[#This Row],[Scale]]</f>
        <v>-72352.872000000003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14527.128000000004</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341.9972640218877</v>
      </c>
      <c r="CZ36" s="403">
        <f ca="1">TabCalc[[#This Row],[ntoSell]]*TabCalc[[#This Row],[M]]</f>
        <v>17216.142270861827</v>
      </c>
      <c r="DA36" s="396">
        <f ca="1">_xlfn.LET(_xlpm.nToSell,IF(TabCalc[[#This Row],[M]]-TabCalc[[#This Row],[A]]&lt;=0,"",INT(DesiredSaleGain/(TabCalc[[#This Row],[M]]-IF(TabCalc[[#This Row],[E]]&gt;0,0,TabCalc[[#This Row],[A]])))),IF(_xlpm.nToSell&lt;=TabCalc[[#This Row],[NAfter]],_xlpm.nToSell,0))</f>
        <v>344</v>
      </c>
      <c r="DB36" s="334">
        <f ca="1">IFERROR(TabCalc[[#This Row],[NMA]]*TabCalc[[#This Row],[M]],"")</f>
        <v>17316.960000000003</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14527.128000000004</v>
      </c>
      <c r="DD36" s="88">
        <f ca="1">IFERROR((TabCalc[[#This Row],[M]]+TabCalc[[#This Row],[L_Bp]])/ABS(TabCalc[[#This Row],[L_Bp]])/(TODAY()-TabCalc[[#This Row],[L_Bdate]])*360,"")</f>
        <v>2.889137737961927</v>
      </c>
      <c r="DE36" s="308">
        <f ca="1">MEDIAN(DataShift!F736:Z736)</f>
        <v>-9.9500000000000005E-3</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151020</v>
      </c>
      <c r="DH36" s="85" cm="1">
        <f t="array" aca="1" ref="DH36" ca="1">SUMPRODUCT(ISNUMBER(INDIRECT("TabReg["&amp;TabCalc[[#This Row],[Ticker]]&amp;"2]"))* INDIRECT("TabReg["&amp;TabCalc[[#This Row],[Ticker]]&amp;"1]") * INDIRECT("TabReg["&amp;TabCalc[[#This Row],[Ticker]]&amp;"2]") )*TabCalc[[#This Row],[Scale]]</f>
        <v>55913.549999999988</v>
      </c>
      <c r="DK36" s="85">
        <f ca="1"/>
        <v>217267.05000000002</v>
      </c>
      <c r="DL36" s="88">
        <f t="shared" ca="1" si="3"/>
        <v>-0.78713897481505124</v>
      </c>
      <c r="DM36" t="str">
        <f ca="1">_xlfn.XLOOKUP(DK36,TabCalc[Column1],TabCalc[Ticker])</f>
        <v>MVEALDNE</v>
      </c>
      <c r="DN36" s="85">
        <f ca="1">_xlfn.XLOOKUP(DM36,TabCalc[Ticker],TabCalc[ValueBegin])</f>
        <v>-462186.26999999996</v>
      </c>
      <c r="DO36" s="85">
        <f ca="1">_xlfn.XLOOKUP(DM36,TabCalc[Ticker],TabCalc[M_V])</f>
        <v>277000.07500000001</v>
      </c>
      <c r="DP36" s="85">
        <f ca="1">_xlfn.XLOOKUP(DM36,TabCalc[Ticker],TabCalc[GL])</f>
        <v>-363804.82674139243</v>
      </c>
      <c r="DQ36" s="88"/>
      <c r="DR36" s="88"/>
      <c r="DS36" s="86" t="s">
        <v>33</v>
      </c>
      <c r="DT36" s="79">
        <v>6000</v>
      </c>
      <c r="DU36" s="313">
        <v>-15.19</v>
      </c>
      <c r="DW36" s="80">
        <v>132800</v>
      </c>
      <c r="DX36" s="80">
        <f ca="1">DW36-TabCalc[[#This Row],[M_V]]</f>
        <v>82595.918000000005</v>
      </c>
    </row>
    <row r="37" spans="1:128">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29639.755999999998</v>
      </c>
      <c r="G37" s="80">
        <f ca="1">IFERROR(TabCalc[[#This Row],[SB]]-TabCalc[[#This Row],[SST]],TabCalc[[#This Row],[SB]])</f>
        <v>4000</v>
      </c>
      <c r="H37" s="530" t="str">
        <f ca="1">[1]!RTData[[#This Row],[Ticker_Symbol]]</f>
        <v>PROF</v>
      </c>
      <c r="I37" s="381">
        <f ca="1">_xlfn.XLOOKUP(TabCalc[[#This Row],[Ticker]],[1]!RTData[Ticker_Symbol],[1]!RTData[M-Price])</f>
        <v>7.43</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2.6242999999999999E-2</v>
      </c>
      <c r="N37" s="1041">
        <v>0</v>
      </c>
      <c r="O37" s="886">
        <f>TabCalc[[#This Row],[Up20]]-1+TabCalc[[#This Row],[Up20]]</f>
        <v>-1</v>
      </c>
      <c r="P37" s="886">
        <f>TabCalc[[#This Row],[Up20]]-TabCalc[[#This Row],[Up150]]</f>
        <v>-0.46153846153846156</v>
      </c>
      <c r="Q37" s="886">
        <v>0.46153846153846156</v>
      </c>
      <c r="R37" s="886">
        <f>TabCalc[[#This Row],[Up150]]-1+TabCalc[[#This Row],[Up150]]</f>
        <v>-7.6923076923076872E-2</v>
      </c>
      <c r="S37" s="886">
        <f ca="1">IFERROR(SUMPRODUCT(DataShift!F1529:Z1529,DataShift!AB736:AV736)/SQRT(SUMPRODUCT(DataShift!F1529:Z1529,DataShift!F1529:Z1529)*SUMPRODUCT(DataShift!AB736:AV736,DataShift!AB736:AV736)),0)</f>
        <v>-0.7013587375264192</v>
      </c>
      <c r="T37" s="886">
        <f ca="1">IFERROR(SUMPRODUCT(DataShift!F1529:Z1529,DataShift!F737:Z737)/SQRT(SUMPRODUCT(DataShift!F1529:Z1529,DataShift!F1529:Z1529)*SUMPRODUCT(DataShift!F737:Z737,DataShift!F737:Z737)),0)</f>
        <v>-0.44587085991389019</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8935</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47">
        <f ca="1">(TabCalc[[#This Row],[M]]+TabCalc[[#This Row],[L_Bp]])/TabCalc[[#This Row],[M]]</f>
        <v>0.30148048452220721</v>
      </c>
      <c r="AE37" s="209">
        <f ca="1">IFERROR(MIN(TabCalc[[#This Row],[L_B1n]],TabCalc[[#This Row],[NAfter]])*(TabCalc[[#This Row],[M]]+TabCalc[[#This Row],[L_B1p]])*TabCalc[[#This Row],[Scale]],"")</f>
        <v>2410.1999999999998</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-3639.9999999999986</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-1000</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600</v>
      </c>
      <c r="AR37" s="332">
        <f ca="1">_xlfn.LET(_xlpm.MVToday,DataShift!AV537,         _xlpm.MVY,DataShift!AU538,        _xlpm.MVYY, DataShift!AT538,                                IF(_xlpm.MVToday=_xlpm.MVY,_xlpm.MVY-_xlpm.MVYY,_xlpm.MVToday-_xlpm.MVY))</f>
        <v>42046.168000000005</v>
      </c>
      <c r="AS37" s="332">
        <f ca="1">_xlfn.LET(_xlpm.MVToday,DataShift!AV537,         _xlpm.MVY,DataShift!AU538,        _xlpm.MVYY, DataShift!AT538,         _xlpm.MVYYY, DataShift!AS538,                      IF(_xlpm.MVToday=_xlpm.MVY,      _xlpm.MVYY-_xlpm.MVYYY,          _xlpm.MVY-_xlpm.MVYY))</f>
        <v>1685.4369999999981</v>
      </c>
      <c r="AT37" s="969">
        <f ca="1">TabCalc[[#This Row],[Y]]/TabCalc[[#This Row],[M]]</f>
        <v>1.6285329744279946</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-1.1328605608266689</v>
      </c>
      <c r="AZ37" s="80">
        <f t="shared" ref="AZ37:AZ68" ca="1" si="5">IF(G37&lt;C37,C37-G37,0)</f>
        <v>2000</v>
      </c>
      <c r="BA37" s="88">
        <f ca="1">_xlfn.XLOOKUP(TabCalc[[#This Row],[Ticker]],[1]!RTData[Ticker_Symbol],[1]!RTData[V/VA])</f>
        <v>0.70562494111242557</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0.70562494111242557</v>
      </c>
      <c r="BD37" s="85" cm="1">
        <f t="array" aca="1" ref="BD37" ca="1">INDEX(TabReg[], 1, _xlfn.XMATCH(TabCalc[[#This Row],[Ticker]]&amp;1, TabReg[#Headers], 0))</f>
        <v>6000</v>
      </c>
      <c r="BE37" s="157">
        <f ca="1">TabCalc[[#This Row],[Nbegin]]*TabCalc[[#This Row],[M]]*TabCalc[[#This Row],[Scale]]+TabCalc[[#This Row],[ValueBegin]]</f>
        <v>-46560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-61500.244000000006</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10039.443822400022</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46002.875007418748</v>
      </c>
      <c r="BU37" s="173">
        <f ca="1">(TabCalc[[#This Row],[ValueBegin]]+(TabCalc[[#This Row],[M]]-TabCalc[[#This Row],[A]])*TabCalc[[#This Row],[NAfter]])*TabCalc[[#This Row],[Scale]]</f>
        <v>-82233.975999999995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8906.0239999999994</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2232.1428571428578</v>
      </c>
      <c r="CZ37" s="403">
        <f ca="1">TabCalc[[#This Row],[ntoSell]]*TabCalc[[#This Row],[M]]</f>
        <v>16584.821428571431</v>
      </c>
      <c r="DA37" s="396">
        <f ca="1">_xlfn.LET(_xlpm.nToSell,IF(TabCalc[[#This Row],[M]]-TabCalc[[#This Row],[A]]&lt;=0,"",INT(DesiredSaleGain/(TabCalc[[#This Row],[M]]-IF(TabCalc[[#This Row],[E]]&gt;0,0,TabCalc[[#This Row],[A]])))),IF(_xlpm.nToSell&lt;=TabCalc[[#This Row],[NAfter]],_xlpm.nToSell,0))</f>
        <v>2245</v>
      </c>
      <c r="DB37" s="334">
        <f ca="1">IFERROR(TabCalc[[#This Row],[NMA]]*TabCalc[[#This Row],[M]],"")</f>
        <v>16680.349999999999</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8906.0239999999994</v>
      </c>
      <c r="DD37" s="88">
        <f ca="1">IFERROR((TabCalc[[#This Row],[M]]+TabCalc[[#This Row],[L_Bp]])/ABS(TabCalc[[#This Row],[L_Bp]])/(TODAY()-TabCalc[[#This Row],[L_Bdate]])*360,"")</f>
        <v>1.9919964428634942</v>
      </c>
      <c r="DE37" s="308">
        <f ca="1">MEDIAN(DataShift!F737:Z737)</f>
        <v>1.1714E-2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44580</v>
      </c>
      <c r="DH37" s="85" cm="1">
        <f t="array" aca="1" ref="DH37" ca="1">SUMPRODUCT(ISNUMBER(INDIRECT("TabReg["&amp;TabCalc[[#This Row],[Ticker]]&amp;"2]"))* INDIRECT("TabReg["&amp;TabCalc[[#This Row],[Ticker]]&amp;"1]") * INDIRECT("TabReg["&amp;TabCalc[[#This Row],[Ticker]]&amp;"2]") )*TabCalc[[#This Row],[Scale]]</f>
        <v>-19472.619999999974</v>
      </c>
      <c r="DK37" s="85">
        <f ca="1"/>
        <v>209300</v>
      </c>
      <c r="DL37" s="88">
        <f t="shared" ca="1" si="3"/>
        <v>0.33062789313502977</v>
      </c>
      <c r="DM37" t="str">
        <f ca="1">_xlfn.XLOOKUP(DK37,TabCalc[Column1],TabCalc[Ticker])</f>
        <v>MVESAP</v>
      </c>
      <c r="DN37" s="85">
        <f ca="1">_xlfn.XLOOKUP(DM37,TabCalc[Ticker],TabCalc[ValueBegin])</f>
        <v>-144560</v>
      </c>
      <c r="DO37" s="85">
        <f ca="1">_xlfn.XLOOKUP(DM37,TabCalc[Ticker],TabCalc[M_V])</f>
        <v>187861.40099999998</v>
      </c>
      <c r="DP37" s="85">
        <f ca="1">_xlfn.XLOOKUP(DM37,TabCalc[Ticker],TabCalc[GL])</f>
        <v>47795.5682315999</v>
      </c>
      <c r="DQ37" s="88"/>
      <c r="DR37" s="88"/>
      <c r="DS37" s="86" t="s">
        <v>1087</v>
      </c>
      <c r="DT37" s="79">
        <v>45000</v>
      </c>
      <c r="DU37" s="313">
        <v>-6.5707668888888886</v>
      </c>
      <c r="DW37" s="80">
        <v>23560</v>
      </c>
      <c r="DX37" s="80">
        <f ca="1">DW37-TabCalc[[#This Row],[M_V]]</f>
        <v>-6079.7559999999976</v>
      </c>
    </row>
    <row r="38" spans="1:128">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342024.03499999997</v>
      </c>
      <c r="G38" s="80">
        <f ca="1">IFERROR(TabCalc[[#This Row],[SB]]-TabCalc[[#This Row],[SST]],TabCalc[[#This Row],[SB]])</f>
        <v>47500</v>
      </c>
      <c r="H38" s="530" t="str">
        <f ca="1">[1]!RTData[[#This Row],[Ticker_Symbol]]</f>
        <v>POET</v>
      </c>
      <c r="I38" s="381">
        <f ca="1">_xlfn.XLOOKUP(TabCalc[[#This Row],[Ticker]],[1]!RTData[Ticker_Symbol],[1]!RTData[M-Price])</f>
        <v>7.22</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9.7900000000000001E-3</v>
      </c>
      <c r="N38" s="1041" t="s">
        <v>2948</v>
      </c>
      <c r="O38" s="886" t="e">
        <f>TabCalc[[#This Row],[Up20]]-1+TabCalc[[#This Row],[Up20]]</f>
        <v>#VALUE!</v>
      </c>
      <c r="P38" s="886" t="e">
        <f>TabCalc[[#This Row],[Up20]]-TabCalc[[#This Row],[Up150]]</f>
        <v>#VALUE!</v>
      </c>
      <c r="Q38" s="886" t="s">
        <v>2949</v>
      </c>
      <c r="R38" s="886" t="e">
        <f>TabCalc[[#This Row],[Up150]]-1+TabCalc[[#This Row],[Up150]]</f>
        <v>#VALUE!</v>
      </c>
      <c r="S38" s="886">
        <f ca="1">IFERROR(SUMPRODUCT(DataShift!F1530:Z1530,DataShift!AB737:AV737)/SQRT(SUMPRODUCT(DataShift!F1530:Z1530,DataShift!F1530:Z1530)*SUMPRODUCT(DataShift!AB737:AV737,DataShift!AB737:AV737)),0)</f>
        <v>-0.80416644637126444</v>
      </c>
      <c r="T38" s="886">
        <f ca="1">IFERROR(SUMPRODUCT(DataShift!F1530:Z1530,DataShift!F738:Z738)/SQRT(SUMPRODUCT(DataShift!F1530:Z1530,DataShift!F1530:Z1530)*SUMPRODUCT(DataShift!F738:Z738,DataShift!F738:Z738)),0)</f>
        <v>-0.18074636647469935</v>
      </c>
      <c r="U38" s="996">
        <v>47500</v>
      </c>
      <c r="V38" s="996">
        <v>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5587</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47">
        <f ca="1">(TabCalc[[#This Row],[M]]+TabCalc[[#This Row],[L_Bp]])/TabCalc[[#This Row],[M]]</f>
        <v>0.31040166204986142</v>
      </c>
      <c r="AE38" s="209">
        <f ca="1">IFERROR(MIN(TabCalc[[#This Row],[L_B1n]],TabCalc[[#This Row],[NAfter]])*(TabCalc[[#This Row],[M]]+TabCalc[[#This Row],[L_B1p]])*TabCalc[[#This Row],[Scale]],"")</f>
        <v>5249.9999999999991</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4625.0000000000009</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450.00000000000153</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6175</v>
      </c>
      <c r="AR38" s="332">
        <f ca="1">_xlfn.LET(_xlpm.MVToday,DataShift!AV538,         _xlpm.MVY,DataShift!AU539,        _xlpm.MVYY, DataShift!AT539,                                IF(_xlpm.MVToday=_xlpm.MVY,_xlpm.MVY-_xlpm.MVYY,_xlpm.MVToday-_xlpm.MVY))</f>
        <v>20564.325999999997</v>
      </c>
      <c r="AS38" s="332">
        <f ca="1">_xlfn.LET(_xlpm.MVToday,DataShift!AV538,         _xlpm.MVY,DataShift!AU539,        _xlpm.MVYY, DataShift!AT539,         _xlpm.MVYYY, DataShift!AS539,                      IF(_xlpm.MVToday=_xlpm.MVY,      _xlpm.MVYY-_xlpm.MVYYY,          _xlpm.MVY-_xlpm.MVYY))</f>
        <v>757.94800000000032</v>
      </c>
      <c r="AT38" s="969">
        <f ca="1">TabCalc[[#This Row],[Y]]/TabCalc[[#This Row],[M]]</f>
        <v>0.96029501385041549</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4.7061706417430898E-4</v>
      </c>
      <c r="AZ38" s="80">
        <f t="shared" ca="1" si="5"/>
        <v>0</v>
      </c>
      <c r="BA38" s="88">
        <f ca="1">_xlfn.XLOOKUP(TabCalc[[#This Row],[Ticker]],[1]!RTData[Ticker_Symbol],[1]!RTData[V/VA])</f>
        <v>0.99686525095229539</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0.99686525095229539</v>
      </c>
      <c r="BD38" s="85" cm="1">
        <f t="array" aca="1" ref="BD38" ca="1">INDEX(TabReg[], 1, _xlfn.XMATCH(TabCalc[[#This Row],[Ticker]]&amp;1, TabReg[#Headers], 0))</f>
        <v>45000</v>
      </c>
      <c r="BE38" s="157">
        <f ca="1">TabCalc[[#This Row],[Nbegin]]*TabCalc[[#This Row],[M]]*TabCalc[[#This Row],[Scale]]+TabCalc[[#This Row],[ValueBegin]]</f>
        <v>29215.489999999991</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46339.524999999965</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72708.915133000002</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8.67</v>
      </c>
      <c r="BS38" s="172" t="str">
        <f ca="1">IF(TabCalc[[#This Row],[EfCost]]+TabCalc[[#This Row],[M_V]]&lt;TabCalc[[#This Row],[NoT_GL]],"Pile","")</f>
        <v/>
      </c>
      <c r="BT38" s="163">
        <f ca="1">_xlfn.XLOOKUP(TabCalc[[#This Row],[Ticker]],[1]!RTData[Ticker_Symbol],[1]!RTData[Last trade time])</f>
        <v>46002.875023078122</v>
      </c>
      <c r="BU38" s="173">
        <f ca="1">(TabCalc[[#This Row],[ValueBegin]]+(TabCalc[[#This Row],[M]]-TabCalc[[#This Row],[A]])*TabCalc[[#This Row],[NAfter]])*TabCalc[[#This Row],[Scale]]</f>
        <v>-223517.97793399997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72166.532066000029</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2702.702702702702</v>
      </c>
      <c r="CX38" s="402">
        <f ca="1">IF(TabCalc[[#This Row],[ntoBuy]]*TabCalc[[#This Row],[M]]&lt;=0,0,TabCalc[[#This Row],[ntoBuy]]*TabCalc[[#This Row],[M]])</f>
        <v>19513.51351351351</v>
      </c>
      <c r="CY38" s="402">
        <f ca="1">IF(TabCalc[[#This Row],[M]]&gt;ABS(TabCalc[[#This Row],[L_Bp]]),MIN(TabCalc[[#This Row],[NAfter]],DesiredSaleGain/(TabCalc[[#This Row],[M]]+TabCalc[[#This Row],[L_Bp]])),0)/TabCalc[[#This Row],[Scale]]</f>
        <v>2231.0472535808312</v>
      </c>
      <c r="CZ38" s="403">
        <f ca="1">TabCalc[[#This Row],[ntoSell]]*TabCalc[[#This Row],[M]]</f>
        <v>16108.1611708536</v>
      </c>
      <c r="DA38" s="396">
        <f ca="1">_xlfn.LET(_xlpm.nToSell,IF(TabCalc[[#This Row],[M]]-TabCalc[[#This Row],[A]]&lt;=0,"",INT(DesiredSaleGain/(TabCalc[[#This Row],[M]]-IF(TabCalc[[#This Row],[E]]&gt;0,0,TabCalc[[#This Row],[A]])))),IF(_xlpm.nToSell&lt;=TabCalc[[#This Row],[NAfter]],_xlpm.nToSell,0))</f>
        <v>3290</v>
      </c>
      <c r="DB38" s="334">
        <f ca="1">IFERROR(TabCalc[[#This Row],[NMA]]*TabCalc[[#This Row],[M]],"")</f>
        <v>23753.8</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72166.532066000029</v>
      </c>
      <c r="DD38" s="88">
        <f ca="1">IFERROR((TabCalc[[#This Row],[M]]+TabCalc[[#This Row],[L_Bp]])/ABS(TabCalc[[#This Row],[L_Bp]])/(TODAY()-TabCalc[[#This Row],[L_Bdate]])*360,"")</f>
        <v>5.587690398308446</v>
      </c>
      <c r="DE38" s="308">
        <f ca="1">MEDIAN(DataShift!F738:Z738)</f>
        <v>0</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324900</v>
      </c>
      <c r="DH38" s="85" cm="1">
        <f t="array" aca="1" ref="DH38" ca="1">SUMPRODUCT(ISNUMBER(INDIRECT("TabReg["&amp;TabCalc[[#This Row],[Ticker]]&amp;"2]"))* INDIRECT("TabReg["&amp;TabCalc[[#This Row],[Ticker]]&amp;"1]") * INDIRECT("TabReg["&amp;TabCalc[[#This Row],[Ticker]]&amp;"2]") )*TabCalc[[#This Row],[Scale]]</f>
        <v>-267729.76</v>
      </c>
      <c r="DK38" s="85">
        <f ca="1"/>
        <v>199549.2</v>
      </c>
      <c r="DL38" s="88">
        <f t="shared" ca="1" si="3"/>
        <v>0.1926497518261843</v>
      </c>
      <c r="DM38" t="str">
        <f ca="1">_xlfn.XLOOKUP(DK38,TabCalc[Column1],TabCalc[Ticker])</f>
        <v>SAFDIS</v>
      </c>
      <c r="DN38" s="85">
        <f ca="1">_xlfn.XLOOKUP(DM38,TabCalc[Ticker],TabCalc[ValueBegin])</f>
        <v>-187108.7</v>
      </c>
      <c r="DO38" s="85">
        <f ca="1">_xlfn.XLOOKUP(DM38,TabCalc[Ticker],TabCalc[M_V])</f>
        <v>133414.80479999998</v>
      </c>
      <c r="DP38" s="85">
        <f ca="1">_xlfn.XLOOKUP(DM38,TabCalc[Ticker],TabCalc[GL])</f>
        <v>36046.444619519971</v>
      </c>
      <c r="DQ38" s="88"/>
      <c r="DR38" s="88"/>
      <c r="DS38" s="86" t="s">
        <v>34</v>
      </c>
      <c r="DT38" s="79">
        <v>3000</v>
      </c>
      <c r="DU38" s="313">
        <v>-3.1669499999999999</v>
      </c>
      <c r="DW38" s="80">
        <v>267750</v>
      </c>
      <c r="DX38" s="80">
        <f ca="1">DW38-TabCalc[[#This Row],[M_V]]</f>
        <v>-74274.034999999974</v>
      </c>
    </row>
    <row r="39" spans="1:128">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9809.4427999999989</v>
      </c>
      <c r="G39" s="80">
        <f ca="1">IFERROR(TabCalc[[#This Row],[SB]]-TabCalc[[#This Row],[SST]],TabCalc[[#This Row],[SB]])</f>
        <v>10000</v>
      </c>
      <c r="H39" s="530" t="str">
        <f ca="1">[1]!RTData[[#This Row],[Ticker_Symbol]]</f>
        <v>PW</v>
      </c>
      <c r="I39" s="381">
        <f ca="1">_xlfn.XLOOKUP(TabCalc[[#This Row],[Ticker]],[1]!RTData[Ticker_Symbol],[1]!RTData[M-Price])</f>
        <v>0.98360000000000003</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-3.5686000000000002E-2</v>
      </c>
      <c r="N39" s="1041">
        <v>0</v>
      </c>
      <c r="O39" s="886">
        <f>TabCalc[[#This Row],[Up20]]-1+TabCalc[[#This Row],[Up20]]</f>
        <v>-1</v>
      </c>
      <c r="P39" s="886">
        <f>TabCalc[[#This Row],[Up20]]-TabCalc[[#This Row],[Up150]]</f>
        <v>-0.35294117647058826</v>
      </c>
      <c r="Q39" s="886">
        <v>0.35294117647058826</v>
      </c>
      <c r="R39" s="886">
        <f>TabCalc[[#This Row],[Up150]]-1+TabCalc[[#This Row],[Up150]]</f>
        <v>-0.29411764705882343</v>
      </c>
      <c r="S39" s="886">
        <f ca="1">IFERROR(SUMPRODUCT(DataShift!F1531:Z1531,DataShift!AB738:AV738)/SQRT(SUMPRODUCT(DataShift!F1531:Z1531,DataShift!F1531:Z1531)*SUMPRODUCT(DataShift!AB738:AV738,DataShift!AB738:AV738)),0)</f>
        <v>-0.84441149927787917</v>
      </c>
      <c r="T39" s="886">
        <f ca="1">IFERROR(SUMPRODUCT(DataShift!F1531:Z1531,DataShift!F739:Z739)/SQRT(SUMPRODUCT(DataShift!F1531:Z1531,DataShift!F1531:Z1531)*SUMPRODUCT(DataShift!F739:Z739,DataShift!F739:Z739)),0)</f>
        <v>-0.30057823968961572</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-10,870 = $ -10,692</v>
      </c>
      <c r="Z39" s="209">
        <f ca="1">INT(MIN(TabCalc[[#This Row],[L_Bn]],TabCalc[[#This Row],[NAfter]])*(TabCalc[[#This Row],[M]]+TabCalc[[#This Row],[L_Bp]])*Comm_Net*TabCalc[[#This Row],[Scale]])</f>
        <v>-1270</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47">
        <f ca="1">(TabCalc[[#This Row],[M]]+TabCalc[[#This Row],[L_Bp]])/TabCalc[[#This Row],[M]]</f>
        <v>-0.21543310288735254</v>
      </c>
      <c r="AE39" s="209">
        <f ca="1">IFERROR(MIN(TabCalc[[#This Row],[L_B1n]],TabCalc[[#This Row],[NAfter]])*(TabCalc[[#This Row],[M]]+TabCalc[[#This Row],[L_B1p]])*TabCalc[[#This Row],[Scale]],"")</f>
        <v>401.60160000000013</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1672.5383999999999</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1221.6383999999996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58</v>
      </c>
      <c r="AR39" s="332">
        <f ca="1">_xlfn.LET(_xlpm.MVToday,DataShift!AV539,         _xlpm.MVY,DataShift!AU540,        _xlpm.MVYY, DataShift!AT540,                                IF(_xlpm.MVToday=_xlpm.MVY,_xlpm.MVY-_xlpm.MVYY,_xlpm.MVToday-_xlpm.MVY))</f>
        <v>-312384.27899999998</v>
      </c>
      <c r="AS39" s="332">
        <f ca="1">_xlfn.LET(_xlpm.MVToday,DataShift!AV539,         _xlpm.MVY,DataShift!AU540,        _xlpm.MVYY, DataShift!AT540,         _xlpm.MVYYY, DataShift!AS540,                      IF(_xlpm.MVToday=_xlpm.MVY,      _xlpm.MVYY-_xlpm.MVYYY,          _xlpm.MVY-_xlpm.MVYY))</f>
        <v>3316.0224999999627</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3.28658017905301E-2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3.28658017905301E-2</v>
      </c>
      <c r="BD39" s="85" cm="1">
        <f t="array" aca="1" ref="BD39" ca="1">INDEX(TabReg[], 1, _xlfn.XMATCH(TabCalc[[#This Row],[Ticker]]&amp;1, TabReg[#Headers], 0))</f>
        <v>3000</v>
      </c>
      <c r="BE39" s="157">
        <f ca="1">TabCalc[[#This Row],[Nbegin]]*TabCalc[[#This Row],[M]]*TabCalc[[#This Row],[Scale]]+TabCalc[[#This Row],[ValueBegin]]</f>
        <v>-6550.05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308.59279999999853</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-4763.9311230799976</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2.03</v>
      </c>
      <c r="BS39" s="172" t="str">
        <f ca="1">IF(TabCalc[[#This Row],[EfCost]]+TabCalc[[#This Row],[M_V]]&lt;TabCalc[[#This Row],[NoT_GL]],"Pile","")</f>
        <v/>
      </c>
      <c r="BT39" s="163">
        <f ca="1">_xlfn.XLOOKUP(TabCalc[[#This Row],[Ticker]],[1]!RTData[Ticker_Symbol],[1]!RTData[Last trade time])</f>
        <v>46002.875003356246</v>
      </c>
      <c r="BU39" s="173">
        <f ca="1">(TabCalc[[#This Row],[ValueBegin]]+(TabCalc[[#This Row],[M]]-TabCalc[[#This Row],[A]])*TabCalc[[#This Row],[NAfter]])*TabCalc[[#This Row],[Scale]]</f>
        <v>-10355.975040519999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-855.12504051999952</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8986.3407620416965</v>
      </c>
      <c r="CX39" s="402">
        <f ca="1">IF(TabCalc[[#This Row],[ntoBuy]]*TabCalc[[#This Row],[M]]&lt;=0,0,TabCalc[[#This Row],[ntoBuy]]*TabCalc[[#This Row],[M]])</f>
        <v>8838.9647735442122</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-855.12504051999952</v>
      </c>
      <c r="DD39" s="88">
        <f ca="1">IFERROR((TabCalc[[#This Row],[M]]+TabCalc[[#This Row],[L_Bp]])/ABS(TabCalc[[#This Row],[L_Bp]])/(TODAY()-TabCalc[[#This Row],[L_Bdate]])*360,"")</f>
        <v>-0.19755196538101472</v>
      </c>
      <c r="DE39" s="308">
        <f ca="1">MEDIAN(DataShift!F739:Z739)</f>
        <v>1.4286E-2</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2950.8</v>
      </c>
      <c r="DH39" s="85" cm="1">
        <f t="array" aca="1" ref="DH39" ca="1">SUMPRODUCT(ISNUMBER(INDIRECT("TabReg["&amp;TabCalc[[#This Row],[Ticker]]&amp;"2]"))* INDIRECT("TabReg["&amp;TabCalc[[#This Row],[Ticker]]&amp;"1]") * INDIRECT("TabReg["&amp;TabCalc[[#This Row],[Ticker]]&amp;"2]") )*TabCalc[[#This Row],[Scale]]</f>
        <v>-14510.142999999996</v>
      </c>
      <c r="DK39" s="85">
        <f ca="1"/>
        <v>186375</v>
      </c>
      <c r="DL39" s="88">
        <f t="shared" ca="1" si="3"/>
        <v>0.45390649906193425</v>
      </c>
      <c r="DM39" t="str">
        <f ca="1">_xlfn.XLOOKUP(DK39,TabCalc[Column1],TabCalc[Ticker])</f>
        <v>SHECY</v>
      </c>
      <c r="DN39" s="85">
        <f ca="1">_xlfn.XLOOKUP(DM39,TabCalc[Ticker],TabCalc[ValueBegin])</f>
        <v>-140171.46</v>
      </c>
      <c r="DO39" s="85">
        <f ca="1">_xlfn.XLOOKUP(DM39,TabCalc[Ticker],TabCalc[M_V])</f>
        <v>371743.57500000001</v>
      </c>
      <c r="DP39" s="85">
        <f ca="1">_xlfn.XLOOKUP(DM39,TabCalc[Ticker],TabCalc[GL])</f>
        <v>63624.73667699995</v>
      </c>
      <c r="DQ39" s="88"/>
      <c r="DR39" s="88"/>
      <c r="DS39" s="86" t="s">
        <v>35</v>
      </c>
      <c r="DT39" s="79">
        <v>2700</v>
      </c>
      <c r="DU39" s="313">
        <v>-36.9220481481481</v>
      </c>
      <c r="DW39" s="80">
        <v>6933</v>
      </c>
      <c r="DX39" s="80">
        <f ca="1">DW39-TabCalc[[#This Row],[M_V]]</f>
        <v>-2876.4427999999989</v>
      </c>
    </row>
    <row r="40" spans="1:128">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41.936464999999998</v>
      </c>
      <c r="G40" s="80">
        <f ca="1">IFERROR(TabCalc[[#This Row],[SB]]-TabCalc[[#This Row],[SST]],TabCalc[[#This Row],[SB]])</f>
        <v>1</v>
      </c>
      <c r="H40" s="530" t="str">
        <f ca="1">[1]!RTData[[#This Row],[Ticker_Symbol]]</f>
        <v>RIGL</v>
      </c>
      <c r="I40" s="381">
        <f ca="1">_xlfn.XLOOKUP(TabCalc[[#This Row],[Ticker]],[1]!RTData[Ticker_Symbol],[1]!RTData[M-Price])</f>
        <v>42.05</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2.0135999999999998E-2</v>
      </c>
      <c r="N40" s="1041">
        <v>0</v>
      </c>
      <c r="O40" s="886">
        <f>TabCalc[[#This Row],[Up20]]-1+TabCalc[[#This Row],[Up20]]</f>
        <v>-1</v>
      </c>
      <c r="P40" s="886">
        <f>TabCalc[[#This Row],[Up20]]-TabCalc[[#This Row],[Up150]]</f>
        <v>-0.47058823529411764</v>
      </c>
      <c r="Q40" s="886">
        <v>0.47058823529411764</v>
      </c>
      <c r="R40" s="886">
        <f>TabCalc[[#This Row],[Up150]]-1+TabCalc[[#This Row],[Up150]]</f>
        <v>-5.8823529411764719E-2</v>
      </c>
      <c r="S40" s="886">
        <f ca="1">IFERROR(SUMPRODUCT(DataShift!F1532:Z1532,DataShift!AB739:AV739)/SQRT(SUMPRODUCT(DataShift!F1532:Z1532,DataShift!F1532:Z1532)*SUMPRODUCT(DataShift!AB739:AV739,DataShift!AB739:AV739)),0)</f>
        <v>0</v>
      </c>
      <c r="T40" s="886">
        <f ca="1">IFERROR(SUMPRODUCT(DataShift!F1532:Z1532,DataShift!F740:Z740)/SQRT(SUMPRODUCT(DataShift!F1532:Z1532,DataShift!F1532:Z1532)*SUMPRODUCT(DataShift!F740:Z740,DataShift!F740:Z740)),0)</f>
        <v>0</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13</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47">
        <f ca="1">(TabCalc[[#This Row],[M]]+TabCalc[[#This Row],[L_Bp]])/TabCalc[[#This Row],[M]]</f>
        <v>0.3262782401902497</v>
      </c>
      <c r="AE40" s="209">
        <f ca="1">IFERROR(MIN(TabCalc[[#This Row],[L_B1n]],TabCalc[[#This Row],[NAfter]])*(TabCalc[[#This Row],[M]]+TabCalc[[#This Row],[L_B1p]])*TabCalc[[#This Row],[Scale]],"")</f>
        <v>13.504754999999996</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3115.0000000000018</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2370.25</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1.0999999999999943</v>
      </c>
      <c r="AR40" s="332">
        <f ca="1">_xlfn.LET(_xlpm.MVToday,DataShift!AV540,         _xlpm.MVY,DataShift!AU541,        _xlpm.MVYY, DataShift!AT541,                                IF(_xlpm.MVToday=_xlpm.MVY,_xlpm.MVY-_xlpm.MVYY,_xlpm.MVToday-_xlpm.MVY))</f>
        <v>332214.59219999996</v>
      </c>
      <c r="AS40" s="332">
        <f ca="1">_xlfn.LET(_xlpm.MVToday,DataShift!AV540,         _xlpm.MVY,DataShift!AU541,        _xlpm.MVYY, DataShift!AT541,         _xlpm.MVYYY, DataShift!AS541,                      IF(_xlpm.MVToday=_xlpm.MVY,      _xlpm.MVYY-_xlpm.MVYYY,          _xlpm.MVY-_xlpm.MVYY))</f>
        <v>-363.01720000000023</v>
      </c>
      <c r="AT40" s="969">
        <f ca="1">TabCalc[[#This Row],[Y]]/TabCalc[[#This Row],[M]]</f>
        <v>1.1795481569560049</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-0.20634463340493303</v>
      </c>
      <c r="AZ40" s="80">
        <f t="shared" ca="1" si="5"/>
        <v>2699</v>
      </c>
      <c r="BA40" s="88">
        <f ca="1">_xlfn.XLOOKUP(TabCalc[[#This Row],[Ticker]],[1]!RTData[Ticker_Symbol],[1]!RTData[V/VA])</f>
        <v>0.55221265657287533</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0.55221265657287533</v>
      </c>
      <c r="BD40" s="85" cm="1">
        <f t="array" aca="1" ref="BD40" ca="1">INDEX(TabReg[], 1, _xlfn.XMATCH(TabCalc[[#This Row],[Ticker]]&amp;1, TabReg[#Headers], 0))</f>
        <v>2700</v>
      </c>
      <c r="BE40" s="157">
        <f ca="1">TabCalc[[#This Row],[Nbegin]]*TabCalc[[#This Row],[M]]*TabCalc[[#This Row],[Scale]]+TabCalc[[#This Row],[ValueBegin]]</f>
        <v>13845.470000000118</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-99647.593534999862</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158020.92792219113</v>
      </c>
      <c r="BN40" s="157">
        <f ca="1">IF(        OR( TabCalc[[#This Row],[GL]]&gt;ABS(TabCalc[[#This Row],[EfCost]]),TabCalc[[#This Row],[NAfter]]=0),             TabCalc[[#This Row],[GL]],     0)</f>
        <v>158020.92792219113</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46002.876124513285</v>
      </c>
      <c r="BU40" s="173">
        <f ca="1">(TabCalc[[#This Row],[ValueBegin]]+(TabCalc[[#This Row],[M]]-TabCalc[[#This Row],[A]])*TabCalc[[#This Row],[NAfter]])*TabCalc[[#This Row],[Scale]]</f>
        <v>-99675.883657999875</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13.646342000000001</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802.56821829855483</v>
      </c>
      <c r="CX40" s="402">
        <f ca="1">IF(TabCalc[[#This Row],[ntoBuy]]*TabCalc[[#This Row],[M]]&lt;=0,0,TabCalc[[#This Row],[ntoBuy]]*TabCalc[[#This Row],[M]])</f>
        <v>33747.993579454225</v>
      </c>
      <c r="CY40" s="402">
        <f ca="1">IF(TabCalc[[#This Row],[M]]&gt;ABS(TabCalc[[#This Row],[L_Bp]]),MIN(TabCalc[[#This Row],[NAfter]],DesiredSaleGain/(TabCalc[[#This Row],[M]]+TabCalc[[#This Row],[L_Bp]])),0)/TabCalc[[#This Row],[Scale]]</f>
        <v>1</v>
      </c>
      <c r="CZ40" s="403">
        <f ca="1">TabCalc[[#This Row],[ntoSell]]*TabCalc[[#This Row],[M]]</f>
        <v>42.05</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13.646342000000001</v>
      </c>
      <c r="DD40" s="88">
        <f ca="1">IFERROR((TabCalc[[#This Row],[M]]+TabCalc[[#This Row],[L_Bp]])/ABS(TabCalc[[#This Row],[L_Bp]])/(TODAY()-TabCalc[[#This Row],[L_Bdate]])*360,"")</f>
        <v>4.71203289417197</v>
      </c>
      <c r="DE40" s="308">
        <f ca="1">MEDIAN(DataShift!F740:Z740)</f>
        <v>-1.4595E-2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113534.99999999999</v>
      </c>
      <c r="DH40" s="85" cm="1">
        <f t="array" aca="1" ref="DH40" ca="1">SUMPRODUCT(ISNUMBER(INDIRECT("TabReg["&amp;TabCalc[[#This Row],[Ticker]]&amp;"2]"))* INDIRECT("TabReg["&amp;TabCalc[[#This Row],[Ticker]]&amp;"1]") * INDIRECT("TabReg["&amp;TabCalc[[#This Row],[Ticker]]&amp;"2]") )*TabCalc[[#This Row],[Scale]]</f>
        <v>157569.42000000013</v>
      </c>
      <c r="DK40" s="85">
        <f ca="1"/>
        <v>185978.1</v>
      </c>
      <c r="DL40" s="88">
        <f t="shared" ca="1" si="3"/>
        <v>0.42310516320042285</v>
      </c>
      <c r="DM40" t="str">
        <f ca="1">_xlfn.XLOOKUP(DK40,TabCalc[Column1],TabCalc[Ticker])</f>
        <v>MA</v>
      </c>
      <c r="DN40" s="85">
        <f ca="1">_xlfn.XLOOKUP(DM40,TabCalc[Ticker],TabCalc[ValueBegin])</f>
        <v>-116529.60000000001</v>
      </c>
      <c r="DO40" s="85">
        <f ca="1">_xlfn.XLOOKUP(DM40,TabCalc[Ticker],TabCalc[M_V])</f>
        <v>112409.67220000002</v>
      </c>
      <c r="DP40" s="85">
        <f ca="1">_xlfn.XLOOKUP(DM40,TabCalc[Ticker],TabCalc[GL])</f>
        <v>49304.275425679996</v>
      </c>
      <c r="DQ40" s="88"/>
      <c r="DR40" s="88"/>
      <c r="DS40" t="s">
        <v>36</v>
      </c>
      <c r="DT40" s="79">
        <v>500</v>
      </c>
      <c r="DU40" s="313">
        <v>-172.548</v>
      </c>
      <c r="DW40" s="80">
        <v>56760</v>
      </c>
      <c r="DX40" s="80">
        <f ca="1">DW40-TabCalc[[#This Row],[M_V]]</f>
        <v>56718.063535000001</v>
      </c>
    </row>
    <row r="41" spans="1:128">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2158.6558500000001</v>
      </c>
      <c r="G41" s="80">
        <f ca="1">IFERROR(TabCalc[[#This Row],[SB]]-TabCalc[[#This Row],[SST]],TabCalc[[#This Row],[SB]])</f>
        <v>50</v>
      </c>
      <c r="H41" s="530" t="str">
        <f ca="1">[1]!RTData[[#This Row],[Ticker_Symbol]]</f>
        <v>RWE</v>
      </c>
      <c r="I41" s="381">
        <f ca="1">_xlfn.XLOOKUP(TabCalc[[#This Row],[Ticker]],[1]!RTData[Ticker_Symbol],[1]!RTData[M-Price])</f>
        <v>43.29</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-4.5989999999999998E-3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-0.68854553157871323</v>
      </c>
      <c r="T41" s="886">
        <f ca="1">IFERROR(SUMPRODUCT(DataShift!F1533:Z1533,DataShift!F741:Z741)/SQRT(SUMPRODUCT(DataShift!F1533:Z1533,DataShift!F1533:Z1533)*SUMPRODUCT(DataShift!F741:Z741,DataShift!F741:Z741)),0)</f>
        <v>-0.29310657098635956</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743</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47">
        <f ca="1">(TabCalc[[#This Row],[M]]+TabCalc[[#This Row],[L_Bp]])/TabCalc[[#This Row],[M]]</f>
        <v>0.34465234465234462</v>
      </c>
      <c r="AE41" s="209">
        <f ca="1">IFERROR(MIN(TabCalc[[#This Row],[L_B1n]],TabCalc[[#This Row],[NAfter]])*(TabCalc[[#This Row],[M]]+TabCalc[[#This Row],[L_B1p]])*TabCalc[[#This Row],[Scale]],"")</f>
        <v>702.75</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-31776</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-16574.999999999996</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-5</v>
      </c>
      <c r="AR41" s="332">
        <f ca="1">_xlfn.LET(_xlpm.MVToday,DataShift!AV541,         _xlpm.MVY,DataShift!AU542,        _xlpm.MVYY, DataShift!AT542,                                IF(_xlpm.MVToday=_xlpm.MVY,_xlpm.MVY-_xlpm.MVYY,_xlpm.MVToday-_xlpm.MVY))</f>
        <v>9767.5063349999982</v>
      </c>
      <c r="AS41" s="332">
        <f ca="1">_xlfn.LET(_xlpm.MVToday,DataShift!AV541,         _xlpm.MVY,DataShift!AU542,        _xlpm.MVYY, DataShift!AT542,         _xlpm.MVYYY, DataShift!AS542,                      IF(_xlpm.MVToday=_xlpm.MVY,      _xlpm.MVYY-_xlpm.MVYYY,          _xlpm.MVY-_xlpm.MVYY))</f>
        <v>0.82775900000000036</v>
      </c>
      <c r="AT41" s="969">
        <f ca="1">TabCalc[[#This Row],[Y]]/TabCalc[[#This Row],[M]]</f>
        <v>1.1128775698775699</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-5.594524106331665E-2</v>
      </c>
      <c r="AZ41" s="80">
        <f t="shared" ca="1" si="5"/>
        <v>29950</v>
      </c>
      <c r="BA41" s="88">
        <f ca="1">_xlfn.XLOOKUP(TabCalc[[#This Row],[Ticker]],[1]!RTData[Ticker_Symbol],[1]!RTData[V/VA])</f>
        <v>3.1362675405888028E-3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3.1362675405888028E-3</v>
      </c>
      <c r="BD41" s="85" cm="1">
        <f t="array" aca="1" ref="BD41" ca="1">INDEX(TabReg[], 1, _xlfn.XMATCH(TabCalc[[#This Row],[Ticker]]&amp;1, TabReg[#Headers], 0))</f>
        <v>30000</v>
      </c>
      <c r="BE41" s="157">
        <f ca="1">TabCalc[[#This Row],[Nbegin]]*TabCalc[[#This Row],[M]]*TabCalc[[#This Row],[Scale]]+TabCalc[[#This Row],[ValueBegin]]</f>
        <v>284637.96000000008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-1011903.3841499999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36375.142561289918</v>
      </c>
      <c r="BN41" s="157">
        <f ca="1">IF(        OR( TabCalc[[#This Row],[GL]]&gt;ABS(TabCalc[[#This Row],[EfCost]]),TabCalc[[#This Row],[NAfter]]=0),             TabCalc[[#This Row],[GL]],     0)</f>
        <v>36375.142561289918</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46002.863888888889</v>
      </c>
      <c r="BU41" s="173">
        <f ca="1">(TabCalc[[#This Row],[ValueBegin]]+(TabCalc[[#This Row],[M]]-TabCalc[[#This Row],[A]])*TabCalc[[#This Row],[NAfter]])*TabCalc[[#This Row],[Scale]]</f>
        <v>-1013319.7280999999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742.31190000000015</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2164.5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742.31190000000015</v>
      </c>
      <c r="DD41" s="88">
        <f ca="1">IFERROR((TabCalc[[#This Row],[M]]+TabCalc[[#This Row],[L_Bp]])/ABS(TabCalc[[#This Row],[L_Bp]])/(TODAY()-TabCalc[[#This Row],[L_Bdate]])*360,"")</f>
        <v>0.63746381687869158</v>
      </c>
      <c r="DE41" s="308">
        <f ca="1">MEDIAN(DataShift!F741:Z741)</f>
        <v>2.0135999999999998E-2</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1298700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-41.6558500000001</v>
      </c>
    </row>
    <row r="42" spans="1:128">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793192.58199999994</v>
      </c>
      <c r="G42" s="80">
        <f ca="1">IFERROR(TabCalc[[#This Row],[SB]]-TabCalc[[#This Row],[SST]],TabCalc[[#This Row],[SB]])</f>
        <v>3800</v>
      </c>
      <c r="H42" s="530" t="str">
        <f ca="1">[1]!RTData[[#This Row],[Ticker_Symbol]]</f>
        <v>SAP</v>
      </c>
      <c r="I42" s="381">
        <f ca="1">_xlfn.XLOOKUP(TabCalc[[#This Row],[Ticker]],[1]!RTData[Ticker_Symbol],[1]!RTData[M-Price])</f>
        <v>209.3</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-7.8220000000000008E-3</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-0.78940804119028485</v>
      </c>
      <c r="T42" s="886">
        <f ca="1">IFERROR(SUMPRODUCT(DataShift!F1534:Z1534,DataShift!F742:Z742)/SQRT(SUMPRODUCT(DataShift!F1534:Z1534,DataShift!F1534:Z1534)*SUMPRODUCT(DataShift!F742:Z742,DataShift!F742:Z742)),0)</f>
        <v>-1.4882169264411344E-2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-11494</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47">
        <f ca="1">(TabCalc[[#This Row],[M]]+TabCalc[[#This Row],[L_Bp]])/TabCalc[[#This Row],[M]]</f>
        <v>-0.11012900143334917</v>
      </c>
      <c r="AE42" s="209">
        <f ca="1">IFERROR(MIN(TabCalc[[#This Row],[L_B1n]],TabCalc[[#This Row],[NAfter]])*(TabCalc[[#This Row],[M]]+TabCalc[[#This Row],[L_B1p]])*TabCalc[[#This Row],[Scale]],"")</f>
        <v>-18250</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5700</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27875</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20140</v>
      </c>
      <c r="AR42" s="332">
        <f ca="1">_xlfn.LET(_xlpm.MVToday,DataShift!AV542,         _xlpm.MVY,DataShift!AU543,        _xlpm.MVYY, DataShift!AT543,                                IF(_xlpm.MVToday=_xlpm.MVY,_xlpm.MVY-_xlpm.MVYY,_xlpm.MVToday-_xlpm.MVY))</f>
        <v>-2116.7193850000003</v>
      </c>
      <c r="AS42" s="332">
        <f ca="1">_xlfn.LET(_xlpm.MVToday,DataShift!AV542,         _xlpm.MVY,DataShift!AU543,        _xlpm.MVYY, DataShift!AT543,         _xlpm.MVYYY, DataShift!AS543,                      IF(_xlpm.MVToday=_xlpm.MVY,      _xlpm.MVYY-_xlpm.MVYYY,          _xlpm.MVY-_xlpm.MVYY))</f>
        <v>-9.9729999999999563</v>
      </c>
      <c r="AT42" s="969">
        <f ca="1">TabCalc[[#This Row],[Y]]/TabCalc[[#This Row],[M]]</f>
        <v>1.370043000477783</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-7.740902749689563</v>
      </c>
      <c r="AZ42" s="80">
        <f t="shared" ca="1" si="5"/>
        <v>0</v>
      </c>
      <c r="BA42" s="88">
        <f ca="1">_xlfn.XLOOKUP(TabCalc[[#This Row],[Ticker]],[1]!RTData[Ticker_Symbol],[1]!RTData[V/VA])</f>
        <v>1.6723113482056255</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1.6723113482056255</v>
      </c>
      <c r="BD42" s="85" cm="1">
        <f t="array" aca="1" ref="BD42" ca="1">INDEX(TabReg[], 1, _xlfn.XMATCH(TabCalc[[#This Row],[Ticker]]&amp;1, TabReg[#Headers], 0))</f>
        <v>1500</v>
      </c>
      <c r="BE42" s="157">
        <f ca="1">TabCalc[[#This Row],[Nbegin]]*TabCalc[[#This Row],[M]]*TabCalc[[#This Row],[Scale]]+TabCalc[[#This Row],[ValueBegin]]</f>
        <v>174376.95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653619.53199999989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-39389.495378200198</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348.44</v>
      </c>
      <c r="BS42" s="172" t="str">
        <f ca="1">IF(TabCalc[[#This Row],[EfCost]]+TabCalc[[#This Row],[M_V]]&lt;TabCalc[[#This Row],[NoT_GL]],"Pile","")</f>
        <v>Pile</v>
      </c>
      <c r="BT42" s="163">
        <f ca="1">_xlfn.XLOOKUP(TabCalc[[#This Row],[Ticker]],[1]!RTData[Ticker_Symbol],[1]!RTData[Last trade time])</f>
        <v>46002.865115740744</v>
      </c>
      <c r="BU42" s="173">
        <f ca="1">(TabCalc[[#This Row],[ValueBegin]]+(TabCalc[[#This Row],[M]]-TabCalc[[#This Row],[A]])*TabCalc[[#This Row],[NAfter]])*TabCalc[[#This Row],[Scale]]</f>
        <v>-260634.9661699998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-121061.91616999979</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175.43859649122808</v>
      </c>
      <c r="CX42" s="402">
        <f ca="1">IF(TabCalc[[#This Row],[ntoBuy]]*TabCalc[[#This Row],[M]]&lt;=0,0,TabCalc[[#This Row],[ntoBuy]]*TabCalc[[#This Row],[M]])</f>
        <v>36719.298245614038</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-121061.91616999979</v>
      </c>
      <c r="DD42" s="88">
        <f ca="1">IFERROR((TabCalc[[#This Row],[M]]+TabCalc[[#This Row],[L_Bp]])/ABS(TabCalc[[#This Row],[L_Bp]])/(TODAY()-TabCalc[[#This Row],[L_Bdate]])*360,"")</f>
        <v>-0.51019090657567057</v>
      </c>
      <c r="DE42" s="308">
        <f ca="1">MEDIAN(DataShift!F742:Z742)</f>
        <v>-2.2959999999999999E-3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313950</v>
      </c>
      <c r="DH42" s="85" cm="1">
        <f t="array" aca="1" ref="DH42" ca="1">SUMPRODUCT(ISNUMBER(INDIRECT("TabReg["&amp;TabCalc[[#This Row],[Ticker]]&amp;"2]"))* INDIRECT("TabReg["&amp;TabCalc[[#This Row],[Ticker]]&amp;"1]") * INDIRECT("TabReg["&amp;TabCalc[[#This Row],[Ticker]]&amp;"2]") )*TabCalc[[#This Row],[Scale]]</f>
        <v>-828366.02500000014</v>
      </c>
      <c r="DK42" s="85">
        <f ca="1"/>
        <v>163500</v>
      </c>
      <c r="DL42" s="88">
        <f t="shared" ca="1" si="3"/>
        <v>-7.8161675315048182E-2</v>
      </c>
      <c r="DM42" t="str">
        <f ca="1">_xlfn.XLOOKUP(DK42,TabCalc[Column1],TabCalc[Ticker])</f>
        <v>F</v>
      </c>
      <c r="DN42" s="85">
        <f ca="1">_xlfn.XLOOKUP(DM42,TabCalc[Ticker],TabCalc[ValueBegin])</f>
        <v>-161880</v>
      </c>
      <c r="DO42" s="85">
        <f ca="1">_xlfn.XLOOKUP(DM42,TabCalc[Ticker],TabCalc[M_V])</f>
        <v>0</v>
      </c>
      <c r="DP42" s="85">
        <f ca="1">_xlfn.XLOOKUP(DM42,TabCalc[Ticker],TabCalc[GL])</f>
        <v>-12652.812</v>
      </c>
      <c r="DQ42" s="88"/>
      <c r="DR42" s="88"/>
      <c r="DS42" s="86" t="s">
        <v>38</v>
      </c>
      <c r="DT42" s="80">
        <v>1500</v>
      </c>
      <c r="DU42" s="313">
        <v>-93.048699999999997</v>
      </c>
      <c r="DW42" s="80">
        <v>858990</v>
      </c>
      <c r="DX42" s="80">
        <f ca="1">DW42-TabCalc[[#This Row],[M_V]]</f>
        <v>65797.418000000063</v>
      </c>
    </row>
    <row r="43" spans="1:128">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371743.57500000001</v>
      </c>
      <c r="G43" s="80">
        <f ca="1">IFERROR(TabCalc[[#This Row],[SB]]-TabCalc[[#This Row],[SST]],TabCalc[[#This Row],[SB]])</f>
        <v>25000</v>
      </c>
      <c r="H43" s="530" t="str">
        <f ca="1">[1]!RTData[[#This Row],[Ticker_Symbol]]</f>
        <v>SHECY</v>
      </c>
      <c r="I43" s="381">
        <f ca="1">_xlfn.XLOOKUP(TabCalc[[#This Row],[Ticker]],[1]!RTData[Ticker_Symbol],[1]!RTData[M-Price])</f>
        <v>14.91</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-3.5575999999999997E-2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-0.91379497036549973</v>
      </c>
      <c r="T43" s="886">
        <f ca="1">IFERROR(SUMPRODUCT(DataShift!F1535:Z1535,DataShift!F743:Z743)/SQRT(SUMPRODUCT(DataShift!F1535:Z1535,DataShift!F1535:Z1535)*SUMPRODUCT(DataShift!F743:Z743,DataShift!F743:Z743)),0)</f>
        <v>0.18263220896717233</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-28,268 = $ -421,476</v>
      </c>
      <c r="Z43" s="209">
        <f ca="1">INT(MIN(TabCalc[[#This Row],[L_Bn]],TabCalc[[#This Row],[NAfter]])*(TabCalc[[#This Row],[M]]+TabCalc[[#This Row],[L_Bp]])*Comm_Net*TabCalc[[#This Row],[Scale]])</f>
        <v>-762</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47">
        <f ca="1">(TabCalc[[#This Row],[M]]+TabCalc[[#This Row],[L_Bp]])/TabCalc[[#This Row],[M]]</f>
        <v>-1.9450033534540518E-2</v>
      </c>
      <c r="AE43" s="209">
        <f ca="1">IFERROR(MIN(TabCalc[[#This Row],[L_B1n]],TabCalc[[#This Row],[NAfter]])*(TabCalc[[#This Row],[M]]+TabCalc[[#This Row],[L_B1p]])*TabCalc[[#This Row],[Scale]],"")</f>
        <v>-1619.9999999999975</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1030.1599999999994</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6111.0000000000009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12750</v>
      </c>
      <c r="AR43" s="332">
        <f ca="1">_xlfn.LET(_xlpm.MVToday,DataShift!AV543,         _xlpm.MVY,DataShift!AU544,        _xlpm.MVYY, DataShift!AT544,                                IF(_xlpm.MVToday=_xlpm.MVY,_xlpm.MVY-_xlpm.MVYY,_xlpm.MVToday-_xlpm.MVY))</f>
        <v>-791033.92614999996</v>
      </c>
      <c r="AS43" s="332">
        <f ca="1">_xlfn.LET(_xlpm.MVToday,DataShift!AV543,         _xlpm.MVY,DataShift!AU544,        _xlpm.MVYY, DataShift!AT544,         _xlpm.MVYYY, DataShift!AS544,                      IF(_xlpm.MVToday=_xlpm.MVY,      _xlpm.MVYY-_xlpm.MVYYY,          _xlpm.MVY-_xlpm.MVYY))</f>
        <v>-6253.0709999999963</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B_more</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0.10011308046387697</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0.10011308046387697</v>
      </c>
      <c r="BD43" s="85" cm="1">
        <f t="array" aca="1" ref="BD43" ca="1">INDEX(TabReg[], 1, _xlfn.XMATCH(TabCalc[[#This Row],[Ticker]]&amp;1, TabReg[#Headers], 0))</f>
        <v>12500</v>
      </c>
      <c r="BE43" s="157">
        <f ca="1">TabCalc[[#This Row],[Nbegin]]*TabCalc[[#This Row],[M]]*TabCalc[[#This Row],[Scale]]+TabCalc[[#This Row],[ValueBegin]]</f>
        <v>46203.540000000008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231572.11500000002</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63624.73667699995</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19.75</v>
      </c>
      <c r="BS43" s="172" t="str">
        <f ca="1">IF(TabCalc[[#This Row],[EfCost]]+TabCalc[[#This Row],[M_V]]&lt;TabCalc[[#This Row],[NoT_GL]],"Pile","")</f>
        <v/>
      </c>
      <c r="BT43" s="163">
        <f ca="1">_xlfn.XLOOKUP(TabCalc[[#This Row],[Ticker]],[1]!RTData[Ticker_Symbol],[1]!RTData[Last trade time])</f>
        <v>46002.865621654688</v>
      </c>
      <c r="BU43" s="173">
        <f ca="1">(TabCalc[[#This Row],[ValueBegin]]+(TabCalc[[#This Row],[M]]-TabCalc[[#This Row],[A]])*TabCalc[[#This Row],[NAfter]])*TabCalc[[#This Row],[Scale]]</f>
        <v>-188887.79073600002</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-48716.330736000033</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3067.4846625766891</v>
      </c>
      <c r="CX43" s="402">
        <f ca="1">IF(TabCalc[[#This Row],[ntoBuy]]*TabCalc[[#This Row],[M]]&lt;=0,0,TabCalc[[#This Row],[ntoBuy]]*TabCalc[[#This Row],[M]])</f>
        <v>45736.196319018432</v>
      </c>
      <c r="CY43" s="402">
        <f ca="1">IF(TabCalc[[#This Row],[M]]&gt;ABS(TabCalc[[#This Row],[L_Bp]]),MIN(TabCalc[[#This Row],[NAfter]],DesiredSaleGain/(TabCalc[[#This Row],[M]]+TabCalc[[#This Row],[L_Bp]])),0)/TabCalc[[#This Row],[Scale]]</f>
        <v>0</v>
      </c>
      <c r="CZ43" s="403">
        <f ca="1">TabCalc[[#This Row],[ntoSell]]*TabCalc[[#This Row],[M]]</f>
        <v>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-48716.330736000033</v>
      </c>
      <c r="DD43" s="88">
        <f ca="1">IFERROR((TabCalc[[#This Row],[M]]+TabCalc[[#This Row],[L_Bp]])/ABS(TabCalc[[#This Row],[L_Bp]])/(TODAY()-TabCalc[[#This Row],[L_Bdate]])*360,"")</f>
        <v>-0.15973072215422232</v>
      </c>
      <c r="DE43" s="308">
        <f ca="1">MEDIAN(DataShift!F743:Z743)</f>
        <v>0</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186375</v>
      </c>
      <c r="DH43" s="85" cm="1">
        <f t="array" aca="1" ref="DH43" ca="1">SUMPRODUCT(ISNUMBER(INDIRECT("TabReg["&amp;TabCalc[[#This Row],[Ticker]]&amp;"2]"))* INDIRECT("TabReg["&amp;TabCalc[[#This Row],[Ticker]]&amp;"1]") * INDIRECT("TabReg["&amp;TabCalc[[#This Row],[Ticker]]&amp;"2]") )*TabCalc[[#This Row],[Scale]]</f>
        <v>-306355.78000000003</v>
      </c>
      <c r="DK43" s="85">
        <f ca="1"/>
        <v>161660</v>
      </c>
      <c r="DL43" s="88">
        <f t="shared" ca="1" si="3"/>
        <v>-0.20570550595777584</v>
      </c>
      <c r="DM43" t="str">
        <f ca="1">_xlfn.XLOOKUP(DK43,TabCalc[Column1],TabCalc[Ticker])</f>
        <v>CVS</v>
      </c>
      <c r="DN43" s="85">
        <f ca="1">_xlfn.XLOOKUP(DM43,TabCalc[Ticker],TabCalc[ValueBegin])</f>
        <v>-216620</v>
      </c>
      <c r="DO43" s="85">
        <f ca="1">_xlfn.XLOOKUP(DM43,TabCalc[Ticker],TabCalc[M_V])</f>
        <v>80.611758999999992</v>
      </c>
      <c r="DP43" s="85">
        <f ca="1">_xlfn.XLOOKUP(DM43,TabCalc[Ticker],TabCalc[GL])</f>
        <v>-44559.9267005734</v>
      </c>
      <c r="DQ43" s="88"/>
      <c r="DR43" s="88"/>
      <c r="DS43" s="86" t="s">
        <v>39</v>
      </c>
      <c r="DT43" s="79">
        <v>12500</v>
      </c>
      <c r="DU43" s="313">
        <v>-11.2137168</v>
      </c>
      <c r="DW43" s="80">
        <v>333954.24</v>
      </c>
      <c r="DX43" s="80">
        <f ca="1">DW43-TabCalc[[#This Row],[M_V]]</f>
        <v>-37789.335000000021</v>
      </c>
    </row>
    <row r="44" spans="1:128">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150632.19199999998</v>
      </c>
      <c r="G44" s="80">
        <f ca="1">IFERROR(TabCalc[[#This Row],[SB]]-TabCalc[[#This Row],[SST]],TabCalc[[#This Row],[SB]])</f>
        <v>16000</v>
      </c>
      <c r="H44" s="530" t="str">
        <f ca="1">[1]!RTData[[#This Row],[Ticker_Symbol]]</f>
        <v>SSYS</v>
      </c>
      <c r="I44" s="381">
        <f ca="1">_xlfn.XLOOKUP(TabCalc[[#This Row],[Ticker]],[1]!RTData[Ticker_Symbol],[1]!RTData[M-Price])</f>
        <v>9.44</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1.6146000000000001E-2</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-0.8321783097237474</v>
      </c>
      <c r="T44" s="886">
        <f ca="1">IFERROR(SUMPRODUCT(DataShift!F1536:Z1536,DataShift!F744:Z744)/SQRT(SUMPRODUCT(DataShift!F1536:Z1536,DataShift!F1536:Z1536)*SUMPRODUCT(DataShift!F744:Z744,DataShift!F744:Z744)),0)</f>
        <v>-2.4591846155693823E-2</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69,148 = $ 652,757</v>
      </c>
      <c r="Z44" s="209">
        <f ca="1">INT(MIN(TabCalc[[#This Row],[L_Bn]],TabCalc[[#This Row],[NAfter]])*(TabCalc[[#This Row],[M]]+TabCalc[[#This Row],[L_Bp]])*Comm_Net*TabCalc[[#This Row],[Scale]])</f>
        <v>568</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47">
        <f ca="1">(TabCalc[[#This Row],[M]]+TabCalc[[#This Row],[L_Bp]])/TabCalc[[#This Row],[M]]</f>
        <v>2.0127118644067746E-2</v>
      </c>
      <c r="AE44" s="209">
        <f ca="1">IFERROR(MIN(TabCalc[[#This Row],[L_B1n]],TabCalc[[#This Row],[NAfter]])*(TabCalc[[#This Row],[M]]+TabCalc[[#This Row],[L_B1p]])*TabCalc[[#This Row],[Scale]],"")</f>
        <v>1293.9999999999968</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9982.5999000000029</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3679.9999999999995</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2400</v>
      </c>
      <c r="AR44" s="332">
        <f ca="1">_xlfn.LET(_xlpm.MVToday,DataShift!AV544,         _xlpm.MVY,DataShift!AU545,        _xlpm.MVYY, DataShift!AT545,                                IF(_xlpm.MVToday=_xlpm.MVY,_xlpm.MVY-_xlpm.MVYY,_xlpm.MVToday-_xlpm.MVY))</f>
        <v>421449.00699999993</v>
      </c>
      <c r="AS44" s="332">
        <f ca="1">_xlfn.LET(_xlpm.MVToday,DataShift!AV544,         _xlpm.MVY,DataShift!AU545,        _xlpm.MVYY, DataShift!AT545,         _xlpm.MVYYY, DataShift!AS545,                      IF(_xlpm.MVToday=_xlpm.MVY,      _xlpm.MVYY-_xlpm.MVYYY,          _xlpm.MVY-_xlpm.MVYY))</f>
        <v>-13712.875</v>
      </c>
      <c r="AT44" s="969">
        <f ca="1">TabCalc[[#This Row],[Y]]/TabCalc[[#This Row],[M]]</f>
        <v>1.3947743644067798</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Resell</v>
      </c>
      <c r="AX44" s="80">
        <f ca="1">TabCalc[[#This Row],[NAfter]]-TabCalc[[#This Row],[Nbegin]]</f>
        <v>0</v>
      </c>
      <c r="AY44" s="303">
        <f ca="1">IFERROR((TabCalc[[#This Row],[M]]-TabCalc[[#This Row],[Y]])*(TabCalc[[#This Row],[M]]-TabCalc[[#This Row],[Y]])*(TabCalc[[#This Row],[M]]-TabCalc[[#This Row],[Y]])/(TabCalc[[#This Row],[Y]]*TabCalc[[#This Row],[M]]),"")</f>
        <v>-0.41640397506452398</v>
      </c>
      <c r="AZ44" s="80">
        <f t="shared" ca="1" si="5"/>
        <v>0</v>
      </c>
      <c r="BA44" s="88">
        <f ca="1">_xlfn.XLOOKUP(TabCalc[[#This Row],[Ticker]],[1]!RTData[Ticker_Symbol],[1]!RTData[V/VA])</f>
        <v>1.5368385815758943</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1.5368385815758943</v>
      </c>
      <c r="BD44" s="85" cm="1">
        <f t="array" aca="1" ref="BD44" ca="1">INDEX(TabReg[], 1, _xlfn.XMATCH(TabCalc[[#This Row],[Ticker]]&amp;1, TabReg[#Headers], 0))</f>
        <v>16000</v>
      </c>
      <c r="BE44" s="157">
        <f ca="1">TabCalc[[#This Row],[Nbegin]]*TabCalc[[#This Row],[M]]*TabCalc[[#This Row],[Scale]]+TabCalc[[#This Row],[ValueBegin]]</f>
        <v>-724167.52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-724575.32799999998</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-708510.73503145995</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80.04</v>
      </c>
      <c r="BS44" s="172" t="str">
        <f ca="1">IF(TabCalc[[#This Row],[EfCost]]+TabCalc[[#This Row],[M_V]]&lt;TabCalc[[#This Row],[NoT_GL]],"Pile","")</f>
        <v/>
      </c>
      <c r="BT44" s="163">
        <f ca="1">_xlfn.XLOOKUP(TabCalc[[#This Row],[Ticker]],[1]!RTData[Ticker_Symbol],[1]!RTData[Last trade time])</f>
        <v>46002.875178807815</v>
      </c>
      <c r="BU44" s="173">
        <f ca="1">(TabCalc[[#This Row],[ValueBegin]]+(TabCalc[[#This Row],[M]]-TabCalc[[#This Row],[A]])*TabCalc[[#This Row],[NAfter]])*TabCalc[[#This Row],[Scale]]</f>
        <v>-1192527.9893140001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-317320.46931399999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1502.6145643681459</v>
      </c>
      <c r="CX44" s="402">
        <f ca="1">IF(TabCalc[[#This Row],[ntoBuy]]*TabCalc[[#This Row],[M]]&lt;=0,0,TabCalc[[#This Row],[ntoBuy]]*TabCalc[[#This Row],[M]])</f>
        <v>14184.681487635296</v>
      </c>
      <c r="CY44" s="402">
        <f ca="1">IF(TabCalc[[#This Row],[M]]&gt;ABS(TabCalc[[#This Row],[L_Bp]]),MIN(TabCalc[[#This Row],[NAfter]],DesiredSaleGain/(TabCalc[[#This Row],[M]]+TabCalc[[#This Row],[L_Bp]])),0)/TabCalc[[#This Row],[Scale]]</f>
        <v>16000</v>
      </c>
      <c r="CZ44" s="403">
        <f ca="1">TabCalc[[#This Row],[ntoSell]]*TabCalc[[#This Row],[M]]</f>
        <v>151040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-317320.46931399999</v>
      </c>
      <c r="DD44" s="88">
        <f ca="1">IFERROR((TabCalc[[#This Row],[M]]+TabCalc[[#This Row],[L_Bp]])/ABS(TabCalc[[#This Row],[L_Bp]])/(TODAY()-TabCalc[[#This Row],[L_Bdate]])*360,"")</f>
        <v>2.1877498800575667E-2</v>
      </c>
      <c r="DE44" s="308">
        <f ca="1">MEDIAN(DataShift!F744:Z744)</f>
        <v>-2.0089999999999999E-3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151040</v>
      </c>
      <c r="DH44" s="85" cm="1">
        <f t="array" aca="1" ref="DH44" ca="1">SUMPRODUCT(ISNUMBER(INDIRECT("TabReg["&amp;TabCalc[[#This Row],[Ticker]]&amp;"2]"))* INDIRECT("TabReg["&amp;TabCalc[[#This Row],[Ticker]]&amp;"1]") * INDIRECT("TabReg["&amp;TabCalc[[#This Row],[Ticker]]&amp;"2]") )*TabCalc[[#This Row],[Scale]]</f>
        <v>-856524.32010000001</v>
      </c>
      <c r="DK44" s="85">
        <f ca="1"/>
        <v>159040</v>
      </c>
      <c r="DL44" s="88">
        <f t="shared" ca="1" si="3"/>
        <v>0.45043400265100059</v>
      </c>
      <c r="DM44" t="str">
        <f ca="1">_xlfn.XLOOKUP(DK44,TabCalc[Column1],TabCalc[Ticker])</f>
        <v>MVEENI</v>
      </c>
      <c r="DN44" s="85">
        <f ca="1">_xlfn.XLOOKUP(DM44,TabCalc[Ticker],TabCalc[ValueBegin])</f>
        <v>-155926</v>
      </c>
      <c r="DO44" s="85">
        <f ca="1">_xlfn.XLOOKUP(DM44,TabCalc[Ticker],TabCalc[M_V])</f>
        <v>507553.89439999999</v>
      </c>
      <c r="DP44" s="85">
        <f ca="1">_xlfn.XLOOKUP(DM44,TabCalc[Ticker],TabCalc[GL])</f>
        <v>70234.372297359922</v>
      </c>
      <c r="DQ44" s="88"/>
      <c r="DR44" s="88"/>
      <c r="DS44" s="86" t="s">
        <v>40</v>
      </c>
      <c r="DT44" s="79">
        <v>16000</v>
      </c>
      <c r="DU44" s="313">
        <v>-54.700470000000003</v>
      </c>
      <c r="DW44" s="80">
        <v>157920</v>
      </c>
      <c r="DX44" s="80">
        <f ca="1">DW44-TabCalc[[#This Row],[M_V]]</f>
        <v>7287.8080000000191</v>
      </c>
    </row>
    <row r="45" spans="1:128">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445.65936206999999</v>
      </c>
      <c r="G45" s="80">
        <f ca="1">IFERROR(TabCalc[[#This Row],[SB]]-TabCalc[[#This Row],[SST]],TabCalc[[#This Row],[SB]])</f>
        <v>1</v>
      </c>
      <c r="H45" s="530" t="str">
        <f ca="1">[1]!RTData[[#This Row],[Ticker_Symbol]]</f>
        <v>TSLA</v>
      </c>
      <c r="I45" s="381">
        <f ca="1">_xlfn.XLOOKUP(TabCalc[[#This Row],[Ticker]],[1]!RTData[Ticker_Symbol],[1]!RTData[M-Price])</f>
        <v>446.86590000000001</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-1.0154000000000002E-2</v>
      </c>
      <c r="N45" s="1041">
        <v>0</v>
      </c>
      <c r="O45" s="886">
        <f>TabCalc[[#This Row],[Up20]]-1+TabCalc[[#This Row],[Up20]]</f>
        <v>-1</v>
      </c>
      <c r="P45" s="886">
        <f>TabCalc[[#This Row],[Up20]]-TabCalc[[#This Row],[Up150]]</f>
        <v>-0.83333333333333337</v>
      </c>
      <c r="Q45" s="886">
        <v>0.83333333333333337</v>
      </c>
      <c r="R45" s="886">
        <f>TabCalc[[#This Row],[Up150]]-1+TabCalc[[#This Row],[Up150]]</f>
        <v>0.66666666666666674</v>
      </c>
      <c r="S45" s="886">
        <f ca="1">IFERROR(SUMPRODUCT(DataShift!F1537:Z1537,DataShift!AB744:AV744)/SQRT(SUMPRODUCT(DataShift!F1537:Z1537,DataShift!F1537:Z1537)*SUMPRODUCT(DataShift!AB744:AV744,DataShift!AB744:AV744)),0)</f>
        <v>0</v>
      </c>
      <c r="T45" s="886">
        <f ca="1">IFERROR(SUMPRODUCT(DataShift!F1537:Z1537,DataShift!F745:Z745)/SQRT(SUMPRODUCT(DataShift!F1537:Z1537,DataShift!F1537:Z1537)*SUMPRODUCT(DataShift!F745:Z745,DataShift!F745:Z745)),0)</f>
        <v>0</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110</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47">
        <f ca="1">(TabCalc[[#This Row],[M]]+TabCalc[[#This Row],[L_Bp]])/TabCalc[[#This Row],[M]]</f>
        <v>0.24695529464208393</v>
      </c>
      <c r="AE45" s="209">
        <f ca="1">IFERROR(MIN(TabCalc[[#This Row],[L_B1n]],TabCalc[[#This Row],[NAfter]])*(TabCalc[[#This Row],[M]]+TabCalc[[#This Row],[L_B1p]])*TabCalc[[#This Row],[Scale]],"")</f>
        <v>64.703900000000033</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-173.93309999999991</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-44045.001000000004</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-1.9341000000000008</v>
      </c>
      <c r="AR45" s="332">
        <f ca="1">_xlfn.LET(_xlpm.MVToday,DataShift!AV545,         _xlpm.MVY,DataShift!AU546,        _xlpm.MVYY, DataShift!AT546,                                IF(_xlpm.MVToday=_xlpm.MVY,_xlpm.MVY-_xlpm.MVYY,_xlpm.MVToday-_xlpm.MVY))</f>
        <v>221111.38300000003</v>
      </c>
      <c r="AS45" s="332">
        <f ca="1">_xlfn.LET(_xlpm.MVToday,DataShift!AV545,         _xlpm.MVY,DataShift!AU546,        _xlpm.MVYY, DataShift!AT546,         _xlpm.MVYYY, DataShift!AS546,                      IF(_xlpm.MVToday=_xlpm.MVY,      _xlpm.MVYY-_xlpm.MVYYY,          _xlpm.MVY-_xlpm.MVYY))</f>
        <v>2393.5199999999895</v>
      </c>
      <c r="AT45" s="969">
        <f ca="1">TabCalc[[#This Row],[Y]]/TabCalc[[#This Row],[M]]</f>
        <v>0.8792968986892935</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0.89371070597791236</v>
      </c>
      <c r="AZ45" s="80">
        <f t="shared" ca="1" si="5"/>
        <v>499</v>
      </c>
      <c r="BA45" s="88">
        <f ca="1">_xlfn.XLOOKUP(TabCalc[[#This Row],[Ticker]],[1]!RTData[Ticker_Symbol],[1]!RTData[V/VA])</f>
        <v>0.68520716946974203</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0.68520716946974203</v>
      </c>
      <c r="BD45" s="85" cm="1">
        <f t="array" aca="1" ref="BD45" ca="1">INDEX(TabReg[], 1, _xlfn.XMATCH(TabCalc[[#This Row],[Ticker]]&amp;1, TabReg[#Headers], 0))</f>
        <v>500</v>
      </c>
      <c r="BE45" s="157">
        <f ca="1">TabCalc[[#This Row],[Nbegin]]*TabCalc[[#This Row],[M]]*TabCalc[[#This Row],[Scale]]+TabCalc[[#This Row],[ValueBegin]]</f>
        <v>137158.95000000001</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-85828.34063793</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87897.047623728606</v>
      </c>
      <c r="BN45" s="157">
        <f ca="1">IF(        OR( TabCalc[[#This Row],[GL]]&gt;ABS(TabCalc[[#This Row],[EfCost]]),TabCalc[[#This Row],[NAfter]]=0),             TabCalc[[#This Row],[GL]],     0)</f>
        <v>87897.047623728606</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46002.876127846874</v>
      </c>
      <c r="BU45" s="173">
        <f ca="1">(TabCalc[[#This Row],[ValueBegin]]+(TabCalc[[#This Row],[M]]-TabCalc[[#This Row],[A]])*TabCalc[[#This Row],[NAfter]])*TabCalc[[#This Row],[Scale]]</f>
        <v>-86164.519025999994</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109.48097400000006</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446.86590000000001</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109.48097400000006</v>
      </c>
      <c r="DD45" s="88">
        <f ca="1">IFERROR((TabCalc[[#This Row],[M]]+TabCalc[[#This Row],[L_Bp]])/ABS(TabCalc[[#This Row],[L_Bp]])/(TODAY()-TabCalc[[#This Row],[L_Bdate]])*360,"")</f>
        <v>0.39092472577397019</v>
      </c>
      <c r="DE45" s="308">
        <f ca="1">MEDIAN(DataShift!F745:Z745)</f>
        <v>7.0260000000000001E-3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223432.95</v>
      </c>
      <c r="DH45" s="85" cm="1">
        <f t="array" aca="1" ref="DH45" ca="1">SUMPRODUCT(ISNUMBER(INDIRECT("TabReg["&amp;TabCalc[[#This Row],[Ticker]]&amp;"2]"))* INDIRECT("TabReg["&amp;TabCalc[[#This Row],[Ticker]]&amp;"1]") * INDIRECT("TabReg["&amp;TabCalc[[#This Row],[Ticker]]&amp;"2]") )*TabCalc[[#This Row],[Scale]]</f>
        <v>87225.76</v>
      </c>
      <c r="DK45" s="85">
        <f ca="1"/>
        <v>156000</v>
      </c>
      <c r="DL45" s="88">
        <f t="shared" ca="1" si="3"/>
        <v>-0.15791242303688269</v>
      </c>
      <c r="DM45" t="str">
        <f ca="1">_xlfn.XLOOKUP(DK45,TabCalc[Column1],TabCalc[Ticker])</f>
        <v>AET</v>
      </c>
      <c r="DN45" s="85">
        <f ca="1">_xlfn.XLOOKUP(DM45,TabCalc[Ticker],TabCalc[ValueBegin])</f>
        <v>-161766.307</v>
      </c>
      <c r="DO45" s="85">
        <f ca="1">_xlfn.XLOOKUP(DM45,TabCalc[Ticker],TabCalc[M_V])</f>
        <v>318936.53999999998</v>
      </c>
      <c r="DP45" s="85">
        <f ca="1">_xlfn.XLOOKUP(DM45,TabCalc[Ticker],TabCalc[GL])</f>
        <v>-25544.909504098236</v>
      </c>
      <c r="DQ45" s="88"/>
      <c r="DR45" s="88"/>
      <c r="DS45" s="86" t="s">
        <v>41</v>
      </c>
      <c r="DT45" s="79">
        <v>2000</v>
      </c>
      <c r="DU45" s="313">
        <v>-6.93</v>
      </c>
      <c r="DW45" s="80">
        <v>444.26</v>
      </c>
      <c r="DX45" s="80">
        <f ca="1">DW45-TabCalc[[#This Row],[M_V]]</f>
        <v>-1.3993620699999951</v>
      </c>
    </row>
    <row r="46" spans="1:128">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1368435.2220000001</v>
      </c>
      <c r="G46" s="80">
        <f ca="1">IFERROR(TabCalc[[#This Row],[SB]]-TabCalc[[#This Row],[SST]],TabCalc[[#This Row],[SB]])</f>
        <v>4500</v>
      </c>
      <c r="H46" s="530" t="str">
        <f ca="1">[1]!RTData[[#This Row],[Ticker_Symbol]]</f>
        <v>TSM</v>
      </c>
      <c r="I46" s="381">
        <f ca="1">_xlfn.XLOOKUP(TabCalc[[#This Row],[Ticker]],[1]!RTData[Ticker_Symbol],[1]!RTData[M-Price])</f>
        <v>304.92</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-1.4296999999999999E-2</v>
      </c>
      <c r="N46" s="1041" t="s">
        <v>2959</v>
      </c>
      <c r="O46" s="886" t="e">
        <f>TabCalc[[#This Row],[Up20]]-1+TabCalc[[#This Row],[Up20]]</f>
        <v>#VALUE!</v>
      </c>
      <c r="P46" s="886" t="e">
        <f>TabCalc[[#This Row],[Up20]]-TabCalc[[#This Row],[Up150]]</f>
        <v>#VALUE!</v>
      </c>
      <c r="Q46" s="886" t="s">
        <v>2960</v>
      </c>
      <c r="R46" s="886" t="e">
        <f>TabCalc[[#This Row],[Up150]]-1+TabCalc[[#This Row],[Up150]]</f>
        <v>#VALUE!</v>
      </c>
      <c r="S46" s="886">
        <f ca="1">IFERROR(SUMPRODUCT(DataShift!F1538:Z1538,DataShift!AB745:AV745)/SQRT(SUMPRODUCT(DataShift!F1538:Z1538,DataShift!F1538:Z1538)*SUMPRODUCT(DataShift!AB745:AV745,DataShift!AB745:AV745)),0)</f>
        <v>-0.81973217764866357</v>
      </c>
      <c r="T46" s="886">
        <f ca="1">IFERROR(SUMPRODUCT(DataShift!F1538:Z1538,DataShift!F746:Z746)/SQRT(SUMPRODUCT(DataShift!F1538:Z1538,DataShift!F1538:Z1538)*SUMPRODUCT(DataShift!F746:Z746,DataShift!F746:Z746)),0)</f>
        <v>-0.18208068149761564</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14774</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47">
        <f ca="1">(TabCalc[[#This Row],[M]]+TabCalc[[#This Row],[L_Bp]])/TabCalc[[#This Row],[M]]</f>
        <v>6.0729043683589272E-2</v>
      </c>
      <c r="AE46" s="209">
        <f ca="1">IFERROR(MIN(TabCalc[[#This Row],[L_B1n]],TabCalc[[#This Row],[NAfter]])*(TabCalc[[#This Row],[M]]+TabCalc[[#This Row],[L_B1p]])*TabCalc[[#This Row],[Scale]],"")</f>
        <v>69670.000000000015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-4820.9999999999982</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-4260.0000000000191</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-1800</v>
      </c>
      <c r="AR46" s="332">
        <f ca="1">_xlfn.LET(_xlpm.MVToday,DataShift!AV546,         _xlpm.MVY,DataShift!AU547,        _xlpm.MVYY, DataShift!AT547,                                IF(_xlpm.MVToday=_xlpm.MVY,_xlpm.MVY-_xlpm.MVYY,_xlpm.MVToday-_xlpm.MVY))</f>
        <v>150186.53263792998</v>
      </c>
      <c r="AS46" s="332">
        <f ca="1">_xlfn.LET(_xlpm.MVToday,DataShift!AV546,         _xlpm.MVY,DataShift!AU547,        _xlpm.MVYY, DataShift!AT547,         _xlpm.MVYYY, DataShift!AS547,                      IF(_xlpm.MVToday=_xlpm.MVY,      _xlpm.MVYY-_xlpm.MVYYY,          _xlpm.MVY-_xlpm.MVYY))</f>
        <v>-4.5477877299999818</v>
      </c>
      <c r="AT46" s="969">
        <f ca="1">TabCalc[[#This Row],[Y]]/TabCalc[[#This Row],[M]]</f>
        <v>1.1212996195723468</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-0.48533605165828314</v>
      </c>
      <c r="AZ46" s="80">
        <f t="shared" ca="1" si="5"/>
        <v>0</v>
      </c>
      <c r="BA46" s="88">
        <f ca="1">_xlfn.XLOOKUP(TabCalc[[#This Row],[Ticker]],[1]!RTData[Ticker_Symbol],[1]!RTData[V/VA])</f>
        <v>1.2628860762769001</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1.2628860762769001</v>
      </c>
      <c r="BD46" s="85" cm="1">
        <f t="array" aca="1" ref="BD46" ca="1">INDEX(TabReg[], 1, _xlfn.XMATCH(TabCalc[[#This Row],[Ticker]]&amp;1, TabReg[#Headers], 0))</f>
        <v>2000</v>
      </c>
      <c r="BE46" s="157">
        <f ca="1">TabCalc[[#This Row],[Nbegin]]*TabCalc[[#This Row],[M]]*TabCalc[[#This Row],[Scale]]+TabCalc[[#This Row],[ValueBegin]]</f>
        <v>409840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1168435.2220000001</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980985.68262000009</v>
      </c>
      <c r="BN46" s="157">
        <f ca="1">IF(        OR( TabCalc[[#This Row],[GL]]&gt;ABS(TabCalc[[#This Row],[EfCost]]),TabCalc[[#This Row],[NAfter]]=0),             TabCalc[[#This Row],[GL]],     0)</f>
        <v>980985.68262000009</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46002.876161075779</v>
      </c>
      <c r="BU46" s="173">
        <f ca="1">(TabCalc[[#This Row],[ValueBegin]]+(TabCalc[[#This Row],[M]]-TabCalc[[#This Row],[A]])*TabCalc[[#This Row],[NAfter]])*TabCalc[[#This Row],[Scale]]</f>
        <v>243404.54980000015</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443404.54980000015</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270.01485081679431</v>
      </c>
      <c r="CZ46" s="403">
        <f ca="1">TabCalc[[#This Row],[ntoSell]]*TabCalc[[#This Row],[M]]</f>
        <v>82332.928311056923</v>
      </c>
      <c r="DA46" s="396">
        <f ca="1">_xlfn.LET(_xlpm.nToSell,IF(TabCalc[[#This Row],[M]]-TabCalc[[#This Row],[A]]&lt;=0,"",INT(DesiredSaleGain/(TabCalc[[#This Row],[M]]-IF(TabCalc[[#This Row],[E]]&gt;0,0,TabCalc[[#This Row],[A]])))),IF(_xlpm.nToSell&lt;=TabCalc[[#This Row],[NAfter]],_xlpm.nToSell,0))</f>
        <v>50</v>
      </c>
      <c r="DB46" s="334">
        <f ca="1">IFERROR(TabCalc[[#This Row],[NMA]]*TabCalc[[#This Row],[M]],"")</f>
        <v>15246</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443404.54980000015</v>
      </c>
      <c r="DD46" s="88">
        <f ca="1">IFERROR((TabCalc[[#This Row],[M]]+TabCalc[[#This Row],[L_Bp]])/ABS(TabCalc[[#This Row],[L_Bp]])/(TODAY()-TabCalc[[#This Row],[L_Bdate]])*360,"")</f>
        <v>0.46551967947207279</v>
      </c>
      <c r="DE46" s="308">
        <f ca="1">MEDIAN(DataShift!F746:Z746)</f>
        <v>5.8709999999999995E-3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609840</v>
      </c>
      <c r="DH46" s="85" cm="1">
        <f t="array" aca="1" ref="DH46" ca="1">SUMPRODUCT(ISNUMBER(INDIRECT("TabReg["&amp;TabCalc[[#This Row],[Ticker]]&amp;"2]"))* INDIRECT("TabReg["&amp;TabCalc[[#This Row],[Ticker]]&amp;"1]") * INDIRECT("TabReg["&amp;TabCalc[[#This Row],[Ticker]]&amp;"2]") )*TabCalc[[#This Row],[Scale]]</f>
        <v>-382896.07799999998</v>
      </c>
      <c r="DK46" s="85">
        <f ca="1"/>
        <v>151040</v>
      </c>
      <c r="DL46" s="88">
        <f t="shared" ca="1" si="3"/>
        <v>-0.80953456047939343</v>
      </c>
      <c r="DM46" t="str">
        <f ca="1">_xlfn.XLOOKUP(DK46,TabCalc[Column1],TabCalc[Ticker])</f>
        <v>SSYS</v>
      </c>
      <c r="DN46" s="85">
        <f ca="1">_xlfn.XLOOKUP(DM46,TabCalc[Ticker],TabCalc[ValueBegin])</f>
        <v>-875207.52</v>
      </c>
      <c r="DO46" s="85">
        <f ca="1">_xlfn.XLOOKUP(DM46,TabCalc[Ticker],TabCalc[M_V])</f>
        <v>150632.19199999998</v>
      </c>
      <c r="DP46" s="85">
        <f ca="1">_xlfn.XLOOKUP(DM46,TabCalc[Ticker],TabCalc[GL])</f>
        <v>-708510.73503145995</v>
      </c>
      <c r="DQ46" s="88"/>
      <c r="DR46" s="88"/>
      <c r="DS46" s="86" t="s">
        <v>42</v>
      </c>
      <c r="DT46" s="79">
        <v>7300</v>
      </c>
      <c r="DU46" s="313">
        <v>-10.784000000000001</v>
      </c>
      <c r="DW46" s="80">
        <v>1411680</v>
      </c>
      <c r="DX46" s="80">
        <f ca="1">DW46-TabCalc[[#This Row],[M_V]]</f>
        <v>43244.777999999933</v>
      </c>
    </row>
    <row r="47" spans="1:128">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112944.22499999999</v>
      </c>
      <c r="G47" s="80">
        <f ca="1">IFERROR(TabCalc[[#This Row],[SB]]-TabCalc[[#This Row],[SST]],TabCalc[[#This Row],[SB]])</f>
        <v>3000</v>
      </c>
      <c r="H47" s="530" t="str">
        <f ca="1">[1]!RTData[[#This Row],[Ticker_Symbol]]</f>
        <v>UN0</v>
      </c>
      <c r="I47" s="381">
        <f ca="1">_xlfn.XLOOKUP(TabCalc[[#This Row],[Ticker]],[1]!RTData[Ticker_Symbol],[1]!RTData[M-Price])</f>
        <v>37.75</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-7.8840000000000004E-3</v>
      </c>
      <c r="N47" s="1041" t="s">
        <v>2942</v>
      </c>
      <c r="O47" s="886" t="e">
        <f>TabCalc[[#This Row],[Up20]]-1+TabCalc[[#This Row],[Up20]]</f>
        <v>#VALUE!</v>
      </c>
      <c r="P47" s="886" t="e">
        <f>TabCalc[[#This Row],[Up20]]-TabCalc[[#This Row],[Up150]]</f>
        <v>#VALUE!</v>
      </c>
      <c r="Q47" s="886" t="s">
        <v>2944</v>
      </c>
      <c r="R47" s="886" t="e">
        <f>TabCalc[[#This Row],[Up150]]-1+TabCalc[[#This Row],[Up150]]</f>
        <v>#VALUE!</v>
      </c>
      <c r="S47" s="886">
        <f ca="1">IFERROR(SUMPRODUCT(DataShift!F1539:Z1539,DataShift!AB746:AV746)/SQRT(SUMPRODUCT(DataShift!F1539:Z1539,DataShift!F1539:Z1539)*SUMPRODUCT(DataShift!AB746:AV746,DataShift!AB746:AV746)),0)</f>
        <v>-0.83266248721445413</v>
      </c>
      <c r="T47" s="886">
        <f ca="1">IFERROR(SUMPRODUCT(DataShift!F1539:Z1539,DataShift!F747:Z747)/SQRT(SUMPRODUCT(DataShift!F1539:Z1539,DataShift!F1539:Z1539)*SUMPRODUCT(DataShift!F747:Z747,DataShift!F747:Z747)),0)</f>
        <v>-0.12760076467701717</v>
      </c>
      <c r="U47" s="996">
        <v>350</v>
      </c>
      <c r="V47" s="996">
        <v>2650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-3,315 = $ -125,142</v>
      </c>
      <c r="Z47" s="209">
        <f ca="1">INT(MIN(TabCalc[[#This Row],[L_Bn]],TabCalc[[#This Row],[NAfter]])*(TabCalc[[#This Row],[M]]+TabCalc[[#This Row],[L_Bp]])*Comm_Net*TabCalc[[#This Row],[Scale]])</f>
        <v>177</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47">
        <f ca="1">(TabCalc[[#This Row],[M]]+TabCalc[[#This Row],[L_Bp]])/TabCalc[[#This Row],[M]]</f>
        <v>1.3491390728476906E-2</v>
      </c>
      <c r="AE47" s="209">
        <f ca="1">IFERROR(MIN(TabCalc[[#This Row],[L_B1n]],TabCalc[[#This Row],[NAfter]])*(TabCalc[[#This Row],[M]]+TabCalc[[#This Row],[L_B1p]])*TabCalc[[#This Row],[Scale]],"")</f>
        <v>-1615.350000000001</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2292.0694999999992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14049.999999999993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-3000</v>
      </c>
      <c r="AR47" s="332">
        <f ca="1">_xlfn.LET(_xlpm.MVToday,DataShift!AV547,         _xlpm.MVY,DataShift!AU548,        _xlpm.MVYY, DataShift!AT548,                                IF(_xlpm.MVToday=_xlpm.MVY,_xlpm.MVY-_xlpm.MVYY,_xlpm.MVToday-_xlpm.MVY))</f>
        <v>-1367989.56263793</v>
      </c>
      <c r="AS47" s="332">
        <f ca="1">_xlfn.LET(_xlpm.MVToday,DataShift!AV547,         _xlpm.MVY,DataShift!AU548,        _xlpm.MVYY, DataShift!AT548,         _xlpm.MVYYY, DataShift!AS548,                      IF(_xlpm.MVToday=_xlpm.MVY,      _xlpm.MVYY-_xlpm.MVYYY,          _xlpm.MVY-_xlpm.MVYY))</f>
        <v>-23426.576999999816</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Resell</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9.2452830188679246E-3</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9.2452830188679246E-3</v>
      </c>
      <c r="BD47" s="85" cm="1">
        <f t="array" aca="1" ref="BD47" ca="1">INDEX(TabReg[], 1, _xlfn.XMATCH(TabCalc[[#This Row],[Ticker]]&amp;1, TabReg[#Headers], 0))</f>
        <v>700</v>
      </c>
      <c r="BE47" s="157">
        <f ca="1">TabCalc[[#This Row],[Nbegin]]*TabCalc[[#This Row],[M]]*TabCalc[[#This Row],[Scale]]+TabCalc[[#This Row],[ValueBegin]]</f>
        <v>-157969</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-71449.775000000009</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-177283.49869199999</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152.26</v>
      </c>
      <c r="BS47" s="172" t="str">
        <f ca="1">IF(TabCalc[[#This Row],[EfCost]]+TabCalc[[#This Row],[M_V]]&lt;TabCalc[[#This Row],[NoT_GL]],"Pile","")</f>
        <v>Pile</v>
      </c>
      <c r="BT47" s="163">
        <f ca="1">_xlfn.XLOOKUP(TabCalc[[#This Row],[Ticker]],[1]!RTData[Ticker_Symbol],[1]!RTData[Last trade time])</f>
        <v>46002.863888888889</v>
      </c>
      <c r="BU47" s="173">
        <f ca="1">(TabCalc[[#This Row],[ValueBegin]]+(TabCalc[[#This Row],[M]]-TabCalc[[#This Row],[A]])*TabCalc[[#This Row],[NAfter]])*TabCalc[[#This Row],[Scale]]</f>
        <v>-196266.52493000001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-11872.524930000005</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763.50215383957629</v>
      </c>
      <c r="CX47" s="402">
        <f ca="1">IF(TabCalc[[#This Row],[ntoBuy]]*TabCalc[[#This Row],[M]]&lt;=0,0,TabCalc[[#This Row],[ntoBuy]]*TabCalc[[#This Row],[M]])</f>
        <v>28822.206307444005</v>
      </c>
      <c r="CY47" s="402">
        <f ca="1">IF(TabCalc[[#This Row],[M]]&gt;ABS(TabCalc[[#This Row],[L_Bp]]),MIN(TabCalc[[#This Row],[NAfter]],DesiredSaleGain/(TabCalc[[#This Row],[M]]+TabCalc[[#This Row],[L_Bp]])),0)/TabCalc[[#This Row],[Scale]]</f>
        <v>3000</v>
      </c>
      <c r="CZ47" s="403">
        <f ca="1">TabCalc[[#This Row],[ntoSell]]*TabCalc[[#This Row],[M]]</f>
        <v>113250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-11872.524930000005</v>
      </c>
      <c r="DD47" s="88">
        <f ca="1">IFERROR((TabCalc[[#This Row],[M]]+TabCalc[[#This Row],[L_Bp]])/ABS(TabCalc[[#This Row],[L_Bp]])/(TODAY()-TabCalc[[#This Row],[L_Bdate]])*360,"")</f>
        <v>3.372139135886517E-2</v>
      </c>
      <c r="DE47" s="308">
        <f ca="1">MEDIAN(DataShift!F747:Z747)</f>
        <v>2.5840000000000004E-3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26425</v>
      </c>
      <c r="DH47" s="85" cm="1">
        <f t="array" aca="1" ref="DH47" ca="1">SUMPRODUCT(ISNUMBER(INDIRECT("TabReg["&amp;TabCalc[[#This Row],[Ticker]]&amp;"2]"))* INDIRECT("TabReg["&amp;TabCalc[[#This Row],[Ticker]]&amp;"1]") * INDIRECT("TabReg["&amp;TabCalc[[#This Row],[Ticker]]&amp;"2]") )*TabCalc[[#This Row],[Scale]]</f>
        <v>-289182.19500000001</v>
      </c>
      <c r="DK47" s="85">
        <f ca="1"/>
        <v>151020</v>
      </c>
      <c r="DL47" s="88">
        <f t="shared" ca="1" si="3"/>
        <v>1.2215984877624306</v>
      </c>
      <c r="DM47" t="str">
        <f ca="1">_xlfn.XLOOKUP(DK47,TabCalc[Column1],TabCalc[Ticker])</f>
        <v>PAAS</v>
      </c>
      <c r="DN47" s="85">
        <f ca="1">_xlfn.XLOOKUP(DM47,TabCalc[Ticker],TabCalc[ValueBegin])</f>
        <v>-86880</v>
      </c>
      <c r="DO47" s="85">
        <f ca="1">_xlfn.XLOOKUP(DM47,TabCalc[Ticker],TabCalc[M_V])</f>
        <v>50204.081999999995</v>
      </c>
      <c r="DP47" s="85">
        <f ca="1">_xlfn.XLOOKUP(DM47,TabCalc[Ticker],TabCalc[GL])</f>
        <v>106132.47661679998</v>
      </c>
      <c r="DQ47" s="88"/>
      <c r="DR47" s="88"/>
      <c r="DS47" s="86" t="s">
        <v>43</v>
      </c>
      <c r="DT47" s="79">
        <v>2000</v>
      </c>
      <c r="DU47" s="313">
        <v>-100</v>
      </c>
      <c r="DW47" s="80">
        <v>88800</v>
      </c>
      <c r="DX47" s="80">
        <f ca="1">DW47-TabCalc[[#This Row],[M_V]]</f>
        <v>-24144.224999999991</v>
      </c>
    </row>
    <row r="48" spans="1:128">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52239.970220000003</v>
      </c>
      <c r="G48" s="80">
        <f ca="1">IFERROR(TabCalc[[#This Row],[SB]]-TabCalc[[#This Row],[SST]],TabCalc[[#This Row],[SB]])</f>
        <v>7235</v>
      </c>
      <c r="H48" s="530" t="str">
        <f ca="1">[1]!RTData[[#This Row],[Ticker_Symbol]]</f>
        <v>UNIT</v>
      </c>
      <c r="I48" s="381">
        <f ca="1">_xlfn.XLOOKUP(TabCalc[[#This Row],[Ticker]],[1]!RTData[Ticker_Symbol],[1]!RTData[M-Price])</f>
        <v>7.24</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7.2592999999999991E-2</v>
      </c>
      <c r="N48" s="1041" t="s">
        <v>2951</v>
      </c>
      <c r="O48" s="886" t="e">
        <f>TabCalc[[#This Row],[Up20]]-1+TabCalc[[#This Row],[Up20]]</f>
        <v>#VALUE!</v>
      </c>
      <c r="P48" s="886" t="e">
        <f>TabCalc[[#This Row],[Up20]]-TabCalc[[#This Row],[Up150]]</f>
        <v>#VALUE!</v>
      </c>
      <c r="Q48" s="886" t="s">
        <v>2952</v>
      </c>
      <c r="R48" s="886" t="e">
        <f>TabCalc[[#This Row],[Up150]]-1+TabCalc[[#This Row],[Up150]]</f>
        <v>#VALUE!</v>
      </c>
      <c r="S48" s="886">
        <f ca="1">IFERROR(SUMPRODUCT(DataShift!F1540:Z1540,DataShift!AB747:AV747)/SQRT(SUMPRODUCT(DataShift!F1540:Z1540,DataShift!F1540:Z1540)*SUMPRODUCT(DataShift!AB747:AV747,DataShift!AB747:AV747)),0)</f>
        <v>-0.7154643153583562</v>
      </c>
      <c r="T48" s="886">
        <f ca="1">IFERROR(SUMPRODUCT(DataShift!F1540:Z1540,DataShift!F748:Z748)/SQRT(SUMPRODUCT(DataShift!F1540:Z1540,DataShift!F1540:Z1540)*SUMPRODUCT(DataShift!F748:Z748,DataShift!F748:Z748)),0)</f>
        <v>-0.11304519841859442</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-384,212 = $ -2,781,695</v>
      </c>
      <c r="Z48" s="209">
        <f ca="1">INT(MIN(TabCalc[[#This Row],[L_Bn]],TabCalc[[#This Row],[NAfter]])*(TabCalc[[#This Row],[M]]+TabCalc[[#This Row],[L_Bp]])*Comm_Net*TabCalc[[#This Row],[Scale]])</f>
        <v>-14864</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47">
        <f ca="1">(TabCalc[[#This Row],[M]]+TabCalc[[#This Row],[L_Bp]])/TabCalc[[#This Row],[M]]</f>
        <v>-0.28453038674033154</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3328.0999999999985</v>
      </c>
      <c r="AR48" s="332">
        <f ca="1">_xlfn.LET(_xlpm.MVToday,DataShift!AV548,         _xlpm.MVY,DataShift!AU549,        _xlpm.MVYY, DataShift!AT549,                                IF(_xlpm.MVToday=_xlpm.MVY,_xlpm.MVY-_xlpm.MVYY,_xlpm.MVToday-_xlpm.MVY))</f>
        <v>1255490.997</v>
      </c>
      <c r="AS48" s="332">
        <f ca="1">_xlfn.LET(_xlpm.MVToday,DataShift!AV548,         _xlpm.MVY,DataShift!AU549,        _xlpm.MVYY, DataShift!AT549,         _xlpm.MVYYY, DataShift!AS549,                      IF(_xlpm.MVToday=_xlpm.MVY,      _xlpm.MVYY-_xlpm.MVYYY,          _xlpm.MVY-_xlpm.MVYY))</f>
        <v>-897.56999999999243</v>
      </c>
      <c r="AT48" s="969">
        <f ca="1">TabCalc[[#This Row],[Y]]/TabCalc[[#This Row],[M]]</f>
        <v>0.99447513812154698</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1.2277470841006786E-6</v>
      </c>
      <c r="AZ48" s="80">
        <f t="shared" ca="1" si="5"/>
        <v>0</v>
      </c>
      <c r="BA48" s="88">
        <f ca="1">_xlfn.XLOOKUP(TabCalc[[#This Row],[Ticker]],[1]!RTData[Ticker_Symbol],[1]!RTData[V/VA])</f>
        <v>1.8710369154732505</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1.8710369154732505</v>
      </c>
      <c r="BD48" s="85" cm="1">
        <f t="array" aca="1" ref="BD48" ca="1">INDEX(TabReg[], 1, _xlfn.XMATCH(TabCalc[[#This Row],[Ticker]]&amp;1, TabReg[#Headers], 0))</f>
        <v>7235</v>
      </c>
      <c r="BE48" s="157">
        <f ca="1">TabCalc[[#This Row],[Nbegin]]*TabCalc[[#This Row],[M]]*TabCalc[[#This Row],[Scale]]+TabCalc[[#This Row],[ValueBegin]]</f>
        <v>-46160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-8400.0297799999971</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-15356.296002571995</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46002.876015057809</v>
      </c>
      <c r="BU48" s="173">
        <f ca="1">(TabCalc[[#This Row],[ValueBegin]]+(TabCalc[[#This Row],[M]]-TabCalc[[#This Row],[A]])*TabCalc[[#This Row],[NAfter]])*TabCalc[[#This Row],[Scale]]</f>
        <v>-75719.042300000001</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-15079.042299999999</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-15079.042299999999</v>
      </c>
      <c r="DD48" s="88">
        <f ca="1">IFERROR((TabCalc[[#This Row],[M]]+TabCalc[[#This Row],[L_Bp]])/ABS(TabCalc[[#This Row],[L_Bp]])/(TODAY()-TabCalc[[#This Row],[L_Bdate]])*360,"")</f>
        <v>-0.6229838709677421</v>
      </c>
      <c r="DE48" s="308">
        <f ca="1">MEDIAN(DataShift!F748:Z748)</f>
        <v>2.9499999999999999E-3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14480</v>
      </c>
      <c r="DH48" s="85" cm="1">
        <f t="array" aca="1" ref="DH48" ca="1">SUMPRODUCT(ISNUMBER(INDIRECT("TabReg["&amp;TabCalc[[#This Row],[Ticker]]&amp;"2]"))* INDIRECT("TabReg["&amp;TabCalc[[#This Row],[Ticker]]&amp;"1]") * INDIRECT("TabReg["&amp;TabCalc[[#This Row],[Ticker]]&amp;"2]") )*TabCalc[[#This Row],[Scale]]</f>
        <v>-67285.5</v>
      </c>
      <c r="DK48" s="85">
        <f ca="1"/>
        <v>150544</v>
      </c>
      <c r="DL48" s="88">
        <f t="shared" ca="1" si="3"/>
        <v>2.0046242862697423</v>
      </c>
      <c r="DM48" t="str">
        <f ca="1">_xlfn.XLOOKUP(DK48,TabCalc[Column1],TabCalc[Ticker])</f>
        <v>SAFASML</v>
      </c>
      <c r="DN48" s="85">
        <f ca="1">_xlfn.XLOOKUP(DM48,TabCalc[Ticker],TabCalc[ValueBegin])</f>
        <v>-99686.399999999994</v>
      </c>
      <c r="DO48" s="85">
        <f ca="1">_xlfn.XLOOKUP(DM48,TabCalc[Ticker],TabCalc[M_V])</f>
        <v>0</v>
      </c>
      <c r="DP48" s="85">
        <f ca="1">_xlfn.XLOOKUP(DM48,TabCalc[Ticker],TabCalc[GL])</f>
        <v>199833.77845080002</v>
      </c>
      <c r="DQ48" s="88"/>
      <c r="DR48" s="88"/>
      <c r="DS48" s="86" t="s">
        <v>44</v>
      </c>
      <c r="DT48" s="79">
        <v>700</v>
      </c>
      <c r="DU48" s="313">
        <v>-263.42</v>
      </c>
      <c r="DW48" s="80">
        <v>43410</v>
      </c>
      <c r="DX48" s="80">
        <f ca="1">DW48-TabCalc[[#This Row],[M_V]]</f>
        <v>-8829.9702200000029</v>
      </c>
    </row>
    <row r="49" spans="1:128">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83092.044099999999</v>
      </c>
      <c r="G49" s="80">
        <f ca="1">IFERROR(TabCalc[[#This Row],[SB]]-TabCalc[[#This Row],[SST]],TabCalc[[#This Row],[SB]])</f>
        <v>2600</v>
      </c>
      <c r="H49" s="530" t="str">
        <f ca="1">[1]!RTData[[#This Row],[Ticker_Symbol]]</f>
        <v>VLVLY</v>
      </c>
      <c r="I49" s="381">
        <f ca="1">_xlfn.XLOOKUP(TabCalc[[#This Row],[Ticker]],[1]!RTData[Ticker_Symbol],[1]!RTData[M-Price])</f>
        <v>32.045000000000002</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2.1842999999999998E-2</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-0.73859799445289764</v>
      </c>
      <c r="T49" s="886">
        <f ca="1">IFERROR(SUMPRODUCT(DataShift!F1541:Z1541,DataShift!F749:Z749)/SQRT(SUMPRODUCT(DataShift!F1541:Z1541,DataShift!F1541:Z1541)*SUMPRODUCT(DataShift!F749:Z749,DataShift!F749:Z749)),0)</f>
        <v>-0.47665820315494667</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6051</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47">
        <f ca="1">(TabCalc[[#This Row],[M]]+TabCalc[[#This Row],[L_Bp]])/TabCalc[[#This Row],[M]]</f>
        <v>0.12622874083320335</v>
      </c>
      <c r="AE49" s="209">
        <f ca="1">IFERROR(MIN(TabCalc[[#This Row],[L_B1n]],TabCalc[[#This Row],[NAfter]])*(TabCalc[[#This Row],[M]]+TabCalc[[#This Row],[L_B1p]])*TabCalc[[#This Row],[Scale]],"")</f>
        <v>20527.000000000007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-210.00000000000085</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-982.50000000000171</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273</v>
      </c>
      <c r="AR49" s="332">
        <f ca="1">_xlfn.LET(_xlpm.MVToday,DataShift!AV549,         _xlpm.MVY,DataShift!AU550,        _xlpm.MVYY, DataShift!AT550,                                IF(_xlpm.MVToday=_xlpm.MVY,_xlpm.MVY-_xlpm.MVYY,_xlpm.MVToday-_xlpm.MVY))</f>
        <v>60704.254779999988</v>
      </c>
      <c r="AS49" s="332">
        <f ca="1">_xlfn.LET(_xlpm.MVToday,DataShift!AV549,         _xlpm.MVY,DataShift!AU550,        _xlpm.MVYY, DataShift!AT550,         _xlpm.MVYYY, DataShift!AS550,                      IF(_xlpm.MVToday=_xlpm.MVY,      _xlpm.MVYY-_xlpm.MVYYY,          _xlpm.MVY-_xlpm.MVYY))</f>
        <v>3535.5780950000044</v>
      </c>
      <c r="AT49" s="969">
        <f ca="1">TabCalc[[#This Row],[Y]]/TabCalc[[#This Row],[M]]</f>
        <v>1.0922140739584958</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-2.3006159975926668E-2</v>
      </c>
      <c r="AZ49" s="80">
        <f t="shared" ca="1" si="5"/>
        <v>7400</v>
      </c>
      <c r="BA49" s="88">
        <f ca="1">_xlfn.XLOOKUP(TabCalc[[#This Row],[Ticker]],[1]!RTData[Ticker_Symbol],[1]!RTData[V/VA])</f>
        <v>1.4284331856694336E-2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1.4284331856694336E-2</v>
      </c>
      <c r="BD49" s="85" cm="1">
        <f t="array" aca="1" ref="BD49" ca="1">INDEX(TabReg[], 1, _xlfn.XMATCH(TabCalc[[#This Row],[Ticker]]&amp;1, TabReg[#Headers], 0))</f>
        <v>10000</v>
      </c>
      <c r="BE49" s="157">
        <f ca="1">TabCalc[[#This Row],[Nbegin]]*TabCalc[[#This Row],[M]]*TabCalc[[#This Row],[Scale]]+TabCalc[[#This Row],[ValueBegin]]</f>
        <v>129150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-108207.9559</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107444.08614733999</v>
      </c>
      <c r="BN49" s="157">
        <f ca="1">IF(        OR( TabCalc[[#This Row],[GL]]&gt;ABS(TabCalc[[#This Row],[EfCost]]),TabCalc[[#This Row],[NAfter]]=0),             TabCalc[[#This Row],[GL]],     0)</f>
        <v>107444.08614733999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9" s="172" t="str">
        <f ca="1">IF(TabCalc[[#This Row],[EfCost]]+TabCalc[[#This Row],[M_V]]&lt;TabCalc[[#This Row],[NoT_GL]],"Pile","")</f>
        <v>Pile</v>
      </c>
      <c r="BT49" s="163">
        <f ca="1">_xlfn.XLOOKUP(TabCalc[[#This Row],[Ticker]],[1]!RTData[Ticker_Symbol],[1]!RTData[Last trade time])</f>
        <v>46002.864679490624</v>
      </c>
      <c r="BU49" s="173">
        <f ca="1">(TabCalc[[#This Row],[ValueBegin]]+(TabCalc[[#This Row],[M]]-TabCalc[[#This Row],[A]])*TabCalc[[#This Row],[NAfter]])*TabCalc[[#This Row],[Scale]]</f>
        <v>-176726.269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14573.731000000007</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1236.093943139678</v>
      </c>
      <c r="CZ49" s="403">
        <f ca="1">TabCalc[[#This Row],[ntoSell]]*TabCalc[[#This Row],[M]]</f>
        <v>39610.630407910983</v>
      </c>
      <c r="DA49" s="396">
        <f ca="1">_xlfn.LET(_xlpm.nToSell,IF(TabCalc[[#This Row],[M]]-TabCalc[[#This Row],[A]]&lt;=0,"",INT(DesiredSaleGain/(TabCalc[[#This Row],[M]]-IF(TabCalc[[#This Row],[E]]&gt;0,0,TabCalc[[#This Row],[A]])))),IF(_xlpm.nToSell&lt;=TabCalc[[#This Row],[NAfter]],_xlpm.nToSell,0))</f>
        <v>892</v>
      </c>
      <c r="DB49" s="334">
        <f ca="1">IFERROR(TabCalc[[#This Row],[NMA]]*TabCalc[[#This Row],[M]],"")</f>
        <v>28584.140000000003</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14573.731000000007</v>
      </c>
      <c r="DD49" s="88">
        <f ca="1">IFERROR((TabCalc[[#This Row],[M]]+TabCalc[[#This Row],[L_Bp]])/ABS(TabCalc[[#This Row],[L_Bp]])/(TODAY()-TabCalc[[#This Row],[L_Bdate]])*360,"")</f>
        <v>1.2094684385382064</v>
      </c>
      <c r="DE49" s="308">
        <f ca="1">MEDIAN(DataShift!F749:Z749)</f>
        <v>8.3890000000000006E-3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320450</v>
      </c>
      <c r="DH49" s="85" cm="1">
        <f t="array" aca="1" ref="DH49" ca="1">SUMPRODUCT(ISNUMBER(INDIRECT("TabReg["&amp;TabCalc[[#This Row],[Ticker]]&amp;"2]"))* INDIRECT("TabReg["&amp;TabCalc[[#This Row],[Ticker]]&amp;"1]") * INDIRECT("TabReg["&amp;TabCalc[[#This Row],[Ticker]]&amp;"2]") )*TabCalc[[#This Row],[Scale]]</f>
        <v>24504.369999999995</v>
      </c>
      <c r="DK49" s="85">
        <f ca="1"/>
        <v>139015</v>
      </c>
      <c r="DL49" s="88">
        <f t="shared" ca="1" si="3"/>
        <v>3.760063446406241</v>
      </c>
      <c r="DM49" t="str">
        <f ca="1">_xlfn.XLOOKUP(DK49,TabCalc[Column1],TabCalc[Ticker])</f>
        <v>SAFAAPL</v>
      </c>
      <c r="DN49" s="85">
        <f ca="1">_xlfn.XLOOKUP(DM49,TabCalc[Ticker],TabCalc[ValueBegin])</f>
        <v>-34423.60000000002</v>
      </c>
      <c r="DO49" s="85">
        <f ca="1">_xlfn.XLOOKUP(DM49,TabCalc[Ticker],TabCalc[M_V])</f>
        <v>97047.761649999986</v>
      </c>
      <c r="DP49" s="85">
        <f ca="1">_xlfn.XLOOKUP(DM49,TabCalc[Ticker],TabCalc[GL])</f>
        <v>129434.92005370995</v>
      </c>
      <c r="DQ49" s="88"/>
      <c r="DR49" s="88"/>
      <c r="DS49" s="86" t="s">
        <v>45</v>
      </c>
      <c r="DT49" s="79">
        <v>2000</v>
      </c>
      <c r="DU49" s="313">
        <v>-30.32</v>
      </c>
      <c r="DW49" s="80">
        <v>40230</v>
      </c>
      <c r="DX49" s="80">
        <f ca="1">DW49-TabCalc[[#This Row],[M_V]]</f>
        <v>-42862.044099999999</v>
      </c>
    </row>
    <row r="50" spans="1:128">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1005427.995</v>
      </c>
      <c r="G50" s="80">
        <f ca="1">IFERROR(TabCalc[[#This Row],[SB]]-TabCalc[[#This Row],[SST]],TabCalc[[#This Row],[SB]])</f>
        <v>16500</v>
      </c>
      <c r="H50" s="530" t="str">
        <f ca="1">[1]!RTData[[#This Row],[Ticker_Symbol]]</f>
        <v>VONN</v>
      </c>
      <c r="I50" s="381">
        <f ca="1">_xlfn.XLOOKUP(TabCalc[[#This Row],[Ticker]],[1]!RTData[Ticker_Symbol],[1]!RTData[M-Price])</f>
        <v>61.1</v>
      </c>
      <c r="J50" s="380">
        <v>59.356350545454546</v>
      </c>
      <c r="K50" s="379">
        <f ca="1">_xlfn.XLOOKUP(TabCalc[[#This Row],[Ticker]],[1]!RTData[Ticker_Symbol],[1]!RTData[1YT])</f>
        <v>62.666670000000003</v>
      </c>
      <c r="L50" s="380">
        <f ca="1">IF(OR(TabCalc[[#This Row],[NAfter]]=0,TabCalc[[#This Row],[EfCost]]&gt;0),0,TabCalc[[#This Row],[EfCost]]/TabCalc[[#This Row],[NAfter]]/TabCalc[[#This Row],[Scale]])</f>
        <v>-50.508903199636364</v>
      </c>
      <c r="M50" s="727">
        <f ca="1">_xlfn.XLOOKUP(TabCalc[[#This Row],[Ticker]],[1]!RTData[Ticker_Symbol],[1]!RTData[Change%])</f>
        <v>4.934E-3</v>
      </c>
      <c r="N50" s="1041">
        <v>0</v>
      </c>
      <c r="O50" s="886">
        <f>TabCalc[[#This Row],[Up20]]-1+TabCalc[[#This Row],[Up20]]</f>
        <v>-1</v>
      </c>
      <c r="P50" s="886">
        <f>TabCalc[[#This Row],[Up20]]-TabCalc[[#This Row],[Up150]]</f>
        <v>-0.1875</v>
      </c>
      <c r="Q50" s="886">
        <v>0.1875</v>
      </c>
      <c r="R50" s="886">
        <f>TabCalc[[#This Row],[Up150]]-1+TabCalc[[#This Row],[Up150]]</f>
        <v>-0.625</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16500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5285</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47">
        <f ca="1">(TabCalc[[#This Row],[M]]+TabCalc[[#This Row],[L_Bp]])/TabCalc[[#This Row],[M]]</f>
        <v>4.3371522094926326E-2</v>
      </c>
      <c r="AE50" s="209">
        <f ca="1">IFERROR(MIN(TabCalc[[#This Row],[L_B1n]],TabCalc[[#This Row],[NAfter]])*(TabCalc[[#This Row],[M]]+TabCalc[[#This Row],[L_B1p]])*TabCalc[[#This Row],[Scale]],"")</f>
        <v>4600.0000000000082</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706.99999999999568</v>
      </c>
      <c r="AJ50" s="206" cm="1">
        <f t="array" aca="1" ref="AJ50" ca="1">IFERROR(_xlfn.XLOOKUP(TabCalc[[#This Row],[L_Sp]],INDIRECT("TabReg["&amp;TabCalc[[#This Row],[Ticker]]&amp;"2]"),INDIRECT("TabReg["&amp;TabCalc[[#This Row],[Ticker]]&amp;"]")),0)</f>
        <v>45904</v>
      </c>
      <c r="AK50" s="177" cm="1">
        <f t="array" aca="1" ref="AK50" ca="1">IFERROR(_xlfn.XLOOKUP(TabCalc[[#This Row],[L_Sp]],INDIRECT("TabReg["&amp;TabCalc[[#This Row],[Ticker]]&amp;"2]"),INDIRECT("TabReg["&amp;TabCalc[[#This Row],[Ticker]]&amp;"1]")),0)</f>
        <v>1010</v>
      </c>
      <c r="AL50" s="188" cm="1">
        <f t="array" aca="1" ref="AL50" ca="1">IFERROR(INDEX(INDIRECT("TabReg["&amp;TabCalc[[#This Row],[Ticker]]&amp;"2]"), _xlfn.XMATCH(MAX(_xlfn._xlws.FILTER(INDIRECT("TabReg["&amp;TabCalc[[#This Row],[Ticker]]&amp;"]"), INDIRECT("TabReg["&amp;TabCalc[[#This Row],[Ticker]]&amp;"2]")&gt;0)), INDIRECT("TabReg["&amp;TabCalc[[#This Row],[Ticker]]&amp;"]"), 0)), 0)</f>
        <v>61.8</v>
      </c>
      <c r="AM50" s="210">
        <f ca="1">IFERROR(TabCalc[[#This Row],[L_S1n]]*(TabCalc[[#This Row],[L_S1p]]-TabCalc[[#This Row],[M]])*TabCalc[[#This Row],[Scale]],0)</f>
        <v>500</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45996</v>
      </c>
      <c r="AO50" s="177" cm="1">
        <f t="array" aca="1" ref="AO50" ca="1">IFERROR(_xlfn.XLOOKUP(TabCalc[[#This Row],[L_S1D]],INDIRECT("TabReg["&amp;TabCalc[[#This Row],[Ticker]]&amp;"]"),INDIRECT("TabReg["&amp;TabCalc[[#This Row],[Ticker]]&amp;"1]")),0)</f>
        <v>1000</v>
      </c>
      <c r="AP50" s="380" cm="1">
        <f t="array" aca="1" ref="AP50" ca="1">IFERROR(_xlfn.XLOOKUP(TabCalc[[#This Row],[L_S1D]],INDIRECT("TabReg["&amp;TabCalc[[#This Row],[Ticker]]&amp;"]"),INDIRECT("TabReg["&amp;TabCalc[[#This Row],[Ticker]]&amp;"2]")),0)</f>
        <v>61.6</v>
      </c>
      <c r="AQ50" s="332">
        <f ca="1">_xlfn.LET(_xlpm.MVOpen,[1]!RTData[[#This Row],[Open]]*TabCalc[[#This Row],[NAfter]],_xlpm.MVNow,TabCalc[[#This Row],[M]]*TabCalc[[#This Row],[NAfter]],_xlpm.MVNow-_xlpm.MVOpen)*TabCalc[[#This Row],[Scale]]</f>
        <v>3300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1.0256410801963993</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-3500</v>
      </c>
      <c r="AY50" s="303">
        <f ca="1">IFERROR((TabCalc[[#This Row],[M]]-TabCalc[[#This Row],[Y]])*(TabCalc[[#This Row],[M]]-TabCalc[[#This Row],[Y]])*(TabCalc[[#This Row],[M]]-TabCalc[[#This Row],[Y]])/(TabCalc[[#This Row],[Y]]*TabCalc[[#This Row],[M]]),"")</f>
        <v>-1.0042798611244155E-3</v>
      </c>
      <c r="AZ50" s="80">
        <f t="shared" ca="1" si="5"/>
        <v>3500</v>
      </c>
      <c r="BA50" s="88">
        <f ca="1">_xlfn.XLOOKUP(TabCalc[[#This Row],[Ticker]],[1]!RTData[Ticker_Symbol],[1]!RTData[V/VA])</f>
        <v>1.5685418415897006</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1.5685418415897006</v>
      </c>
      <c r="BD50" s="85" cm="1">
        <f t="array" aca="1" ref="BD50" ca="1">INDEX(TabReg[], 1, _xlfn.XMATCH(TabCalc[[#This Row],[Ticker]]&amp;1, TabReg[#Headers], 0))</f>
        <v>20000</v>
      </c>
      <c r="BE50" s="157">
        <f ca="1">TabCalc[[#This Row],[Nbegin]]*TabCalc[[#This Row],[M]]*TabCalc[[#This Row],[Scale]]+TabCalc[[#This Row],[ValueBegin]]</f>
        <v>95963.709999999963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-120608.29500000004</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3257032.7399399998</v>
      </c>
      <c r="BL50" s="157" cm="1">
        <f t="array" aca="1" ref="BL50" ca="1">SUMPRODUCT(ISNUMBER(INDIRECT("TabReg["&amp;TabCalc[[#This Row],[Ticker]]&amp;"2]"))* INDIRECT("TabReg["&amp;TabCalc[[#This Row],[Ticker]]&amp;"1]") * INDIRECT("TabReg["&amp;TabCalc[[#This Row],[Ticker]]&amp;"2]"))*TabCalc[[#This Row],[Scale]]*(1+Commission)</f>
        <v>-833396.90279399999</v>
      </c>
      <c r="BM50" s="157">
        <f ca="1">TabCalc[[#This Row],[M_V]]*(1-Commission)+TabCalc[[#This Row],[EfCost]]</f>
        <v>169416.97941899998</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55500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83.86</v>
      </c>
      <c r="BS50" s="172" t="str">
        <f ca="1">IF(TabCalc[[#This Row],[EfCost]]+TabCalc[[#This Row],[M_V]]&lt;TabCalc[[#This Row],[NoT_GL]],"Pile","")</f>
        <v/>
      </c>
      <c r="BT50" s="163">
        <f ca="1">_xlfn.XLOOKUP(TabCalc[[#This Row],[Ticker]],[1]!RTData[Ticker_Symbol],[1]!RTData[Last trade time])</f>
        <v>46002.792962962965</v>
      </c>
      <c r="BU50" s="173">
        <f ca="1">(TabCalc[[#This Row],[ValueBegin]]+(TabCalc[[#This Row],[M]]-TabCalc[[#This Row],[A]])*TabCalc[[#This Row],[NAfter]])*TabCalc[[#This Row],[Scale]]</f>
        <v>-1097266.074</v>
      </c>
      <c r="BV50" s="185" cm="1">
        <f t="array" aca="1" ref="BV50" ca="1">_xlfn.XLOOKUP(TabCalc[[#This Row],[Ticker]],TabReg[[#Headers],[AAPL]:[UnknownX28]],Reg!B$72:KF$72)+3</f>
        <v>53</v>
      </c>
      <c r="BW50" s="186" cm="1">
        <f t="array" aca="1" ref="BW50" ca="1">_xlfn.XLOOKUP(TabCalc[[#This Row],[Ticker]],TabReg[[#Headers],[AAPL]:[UnknownX28]],Reg!B$73:KF$73)+2</f>
        <v>147</v>
      </c>
      <c r="BX50" s="187">
        <f ca="1">IFERROR(MAX(TabCalc[[#This Row],[Max_SD]],TabCalc[[#This Row],[Max_PD]]),0)</f>
        <v>46000</v>
      </c>
      <c r="BY50" s="187" t="str" cm="1">
        <f t="array" aca="1" ref="BY50" ca="1">_xlfn.LET(_xlpm.lastTy,TabCalc[[#This Row],[L_TP]],_xlfn.IFS(_xlpm.lastTy&lt;0,"Purchase",_xlpm.lastTy&gt;0,"Sale"))</f>
        <v>Sale</v>
      </c>
      <c r="BZ50" s="186" cm="1">
        <f t="array" aca="1" ref="BZ50" ca="1">INDEX(Reg!$A$1:$KF$73,TabCalc[[#This Row],[L_I1]],TabCalc[[#This Row],[L_I2]])</f>
        <v>500</v>
      </c>
      <c r="CA50" s="188" cm="1">
        <f t="array" aca="1" ref="CA50" ca="1">INDEX(Reg!$A$1:$KF$73,TabCalc[[#This Row],[L_I1]],TabCalc[[#This Row],[L_I2]]+1)</f>
        <v>61.8</v>
      </c>
      <c r="CB50" s="157">
        <f ca="1">TabCalc[[#This Row],[NAfter]]*(TabCalc[[#This Row],[M]]-IF(TabCalc[[#This Row],[E]]&gt;0,0,TabCalc[[#This Row],[A]]))</f>
        <v>28770.216000000008</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46000</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7142.8571428571868</v>
      </c>
      <c r="CX50" s="402">
        <f ca="1">IF(TabCalc[[#This Row],[ntoBuy]]*TabCalc[[#This Row],[M]]&lt;=0,0,TabCalc[[#This Row],[ntoBuy]]*TabCalc[[#This Row],[M]])</f>
        <v>436428.5714285741</v>
      </c>
      <c r="CY50" s="402">
        <f ca="1">IF(TabCalc[[#This Row],[M]]&gt;ABS(TabCalc[[#This Row],[L_Bp]]),MIN(TabCalc[[#This Row],[NAfter]],DesiredSaleGain/(TabCalc[[#This Row],[M]]+TabCalc[[#This Row],[L_Bp]])),0)/TabCalc[[#This Row],[Scale]]</f>
        <v>1886.7924528301896</v>
      </c>
      <c r="CZ50" s="403">
        <f ca="1">TabCalc[[#This Row],[ntoSell]]*TabCalc[[#This Row],[M]]</f>
        <v>115283.01886792459</v>
      </c>
      <c r="DA50" s="396">
        <f ca="1">_xlfn.LET(_xlpm.nToSell,IF(TabCalc[[#This Row],[M]]-TabCalc[[#This Row],[A]]&lt;=0,"",INT(DesiredSaleGain/(TabCalc[[#This Row],[M]]-IF(TabCalc[[#This Row],[E]]&gt;0,0,TabCalc[[#This Row],[A]])))),IF(_xlpm.nToSell&lt;=TabCalc[[#This Row],[NAfter]],_xlpm.nToSell,0))</f>
        <v>2867</v>
      </c>
      <c r="DB50" s="334">
        <f ca="1">IFERROR(TabCalc[[#This Row],[NMA]]*TabCalc[[#This Row],[M]],"")</f>
        <v>175173.7</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28770.216000000008</v>
      </c>
      <c r="DD50" s="88">
        <f ca="1">IFERROR((TabCalc[[#This Row],[M]]+TabCalc[[#This Row],[L_Bp]])/ABS(TabCalc[[#This Row],[L_Bp]])/(TODAY()-TabCalc[[#This Row],[L_Bdate]])*360,"")</f>
        <v>0.48004830674784854</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1222000</v>
      </c>
      <c r="DH50" s="85" cm="1">
        <f t="array" aca="1" ref="DH50" ca="1">SUMPRODUCT(ISNUMBER(INDIRECT("TabReg["&amp;TabCalc[[#This Row],[Ticker]]&amp;"2]"))* INDIRECT("TabReg["&amp;TabCalc[[#This Row],[Ticker]]&amp;"1]") * INDIRECT("TabReg["&amp;TabCalc[[#This Row],[Ticker]]&amp;"2]") )*TabCalc[[#This Row],[Scale]]</f>
        <v>-831235.69000000006</v>
      </c>
      <c r="DK50" s="85">
        <f ca="1"/>
        <v>122040</v>
      </c>
      <c r="DL50" s="88">
        <f t="shared" ca="1" si="3"/>
        <v>0.4267563293150029</v>
      </c>
      <c r="DM50" t="str">
        <f ca="1">_xlfn.XLOOKUP(DK50,TabCalc[Column1],TabCalc[Ticker])</f>
        <v>ADEA</v>
      </c>
      <c r="DN50" s="85">
        <f ca="1">_xlfn.XLOOKUP(DM50,TabCalc[Ticker],TabCalc[ValueBegin])</f>
        <v>-88529.004000000001</v>
      </c>
      <c r="DO50" s="85">
        <f ca="1">_xlfn.XLOOKUP(DM50,TabCalc[Ticker],TabCalc[M_V])</f>
        <v>67616.94</v>
      </c>
      <c r="DP50" s="85">
        <f ca="1">_xlfn.XLOOKUP(DM50,TabCalc[Ticker],TabCalc[GL])</f>
        <v>37780.31278495321</v>
      </c>
      <c r="DQ50" s="88"/>
      <c r="DR50" s="88"/>
      <c r="DS50" s="86" t="s">
        <v>46</v>
      </c>
      <c r="DT50" s="79">
        <v>190</v>
      </c>
      <c r="DU50" s="313">
        <v>-109.65132</v>
      </c>
      <c r="DW50" s="80">
        <v>949152.6</v>
      </c>
      <c r="DX50" s="80">
        <f ca="1">DW50-TabCalc[[#This Row],[M_V]]</f>
        <v>-56275.395000000019</v>
      </c>
    </row>
    <row r="51" spans="1:128">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57793.534999999996</v>
      </c>
      <c r="G51" s="80">
        <f ca="1">IFERROR(TabCalc[[#This Row],[SB]]-TabCalc[[#This Row],[SST]],TabCalc[[#This Row],[SB]])</f>
        <v>5000</v>
      </c>
      <c r="H51" s="530" t="str">
        <f ca="1">[1]!RTData[[#This Row],[Ticker_Symbol]]</f>
        <v>VTRS</v>
      </c>
      <c r="I51" s="381">
        <f ca="1">_xlfn.XLOOKUP(TabCalc[[#This Row],[Ticker]],[1]!RTData[Ticker_Symbol],[1]!RTData[M-Price])</f>
        <v>11.59</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-8.6209999999999998E-4</v>
      </c>
      <c r="N51" s="1041">
        <v>0</v>
      </c>
      <c r="O51" s="886">
        <f>TabCalc[[#This Row],[Up20]]-1+TabCalc[[#This Row],[Up20]]</f>
        <v>-1</v>
      </c>
      <c r="P51" s="886">
        <f>TabCalc[[#This Row],[Up20]]-TabCalc[[#This Row],[Up150]]</f>
        <v>-0.69565217391304346</v>
      </c>
      <c r="Q51" s="886">
        <v>0.69565217391304346</v>
      </c>
      <c r="R51" s="886">
        <f>TabCalc[[#This Row],[Up150]]-1+TabCalc[[#This Row],[Up150]]</f>
        <v>0.39130434782608692</v>
      </c>
      <c r="S51" s="886">
        <f ca="1">IFERROR(SUMPRODUCT(DataShift!F1543:Z1543,DataShift!AB750:AV750)/SQRT(SUMPRODUCT(DataShift!F1543:Z1543,DataShift!F1543:Z1543)*SUMPRODUCT(DataShift!AB750:AV750,DataShift!AB750:AV750)),0)</f>
        <v>-0.27953514388115691</v>
      </c>
      <c r="T51" s="886">
        <f ca="1">IFERROR(SUMPRODUCT(DataShift!F1543:Z1543,DataShift!F750:Z750)/SQRT(SUMPRODUCT(DataShift!F1543:Z1543,DataShift!F1543:Z1543)*SUMPRODUCT(DataShift!F750:Z750,DataShift!F750:Z750)),0)</f>
        <v>-0.38346814419534542</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10621</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47">
        <f ca="1">(TabCalc[[#This Row],[M]]+TabCalc[[#This Row],[L_Bp]])/TabCalc[[#This Row],[M]]</f>
        <v>0.1837791199309749</v>
      </c>
      <c r="AE51" s="209">
        <f ca="1">IFERROR(MIN(TabCalc[[#This Row],[L_B1n]],TabCalc[[#This Row],[NAfter]])*(TabCalc[[#This Row],[M]]+TabCalc[[#This Row],[L_B1p]])*TabCalc[[#This Row],[Scale]],"")</f>
        <v>16799.999999999996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-7599.9999999999982</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-5049.9999999999991</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-50</v>
      </c>
      <c r="AR51" s="332">
        <f ca="1">_xlfn.LET(_xlpm.MVToday,DataShift!AV551,         _xlpm.MVY,DataShift!AU551,        _xlpm.MVYY, DataShift!AT551,                                IF(_xlpm.MVToday=_xlpm.MVY,_xlpm.MVY-_xlpm.MVYY,_xlpm.MVToday-_xlpm.MVY))</f>
        <v>1776.1913000000059</v>
      </c>
      <c r="AS51" s="332">
        <f ca="1">_xlfn.LET(_xlpm.MVToday,DataShift!AV551,         _xlpm.MVY,DataShift!AU551,        _xlpm.MVYY, DataShift!AT551,         _xlpm.MVYYY, DataShift!AS551,                      IF(_xlpm.MVToday=_xlpm.MVY,      _xlpm.MVYY-_xlpm.MVYYY,          _xlpm.MVY-_xlpm.MVYY))</f>
        <v>1161.6550399999978</v>
      </c>
      <c r="AT51" s="969">
        <f ca="1">TabCalc[[#This Row],[Y]]/TabCalc[[#This Row],[M]]</f>
        <v>1.046160483175151</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-1.0896729316954724E-3</v>
      </c>
      <c r="AZ51" s="80">
        <f t="shared" ca="1" si="5"/>
        <v>0</v>
      </c>
      <c r="BA51" s="88">
        <f ca="1">_xlfn.XLOOKUP(TabCalc[[#This Row],[Ticker]],[1]!RTData[Ticker_Symbol],[1]!RTData[V/VA])</f>
        <v>0.70274789932397963</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0.70274789932397963</v>
      </c>
      <c r="BD51" s="85" cm="1">
        <f t="array" aca="1" ref="BD51" ca="1">INDEX(TabReg[], 1, _xlfn.XMATCH(TabCalc[[#This Row],[Ticker]]&amp;1, TabReg[#Headers], 0))</f>
        <v>5000</v>
      </c>
      <c r="BE51" s="157">
        <f ca="1">TabCalc[[#This Row],[Nbegin]]*TabCalc[[#This Row],[M]]*TabCalc[[#This Row],[Scale]]+TabCalc[[#This Row],[ValueBegin]]</f>
        <v>-93493.949999999983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-93650.414999999979</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-75746.592460999935</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46002.876094640626</v>
      </c>
      <c r="BU51" s="173">
        <f ca="1">(TabCalc[[#This Row],[ValueBegin]]+(TabCalc[[#This Row],[M]]-TabCalc[[#This Row],[A]])*TabCalc[[#This Row],[NAfter]])*TabCalc[[#This Row],[Scale]]</f>
        <v>-140916.93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10527.02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2347.4178403755877</v>
      </c>
      <c r="CZ51" s="403">
        <f ca="1">TabCalc[[#This Row],[ntoSell]]*TabCalc[[#This Row],[M]]</f>
        <v>27206.572769953062</v>
      </c>
      <c r="DA51" s="396">
        <f ca="1">_xlfn.LET(_xlpm.nToSell,IF(TabCalc[[#This Row],[M]]-TabCalc[[#This Row],[A]]&lt;=0,"",INT(DesiredSaleGain/(TabCalc[[#This Row],[M]]-IF(TabCalc[[#This Row],[E]]&gt;0,0,TabCalc[[#This Row],[A]])))),IF(_xlpm.nToSell&lt;=TabCalc[[#This Row],[NAfter]],_xlpm.nToSell,0))</f>
        <v>2374</v>
      </c>
      <c r="DB51" s="334">
        <f ca="1">IFERROR(TabCalc[[#This Row],[NMA]]*TabCalc[[#This Row],[M]],"")</f>
        <v>27514.66</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10527.02</v>
      </c>
      <c r="DD51" s="88">
        <f ca="1">IFERROR((TabCalc[[#This Row],[M]]+TabCalc[[#This Row],[L_Bp]])/ABS(TabCalc[[#This Row],[L_Bp]])/(TODAY()-TabCalc[[#This Row],[L_Bdate]])*360,"")</f>
        <v>1.052689382499107</v>
      </c>
      <c r="DE51" s="308">
        <f ca="1">MEDIAN(DataShift!F750:Z750)</f>
        <v>5.372E-3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57950</v>
      </c>
      <c r="DH51" s="85" cm="1">
        <f t="array" aca="1" ref="DH51" ca="1">SUMPRODUCT(ISNUMBER(INDIRECT("TabReg["&amp;TabCalc[[#This Row],[Ticker]]&amp;"2]"))* INDIRECT("TabReg["&amp;TabCalc[[#This Row],[Ticker]]&amp;"1]") * INDIRECT("TabReg["&amp;TabCalc[[#This Row],[Ticker]]&amp;"2]") )*TabCalc[[#This Row],[Scale]]</f>
        <v>-133043.94999999995</v>
      </c>
      <c r="DK51" s="85">
        <f ca="1"/>
        <v>120345</v>
      </c>
      <c r="DL51" s="88">
        <f t="shared" ca="1" si="3"/>
        <v>0.47206965517032334</v>
      </c>
      <c r="DM51" t="str">
        <f ca="1">_xlfn.XLOOKUP(DK51,TabCalc[Column1],TabCalc[Ticker])</f>
        <v>DVA</v>
      </c>
      <c r="DN51" s="85">
        <f ca="1">_xlfn.XLOOKUP(DM51,TabCalc[Ticker],TabCalc[ValueBegin])</f>
        <v>-80200</v>
      </c>
      <c r="DO51" s="85">
        <f ca="1">_xlfn.XLOOKUP(DM51,TabCalc[Ticker],TabCalc[M_V])</f>
        <v>168028.09589999999</v>
      </c>
      <c r="DP51" s="85">
        <f ca="1">_xlfn.XLOOKUP(DM51,TabCalc[Ticker],TabCalc[GL])</f>
        <v>37859.986344659934</v>
      </c>
      <c r="DQ51" s="88"/>
      <c r="DR51" s="88"/>
      <c r="DS51" s="86" t="s">
        <v>47</v>
      </c>
      <c r="DT51" s="79">
        <v>10000</v>
      </c>
      <c r="DU51" s="313">
        <v>-19.13</v>
      </c>
      <c r="DW51" s="80">
        <v>52450</v>
      </c>
      <c r="DX51" s="80">
        <f ca="1">DW51-TabCalc[[#This Row],[M_V]]</f>
        <v>-5343.5349999999962</v>
      </c>
    </row>
    <row r="52" spans="1:128">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-0.80508301785829994</v>
      </c>
      <c r="T52" s="886">
        <f ca="1">IFERROR(SUMPRODUCT(DataShift!F1544:Z1544,DataShift!F751:Z751)/SQRT(SUMPRODUCT(DataShift!F1544:Z1544,DataShift!F1544:Z1544)*SUMPRODUCT(DataShift!F751:Z751,DataShift!F751:Z751)),0)</f>
        <v>-3.4989864088255662E-2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47">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4936.6350000000093</v>
      </c>
      <c r="AS52" s="332">
        <f ca="1">_xlfn.LET(_xlpm.MVToday,DataShift!AV552,         _xlpm.MVY,DataShift!AU552,        _xlpm.MVYY, DataShift!AT552,         _xlpm.MVYYY, DataShift!AS552,                      IF(_xlpm.MVToday=_xlpm.MVY,      _xlpm.MVYY-_xlpm.MVYYY,          _xlpm.MVY-_xlpm.MVYY))</f>
        <v>-8227.7249999999767</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0.2230909578895145</v>
      </c>
      <c r="DE52" s="308">
        <f ca="1">MEDIAN(DataShift!F751:Z751)</f>
        <v>1.65E-3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116099.2</v>
      </c>
      <c r="DL52" s="88">
        <f t="shared" ca="1" si="3"/>
        <v>0.34471645492269559</v>
      </c>
      <c r="DM52" t="str">
        <f ca="1">_xlfn.XLOOKUP(DK52,TabCalc[Column1],TabCalc[Ticker])</f>
        <v>ENI</v>
      </c>
      <c r="DN52" s="85">
        <f ca="1">_xlfn.XLOOKUP(DM52,TabCalc[Ticker],TabCalc[ValueBegin])</f>
        <v>-99864</v>
      </c>
      <c r="DO52" s="85">
        <f ca="1">_xlfn.XLOOKUP(DM52,TabCalc[Ticker],TabCalc[M_V])</f>
        <v>158610.592</v>
      </c>
      <c r="DP52" s="85">
        <f ca="1">_xlfn.XLOOKUP(DM52,TabCalc[Ticker],TabCalc[GL])</f>
        <v>34424.764054400075</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59613.607499999998</v>
      </c>
      <c r="G53" s="80">
        <f ca="1">IFERROR(TabCalc[[#This Row],[SB]]-TabCalc[[#This Row],[SST]],TabCalc[[#This Row],[SB]])</f>
        <v>500</v>
      </c>
      <c r="H53" s="530" t="str">
        <f ca="1">[1]!RTData[[#This Row],[Ticker_Symbol]]</f>
        <v>XOM</v>
      </c>
      <c r="I53" s="381">
        <f ca="1">_xlfn.XLOOKUP(TabCalc[[#This Row],[Ticker]],[1]!RTData[Ticker_Symbol],[1]!RTData[M-Price])</f>
        <v>119.55</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8.3649999999999987E-5</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v>
      </c>
      <c r="T53" s="886">
        <f ca="1">IFERROR(SUMPRODUCT(DataShift!F1545:Z1545,DataShift!F752:Z752)/SQRT(SUMPRODUCT(DataShift!F1545:Z1545,DataShift!F1545:Z1545)*SUMPRODUCT(DataShift!F752:Z752,DataShift!F752:Z752)),0)</f>
        <v>0</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616</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47">
        <f ca="1">(TabCalc[[#This Row],[M]]+TabCalc[[#This Row],[L_Bp]])/TabCalc[[#This Row],[M]]</f>
        <v>1.7231283981597678E-2</v>
      </c>
      <c r="AE53" s="209">
        <f ca="1">IFERROR(MIN(TabCalc[[#This Row],[L_B1n]],TabCalc[[#This Row],[NAfter]])*(TabCalc[[#This Row],[M]]+TabCalc[[#This Row],[L_B1p]])*TabCalc[[#This Row],[Scale]],"")</f>
        <v>6729.9999999999973</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-21923.999999999985</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-9756.0000000000036</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150</v>
      </c>
      <c r="AR53" s="332">
        <f ca="1">_xlfn.LET(_xlpm.MVToday,DataShift!AV553,         _xlpm.MVY,DataShift!AU553,        _xlpm.MVYY, DataShift!AT553,                                IF(_xlpm.MVToday=_xlpm.MVY,_xlpm.MVY-_xlpm.MVYY,_xlpm.MVToday-_xlpm.MVY))</f>
        <v>-49.865000000005239</v>
      </c>
      <c r="AS53" s="332">
        <f ca="1">_xlfn.LET(_xlpm.MVToday,DataShift!AV553,         _xlpm.MVY,DataShift!AU553,        _xlpm.MVYY, DataShift!AT553,         _xlpm.MVYYY, DataShift!AS553,                      IF(_xlpm.MVToday=_xlpm.MVY,      _xlpm.MVYY-_xlpm.MVYYY,          _xlpm.MVY-_xlpm.MVYY))</f>
        <v>1820.072500000002</v>
      </c>
      <c r="AT53" s="969">
        <f ca="1">TabCalc[[#This Row],[Y]]/TabCalc[[#This Row],[M]]</f>
        <v>1.0783772480133835</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-5.3376352824280264E-2</v>
      </c>
      <c r="AZ53" s="80">
        <f t="shared" ca="1" si="5"/>
        <v>0</v>
      </c>
      <c r="BA53" s="88">
        <f ca="1">_xlfn.XLOOKUP(TabCalc[[#This Row],[Ticker]],[1]!RTData[Ticker_Symbol],[1]!RTData[V/VA])</f>
        <v>0.89778480211282241</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0.89778480211282241</v>
      </c>
      <c r="BD53" s="85" cm="1">
        <f t="array" aca="1" ref="BD53" ca="1">INDEX(TabReg[], 1, _xlfn.XMATCH(TabCalc[[#This Row],[Ticker]]&amp;1, TabReg[#Headers], 0))</f>
        <v>200</v>
      </c>
      <c r="BE53" s="157">
        <f ca="1">TabCalc[[#This Row],[Nbegin]]*TabCalc[[#This Row],[M]]*TabCalc[[#This Row],[Scale]]+TabCalc[[#This Row],[ValueBegin]]</f>
        <v>4008</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39711.607499999998</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11062.207780500001</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46002.876033992972</v>
      </c>
      <c r="BU53" s="173">
        <f ca="1">(TabCalc[[#This Row],[ValueBegin]]+(TabCalc[[#This Row],[M]]-TabCalc[[#This Row],[A]])*TabCalc[[#This Row],[NAfter]])*TabCalc[[#This Row],[Scale]]</f>
        <v>-16738.808999999994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3163.1910000000048</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500</v>
      </c>
      <c r="CZ53" s="403">
        <f ca="1">TabCalc[[#This Row],[ntoSell]]*TabCalc[[#This Row],[M]]</f>
        <v>59775</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3163.1910000000048</v>
      </c>
      <c r="DD53" s="88">
        <f ca="1">IFERROR((TabCalc[[#This Row],[M]]+TabCalc[[#This Row],[L_Bp]])/ABS(TabCalc[[#This Row],[L_Bp]])/(TODAY()-TabCalc[[#This Row],[L_Bdate]])*360,"")</f>
        <v>8.3052980992783354E-2</v>
      </c>
      <c r="DE53" s="308">
        <f ca="1">MEDIAN(DataShift!F752:Z752)</f>
        <v>4.6990000000000001E-3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23910</v>
      </c>
      <c r="DH53" s="85" cm="1">
        <f t="array" aca="1" ref="DH53" ca="1">SUMPRODUCT(ISNUMBER(INDIRECT("TabReg["&amp;TabCalc[[#This Row],[Ticker]]&amp;"2]"))* INDIRECT("TabReg["&amp;TabCalc[[#This Row],[Ticker]]&amp;"1]") * INDIRECT("TabReg["&amp;TabCalc[[#This Row],[Ticker]]&amp;"2]") )*TabCalc[[#This Row],[Scale]]</f>
        <v>-48270.899999999994</v>
      </c>
      <c r="DK53" s="85">
        <f ca="1"/>
        <v>113534.99999999999</v>
      </c>
      <c r="DL53" s="88">
        <f t="shared" ca="1" si="3"/>
        <v>1.5851306343022316</v>
      </c>
      <c r="DM53" t="str">
        <f ca="1">_xlfn.XLOOKUP(DK53,TabCalc[Column1],TabCalc[Ticker])</f>
        <v>RIGL</v>
      </c>
      <c r="DN53" s="85">
        <f ca="1">_xlfn.XLOOKUP(DM53,TabCalc[Ticker],TabCalc[ValueBegin])</f>
        <v>-99689.529999999868</v>
      </c>
      <c r="DO53" s="85">
        <f ca="1">_xlfn.XLOOKUP(DM53,TabCalc[Ticker],TabCalc[M_V])</f>
        <v>41.936464999999998</v>
      </c>
      <c r="DP53" s="85">
        <f ca="1">_xlfn.XLOOKUP(DM53,TabCalc[Ticker],TabCalc[GL])</f>
        <v>158020.92792219113</v>
      </c>
      <c r="DQ53" s="88"/>
      <c r="DR53" s="88"/>
      <c r="DS53" s="86" t="s">
        <v>49</v>
      </c>
      <c r="DT53" s="79">
        <v>5000</v>
      </c>
      <c r="DU53" s="313">
        <v>-30.288789999999999</v>
      </c>
      <c r="DW53" s="80">
        <v>57095</v>
      </c>
      <c r="DX53" s="80">
        <f ca="1">DW53-TabCalc[[#This Row],[M_V]]</f>
        <v>-2518.6074999999983</v>
      </c>
    </row>
    <row r="54" spans="1:128">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61433.68</v>
      </c>
      <c r="G54" s="80">
        <f ca="1">IFERROR(TabCalc[[#This Row],[SB]]-TabCalc[[#This Row],[SST]],TabCalc[[#This Row],[SB]])</f>
        <v>10000</v>
      </c>
      <c r="H54" s="530" t="str">
        <f ca="1">[1]!RTData[[#This Row],[Ticker_Symbol]]</f>
        <v>XPER</v>
      </c>
      <c r="I54" s="381">
        <f ca="1">_xlfn.XLOOKUP(TabCalc[[#This Row],[Ticker]],[1]!RTData[Ticker_Symbol],[1]!RTData[M-Price])</f>
        <v>6.16</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-1.44E-2</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-2494</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47">
        <f ca="1">(TabCalc[[#This Row],[M]]+TabCalc[[#This Row],[L_Bp]])/TabCalc[[#This Row],[M]]</f>
        <v>-8.1168831168831168E-2</v>
      </c>
      <c r="AE54" s="209">
        <f ca="1">IFERROR(MIN(TabCalc[[#This Row],[L_B1n]],TabCalc[[#This Row],[NAfter]])*(TabCalc[[#This Row],[M]]+TabCalc[[#This Row],[L_B1p]])*TabCalc[[#This Row],[Scale]],"")</f>
        <v>-15624.000000000002</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31608.000000000004</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7410.0000000000018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-950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1.8506493506493507</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-2.0488411938938258</v>
      </c>
      <c r="AZ54" s="80">
        <f t="shared" ca="1" si="5"/>
        <v>0</v>
      </c>
      <c r="BA54" s="88">
        <f ca="1">_xlfn.XLOOKUP(TabCalc[[#This Row],[Ticker]],[1]!RTData[Ticker_Symbol],[1]!RTData[V/VA])</f>
        <v>0.65766770373662653</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0.65766770373662653</v>
      </c>
      <c r="BD54" s="85" cm="1">
        <f t="array" aca="1" ref="BD54" ca="1">INDEX(TabReg[], 1, _xlfn.XMATCH(TabCalc[[#This Row],[Ticker]]&amp;1, TabReg[#Headers], 0))</f>
        <v>800</v>
      </c>
      <c r="BE54" s="157">
        <f ca="1">TabCalc[[#This Row],[Nbegin]]*TabCalc[[#This Row],[M]]*TabCalc[[#This Row],[Scale]]+TabCalc[[#This Row],[ValueBegin]]</f>
        <v>-50438.229999999996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6067.4500000000044</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-61535.153205999981</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16.53</v>
      </c>
      <c r="BS54" s="172" t="str">
        <f ca="1">IF(TabCalc[[#This Row],[EfCost]]+TabCalc[[#This Row],[M_V]]&lt;TabCalc[[#This Row],[NoT_GL]],"Pile","")</f>
        <v>Pile</v>
      </c>
      <c r="BT54" s="163">
        <f ca="1">_xlfn.XLOOKUP(TabCalc[[#This Row],[Ticker]],[1]!RTData[Ticker_Symbol],[1]!RTData[Last trade time])</f>
        <v>46002.875324560155</v>
      </c>
      <c r="BU54" s="173">
        <f ca="1">(TabCalc[[#This Row],[ValueBegin]]+(TabCalc[[#This Row],[M]]-TabCalc[[#This Row],[A]])*TabCalc[[#This Row],[NAfter]])*TabCalc[[#This Row],[Scale]]</f>
        <v>-76649.166799999977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-21282.936799999989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1138.9521640091114</v>
      </c>
      <c r="CX54" s="402">
        <f ca="1">IF(TabCalc[[#This Row],[ntoBuy]]*TabCalc[[#This Row],[M]]&lt;=0,0,TabCalc[[#This Row],[ntoBuy]]*TabCalc[[#This Row],[M]])</f>
        <v>7015.9453302961265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-21282.936799999989</v>
      </c>
      <c r="DD54" s="88">
        <f ca="1">IFERROR((TabCalc[[#This Row],[M]]+TabCalc[[#This Row],[L_Bp]])/ABS(TabCalc[[#This Row],[L_Bp]])/(TODAY()-TabCalc[[#This Row],[L_Bdate]])*360,"")</f>
        <v>-0.42900042900042901</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4928</v>
      </c>
      <c r="DH54" s="85" cm="1">
        <f t="array" aca="1" ref="DH54" ca="1">SUMPRODUCT(ISNUMBER(INDIRECT("TabReg["&amp;TabCalc[[#This Row],[Ticker]]&amp;"2]"))* INDIRECT("TabReg["&amp;TabCalc[[#This Row],[Ticker]]&amp;"1]") * INDIRECT("TabReg["&amp;TabCalc[[#This Row],[Ticker]]&amp;"2]") )*TabCalc[[#This Row],[Scale]]</f>
        <v>-122490.62999999999</v>
      </c>
      <c r="DK54" s="85">
        <f ca="1"/>
        <v>105759.5</v>
      </c>
      <c r="DL54" s="88">
        <f t="shared" ca="1" si="3"/>
        <v>6.0467141237805361E-2</v>
      </c>
      <c r="DM54" t="str">
        <f ca="1">_xlfn.XLOOKUP(DK54,TabCalc[Column1],TabCalc[Ticker])</f>
        <v>ORA</v>
      </c>
      <c r="DN54" s="85">
        <f ca="1">_xlfn.XLOOKUP(DM54,TabCalc[Ticker],TabCalc[ValueBegin])</f>
        <v>-96558</v>
      </c>
      <c r="DO54" s="85">
        <f ca="1">_xlfn.XLOOKUP(DM54,TabCalc[Ticker],TabCalc[M_V])</f>
        <v>16437.498599999999</v>
      </c>
      <c r="DP54" s="85">
        <f ca="1">_xlfn.XLOOKUP(DM54,TabCalc[Ticker],TabCalc[GL])</f>
        <v>5838.5862236400098</v>
      </c>
      <c r="DQ54" s="88"/>
      <c r="DR54" s="88"/>
      <c r="DS54" s="86" t="s">
        <v>50</v>
      </c>
      <c r="DT54" s="79">
        <v>750</v>
      </c>
      <c r="DU54" s="313">
        <v>-49.343906666666669</v>
      </c>
      <c r="DW54" s="80">
        <v>63700</v>
      </c>
      <c r="DX54" s="80">
        <f ca="1">DW54-TabCalc[[#This Row],[M_V]]</f>
        <v>2266.3199999999997</v>
      </c>
    </row>
    <row r="55" spans="1:128">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277000.07500000001</v>
      </c>
      <c r="G55" s="80">
        <f ca="1">IFERROR(TabCalc[[#This Row],[SB]]-TabCalc[[#This Row],[SST]],TabCalc[[#This Row],[SB]])</f>
        <v>505000</v>
      </c>
      <c r="H55" s="530" t="str">
        <f ca="1">[1]!RTData[[#This Row],[Ticker_Symbol]]</f>
        <v>MVEALDNE</v>
      </c>
      <c r="I55" s="381">
        <f ca="1">_xlfn.XLOOKUP(TabCalc[[#This Row],[Ticker]],[1]!RTData[Ticker_Symbol],[1]!RTData[M-Price])</f>
        <v>0.55000000000000004</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-8.0267999999999992E-2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v>
      </c>
      <c r="T55" s="886">
        <f ca="1">IFERROR(SUMPRODUCT(DataShift!F1547:Z1547,DataShift!F754:Z754)/SQRT(SUMPRODUCT(DataShift!F1547:Z1547,DataShift!F1547:Z1547)*SUMPRODUCT(DataShift!F754:Z754,DataShift!F754:Z754)),0)</f>
        <v>0</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-8144</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47">
        <f ca="1">(TabCalc[[#This Row],[M]]+TabCalc[[#This Row],[L_Bp]])/TabCalc[[#This Row],[M]]</f>
        <v>-0.74233909090909089</v>
      </c>
      <c r="AE55" s="209">
        <f ca="1">IFERROR(MIN(TabCalc[[#This Row],[L_B1n]],TabCalc[[#This Row],[NAfter]])*(TabCalc[[#This Row],[M]]+TabCalc[[#This Row],[L_B1p]])*TabCalc[[#This Row],[Scale]],"")</f>
        <v>-9200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-18180</v>
      </c>
      <c r="AR55" s="332">
        <f ca="1">_xlfn.LET(_xlpm.MVToday,DataShift!AV555,         _xlpm.MVY,DataShift!AU555,        _xlpm.MVYY, DataShift!AT555,                                IF(_xlpm.MVToday=_xlpm.MVY,_xlpm.MVY-_xlpm.MVYY,_xlpm.MVToday-_xlpm.MVY))</f>
        <v>12.466249999997672</v>
      </c>
      <c r="AS55" s="332">
        <f ca="1">_xlfn.LET(_xlpm.MVToday,DataShift!AV555,         _xlpm.MVY,DataShift!AU555,        _xlpm.MVYY, DataShift!AT555,         _xlpm.MVYYY, DataShift!AS555,                      IF(_xlpm.MVToday=_xlpm.MVY,      _xlpm.MVYY-_xlpm.MVYYY,          _xlpm.MVY-_xlpm.MVYY))</f>
        <v>104.71650000000227</v>
      </c>
      <c r="AT55" s="969">
        <f ca="1">TabCalc[[#This Row],[Y]]/TabCalc[[#This Row],[M]]</f>
        <v>2.8484909090909087</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-1.2195505569809768</v>
      </c>
      <c r="AZ55" s="80">
        <f t="shared" ca="1" si="5"/>
        <v>0</v>
      </c>
      <c r="BA55" s="88">
        <f ca="1">_xlfn.XLOOKUP(TabCalc[[#This Row],[Ticker]],[1]!RTData[Ticker_Symbol],[1]!RTData[V/VA])</f>
        <v>0.95520716685330342</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0.95520716685330342</v>
      </c>
      <c r="BD55" s="85" cm="1">
        <f t="array" aca="1" ref="BD55" ca="1">INDEX(TabReg[], 1, _xlfn.XMATCH(TabCalc[[#This Row],[Ticker]]&amp;1, TabReg[#Headers], 0))</f>
        <v>395031</v>
      </c>
      <c r="BE55" s="157">
        <f ca="1">TabCalc[[#This Row],[Nbegin]]*TabCalc[[#This Row],[M]]*TabCalc[[#This Row],[Scale]]+TabCalc[[#This Row],[ValueBegin]]</f>
        <v>-244919.21999999994</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-185186.19499999995</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-363804.82674139243</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46002.708333333336</v>
      </c>
      <c r="BU55" s="173">
        <f ca="1">(TabCalc[[#This Row],[ValueBegin]]+(TabCalc[[#This Row],[M]]-TabCalc[[#This Row],[A]])*TabCalc[[#This Row],[NAfter]])*TabCalc[[#This Row],[Scale]]</f>
        <v>-824520.97154639231</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-362334.70154639235</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-362334.70154639235</v>
      </c>
      <c r="DD55" s="88">
        <f ca="1">IFERROR((TabCalc[[#This Row],[M]]+TabCalc[[#This Row],[L_Bp]])/ABS(TabCalc[[#This Row],[L_Bp]])/(TODAY()-TabCalc[[#This Row],[L_Bdate]])*360,"")</f>
        <v>-1.0955800498374666</v>
      </c>
      <c r="DE55" s="308">
        <f ca="1">MEDIAN(DataShift!F754:Z754)</f>
        <v>7.7800000000000005E-3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217267.05000000002</v>
      </c>
      <c r="DH55" s="85" cm="1">
        <f t="array" aca="1" ref="DH55" ca="1">SUMPRODUCT(ISNUMBER(INDIRECT("TabReg["&amp;TabCalc[[#This Row],[Ticker]]&amp;"2]"))* INDIRECT("TabReg["&amp;TabCalc[[#This Row],[Ticker]]&amp;"1]") * INDIRECT("TabReg["&amp;TabCalc[[#This Row],[Ticker]]&amp;"2]") )*TabCalc[[#This Row],[Scale]]</f>
        <v>-638424.797074</v>
      </c>
      <c r="DK55" s="85">
        <f ca="1"/>
        <v>100265.5</v>
      </c>
      <c r="DL55" s="88">
        <f t="shared" ca="1" si="3"/>
        <v>1.1645466462244929</v>
      </c>
      <c r="DM55" t="str">
        <f ca="1">_xlfn.XLOOKUP(DK55,TabCalc[Column1],TabCalc[Ticker])</f>
        <v>MVEORA</v>
      </c>
      <c r="DN55" s="85">
        <f ca="1">_xlfn.XLOOKUP(DM55,TabCalc[Ticker],TabCalc[ValueBegin])</f>
        <v>-78723.200000000012</v>
      </c>
      <c r="DO55" s="85">
        <f ca="1">_xlfn.XLOOKUP(DM55,TabCalc[Ticker],TabCalc[M_V])</f>
        <v>271218.72690000001</v>
      </c>
      <c r="DP55" s="85">
        <f ca="1">_xlfn.XLOOKUP(DM55,TabCalc[Ticker],TabCalc[GL])</f>
        <v>91676.838540060009</v>
      </c>
      <c r="DQ55" s="88"/>
      <c r="DR55" s="88"/>
      <c r="DS55" s="86" t="s">
        <v>51</v>
      </c>
      <c r="DT55" s="79">
        <v>200</v>
      </c>
      <c r="DU55" s="313">
        <v>-99.51</v>
      </c>
      <c r="DW55" s="80">
        <v>397940</v>
      </c>
      <c r="DX55" s="80">
        <f ca="1">DW55-TabCalc[[#This Row],[M_V]]</f>
        <v>120939.92499999999</v>
      </c>
    </row>
    <row r="56" spans="1:128">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19596.945</v>
      </c>
      <c r="G56" s="80">
        <f ca="1">IFERROR(TabCalc[[#This Row],[SB]]-TabCalc[[#This Row],[SST]],TabCalc[[#This Row],[SB]])</f>
        <v>10000</v>
      </c>
      <c r="H56" s="530" t="str">
        <f ca="1">[1]!RTData[[#This Row],[Ticker_Symbol]]</f>
        <v>MVEDDD</v>
      </c>
      <c r="I56" s="381">
        <f ca="1">_xlfn.XLOOKUP(TabCalc[[#This Row],[Ticker]],[1]!RTData[Ticker_Symbol],[1]!RTData[M-Price])</f>
        <v>1.9650000000000001</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0.110169</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-0.86538214037860117</v>
      </c>
      <c r="T56" s="886">
        <f ca="1">IFERROR(SUMPRODUCT(DataShift!F1548:Z1548,DataShift!F755:Z755)/SQRT(SUMPRODUCT(DataShift!F1548:Z1548,DataShift!F1548:Z1548)*SUMPRODUCT(DataShift!F755:Z755,DataShift!F755:Z755)),0)</f>
        <v>-0.12516313336683685</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-4837</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47">
        <f ca="1">(TabCalc[[#This Row],[M]]+TabCalc[[#This Row],[L_Bp]])/TabCalc[[#This Row],[M]]</f>
        <v>-0.2468193384223919</v>
      </c>
      <c r="AE56" s="209">
        <f ca="1">IFERROR(MIN(TabCalc[[#This Row],[L_B1n]],TabCalc[[#This Row],[NAfter]])*(TabCalc[[#This Row],[M]]+TabCalc[[#This Row],[L_B1p]])*TabCalc[[#This Row],[Scale]],"")</f>
        <v>-6220.0849999999982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7775</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9975.5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1750</v>
      </c>
      <c r="AR56" s="332">
        <f ca="1">_xlfn.LET(_xlpm.MVToday,DataShift!AV556,         _xlpm.MVY,DataShift!AU556,        _xlpm.MVYY, DataShift!AT556,                                IF(_xlpm.MVToday=_xlpm.MVY,_xlpm.MVY-_xlpm.MVYY,_xlpm.MVToday-_xlpm.MVY))</f>
        <v>-897.56999999999971</v>
      </c>
      <c r="AS56" s="332">
        <f ca="1">_xlfn.LET(_xlpm.MVToday,DataShift!AV556,         _xlpm.MVY,DataShift!AU556,        _xlpm.MVYY, DataShift!AT556,         _xlpm.MVYYY, DataShift!AS556,                      IF(_xlpm.MVToday=_xlpm.MVY,      _xlpm.MVYY-_xlpm.MVYYY,          _xlpm.MVY-_xlpm.MVYY))</f>
        <v>1047.1650000000081</v>
      </c>
      <c r="AT56" s="969">
        <f ca="1">TabCalc[[#This Row],[Y]]/TabCalc[[#This Row],[M]]</f>
        <v>1.8447837150127226</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-0.64217544967974016</v>
      </c>
      <c r="AZ56" s="80">
        <f t="shared" ca="1" si="5"/>
        <v>0</v>
      </c>
      <c r="BA56" s="88">
        <f ca="1">_xlfn.XLOOKUP(TabCalc[[#This Row],[Ticker]],[1]!RTData[Ticker_Symbol],[1]!RTData[V/VA])</f>
        <v>1.5342978323128995</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1.5342978323128995</v>
      </c>
      <c r="BD56" s="85" cm="1">
        <f t="array" aca="1" ref="BD56" ca="1">INDEX(TabReg[], 1, _xlfn.XMATCH(TabCalc[[#This Row],[Ticker]]&amp;1, TabReg[#Headers], 0))</f>
        <v>10000</v>
      </c>
      <c r="BE56" s="157">
        <f ca="1">TabCalc[[#This Row],[Nbegin]]*TabCalc[[#This Row],[M]]*TabCalc[[#This Row],[Scale]]+TabCalc[[#This Row],[ValueBegin]]</f>
        <v>-23650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-23703.055</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6522.6350219999949</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v>
      </c>
      <c r="BS56" s="172" t="str">
        <f ca="1">IF(TabCalc[[#This Row],[EfCost]]+TabCalc[[#This Row],[M_V]]&lt;TabCalc[[#This Row],[NoT_GL]],"Pile","")</f>
        <v/>
      </c>
      <c r="BT56" s="163">
        <f ca="1">_xlfn.XLOOKUP(TabCalc[[#This Row],[Ticker]],[1]!RTData[Ticker_Symbol],[1]!RTData[Last trade time])</f>
        <v>46002.876046238278</v>
      </c>
      <c r="BU56" s="173">
        <f ca="1">(TabCalc[[#This Row],[ValueBegin]]+(TabCalc[[#This Row],[M]]-TabCalc[[#This Row],[A]])*TabCalc[[#This Row],[NAfter]])*TabCalc[[#This Row],[Scale]]</f>
        <v>-48213.7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-4913.6999999999962</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3215.4340836012861</v>
      </c>
      <c r="CX56" s="402">
        <f ca="1">IF(TabCalc[[#This Row],[ntoBuy]]*TabCalc[[#This Row],[M]]&lt;=0,0,TabCalc[[#This Row],[ntoBuy]]*TabCalc[[#This Row],[M]])</f>
        <v>6318.3279742765271</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-4913.6999999999962</v>
      </c>
      <c r="DD56" s="88">
        <f ca="1">IFERROR((TabCalc[[#This Row],[M]]+TabCalc[[#This Row],[L_Bp]])/ABS(TabCalc[[#This Row],[L_Bp]])/(TODAY()-TabCalc[[#This Row],[L_Bdate]])*360,"")</f>
        <v>-0.1569720399172885</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19650</v>
      </c>
      <c r="DH56" s="85" cm="1">
        <f t="array" aca="1" ref="DH56" ca="1">SUMPRODUCT(ISNUMBER(INDIRECT("TabReg["&amp;TabCalc[[#This Row],[Ticker]]&amp;"2]"))* INDIRECT("TabReg["&amp;TabCalc[[#This Row],[Ticker]]&amp;"1]") * INDIRECT("TabReg["&amp;TabCalc[[#This Row],[Ticker]]&amp;"2]") )*TabCalc[[#This Row],[Scale]]</f>
        <v>-12989.585000000003</v>
      </c>
      <c r="DK56" s="85">
        <f ca="1"/>
        <v>98009.999999999985</v>
      </c>
      <c r="DL56" s="88">
        <f t="shared" ca="1" si="3"/>
        <v>0.12010409743758901</v>
      </c>
      <c r="DM56" t="str">
        <f ca="1">_xlfn.XLOOKUP(DK56,TabCalc[Column1],TabCalc[Ticker])</f>
        <v>RRC</v>
      </c>
      <c r="DN56" s="85">
        <f ca="1">_xlfn.XLOOKUP(DM56,TabCalc[Ticker],TabCalc[ValueBegin])</f>
        <v>-81837</v>
      </c>
      <c r="DO56" s="85">
        <f ca="1">_xlfn.XLOOKUP(DM56,TabCalc[Ticker],TabCalc[M_V])</f>
        <v>0</v>
      </c>
      <c r="DP56" s="85">
        <f ca="1">_xlfn.XLOOKUP(DM56,TabCalc[Ticker],TabCalc[GL])</f>
        <v>9828.9590219999718</v>
      </c>
      <c r="DQ56" s="88"/>
      <c r="DR56" s="88"/>
      <c r="DS56" s="86" t="s">
        <v>52</v>
      </c>
      <c r="DT56" s="79">
        <v>800</v>
      </c>
      <c r="DU56" s="313">
        <v>-69.207787499999995</v>
      </c>
      <c r="DW56" s="80">
        <v>26250</v>
      </c>
      <c r="DX56" s="80">
        <f ca="1">DW56-TabCalc[[#This Row],[M_V]]</f>
        <v>6653.0550000000003</v>
      </c>
    </row>
    <row r="57" spans="1:128">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276810.58799999999</v>
      </c>
      <c r="G57" s="80">
        <f ca="1">IFERROR(TabCalc[[#This Row],[SB]]-TabCalc[[#This Row],[SST]],TabCalc[[#This Row],[SB]])</f>
        <v>12000</v>
      </c>
      <c r="H57" s="530" t="str">
        <f ca="1">[1]!RTData[[#This Row],[Ticker_Symbol]]</f>
        <v>MVEDSY</v>
      </c>
      <c r="I57" s="381">
        <f ca="1">_xlfn.XLOOKUP(TabCalc[[#This Row],[Ticker]],[1]!RTData[Ticker_Symbol],[1]!RTData[M-Price])</f>
        <v>23.13</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4.7780000000000001E-3</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-0.9473958531419604</v>
      </c>
      <c r="T57" s="886">
        <f ca="1">IFERROR(SUMPRODUCT(DataShift!F1549:Z1549,DataShift!F756:Z756)/SQRT(SUMPRODUCT(DataShift!F1549:Z1549,DataShift!F1549:Z1549)*SUMPRODUCT(DataShift!F756:Z756,DataShift!F756:Z756)),0)</f>
        <v>0.47306966203918788</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2,912 = $ 67,354</v>
      </c>
      <c r="Z57" s="209">
        <f ca="1">INT(MIN(TabCalc[[#This Row],[L_Bn]],TabCalc[[#This Row],[NAfter]])*(TabCalc[[#This Row],[M]]+TabCalc[[#This Row],[L_Bp]])*Comm_Net*TabCalc[[#This Row],[Scale]])</f>
        <v>-10607</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47">
        <f ca="1">(TabCalc[[#This Row],[M]]+TabCalc[[#This Row],[L_Bp]])/TabCalc[[#This Row],[M]]</f>
        <v>-0.30652831820146997</v>
      </c>
      <c r="AE57" s="209">
        <f ca="1">IFERROR(MIN(TabCalc[[#This Row],[L_B1n]],TabCalc[[#This Row],[NAfter]])*(TabCalc[[#This Row],[M]]+TabCalc[[#This Row],[L_B1p]])*TabCalc[[#This Row],[Scale]],"")</f>
        <v>-4115</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16880</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17465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2760</v>
      </c>
      <c r="AR57" s="332">
        <f ca="1">_xlfn.LET(_xlpm.MVToday,DataShift!AV557,         _xlpm.MVY,DataShift!AU557,        _xlpm.MVYY, DataShift!AT557,                                IF(_xlpm.MVToday=_xlpm.MVY,_xlpm.MVY-_xlpm.MVYY,_xlpm.MVToday-_xlpm.MVY))</f>
        <v>-24174.551999999967</v>
      </c>
      <c r="AS57" s="332">
        <f ca="1">_xlfn.LET(_xlpm.MVToday,DataShift!AV557,         _xlpm.MVY,DataShift!AU557,        _xlpm.MVYY, DataShift!AT557,         _xlpm.MVYYY, DataShift!AS557,                      IF(_xlpm.MVToday=_xlpm.MVY,      _xlpm.MVYY-_xlpm.MVYYY,          _xlpm.MVY-_xlpm.MVYY))</f>
        <v>4029.0920000000042</v>
      </c>
      <c r="AT57" s="969">
        <f ca="1">TabCalc[[#This Row],[Y]]/TabCalc[[#This Row],[M]]</f>
        <v>1.368593169044531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-0.84633657955224328</v>
      </c>
      <c r="AZ57" s="80">
        <f t="shared" ca="1" si="5"/>
        <v>0</v>
      </c>
      <c r="BA57" s="88">
        <f ca="1">_xlfn.XLOOKUP(TabCalc[[#This Row],[Ticker]],[1]!RTData[Ticker_Symbol],[1]!RTData[V/VA])</f>
        <v>1.1231597996094751</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1.1231597996094751</v>
      </c>
      <c r="BD57" s="85" cm="1">
        <f t="array" aca="1" ref="BD57" ca="1">INDEX(TabReg[], 1, _xlfn.XMATCH(TabCalc[[#This Row],[Ticker]]&amp;1, TabReg[#Headers], 0))</f>
        <v>2000</v>
      </c>
      <c r="BE57" s="157">
        <f ca="1">TabCalc[[#This Row],[Nbegin]]*TabCalc[[#This Row],[M]]*TabCalc[[#This Row],[Scale]]+TabCalc[[#This Row],[ValueBegin]]</f>
        <v>-41740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188810.58799999999</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-124495.3387584</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44.75</v>
      </c>
      <c r="BS57" s="172" t="str">
        <f ca="1">IF(TabCalc[[#This Row],[EfCost]]+TabCalc[[#This Row],[M_V]]&lt;TabCalc[[#This Row],[NoT_GL]],"Pile","")</f>
        <v>Pile</v>
      </c>
      <c r="BT57" s="163">
        <f ca="1">_xlfn.XLOOKUP(TabCalc[[#This Row],[Ticker]],[1]!RTData[Ticker_Symbol],[1]!RTData[Last trade time])</f>
        <v>46002.708333333336</v>
      </c>
      <c r="BU57" s="173">
        <f ca="1">(TabCalc[[#This Row],[ValueBegin]]+(TabCalc[[#This Row],[M]]-TabCalc[[#This Row],[A]])*TabCalc[[#This Row],[NAfter]])*TabCalc[[#This Row],[Scale]]</f>
        <v>-215139.49000000005</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-127139.49000000003</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296.20853080568725</v>
      </c>
      <c r="CX57" s="402">
        <f ca="1">IF(TabCalc[[#This Row],[ntoBuy]]*TabCalc[[#This Row],[M]]&lt;=0,0,TabCalc[[#This Row],[ntoBuy]]*TabCalc[[#This Row],[M]])</f>
        <v>6851.3033175355458</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-127139.49000000003</v>
      </c>
      <c r="DD57" s="88">
        <f ca="1">IFERROR((TabCalc[[#This Row],[M]]+TabCalc[[#This Row],[L_Bp]])/ABS(TabCalc[[#This Row],[L_Bp]])/(TODAY()-TabCalc[[#This Row],[L_Bdate]])*360,"")</f>
        <v>-0.50274179824146736</v>
      </c>
      <c r="DE57" s="308">
        <f ca="1">MEDIAN(DataShift!F756:Z756)</f>
        <v>-9.5849999999999998E-3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46260</v>
      </c>
      <c r="DH57" s="85" cm="1">
        <f t="array" aca="1" ref="DH57" ca="1">SUMPRODUCT(ISNUMBER(INDIRECT("TabReg["&amp;TabCalc[[#This Row],[Ticker]]&amp;"2]"))* INDIRECT("TabReg["&amp;TabCalc[[#This Row],[Ticker]]&amp;"1]") * INDIRECT("TabReg["&amp;TabCalc[[#This Row],[Ticker]]&amp;"2]") )*TabCalc[[#This Row],[Scale]]</f>
        <v>-399547.39600000001</v>
      </c>
      <c r="DK57" s="85">
        <f ca="1"/>
        <v>94303.44</v>
      </c>
      <c r="DL57" s="88">
        <f t="shared" ca="1" si="3"/>
        <v>0.36628366251534217</v>
      </c>
      <c r="DM57" t="str">
        <f ca="1">_xlfn.XLOOKUP(DK57,TabCalc[Column1],TabCalc[Ticker])</f>
        <v>EZJ</v>
      </c>
      <c r="DN57" s="85">
        <f ca="1">_xlfn.XLOOKUP(DM57,TabCalc[Ticker],TabCalc[ValueBegin])</f>
        <v>-99727.2</v>
      </c>
      <c r="DO57" s="85">
        <f ca="1">_xlfn.XLOOKUP(DM57,TabCalc[Ticker],TabCalc[M_V])</f>
        <v>145137.06900000002</v>
      </c>
      <c r="DP57" s="85">
        <f ca="1">_xlfn.XLOOKUP(DM57,TabCalc[Ticker],TabCalc[GL])</f>
        <v>36528.444068400029</v>
      </c>
      <c r="DQ57" s="88"/>
      <c r="DR57" s="88"/>
      <c r="DS57" s="86" t="s">
        <v>53</v>
      </c>
      <c r="DT57" s="79">
        <v>30000</v>
      </c>
      <c r="DU57" s="313">
        <v>-1.19</v>
      </c>
      <c r="DW57" s="80">
        <v>288480</v>
      </c>
      <c r="DX57" s="80">
        <f ca="1">DW57-TabCalc[[#This Row],[M_V]]</f>
        <v>11669.412000000011</v>
      </c>
    </row>
    <row r="58" spans="1:128">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149.94405499999999</v>
      </c>
      <c r="G58" s="80">
        <f ca="1">IFERROR(TabCalc[[#This Row],[SB]]-TabCalc[[#This Row],[SST]],TabCalc[[#This Row],[SB]])</f>
        <v>10</v>
      </c>
      <c r="H58" s="530" t="str">
        <f ca="1">[1]!RTData[[#This Row],[Ticker_Symbol]]</f>
        <v>MVEEOAN</v>
      </c>
      <c r="I58" s="381">
        <f ca="1">_xlfn.XLOOKUP(TabCalc[[#This Row],[Ticker]],[1]!RTData[Ticker_Symbol],[1]!RTData[M-Price])</f>
        <v>15.035</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-3.3119000000000003E-2</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-0.9219398118801615</v>
      </c>
      <c r="T58" s="886">
        <f ca="1">IFERROR(SUMPRODUCT(DataShift!F1550:Z1550,DataShift!F757:Z757)/SQRT(SUMPRODUCT(DataShift!F1550:Z1550,DataShift!F1550:Z1550)*SUMPRODUCT(DataShift!F757:Z757,DataShift!F757:Z757)),0)</f>
        <v>2.4351407383783684E-2</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39</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47">
        <f ca="1">(TabCalc[[#This Row],[M]]+TabCalc[[#This Row],[L_Bp]])/TabCalc[[#This Row],[M]]</f>
        <v>0.26438310608579979</v>
      </c>
      <c r="AE58" s="209">
        <f ca="1">IFERROR(MIN(TabCalc[[#This Row],[L_B1n]],TabCalc[[#This Row],[NAfter]])*(TabCalc[[#This Row],[M]]+TabCalc[[#This Row],[L_B1p]])*TabCalc[[#This Row],[Scale]],"")</f>
        <v>43.70000000000001</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-7400.2499999999991</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-10151.07</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-4.2500000000000284</v>
      </c>
      <c r="AR58" s="332">
        <f ca="1">_xlfn.LET(_xlpm.MVToday,DataShift!AV558,         _xlpm.MVY,DataShift!AU558,        _xlpm.MVYY, DataShift!AT558,                                IF(_xlpm.MVToday=_xlpm.MVY,_xlpm.MVY-_xlpm.MVYY,_xlpm.MVToday-_xlpm.MVY))</f>
        <v>1944.7350000000006</v>
      </c>
      <c r="AS58" s="332">
        <f ca="1">_xlfn.LET(_xlpm.MVToday,DataShift!AV558,         _xlpm.MVY,DataShift!AU558,        _xlpm.MVYY, DataShift!AT558,         _xlpm.MVYYY, DataShift!AS558,                      IF(_xlpm.MVToday=_xlpm.MVY,      _xlpm.MVYY-_xlpm.MVYYY,          _xlpm.MVY-_xlpm.MVYY))</f>
        <v>49.864999999997963</v>
      </c>
      <c r="AT58" s="969">
        <f ca="1">TabCalc[[#This Row],[Y]]/TabCalc[[#This Row],[M]]</f>
        <v>1.126317259727303</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-2.6904862707847661E-2</v>
      </c>
      <c r="AZ58" s="80">
        <f t="shared" ca="1" si="5"/>
        <v>19990</v>
      </c>
      <c r="BA58" s="88">
        <f ca="1">_xlfn.XLOOKUP(TabCalc[[#This Row],[Ticker]],[1]!RTData[Ticker_Symbol],[1]!RTData[V/VA])</f>
        <v>8.077429734486519E-3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8.077429734486519E-3</v>
      </c>
      <c r="BD58" s="85" cm="1">
        <f t="array" aca="1" ref="BD58" ca="1">INDEX(TabReg[], 1, _xlfn.XMATCH(TabCalc[[#This Row],[Ticker]]&amp;1, TabReg[#Headers], 0))</f>
        <v>20000</v>
      </c>
      <c r="BE58" s="157">
        <f ca="1">TabCalc[[#This Row],[Nbegin]]*TabCalc[[#This Row],[M]]*TabCalc[[#This Row],[Scale]]+TabCalc[[#This Row],[ValueBegin]]</f>
        <v>79494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-221056.055945</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18156.134901457019</v>
      </c>
      <c r="BN58" s="157">
        <f ca="1">IF(        OR( TabCalc[[#This Row],[GL]]&gt;ABS(TabCalc[[#This Row],[EfCost]]),TabCalc[[#This Row],[NAfter]]=0),             TabCalc[[#This Row],[GL]],     0)</f>
        <v>18156.134901457019</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46002.863194444442</v>
      </c>
      <c r="BU58" s="173">
        <f ca="1">(TabCalc[[#This Row],[ValueBegin]]+(TabCalc[[#This Row],[M]]-TabCalc[[#This Row],[A]])*TabCalc[[#This Row],[NAfter]])*TabCalc[[#This Row],[Scale]]</f>
        <v>-221166.53756</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39.462440000000001</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150.35</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39.462440000000001</v>
      </c>
      <c r="DD58" s="88">
        <f ca="1">IFERROR((TabCalc[[#This Row],[M]]+TabCalc[[#This Row],[L_Bp]])/ABS(TabCalc[[#This Row],[L_Bp]])/(TODAY()-TabCalc[[#This Row],[L_Bdate]])*360,"")</f>
        <v>0.39933694996986135</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300700</v>
      </c>
      <c r="DH58" s="85" cm="1">
        <f t="array" aca="1" ref="DH58" ca="1">SUMPRODUCT(ISNUMBER(INDIRECT("TabReg["&amp;TabCalc[[#This Row],[Ticker]]&amp;"2]"))* INDIRECT("TabReg["&amp;TabCalc[[#This Row],[Ticker]]&amp;"1]") * INDIRECT("TabReg["&amp;TabCalc[[#This Row],[Ticker]]&amp;"2]") )*TabCalc[[#This Row],[Scale]]</f>
        <v>17959.885000000017</v>
      </c>
      <c r="DK58" s="85">
        <f ca="1"/>
        <v>92251.5</v>
      </c>
      <c r="DL58" s="88">
        <f t="shared" ca="1" si="3"/>
        <v>0.27559974184172775</v>
      </c>
      <c r="DM58" t="str">
        <f ca="1">_xlfn.XLOOKUP(DK58,TabCalc[Column1],TabCalc[Ticker])</f>
        <v>GNRC</v>
      </c>
      <c r="DN58" s="85">
        <f ca="1">_xlfn.XLOOKUP(DM58,TabCalc[Ticker],TabCalc[ValueBegin])</f>
        <v>-104478</v>
      </c>
      <c r="DO58" s="85">
        <f ca="1">_xlfn.XLOOKUP(DM58,TabCalc[Ticker],TabCalc[M_V])</f>
        <v>150549.4161</v>
      </c>
      <c r="DP58" s="85">
        <f ca="1">_xlfn.XLOOKUP(DM58,TabCalc[Ticker],TabCalc[GL])</f>
        <v>28794.109828140034</v>
      </c>
      <c r="DQ58" s="88"/>
      <c r="DR58" s="88"/>
      <c r="DS58" s="86" t="s">
        <v>54</v>
      </c>
      <c r="DT58" s="79">
        <v>395031</v>
      </c>
      <c r="DU58" s="313">
        <v>-1.17</v>
      </c>
      <c r="DW58" s="80">
        <v>157.5</v>
      </c>
      <c r="DX58" s="80">
        <f ca="1">DW58-TabCalc[[#This Row],[M_V]]</f>
        <v>7.5559450000000083</v>
      </c>
    </row>
    <row r="59" spans="1:128">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507553.89439999999</v>
      </c>
      <c r="G59" s="80">
        <f ca="1">IFERROR(TabCalc[[#This Row],[SB]]-TabCalc[[#This Row],[SST]],TabCalc[[#This Row],[SB]])</f>
        <v>32000</v>
      </c>
      <c r="H59" s="530" t="str">
        <f ca="1">[1]!RTData[[#This Row],[Ticker_Symbol]]</f>
        <v>MVEENI</v>
      </c>
      <c r="I59" s="381">
        <f ca="1">_xlfn.XLOOKUP(TabCalc[[#This Row],[Ticker]],[1]!RTData[Ticker_Symbol],[1]!RTData[M-Price])</f>
        <v>15.904</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-6.8689999999999992E-3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-0.92845904299558146</v>
      </c>
      <c r="T59" s="886">
        <f ca="1">IFERROR(SUMPRODUCT(DataShift!F1551:Z1551,DataShift!F758:Z758)/SQRT(SUMPRODUCT(DataShift!F1551:Z1551,DataShift!F1551:Z1551)*SUMPRODUCT(DataShift!F758:Z758,DataShift!F758:Z758)),0)</f>
        <v>0.21077541374931438</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23488</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47">
        <f ca="1">(TabCalc[[#This Row],[M]]+TabCalc[[#This Row],[L_Bp]])/TabCalc[[#This Row],[M]]</f>
        <v>0.18511066398390336</v>
      </c>
      <c r="AE59" s="209">
        <f ca="1">IFERROR(MIN(TabCalc[[#This Row],[L_B1n]],TabCalc[[#This Row],[NAfter]])*(TabCalc[[#This Row],[M]]+TabCalc[[#This Row],[L_B1p]])*TabCalc[[#This Row],[Scale]],"")</f>
        <v>6628</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384.00000000000034</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-3136.0000000000027</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-3072</v>
      </c>
      <c r="AR59" s="332">
        <f ca="1">_xlfn.LET(_xlpm.MVToday,DataShift!AV559,         _xlpm.MVY,DataShift!AU559,        _xlpm.MVYY, DataShift!AT559,                                IF(_xlpm.MVToday=_xlpm.MVY,_xlpm.MVY-_xlpm.MVYY,_xlpm.MVToday-_xlpm.MVY))</f>
        <v>1316.435999999987</v>
      </c>
      <c r="AS59" s="332">
        <f ca="1">_xlfn.LET(_xlpm.MVToday,DataShift!AV559,         _xlpm.MVY,DataShift!AU559,        _xlpm.MVYY, DataShift!AT559,         _xlpm.MVYYY, DataShift!AS559,                      IF(_xlpm.MVToday=_xlpm.MVY,      _xlpm.MVYY-_xlpm.MVYYY,          _xlpm.MVY-_xlpm.MVYY))</f>
        <v>-3949.3079999999609</v>
      </c>
      <c r="AT59" s="969">
        <f ca="1">TabCalc[[#This Row],[Y]]/TabCalc[[#This Row],[M]]</f>
        <v>1.0311871227364184</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-4.6783726750748022E-4</v>
      </c>
      <c r="AZ59" s="80">
        <f t="shared" ca="1" si="5"/>
        <v>0</v>
      </c>
      <c r="BA59" s="88">
        <f ca="1">_xlfn.XLOOKUP(TabCalc[[#This Row],[Ticker]],[1]!RTData[Ticker_Symbol],[1]!RTData[V/VA])</f>
        <v>1.121580663028575</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1.121580663028575</v>
      </c>
      <c r="BD59" s="85" cm="1">
        <f t="array" aca="1" ref="BD59" ca="1">INDEX(TabReg[], 1, _xlfn.XMATCH(TabCalc[[#This Row],[Ticker]]&amp;1, TabReg[#Headers], 0))</f>
        <v>10000</v>
      </c>
      <c r="BE59" s="157">
        <f ca="1">TabCalc[[#This Row],[Nbegin]]*TabCalc[[#This Row],[M]]*TabCalc[[#This Row],[Scale]]+TabCalc[[#This Row],[ValueBegin]]</f>
        <v>3114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351627.89439999999</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70234.372297359922</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22.66</v>
      </c>
      <c r="BS59" s="172" t="str">
        <f ca="1">IF(TabCalc[[#This Row],[EfCost]]+TabCalc[[#This Row],[M_V]]&lt;TabCalc[[#This Row],[NoT_GL]],"Pile","")</f>
        <v/>
      </c>
      <c r="BT59" s="163">
        <f ca="1">_xlfn.XLOOKUP(TabCalc[[#This Row],[Ticker]],[1]!RTData[Ticker_Symbol],[1]!RTData[Last trade time])</f>
        <v>46002.708333333336</v>
      </c>
      <c r="BU59" s="173">
        <f ca="1">(TabCalc[[#This Row],[ValueBegin]]+(TabCalc[[#This Row],[M]]-TabCalc[[#This Row],[A]])*TabCalc[[#This Row],[NAfter]])*TabCalc[[#This Row],[Scale]]</f>
        <v>-74589.254239999951</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81336.745760000049</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52083.333333333285</v>
      </c>
      <c r="CX59" s="402">
        <f ca="1">IF(TabCalc[[#This Row],[ntoBuy]]*TabCalc[[#This Row],[M]]&lt;=0,0,TabCalc[[#This Row],[ntoBuy]]*TabCalc[[#This Row],[M]])</f>
        <v>828333.33333333256</v>
      </c>
      <c r="CY59" s="402">
        <f ca="1">IF(TabCalc[[#This Row],[M]]&gt;ABS(TabCalc[[#This Row],[L_Bp]]),MIN(TabCalc[[#This Row],[NAfter]],DesiredSaleGain/(TabCalc[[#This Row],[M]]+TabCalc[[#This Row],[L_Bp]])),0)/TabCalc[[#This Row],[Scale]]</f>
        <v>1698.3695652173919</v>
      </c>
      <c r="CZ59" s="403">
        <f ca="1">TabCalc[[#This Row],[ntoSell]]*TabCalc[[#This Row],[M]]</f>
        <v>27010.869565217403</v>
      </c>
      <c r="DA59" s="396">
        <f ca="1">_xlfn.LET(_xlpm.nToSell,IF(TabCalc[[#This Row],[M]]-TabCalc[[#This Row],[A]]&lt;=0,"",INT(DesiredSaleGain/(TabCalc[[#This Row],[M]]-IF(TabCalc[[#This Row],[E]]&gt;0,0,TabCalc[[#This Row],[A]])))),IF(_xlpm.nToSell&lt;=TabCalc[[#This Row],[NAfter]],_xlpm.nToSell,0))</f>
        <v>1967</v>
      </c>
      <c r="DB59" s="334">
        <f ca="1">IFERROR(TabCalc[[#This Row],[NMA]]*TabCalc[[#This Row],[M]],"")</f>
        <v>31283.168000000001</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81336.745760000049</v>
      </c>
      <c r="DD59" s="88">
        <f ca="1">IFERROR((TabCalc[[#This Row],[M]]+TabCalc[[#This Row],[L_Bp]])/ABS(TabCalc[[#This Row],[L_Bp]])/(TODAY()-TabCalc[[#This Row],[L_Bdate]])*360,"")</f>
        <v>0.4193732193732192</v>
      </c>
      <c r="DE59" s="308">
        <f ca="1">MEDIAN(DataShift!F758:Z758)</f>
        <v>-4.2700000000000002E-4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159040</v>
      </c>
      <c r="DH59" s="85" cm="1">
        <f t="array" aca="1" ref="DH59" ca="1">SUMPRODUCT(ISNUMBER(INDIRECT("TabReg["&amp;TabCalc[[#This Row],[Ticker]]&amp;"2]"))* INDIRECT("TabReg["&amp;TabCalc[[#This Row],[Ticker]]&amp;"1]") * INDIRECT("TabReg["&amp;TabCalc[[#This Row],[Ticker]]&amp;"2]") )*TabCalc[[#This Row],[Scale]]</f>
        <v>-434869.22200000007</v>
      </c>
      <c r="DK59" s="85">
        <f ca="1"/>
        <v>85554</v>
      </c>
      <c r="DL59" s="88">
        <f t="shared" ca="1" si="3"/>
        <v>-7.4269960460520215E-2</v>
      </c>
      <c r="DM59" t="str">
        <f ca="1">_xlfn.XLOOKUP(DK59,TabCalc[Column1],TabCalc[Ticker])</f>
        <v>LUV</v>
      </c>
      <c r="DN59" s="85">
        <f ca="1">_xlfn.XLOOKUP(DM59,TabCalc[Ticker],TabCalc[ValueBegin])</f>
        <v>-93807</v>
      </c>
      <c r="DO59" s="85">
        <f ca="1">_xlfn.XLOOKUP(DM59,TabCalc[Ticker],TabCalc[M_V])</f>
        <v>85323.004199999996</v>
      </c>
      <c r="DP59" s="85">
        <f ca="1">_xlfn.XLOOKUP(DM59,TabCalc[Ticker],TabCalc[GL])</f>
        <v>-6967.0421809200197</v>
      </c>
      <c r="DQ59" s="88"/>
      <c r="DR59" s="88"/>
      <c r="DS59" s="86" t="s">
        <v>55</v>
      </c>
      <c r="DT59" s="79">
        <v>10000</v>
      </c>
      <c r="DU59" s="313">
        <v>-4.33</v>
      </c>
      <c r="DW59" s="80">
        <v>572760</v>
      </c>
      <c r="DX59" s="80">
        <f ca="1">DW59-TabCalc[[#This Row],[M_V]]</f>
        <v>65206.10560000001</v>
      </c>
    </row>
    <row r="60" spans="1:128">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-0.91890438710231992</v>
      </c>
      <c r="T60" s="886">
        <f ca="1">IFERROR(SUMPRODUCT(DataShift!F1552:Z1552,DataShift!F759:Z759)/SQRT(SUMPRODUCT(DataShift!F1552:Z1552,DataShift!F1552:Z1552)*SUMPRODUCT(DataShift!F759:Z759,DataShift!F759:Z759)),0)</f>
        <v>2.8535487115443894E-3</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47">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-5.1360950000000116</v>
      </c>
      <c r="AS60" s="332">
        <f ca="1">_xlfn.LET(_xlpm.MVToday,DataShift!AV560,         _xlpm.MVY,DataShift!AU560,        _xlpm.MVYY, DataShift!AT560,         _xlpm.MVYYY, DataShift!AS560,                      IF(_xlpm.MVToday=_xlpm.MVY,      _xlpm.MVYY-_xlpm.MVYYY,          _xlpm.MVY-_xlpm.MVYY))</f>
        <v>-0.34905500000002121</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-0.98723096923299147</v>
      </c>
      <c r="DE60" s="308">
        <f ca="1">MEDIAN(DataShift!F759:Z759)</f>
        <v>1.3139999999999998E-3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80845</v>
      </c>
      <c r="DL60" s="88">
        <f t="shared" ca="1" si="3"/>
        <v>0.38819327730031811</v>
      </c>
      <c r="DM60" t="str">
        <f ca="1">_xlfn.XLOOKUP(DK60,TabCalc[Column1],TabCalc[Ticker])</f>
        <v>GM</v>
      </c>
      <c r="DN60" s="85">
        <f ca="1">_xlfn.XLOOKUP(DM60,TabCalc[Ticker],TabCalc[ValueBegin])</f>
        <v>-37400</v>
      </c>
      <c r="DO60" s="85">
        <f ca="1">_xlfn.XLOOKUP(DM60,TabCalc[Ticker],TabCalc[M_V])</f>
        <v>80.626718499999996</v>
      </c>
      <c r="DP60" s="85">
        <f ca="1">_xlfn.XLOOKUP(DM60,TabCalc[Ticker],TabCalc[GL])</f>
        <v>14518.428571031898</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128372.45599999999</v>
      </c>
      <c r="G61" s="80">
        <f ca="1">IFERROR(TabCalc[[#This Row],[SB]]-TabCalc[[#This Row],[SST]],TabCalc[[#This Row],[SB]])</f>
        <v>2000</v>
      </c>
      <c r="H61" s="530" t="str">
        <f ca="1">[1]!RTData[[#This Row],[Ticker_Symbol]]</f>
        <v>MVEGLE</v>
      </c>
      <c r="I61" s="381">
        <f ca="1">_xlfn.XLOOKUP(TabCalc[[#This Row],[Ticker]],[1]!RTData[Ticker_Symbol],[1]!RTData[M-Price])</f>
        <v>64.36</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1.3863E-2</v>
      </c>
      <c r="N61" s="1041" t="s">
        <v>2940</v>
      </c>
      <c r="O61" s="886" t="e">
        <f>TabCalc[[#This Row],[Up20]]-1+TabCalc[[#This Row],[Up20]]</f>
        <v>#VALUE!</v>
      </c>
      <c r="P61" s="886" t="e">
        <f>TabCalc[[#This Row],[Up20]]-TabCalc[[#This Row],[Up150]]</f>
        <v>#VALUE!</v>
      </c>
      <c r="Q61" s="886" t="s">
        <v>2945</v>
      </c>
      <c r="R61" s="886" t="e">
        <f>TabCalc[[#This Row],[Up150]]-1+TabCalc[[#This Row],[Up150]]</f>
        <v>#VALUE!</v>
      </c>
      <c r="S61" s="886">
        <f ca="1">IFERROR(SUMPRODUCT(DataShift!F1553:Z1553,DataShift!AB760:AV760)/SQRT(SUMPRODUCT(DataShift!F1553:Z1553,DataShift!F1553:Z1553)*SUMPRODUCT(DataShift!AB760:AV760,DataShift!AB760:AV760)),0)</f>
        <v>-0.78662242091325907</v>
      </c>
      <c r="T61" s="886">
        <f ca="1">IFERROR(SUMPRODUCT(DataShift!F1553:Z1553,DataShift!F760:Z760)/SQRT(SUMPRODUCT(DataShift!F1553:Z1553,DataShift!F1553:Z1553)*SUMPRODUCT(DataShift!F760:Z760,DataShift!F760:Z760)),0)</f>
        <v>-1.8655001260641672E-2</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10312</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47">
        <f ca="1">(TabCalc[[#This Row],[M]]+TabCalc[[#This Row],[L_Bp]])/TabCalc[[#This Row],[M]]</f>
        <v>0.16065879428216279</v>
      </c>
      <c r="AE61" s="209">
        <f ca="1">IFERROR(MIN(TabCalc[[#This Row],[L_B1n]],TabCalc[[#This Row],[NAfter]])*(TabCalc[[#This Row],[M]]+TabCalc[[#This Row],[L_B1p]])*TabCalc[[#This Row],[Scale]],"")</f>
        <v>10487.299999999992</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-2640.0000000000005</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-16890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2120</v>
      </c>
      <c r="AR61" s="332">
        <f ca="1">_xlfn.LET(_xlpm.MVToday,DataShift!AV561,         _xlpm.MVY,DataShift!AU561,        _xlpm.MVYY, DataShift!AT561,                                IF(_xlpm.MVToday=_xlpm.MVY,_xlpm.MVY-_xlpm.MVYY,_xlpm.MVToday-_xlpm.MVY))</f>
        <v>-3510.4959999999846</v>
      </c>
      <c r="AS61" s="332">
        <f ca="1">_xlfn.LET(_xlpm.MVToday,DataShift!AV561,         _xlpm.MVY,DataShift!AU561,        _xlpm.MVYY, DataShift!AT561,         _xlpm.MVYYY, DataShift!AS561,                      IF(_xlpm.MVToday=_xlpm.MVY,      _xlpm.MVYY-_xlpm.MVYYY,          _xlpm.MVY-_xlpm.MVYY))</f>
        <v>-2999.8783999999869</v>
      </c>
      <c r="AT61" s="969">
        <f ca="1">TabCalc[[#This Row],[Y]]/TabCalc[[#This Row],[M]]</f>
        <v>1.0259995338719703</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-1.1024668956934401E-3</v>
      </c>
      <c r="AZ61" s="80">
        <f t="shared" ca="1" si="5"/>
        <v>8000</v>
      </c>
      <c r="BA61" s="88">
        <f ca="1">_xlfn.XLOOKUP(TabCalc[[#This Row],[Ticker]],[1]!RTData[Ticker_Symbol],[1]!RTData[V/VA])</f>
        <v>1.0644112472996281</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1.0644112472996281</v>
      </c>
      <c r="BD61" s="85" cm="1">
        <f t="array" aca="1" ref="BD61" ca="1">INDEX(TabReg[], 1, _xlfn.XMATCH(TabCalc[[#This Row],[Ticker]]&amp;1, TabReg[#Headers], 0))</f>
        <v>10000</v>
      </c>
      <c r="BE61" s="157">
        <f ca="1">TabCalc[[#This Row],[Nbegin]]*TabCalc[[#This Row],[M]]*TabCalc[[#This Row],[Scale]]+TabCalc[[#This Row],[ValueBegin]]</f>
        <v>400433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-114794.54400000001</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110742.88514439999</v>
      </c>
      <c r="BN61" s="157">
        <f ca="1">IF(        OR( TabCalc[[#This Row],[GL]]&gt;ABS(TabCalc[[#This Row],[EfCost]]),TabCalc[[#This Row],[NAfter]]=0),             TabCalc[[#This Row],[GL]],     0)</f>
        <v>110742.88514439999</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46002.708333333336</v>
      </c>
      <c r="BU61" s="173">
        <f ca="1">(TabCalc[[#This Row],[ValueBegin]]+(TabCalc[[#This Row],[M]]-TabCalc[[#This Row],[A]])*TabCalc[[#This Row],[NAfter]])*TabCalc[[#This Row],[Scale]]</f>
        <v>-227851.08599999998</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15315.914000000006</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483.55899419729224</v>
      </c>
      <c r="CZ61" s="403">
        <f ca="1">TabCalc[[#This Row],[ntoSell]]*TabCalc[[#This Row],[M]]</f>
        <v>31121.856866537728</v>
      </c>
      <c r="DA61" s="396">
        <f ca="1">_xlfn.LET(_xlpm.nToSell,IF(TabCalc[[#This Row],[M]]-TabCalc[[#This Row],[A]]&lt;=0,"",INT(DesiredSaleGain/(TabCalc[[#This Row],[M]]-IF(TabCalc[[#This Row],[E]]&gt;0,0,TabCalc[[#This Row],[A]])))),IF(_xlpm.nToSell&lt;=TabCalc[[#This Row],[NAfter]],_xlpm.nToSell,0))</f>
        <v>652</v>
      </c>
      <c r="DB61" s="334">
        <f ca="1">IFERROR(TabCalc[[#This Row],[NMA]]*TabCalc[[#This Row],[M]],"")</f>
        <v>41962.720000000001</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15315.914000000006</v>
      </c>
      <c r="DD61" s="88">
        <f ca="1">IFERROR((TabCalc[[#This Row],[M]]+TabCalc[[#This Row],[L_Bp]])/ABS(TabCalc[[#This Row],[L_Bp]])/(TODAY()-TabCalc[[#This Row],[L_Bdate]])*360,"")</f>
        <v>1.2528693076638275</v>
      </c>
      <c r="DE61" s="308">
        <f ca="1">MEDIAN(DataShift!F760:Z760)</f>
        <v>6.1810000000000001E-4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643600</v>
      </c>
      <c r="DH61" s="85" cm="1">
        <f t="array" aca="1" ref="DH61" ca="1">SUMPRODUCT(ISNUMBER(INDIRECT("TabReg["&amp;TabCalc[[#This Row],[Ticker]]&amp;"2]"))* INDIRECT("TabReg["&amp;TabCalc[[#This Row],[Ticker]]&amp;"1]") * INDIRECT("TabReg["&amp;TabCalc[[#This Row],[Ticker]]&amp;"2]") )*TabCalc[[#This Row],[Scale]]</f>
        <v>-17250.949999999997</v>
      </c>
      <c r="DK61" s="85">
        <f ca="1"/>
        <v>78600</v>
      </c>
      <c r="DL61" s="88">
        <f t="shared" ca="1" si="3"/>
        <v>-0.83931118301258456</v>
      </c>
      <c r="DM61" t="str">
        <f ca="1">_xlfn.XLOOKUP(DK61,TabCalc[Column1],TabCalc[Ticker])</f>
        <v>DDD</v>
      </c>
      <c r="DN61" s="85">
        <f ca="1">_xlfn.XLOOKUP(DM61,TabCalc[Ticker],TabCalc[ValueBegin])</f>
        <v>-414395</v>
      </c>
      <c r="DO61" s="85">
        <f ca="1">_xlfn.XLOOKUP(DM61,TabCalc[Ticker],TabCalc[M_V])</f>
        <v>166574.0325</v>
      </c>
      <c r="DP61" s="85">
        <f ca="1">_xlfn.XLOOKUP(DM61,TabCalc[Ticker],TabCalc[GL])</f>
        <v>-347806.35768449999</v>
      </c>
      <c r="DQ61" s="88"/>
      <c r="DR61" s="88"/>
      <c r="DS61" s="86" t="s">
        <v>57</v>
      </c>
      <c r="DT61" s="80">
        <v>20000</v>
      </c>
      <c r="DU61" s="313">
        <v>-11.0603</v>
      </c>
      <c r="DW61" s="80">
        <v>382060</v>
      </c>
      <c r="DX61" s="80">
        <f ca="1">DW61-TabCalc[[#This Row],[M_V]]</f>
        <v>253687.54399999999</v>
      </c>
    </row>
    <row r="62" spans="1:128">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271218.72690000001</v>
      </c>
      <c r="G62" s="80">
        <f ca="1">IFERROR(TabCalc[[#This Row],[SB]]-TabCalc[[#This Row],[SST]],TabCalc[[#This Row],[SB]])</f>
        <v>19800</v>
      </c>
      <c r="H62" s="530" t="str">
        <f ca="1">[1]!RTData[[#This Row],[Ticker_Symbol]]</f>
        <v>MVEORA</v>
      </c>
      <c r="I62" s="381">
        <f ca="1">_xlfn.XLOOKUP(TabCalc[[#This Row],[Ticker]],[1]!RTData[Ticker_Symbol],[1]!RTData[M-Price])</f>
        <v>13.734999999999999</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5.1229999999999999E-3</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-0.93048421039847085</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-1841</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47">
        <f ca="1">(TabCalc[[#This Row],[M]]+TabCalc[[#This Row],[L_Bp]])/TabCalc[[#This Row],[M]]</f>
        <v>-4.4776119402985093E-2</v>
      </c>
      <c r="AE62" s="209">
        <f ca="1">IFERROR(MIN(TabCalc[[#This Row],[L_B1n]],TabCalc[[#This Row],[NAfter]])*(TabCalc[[#This Row],[M]]+TabCalc[[#This Row],[L_B1p]])*TabCalc[[#This Row],[Scale]],"")</f>
        <v>3269.9999999999995</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11.999999999999744</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390.00000000000057</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1782</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1.133215143793229</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-2.8653461047389656E-2</v>
      </c>
      <c r="AZ62" s="80">
        <f t="shared" ca="1" si="5"/>
        <v>0</v>
      </c>
      <c r="BA62" s="88">
        <f ca="1">_xlfn.XLOOKUP(TabCalc[[#This Row],[Ticker]],[1]!RTData[Ticker_Symbol],[1]!RTData[V/VA])</f>
        <v>0.67743021645652646</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0.67743021645652646</v>
      </c>
      <c r="BD62" s="85" cm="1">
        <f t="array" aca="1" ref="BD62" ca="1">INDEX(TabReg[], 1, _xlfn.XMATCH(TabCalc[[#This Row],[Ticker]]&amp;1, TabReg[#Headers], 0))</f>
        <v>7300</v>
      </c>
      <c r="BE62" s="157">
        <f ca="1">TabCalc[[#This Row],[Nbegin]]*TabCalc[[#This Row],[M]]*TabCalc[[#This Row],[Scale]]+TabCalc[[#This Row],[ValueBegin]]</f>
        <v>21542.299999999988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192495.5269</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91676.838540060009</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15.04</v>
      </c>
      <c r="BS62" s="172" t="str">
        <f ca="1">IF(TabCalc[[#This Row],[EfCost]]+TabCalc[[#This Row],[M_V]]&lt;TabCalc[[#This Row],[NoT_GL]],"Pile","")</f>
        <v/>
      </c>
      <c r="BT62" s="163">
        <f ca="1">_xlfn.XLOOKUP(TabCalc[[#This Row],[Ticker]],[1]!RTData[Ticker_Symbol],[1]!RTData[Last trade time])</f>
        <v>46002.708333333336</v>
      </c>
      <c r="BU62" s="173">
        <f ca="1">(TabCalc[[#This Row],[ValueBegin]]+(TabCalc[[#This Row],[M]]-TabCalc[[#This Row],[A]])*TabCalc[[#This Row],[NAfter]])*TabCalc[[#This Row],[Scale]]</f>
        <v>-47267.872400000015</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31455.327599999997</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500000.00000001065</v>
      </c>
      <c r="CX62" s="402">
        <f ca="1">IF(TabCalc[[#This Row],[ntoBuy]]*TabCalc[[#This Row],[M]]&lt;=0,0,TabCalc[[#This Row],[ntoBuy]]*TabCalc[[#This Row],[M]])</f>
        <v>6867500.0000001462</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3147</v>
      </c>
      <c r="DB62" s="334">
        <f ca="1">IFERROR(TabCalc[[#This Row],[NMA]]*TabCalc[[#This Row],[M]],"")</f>
        <v>43224.044999999998</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31455.327599999997</v>
      </c>
      <c r="DD62" s="88">
        <f ca="1">IFERROR((TabCalc[[#This Row],[M]]+TabCalc[[#This Row],[L_Bp]])/ABS(TabCalc[[#This Row],[L_Bp]])/(TODAY()-TabCalc[[#This Row],[L_Bdate]])*360,"")</f>
        <v>-0.13075060532687657</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100265.5</v>
      </c>
      <c r="DH62" s="85" cm="1">
        <f t="array" aca="1" ref="DH62" ca="1">SUMPRODUCT(ISNUMBER(INDIRECT("TabReg["&amp;TabCalc[[#This Row],[Ticker]]&amp;"2]"))* INDIRECT("TabReg["&amp;TabCalc[[#This Row],[Ticker]]&amp;"1]") * INDIRECT("TabReg["&amp;TabCalc[[#This Row],[Ticker]]&amp;"2]") )*TabCalc[[#This Row],[Scale]]</f>
        <v>-178372.95</v>
      </c>
      <c r="DK62" s="85">
        <f ca="1"/>
        <v>77210.3</v>
      </c>
      <c r="DL62" s="88">
        <f t="shared" ca="1" si="3"/>
        <v>3.929674263312239</v>
      </c>
      <c r="DM62" t="str">
        <f ca="1">_xlfn.XLOOKUP(DK62,TabCalc[Column1],TabCalc[Ticker])</f>
        <v>AVGO</v>
      </c>
      <c r="DN62" s="85">
        <f ca="1">_xlfn.XLOOKUP(DM62,TabCalc[Ticker],TabCalc[ValueBegin])</f>
        <v>-20833.750799999998</v>
      </c>
      <c r="DO62" s="85">
        <f ca="1">_xlfn.XLOOKUP(DM62,TabCalc[Ticker],TabCalc[M_V])</f>
        <v>81054.560199999993</v>
      </c>
      <c r="DP62" s="85">
        <f ca="1">_xlfn.XLOOKUP(DM62,TabCalc[Ticker],TabCalc[GL])</f>
        <v>81869.854327020759</v>
      </c>
      <c r="DQ62" s="88"/>
      <c r="DR62" s="88"/>
      <c r="DS62" s="86" t="s">
        <v>58</v>
      </c>
      <c r="DT62" s="80">
        <v>10000</v>
      </c>
      <c r="DU62" s="313">
        <v>-15.592599999999999</v>
      </c>
      <c r="DW62" s="80">
        <v>271557</v>
      </c>
      <c r="DX62" s="80">
        <f ca="1">DW62-TabCalc[[#This Row],[M_V]]</f>
        <v>338.27309999999125</v>
      </c>
    </row>
    <row r="63" spans="1:128">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43.173116999999998</v>
      </c>
      <c r="G63" s="80">
        <f ca="1">IFERROR(TabCalc[[#This Row],[SB]]-TabCalc[[#This Row],[SST]],TabCalc[[#This Row],[SB]])</f>
        <v>1</v>
      </c>
      <c r="H63" s="530" t="str">
        <f ca="1">[1]!RTData[[#This Row],[Ticker_Symbol]]</f>
        <v>MVERWE</v>
      </c>
      <c r="I63" s="381">
        <f ca="1">_xlfn.XLOOKUP(TabCalc[[#This Row],[Ticker]],[1]!RTData[Ticker_Symbol],[1]!RTData[M-Price])</f>
        <v>43.29</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-4.5989999999999998E-3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-0.82478609884232257</v>
      </c>
      <c r="T63" s="886">
        <f ca="1">IFERROR(SUMPRODUCT(DataShift!F1555:Z1555,DataShift!F762:Z762)/SQRT(SUMPRODUCT(DataShift!F1555:Z1555,DataShift!F1555:Z1555)*SUMPRODUCT(DataShift!F762:Z762,DataShift!F762:Z762)),0)</f>
        <v>-0.21662507062128092</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47">
        <f ca="1">(TabCalc[[#This Row],[M]]+TabCalc[[#This Row],[L_Bp]])/TabCalc[[#This Row],[M]]</f>
        <v>0.23550473550473552</v>
      </c>
      <c r="AE63" s="209">
        <f ca="1">IFERROR(MIN(TabCalc[[#This Row],[L_B1n]],TabCalc[[#This Row],[NAfter]])*(TabCalc[[#This Row],[M]]+TabCalc[[#This Row],[L_B1p]])*TabCalc[[#This Row],[Scale]],"")</f>
        <v>15.079999999999998</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-39710.07</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-56000</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-0.10000000000000142</v>
      </c>
      <c r="AR63" s="332">
        <f ca="1">_xlfn.LET(_xlpm.MVToday,DataShift!AV563,         _xlpm.MVY,DataShift!AU563,        _xlpm.MVYY, DataShift!AT563,                                IF(_xlpm.MVToday=_xlpm.MVY,_xlpm.MVY-_xlpm.MVYY,_xlpm.MVToday-_xlpm.MVY))</f>
        <v>1755.2479999999923</v>
      </c>
      <c r="AS63" s="332">
        <f ca="1">_xlfn.LET(_xlpm.MVToday,DataShift!AV563,         _xlpm.MVY,DataShift!AU563,        _xlpm.MVYY, DataShift!AT563,         _xlpm.MVYYY, DataShift!AS563,                      IF(_xlpm.MVToday=_xlpm.MVY,      _xlpm.MVYY-_xlpm.MVYYY,          _xlpm.MVY-_xlpm.MVYY))</f>
        <v>1156.8680000000022</v>
      </c>
      <c r="AT63" s="969">
        <f ca="1">TabCalc[[#This Row],[Y]]/TabCalc[[#This Row],[M]]</f>
        <v>1.1128775698775699</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-5.594524106331665E-2</v>
      </c>
      <c r="AZ63" s="80">
        <f t="shared" ca="1" si="5"/>
        <v>9999</v>
      </c>
      <c r="BA63" s="88">
        <f ca="1">_xlfn.XLOOKUP(TabCalc[[#This Row],[Ticker]],[1]!RTData[Ticker_Symbol],[1]!RTData[V/VA])</f>
        <v>3.1362675405888028E-3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3.1362675405888028E-3</v>
      </c>
      <c r="BD63" s="85" cm="1">
        <f t="array" aca="1" ref="BD63" ca="1">INDEX(TabReg[], 1, _xlfn.XMATCH(TabCalc[[#This Row],[Ticker]]&amp;1, TabReg[#Headers], 0))</f>
        <v>10000</v>
      </c>
      <c r="BE63" s="157">
        <f ca="1">TabCalc[[#This Row],[Nbegin]]*TabCalc[[#This Row],[M]]*TabCalc[[#This Row],[Scale]]+TabCalc[[#This Row],[ValueBegin]]</f>
        <v>74100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-358756.82688299997</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37655.740230895783</v>
      </c>
      <c r="BN63" s="157">
        <f ca="1">IF(        OR( TabCalc[[#This Row],[GL]]&gt;ABS(TabCalc[[#This Row],[EfCost]]),TabCalc[[#This Row],[NAfter]]=0),             TabCalc[[#This Row],[GL]],     0)</f>
        <v>37655.740230895783</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46002.863888888889</v>
      </c>
      <c r="BU63" s="173">
        <f ca="1">(TabCalc[[#This Row],[ValueBegin]]+(TabCalc[[#This Row],[M]]-TabCalc[[#This Row],[A]])*TabCalc[[#This Row],[NAfter]])*TabCalc[[#This Row],[Scale]]</f>
        <v>-358789.89104700001</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10.108953</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43.29</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10.108953</v>
      </c>
      <c r="DD63" s="88">
        <f ca="1">IFERROR((TabCalc[[#This Row],[M]]+TabCalc[[#This Row],[L_Bp]])/ABS(TabCalc[[#This Row],[L_Bp]])/(TODAY()-TabCalc[[#This Row],[L_Bdate]])*360,"")</f>
        <v>0.49730460686283612</v>
      </c>
      <c r="DE63" s="308">
        <f ca="1">MEDIAN(DataShift!F762:Z762)</f>
        <v>4.4710000000000001E-3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432900</v>
      </c>
      <c r="DH63" s="85" cm="1">
        <f t="array" aca="1" ref="DH63" ca="1">SUMPRODUCT(ISNUMBER(INDIRECT("TabReg["&amp;TabCalc[[#This Row],[Ticker]]&amp;"2]"))* INDIRECT("TabReg["&amp;TabCalc[[#This Row],[Ticker]]&amp;"1]") * INDIRECT("TabReg["&amp;TabCalc[[#This Row],[Ticker]]&amp;"2]") )*TabCalc[[#This Row],[Scale]]</f>
        <v>37515.139999999985</v>
      </c>
      <c r="DK63" s="85">
        <f ca="1"/>
        <v>57950</v>
      </c>
      <c r="DL63" s="88">
        <f t="shared" ca="1" si="3"/>
        <v>-0.5001625516304874</v>
      </c>
      <c r="DM63" t="str">
        <f ca="1">_xlfn.XLOOKUP(DK63,TabCalc[Column1],TabCalc[Ticker])</f>
        <v>VTRS</v>
      </c>
      <c r="DN63" s="85">
        <f ca="1">_xlfn.XLOOKUP(DM63,TabCalc[Ticker],TabCalc[ValueBegin])</f>
        <v>-151443.94999999998</v>
      </c>
      <c r="DO63" s="85">
        <f ca="1">_xlfn.XLOOKUP(DM63,TabCalc[Ticker],TabCalc[M_V])</f>
        <v>57793.534999999996</v>
      </c>
      <c r="DP63" s="85">
        <f ca="1">_xlfn.XLOOKUP(DM63,TabCalc[Ticker],TabCalc[GL])</f>
        <v>-75746.592460999935</v>
      </c>
      <c r="DQ63" s="88"/>
      <c r="DR63" s="88"/>
      <c r="DS63" s="86" t="s">
        <v>59</v>
      </c>
      <c r="DT63" s="80">
        <v>10000</v>
      </c>
      <c r="DU63" s="313">
        <v>-35.880000000000003</v>
      </c>
      <c r="DW63" s="80">
        <v>42.34</v>
      </c>
      <c r="DX63" s="80">
        <f ca="1">DW63-TabCalc[[#This Row],[M_V]]</f>
        <v>-0.83311699999999433</v>
      </c>
    </row>
    <row r="64" spans="1:128">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187861.40099999998</v>
      </c>
      <c r="G64" s="80">
        <f ca="1">IFERROR(TabCalc[[#This Row],[SB]]-TabCalc[[#This Row],[SST]],TabCalc[[#This Row],[SB]])</f>
        <v>900</v>
      </c>
      <c r="H64" s="530" t="str">
        <f ca="1">[1]!RTData[[#This Row],[Ticker_Symbol]]</f>
        <v>MVESAP</v>
      </c>
      <c r="I64" s="381">
        <f ca="1">_xlfn.XLOOKUP(TabCalc[[#This Row],[Ticker]],[1]!RTData[Ticker_Symbol],[1]!RTData[M-Price])</f>
        <v>209.3</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-7.8220000000000008E-3</v>
      </c>
      <c r="N64" s="1041" t="s">
        <v>2942</v>
      </c>
      <c r="O64" s="886" t="e">
        <f>TabCalc[[#This Row],[Up20]]-1+TabCalc[[#This Row],[Up20]]</f>
        <v>#VALUE!</v>
      </c>
      <c r="P64" s="886" t="e">
        <f>TabCalc[[#This Row],[Up20]]-TabCalc[[#This Row],[Up150]]</f>
        <v>#VALUE!</v>
      </c>
      <c r="Q64" s="886" t="s">
        <v>2943</v>
      </c>
      <c r="R64" s="886" t="e">
        <f>TabCalc[[#This Row],[Up150]]-1+TabCalc[[#This Row],[Up150]]</f>
        <v>#VALUE!</v>
      </c>
      <c r="S64" s="886">
        <f ca="1">IFERROR(SUMPRODUCT(DataShift!F1556:Z1556,DataShift!AB763:AV763)/SQRT(SUMPRODUCT(DataShift!F1556:Z1556,DataShift!F1556:Z1556)*SUMPRODUCT(DataShift!AB763:AV763,DataShift!AB763:AV763)),0)</f>
        <v>-0.82835669737722994</v>
      </c>
      <c r="T64" s="886">
        <f ca="1">IFERROR(SUMPRODUCT(DataShift!F1556:Z1556,DataShift!F763:Z763)/SQRT(SUMPRODUCT(DataShift!F1556:Z1556,DataShift!F1556:Z1556)*SUMPRODUCT(DataShift!F763:Z763,DataShift!F763:Z763)),0)</f>
        <v>-7.947339235094459E-3</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1428</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47">
        <f ca="1">(TabCalc[[#This Row],[M]]+TabCalc[[#This Row],[L_Bp]])/TabCalc[[#This Row],[M]]</f>
        <v>1.371237458193982E-2</v>
      </c>
      <c r="AE64" s="209">
        <f ca="1">IFERROR(MIN(TabCalc[[#This Row],[L_B1n]],TabCalc[[#This Row],[NAfter]])*(TabCalc[[#This Row],[M]]+TabCalc[[#This Row],[L_B1p]])*TabCalc[[#This Row],[Scale]],"")</f>
        <v>-8319.9999999999982</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29090.000000000004</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27250</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4770</v>
      </c>
      <c r="AR64" s="332">
        <f ca="1">_xlfn.LET(_xlpm.MVToday,DataShift!AV564,         _xlpm.MVY,DataShift!AU564,        _xlpm.MVYY, DataShift!AT564,                                IF(_xlpm.MVToday=_xlpm.MVY,_xlpm.MVY-_xlpm.MVYY,_xlpm.MVToday-_xlpm.MVY))</f>
        <v>1382.2578000000212</v>
      </c>
      <c r="AS64" s="332">
        <f ca="1">_xlfn.LET(_xlpm.MVToday,DataShift!AV564,         _xlpm.MVY,DataShift!AU564,        _xlpm.MVYY, DataShift!AT564,         _xlpm.MVYYY, DataShift!AS564,                      IF(_xlpm.MVToday=_xlpm.MVY,      _xlpm.MVYY-_xlpm.MVYYY,          _xlpm.MVY-_xlpm.MVYY))</f>
        <v>-987.32699999999022</v>
      </c>
      <c r="AT64" s="969">
        <f ca="1">TabCalc[[#This Row],[Y]]/TabCalc[[#This Row],[M]]</f>
        <v>1.370043000477783</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-7.740902749689563</v>
      </c>
      <c r="AZ64" s="80">
        <f t="shared" ca="1" si="5"/>
        <v>100</v>
      </c>
      <c r="BA64" s="88">
        <f ca="1">_xlfn.XLOOKUP(TabCalc[[#This Row],[Ticker]],[1]!RTData[Ticker_Symbol],[1]!RTData[V/VA])</f>
        <v>1.6723113482056255</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1.6723113482056255</v>
      </c>
      <c r="BD64" s="85" cm="1">
        <f t="array" aca="1" ref="BD64" ca="1">INDEX(TabReg[], 1, _xlfn.XMATCH(TabCalc[[#This Row],[Ticker]]&amp;1, TabReg[#Headers], 0))</f>
        <v>1000</v>
      </c>
      <c r="BE64" s="157">
        <f ca="1">TabCalc[[#This Row],[Nbegin]]*TabCalc[[#This Row],[M]]*TabCalc[[#This Row],[Scale]]+TabCalc[[#This Row],[ValueBegin]]</f>
        <v>64740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43301.400999999983</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47795.5682315999</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236.55</v>
      </c>
      <c r="BS64" s="172" t="str">
        <f ca="1">IF(TabCalc[[#This Row],[EfCost]]+TabCalc[[#This Row],[M_V]]&lt;TabCalc[[#This Row],[NoT_GL]],"Pile","")</f>
        <v>Pile</v>
      </c>
      <c r="BT64" s="163">
        <f ca="1">_xlfn.XLOOKUP(TabCalc[[#This Row],[Ticker]],[1]!RTData[Ticker_Symbol],[1]!RTData[Last trade time])</f>
        <v>46002.865115740744</v>
      </c>
      <c r="BU64" s="173">
        <f ca="1">(TabCalc[[#This Row],[ValueBegin]]+(TabCalc[[#This Row],[M]]-TabCalc[[#This Row],[A]])*TabCalc[[#This Row],[NAfter]])*TabCalc[[#This Row],[Scale]]</f>
        <v>-162095.41576999996</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-17535.415769999971</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85.940185630800954</v>
      </c>
      <c r="CX64" s="402">
        <f ca="1">IF(TabCalc[[#This Row],[ntoBuy]]*TabCalc[[#This Row],[M]]&lt;=0,0,TabCalc[[#This Row],[ntoBuy]]*TabCalc[[#This Row],[M]])</f>
        <v>17987.280852526641</v>
      </c>
      <c r="CY64" s="402">
        <f ca="1">IF(TabCalc[[#This Row],[M]]&gt;ABS(TabCalc[[#This Row],[L_Bp]]),MIN(TabCalc[[#This Row],[NAfter]],DesiredSaleGain/(TabCalc[[#This Row],[M]]+TabCalc[[#This Row],[L_Bp]])),0)/TabCalc[[#This Row],[Scale]]</f>
        <v>900</v>
      </c>
      <c r="CZ64" s="403">
        <f ca="1">TabCalc[[#This Row],[ntoSell]]*TabCalc[[#This Row],[M]]</f>
        <v>188370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-17535.415769999971</v>
      </c>
      <c r="DD64" s="88">
        <f ca="1">IFERROR((TabCalc[[#This Row],[M]]+TabCalc[[#This Row],[L_Bp]])/ABS(TabCalc[[#This Row],[L_Bp]])/(TODAY()-TabCalc[[#This Row],[L_Bdate]])*360,"")</f>
        <v>0.62563580874872937</v>
      </c>
      <c r="DE64" s="308">
        <f ca="1">MEDIAN(DataShift!F763:Z763)</f>
        <v>3.6470000000000003E-4</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209300</v>
      </c>
      <c r="DH64" s="85" cm="1">
        <f t="array" aca="1" ref="DH64" ca="1">SUMPRODUCT(ISNUMBER(INDIRECT("TabReg["&amp;TabCalc[[#This Row],[Ticker]]&amp;"2]"))* INDIRECT("TabReg["&amp;TabCalc[[#This Row],[Ticker]]&amp;"1]") * INDIRECT("TabReg["&amp;TabCalc[[#This Row],[Ticker]]&amp;"2]") )*TabCalc[[#This Row],[Scale]]</f>
        <v>-139215.43300000008</v>
      </c>
      <c r="DK64" s="85">
        <f ca="1"/>
        <v>55500</v>
      </c>
      <c r="DL64" s="88">
        <f t="shared" ca="1" si="3"/>
        <v>-5.8266440196011207</v>
      </c>
      <c r="DM64" t="str">
        <f ca="1">_xlfn.XLOOKUP(DK64,TabCalc[Column1],TabCalc[Ticker])</f>
        <v>NOTE</v>
      </c>
      <c r="DN64" s="85">
        <f ca="1">_xlfn.XLOOKUP(DM64,TabCalc[Ticker],TabCalc[ValueBegin])</f>
        <v>-35700</v>
      </c>
      <c r="DO64" s="85">
        <f ca="1">_xlfn.XLOOKUP(DM64,TabCalc[Ticker],TabCalc[M_V])</f>
        <v>92250.25</v>
      </c>
      <c r="DP64" s="85">
        <f ca="1">_xlfn.XLOOKUP(DM64,TabCalc[Ticker],TabCalc[GL])</f>
        <v>-208011.19149976</v>
      </c>
      <c r="DQ64" s="88"/>
      <c r="DR64" s="88"/>
      <c r="DS64" s="86" t="s">
        <v>60</v>
      </c>
      <c r="DT64" s="80">
        <v>10000</v>
      </c>
      <c r="DU64" s="313">
        <v>-24.316700000000001</v>
      </c>
      <c r="DW64" s="80">
        <v>90646.05</v>
      </c>
      <c r="DX64" s="80">
        <f ca="1">DW64-TabCalc[[#This Row],[M_V]]</f>
        <v>-97215.350999999981</v>
      </c>
    </row>
    <row r="65" spans="1:128">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21082.921999999999</v>
      </c>
      <c r="G65" s="80">
        <f ca="1">IFERROR(TabCalc[[#This Row],[SB]]-TabCalc[[#This Row],[SST]],TabCalc[[#This Row],[SB]])</f>
        <v>560</v>
      </c>
      <c r="H65" s="530" t="str">
        <f ca="1">[1]!RTData[[#This Row],[Ticker_Symbol]]</f>
        <v>MVEUN0</v>
      </c>
      <c r="I65" s="381">
        <f ca="1">_xlfn.XLOOKUP(TabCalc[[#This Row],[Ticker]],[1]!RTData[Ticker_Symbol],[1]!RTData[M-Price])</f>
        <v>37.75</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-7.8840000000000004E-3</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-0.78940804119028485</v>
      </c>
      <c r="T65" s="886">
        <f ca="1">IFERROR(SUMPRODUCT(DataShift!F1557:Z1557,DataShift!F764:Z764)/SQRT(SUMPRODUCT(DataShift!F1557:Z1557,DataShift!F1557:Z1557)*SUMPRODUCT(DataShift!F764:Z764,DataShift!F764:Z764)),0)</f>
        <v>-1.4882169264411344E-2</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-624 = $ -23,556</v>
      </c>
      <c r="Z65" s="209">
        <f ca="1">INT(MIN(TabCalc[[#This Row],[L_Bn]],TabCalc[[#This Row],[NAfter]])*(TabCalc[[#This Row],[M]]+TabCalc[[#This Row],[L_Bp]])*Comm_Net*TabCalc[[#This Row],[Scale]])</f>
        <v>12</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47">
        <f ca="1">(TabCalc[[#This Row],[M]]+TabCalc[[#This Row],[L_Bp]])/TabCalc[[#This Row],[M]]</f>
        <v>8.6092715231788838E-3</v>
      </c>
      <c r="AE65" s="209">
        <f ca="1">IFERROR(MIN(TabCalc[[#This Row],[L_B1n]],TabCalc[[#This Row],[NAfter]])*(TabCalc[[#This Row],[M]]+TabCalc[[#This Row],[L_B1p]])*TabCalc[[#This Row],[Scale]],"")</f>
        <v>-1.3499999999999872</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3991.8399999999997</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6737.5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-560</v>
      </c>
      <c r="AR65" s="332">
        <f ca="1">_xlfn.LET(_xlpm.MVToday,DataShift!AV565,         _xlpm.MVY,DataShift!AU565,        _xlpm.MVYY, DataShift!AT565,                                IF(_xlpm.MVToday=_xlpm.MVY,_xlpm.MVY-_xlpm.MVYY,_xlpm.MVToday-_xlpm.MVY))</f>
        <v>-0.19946000000000197</v>
      </c>
      <c r="AS65" s="332">
        <f ca="1">_xlfn.LET(_xlpm.MVToday,DataShift!AV565,         _xlpm.MVY,DataShift!AU565,        _xlpm.MVYY, DataShift!AT565,         _xlpm.MVYYY, DataShift!AS565,                      IF(_xlpm.MVToday=_xlpm.MVY,      _xlpm.MVYY-_xlpm.MVYYY,          _xlpm.MVY-_xlpm.MVYY))</f>
        <v>-0.19945999999999486</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Resell</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9.2452830188679246E-3</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9.2452830188679246E-3</v>
      </c>
      <c r="BD65" s="85" cm="1">
        <f t="array" aca="1" ref="BD65" ca="1">INDEX(TabReg[], 1, _xlfn.XMATCH(TabCalc[[#This Row],[Ticker]]&amp;1, TabReg[#Headers], 0))</f>
        <v>45</v>
      </c>
      <c r="BE65" s="157">
        <f ca="1">TabCalc[[#This Row],[Nbegin]]*TabCalc[[#This Row],[M]]*TabCalc[[#This Row],[Scale]]+TabCalc[[#This Row],[ValueBegin]]</f>
        <v>-1844.6714999999999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17539.500499999998</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4064.5239648999959</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47.08</v>
      </c>
      <c r="BS65" s="172" t="str">
        <f ca="1">IF(TabCalc[[#This Row],[EfCost]]+TabCalc[[#This Row],[M_V]]&lt;TabCalc[[#This Row],[NoT_GL]],"Pile","")</f>
        <v/>
      </c>
      <c r="BT65" s="163">
        <f ca="1">_xlfn.XLOOKUP(TabCalc[[#This Row],[Ticker]],[1]!RTData[Ticker_Symbol],[1]!RTData[Last trade time])</f>
        <v>46002.863888888889</v>
      </c>
      <c r="BU65" s="173">
        <f ca="1">(TabCalc[[#This Row],[ValueBegin]]+(TabCalc[[#This Row],[M]]-TabCalc[[#This Row],[A]])*TabCalc[[#This Row],[NAfter]])*TabCalc[[#This Row],[Scale]]</f>
        <v>-5951.2420629999997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-2407.8205629999998</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611.24694376528123</v>
      </c>
      <c r="CX65" s="402">
        <f ca="1">IF(TabCalc[[#This Row],[ntoBuy]]*TabCalc[[#This Row],[M]]&lt;=0,0,TabCalc[[#This Row],[ntoBuy]]*TabCalc[[#This Row],[M]])</f>
        <v>23074.572127139367</v>
      </c>
      <c r="CY65" s="402">
        <f ca="1">IF(TabCalc[[#This Row],[M]]&gt;ABS(TabCalc[[#This Row],[L_Bp]]),MIN(TabCalc[[#This Row],[NAfter]],DesiredSaleGain/(TabCalc[[#This Row],[M]]+TabCalc[[#This Row],[L_Bp]])),0)/TabCalc[[#This Row],[Scale]]</f>
        <v>560</v>
      </c>
      <c r="CZ65" s="403">
        <f ca="1">TabCalc[[#This Row],[ntoSell]]*TabCalc[[#This Row],[M]]</f>
        <v>21140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-2407.8205629999998</v>
      </c>
      <c r="DD65" s="88">
        <f ca="1">IFERROR((TabCalc[[#This Row],[M]]+TabCalc[[#This Row],[L_Bp]])/ABS(TabCalc[[#This Row],[L_Bp]])/(TODAY()-TabCalc[[#This Row],[L_Bdate]])*360,"")</f>
        <v>2.141268839047978E-2</v>
      </c>
      <c r="DE65" s="308">
        <f ca="1">MEDIAN(DataShift!F764:Z764)</f>
        <v>-2.2959999999999999E-3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1698.75</v>
      </c>
      <c r="DH65" s="85" cm="1">
        <f t="array" aca="1" ref="DH65" ca="1">SUMPRODUCT(ISNUMBER(INDIRECT("TabReg["&amp;TabCalc[[#This Row],[Ticker]]&amp;"2]"))* INDIRECT("TabReg["&amp;TabCalc[[#This Row],[Ticker]]&amp;"1]") * INDIRECT("TabReg["&amp;TabCalc[[#This Row],[Ticker]]&amp;"2]") )*TabCalc[[#This Row],[Scale]]</f>
        <v>-16919.591500000002</v>
      </c>
      <c r="DK65" s="85">
        <f ca="1"/>
        <v>46260</v>
      </c>
      <c r="DL65" s="88">
        <f t="shared" ca="1" si="3"/>
        <v>-1.4147197586181819</v>
      </c>
      <c r="DM65" t="str">
        <f ca="1">_xlfn.XLOOKUP(DK65,TabCalc[Column1],TabCalc[Ticker])</f>
        <v>MVEDSY</v>
      </c>
      <c r="DN65" s="85">
        <f ca="1">_xlfn.XLOOKUP(DM65,TabCalc[Ticker],TabCalc[ValueBegin])</f>
        <v>-88000</v>
      </c>
      <c r="DO65" s="85">
        <f ca="1">_xlfn.XLOOKUP(DM65,TabCalc[Ticker],TabCalc[M_V])</f>
        <v>276810.58799999999</v>
      </c>
      <c r="DP65" s="85">
        <f ca="1">_xlfn.XLOOKUP(DM65,TabCalc[Ticker],TabCalc[GL])</f>
        <v>-124495.3387584</v>
      </c>
      <c r="DQ65" s="88"/>
      <c r="DR65" s="88"/>
      <c r="DS65" s="86" t="s">
        <v>61</v>
      </c>
      <c r="DT65" s="79">
        <v>45</v>
      </c>
      <c r="DU65" s="313">
        <v>-78.742699999999999</v>
      </c>
      <c r="DW65" s="80">
        <v>16576</v>
      </c>
      <c r="DX65" s="80">
        <f ca="1">DW65-TabCalc[[#This Row],[M_V]]</f>
        <v>-4506.9219999999987</v>
      </c>
    </row>
    <row r="66" spans="1:128">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97047.761649999986</v>
      </c>
      <c r="G66" s="80">
        <f ca="1">IFERROR(TabCalc[[#This Row],[SB]]-TabCalc[[#This Row],[SST]],TabCalc[[#This Row],[SB]])</f>
        <v>350</v>
      </c>
      <c r="H66" s="530" t="str">
        <f ca="1">[1]!RTData[[#This Row],[Ticker_Symbol]]</f>
        <v>SAFAAPL</v>
      </c>
      <c r="I66" s="381">
        <f ca="1">_xlfn.XLOOKUP(TabCalc[[#This Row],[Ticker]],[1]!RTData[Ticker_Symbol],[1]!RTData[M-Price])</f>
        <v>278.02999999999997</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-2.6900000000000001E-3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-0.91379497036549973</v>
      </c>
      <c r="T66" s="886">
        <f ca="1">IFERROR(SUMPRODUCT(DataShift!F1558:Z1558,DataShift!F765:Z765)/SQRT(SUMPRODUCT(DataShift!F1558:Z1558,DataShift!F1558:Z1558)*SUMPRODUCT(DataShift!F765:Z765,DataShift!F765:Z765)),0)</f>
        <v>0.18263220896717233</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22914</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47">
        <f ca="1">(TabCalc[[#This Row],[M]]+TabCalc[[#This Row],[L_Bp]])/TabCalc[[#This Row],[M]]</f>
        <v>0.28496924792288592</v>
      </c>
      <c r="AE66" s="209">
        <f ca="1">IFERROR(MIN(TabCalc[[#This Row],[L_B1n]],TabCalc[[#This Row],[NAfter]])*(TabCalc[[#This Row],[M]]+TabCalc[[#This Row],[L_B1p]])*TabCalc[[#This Row],[Scale]],"")</f>
        <v>25578.23799999999</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-2704.4999999999959</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-14345.999999999989</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-336.00000000001455</v>
      </c>
      <c r="AR66" s="332">
        <f ca="1">_xlfn.LET(_xlpm.MVToday,DataShift!AV566,         _xlpm.MVY,DataShift!AU566,        _xlpm.MVYY, DataShift!AT566,                                IF(_xlpm.MVToday=_xlpm.MVY,_xlpm.MVY-_xlpm.MVYY,_xlpm.MVToday-_xlpm.MVY))</f>
        <v>-1480.9905000000144</v>
      </c>
      <c r="AS66" s="332">
        <f ca="1">_xlfn.LET(_xlpm.MVToday,DataShift!AV566,         _xlpm.MVY,DataShift!AU566,        _xlpm.MVYY, DataShift!AT566,         _xlpm.MVYYY, DataShift!AS566,                      IF(_xlpm.MVToday=_xlpm.MVY,      _xlpm.MVYY-_xlpm.MVYYY,          _xlpm.MVY-_xlpm.MVYY))</f>
        <v>852.69150000001537</v>
      </c>
      <c r="AT66" s="969">
        <f ca="1">TabCalc[[#This Row],[Y]]/TabCalc[[#This Row],[M]]</f>
        <v>1.0199522713376257</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-2.1651542267124685E-3</v>
      </c>
      <c r="AZ66" s="80">
        <f t="shared" ca="1" si="5"/>
        <v>150</v>
      </c>
      <c r="BA66" s="88">
        <f ca="1">_xlfn.XLOOKUP(TabCalc[[#This Row],[Ticker]],[1]!RTData[Ticker_Symbol],[1]!RTData[V/VA])</f>
        <v>0.70047433150034832</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0.70047433150034832</v>
      </c>
      <c r="BD66" s="85" cm="1">
        <f t="array" aca="1" ref="BD66" ca="1">INDEX(TabReg[], 1, _xlfn.XMATCH(TabCalc[[#This Row],[Ticker]]&amp;1, TabReg[#Headers], 0))</f>
        <v>500</v>
      </c>
      <c r="BE66" s="157">
        <f ca="1">TabCalc[[#This Row],[Nbegin]]*TabCalc[[#This Row],[M]]*TabCalc[[#This Row],[Scale]]+TabCalc[[#This Row],[ValueBegin]]</f>
        <v>104591.39999999998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62624.161649999965</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129434.92005370995</v>
      </c>
      <c r="BN66" s="157">
        <f ca="1">IF(        OR( TabCalc[[#This Row],[GL]]&gt;ABS(TabCalc[[#This Row],[EfCost]]),TabCalc[[#This Row],[NAfter]]=0),             TabCalc[[#This Row],[GL]],     0)</f>
        <v>129434.92005370995</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46002.876048506252</v>
      </c>
      <c r="BU66" s="173">
        <f ca="1">(TabCalc[[#This Row],[ValueBegin]]+(TabCalc[[#This Row],[M]]-TabCalc[[#This Row],[A]])*TabCalc[[#This Row],[NAfter]])*TabCalc[[#This Row],[Scale]]</f>
        <v>-7243.9264939200148</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27179.673506080006</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63.1074088097943</v>
      </c>
      <c r="CZ66" s="403">
        <f ca="1">TabCalc[[#This Row],[ntoSell]]*TabCalc[[#This Row],[M]]</f>
        <v>17545.752871387107</v>
      </c>
      <c r="DA66" s="396">
        <f ca="1">_xlfn.LET(_xlpm.nToSell,IF(TabCalc[[#This Row],[M]]-TabCalc[[#This Row],[A]]&lt;=0,"",INT(DesiredSaleGain/(TabCalc[[#This Row],[M]]-IF(TabCalc[[#This Row],[E]]&gt;0,0,TabCalc[[#This Row],[A]])))),IF(_xlpm.nToSell&lt;=TabCalc[[#This Row],[NAfter]],_xlpm.nToSell,0))</f>
        <v>64</v>
      </c>
      <c r="DB66" s="334">
        <f ca="1">IFERROR(TabCalc[[#This Row],[NMA]]*TabCalc[[#This Row],[M]],"")</f>
        <v>17793.919999999998</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27179.673506080006</v>
      </c>
      <c r="DD66" s="88">
        <f ca="1">IFERROR((TabCalc[[#This Row],[M]]+TabCalc[[#This Row],[L_Bp]])/ABS(TabCalc[[#This Row],[L_Bp]])/(TODAY()-TabCalc[[#This Row],[L_Bdate]])*360,"")</f>
        <v>0.78401556882277235</v>
      </c>
      <c r="DE66" s="308">
        <f ca="1">MEDIAN(DataShift!F765:Z765)</f>
        <v>0</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139015</v>
      </c>
      <c r="DH66" s="85" cm="1">
        <f t="array" aca="1" ref="DH66" ca="1">SUMPRODUCT(ISNUMBER(INDIRECT("TabReg["&amp;TabCalc[[#This Row],[Ticker]]&amp;"2]"))* INDIRECT("TabReg["&amp;TabCalc[[#This Row],[Ticker]]&amp;"1]") * INDIRECT("TabReg["&amp;TabCalc[[#This Row],[Ticker]]&amp;"2]") )*TabCalc[[#This Row],[Scale]]</f>
        <v>32554.839999999967</v>
      </c>
      <c r="DK66" s="85">
        <f ca="1"/>
        <v>45320</v>
      </c>
      <c r="DL66" s="88">
        <f t="shared" ca="1" si="3"/>
        <v>-0.90311685833343902</v>
      </c>
      <c r="DM66" t="str">
        <f ca="1">_xlfn.XLOOKUP(DK66,TabCalc[Column1],TabCalc[Ticker])</f>
        <v>OXY</v>
      </c>
      <c r="DN66" s="85">
        <f ca="1">_xlfn.XLOOKUP(DM66,TabCalc[Ticker],TabCalc[ValueBegin])</f>
        <v>-78617</v>
      </c>
      <c r="DO66" s="85">
        <f ca="1">_xlfn.XLOOKUP(DM66,TabCalc[Ticker],TabCalc[M_V])</f>
        <v>164355.04</v>
      </c>
      <c r="DP66" s="85">
        <f ca="1">_xlfn.XLOOKUP(DM66,TabCalc[Ticker],TabCalc[GL])</f>
        <v>-71000.338051599974</v>
      </c>
      <c r="DQ66" s="88"/>
      <c r="DR66" s="88"/>
      <c r="DS66" s="86" t="s">
        <v>62</v>
      </c>
      <c r="DT66" s="80">
        <v>1000</v>
      </c>
      <c r="DU66" s="81">
        <v>-144.56</v>
      </c>
      <c r="DW66" s="80">
        <v>94514</v>
      </c>
      <c r="DX66" s="80">
        <f ca="1">DW66-TabCalc[[#This Row],[M_V]]</f>
        <v>-2533.7616499999858</v>
      </c>
    </row>
    <row r="67" spans="1:128">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344487.36599999998</v>
      </c>
      <c r="G67" s="80">
        <f ca="1">IFERROR(TabCalc[[#This Row],[SB]]-TabCalc[[#This Row],[SST]],TabCalc[[#This Row],[SB]])</f>
        <v>1500</v>
      </c>
      <c r="H67" s="530" t="str">
        <f ca="1">[1]!RTData[[#This Row],[Ticker_Symbol]]</f>
        <v>SAFAMZN</v>
      </c>
      <c r="I67" s="381">
        <f ca="1">_xlfn.XLOOKUP(TabCalc[[#This Row],[Ticker]],[1]!RTData[Ticker_Symbol],[1]!RTData[M-Price])</f>
        <v>230.28</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-6.4720000000000003E-3</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-0.7154643153583562</v>
      </c>
      <c r="T67" s="886">
        <f ca="1">IFERROR(SUMPRODUCT(DataShift!F1559:Z1559,DataShift!F766:Z766)/SQRT(SUMPRODUCT(DataShift!F1559:Z1559,DataShift!F1559:Z1559)*SUMPRODUCT(DataShift!F766:Z766,DataShift!F766:Z766)),0)</f>
        <v>-0.11304519841859442</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8492</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47">
        <f ca="1">(TabCalc[[#This Row],[M]]+TabCalc[[#This Row],[L_Bp]])/TabCalc[[#This Row],[M]]</f>
        <v>7.3953447976376596E-2</v>
      </c>
      <c r="AE67" s="209">
        <f ca="1">IFERROR(MIN(TabCalc[[#This Row],[L_B1n]],TabCalc[[#This Row],[NAfter]])*(TabCalc[[#This Row],[M]]+TabCalc[[#This Row],[L_B1p]])*TabCalc[[#This Row],[Scale]],"")</f>
        <v>9197.4999999999982</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-4314.9999999999982</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1219.9999999999989</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-1005</v>
      </c>
      <c r="AR67" s="332">
        <f ca="1">_xlfn.LET(_xlpm.MVToday,DataShift!AV567,         _xlpm.MVY,DataShift!AU567,        _xlpm.MVYY, DataShift!AT567,                                IF(_xlpm.MVToday=_xlpm.MVY,_xlpm.MVY-_xlpm.MVYY,_xlpm.MVToday-_xlpm.MVY))</f>
        <v>-167.54639999999927</v>
      </c>
      <c r="AS67" s="332">
        <f ca="1">_xlfn.LET(_xlpm.MVToday,DataShift!AV567,         _xlpm.MVY,DataShift!AU567,        _xlpm.MVYY, DataShift!AT567,         _xlpm.MVYYY, DataShift!AS567,                      IF(_xlpm.MVToday=_xlpm.MVY,      _xlpm.MVYY-_xlpm.MVYYY,          _xlpm.MVY-_xlpm.MVYY))</f>
        <v>27.924399999999878</v>
      </c>
      <c r="AT67" s="969">
        <f ca="1">TabCalc[[#This Row],[Y]]/TabCalc[[#This Row],[M]]</f>
        <v>1.2811867291992356</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-3.9960254848455476</v>
      </c>
      <c r="AZ67" s="80">
        <f t="shared" ca="1" si="5"/>
        <v>500</v>
      </c>
      <c r="BA67" s="88">
        <f ca="1">_xlfn.XLOOKUP(TabCalc[[#This Row],[Ticker]],[1]!RTData[Ticker_Symbol],[1]!RTData[V/VA])</f>
        <v>0.6326482224746578</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0.6326482224746578</v>
      </c>
      <c r="BD67" s="85" cm="1">
        <f t="array" aca="1" ref="BD67" ca="1">INDEX(TabReg[], 1, _xlfn.XMATCH(TabCalc[[#This Row],[Ticker]]&amp;1, TabReg[#Headers], 0))</f>
        <v>2000</v>
      </c>
      <c r="BE67" s="157">
        <f ca="1">TabCalc[[#This Row],[Nbegin]]*TabCalc[[#This Row],[M]]*TabCalc[[#This Row],[Scale]]+TabCalc[[#This Row],[ValueBegin]]</f>
        <v>146280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30207.36599999998</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171494.246835</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46002.876189710158</v>
      </c>
      <c r="BU67" s="173">
        <f ca="1">(TabCalc[[#This Row],[ValueBegin]]+(TabCalc[[#This Row],[M]]-TabCalc[[#This Row],[A]])*TabCalc[[#This Row],[NAfter]])*TabCalc[[#This Row],[Scale]]</f>
        <v>-276708.32999999996</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37571.670000000027</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293.59953024075162</v>
      </c>
      <c r="CZ67" s="403">
        <f ca="1">TabCalc[[#This Row],[ntoSell]]*TabCalc[[#This Row],[M]]</f>
        <v>67610.099823840283</v>
      </c>
      <c r="DA67" s="396">
        <f ca="1">_xlfn.LET(_xlpm.nToSell,IF(TabCalc[[#This Row],[M]]-TabCalc[[#This Row],[A]]&lt;=0,"",INT(DesiredSaleGain/(TabCalc[[#This Row],[M]]-IF(TabCalc[[#This Row],[E]]&gt;0,0,TabCalc[[#This Row],[A]])))),IF(_xlpm.nToSell&lt;=TabCalc[[#This Row],[NAfter]],_xlpm.nToSell,0))</f>
        <v>199</v>
      </c>
      <c r="DB67" s="334">
        <f ca="1">IFERROR(TabCalc[[#This Row],[NMA]]*TabCalc[[#This Row],[M]],"")</f>
        <v>45825.72</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37571.670000000027</v>
      </c>
      <c r="DD67" s="88">
        <f ca="1">IFERROR((TabCalc[[#This Row],[M]]+TabCalc[[#This Row],[L_Bp]])/ABS(TabCalc[[#This Row],[L_Bp]])/(TODAY()-TabCalc[[#This Row],[L_Bdate]])*360,"")</f>
        <v>0.15710030173159342</v>
      </c>
      <c r="DE67" s="308">
        <f ca="1">MEDIAN(DataShift!F766:Z766)</f>
        <v>2.9499999999999999E-3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460560</v>
      </c>
      <c r="DH67" s="85" cm="1">
        <f t="array" aca="1" ref="DH67" ca="1">SUMPRODUCT(ISNUMBER(INDIRECT("TabReg["&amp;TabCalc[[#This Row],[Ticker]]&amp;"2]"))* INDIRECT("TabReg["&amp;TabCalc[[#This Row],[Ticker]]&amp;"1]") * INDIRECT("TabReg["&amp;TabCalc[[#This Row],[Ticker]]&amp;"2]") )*TabCalc[[#This Row],[Scale]]</f>
        <v>-171651.15899999999</v>
      </c>
      <c r="DK67" s="85">
        <f ca="1"/>
        <v>44580</v>
      </c>
      <c r="DL67" s="88">
        <f t="shared" ref="DL67:DL96" ca="1" si="6">DP67/ABS(DN67)</f>
        <v>0.11015409065613367</v>
      </c>
      <c r="DM67" t="str">
        <f ca="1">_xlfn.XLOOKUP(DK67,TabCalc[Column1],TabCalc[Ticker])</f>
        <v>PROF</v>
      </c>
      <c r="DN67" s="85">
        <f ca="1">_xlfn.XLOOKUP(DM67,TabCalc[Ticker],TabCalc[ValueBegin])</f>
        <v>-91140</v>
      </c>
      <c r="DO67" s="85">
        <f ca="1">_xlfn.XLOOKUP(DM67,TabCalc[Ticker],TabCalc[M_V])</f>
        <v>29639.755999999998</v>
      </c>
      <c r="DP67" s="85">
        <f ca="1">_xlfn.XLOOKUP(DM67,TabCalc[Ticker],TabCalc[GL])</f>
        <v>10039.443822400022</v>
      </c>
      <c r="DQ67" s="88"/>
      <c r="DR67" s="88"/>
      <c r="DS67" s="86" t="s">
        <v>63</v>
      </c>
      <c r="DT67" s="79">
        <v>200000</v>
      </c>
      <c r="DU67" s="313">
        <v>-166</v>
      </c>
      <c r="DW67" s="80">
        <v>373980</v>
      </c>
      <c r="DX67" s="80">
        <f ca="1">DW67-TabCalc[[#This Row],[M_V]]</f>
        <v>29492.63400000002</v>
      </c>
    </row>
    <row r="68" spans="1:128">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940.9</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-5.391E-3</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v>
      </c>
      <c r="T68" s="886">
        <f ca="1">IFERROR(SUMPRODUCT(DataShift!F1560:Z1560,DataShift!F767:Z767)/SQRT(SUMPRODUCT(DataShift!F1560:Z1560,DataShift!F1560:Z1560)*SUMPRODUCT(DataShift!F767:Z767,DataShift!F767:Z767)),0)</f>
        <v>0</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47">
        <f ca="1">(TabCalc[[#This Row],[M]]+TabCalc[[#This Row],[L_Bp]])/TabCalc[[#This Row],[M]]</f>
        <v>0.36750983101286</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5534.9999999999964</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-15157.799999999996</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-261.79124999999476</v>
      </c>
      <c r="AS68" s="332">
        <f ca="1">_xlfn.LET(_xlpm.MVToday,DataShift!AV568,         _xlpm.MVY,DataShift!AU568,        _xlpm.MVYY, DataShift!AT568,         _xlpm.MVYYY, DataShift!AS568,                      IF(_xlpm.MVToday=_xlpm.MVY,      _xlpm.MVYY-_xlpm.MVYYY,          _xlpm.MVY-_xlpm.MVYY))</f>
        <v>418.86599999997998</v>
      </c>
      <c r="AT68" s="969">
        <f ca="1">TabCalc[[#This Row],[Y]]/TabCalc[[#This Row],[M]]</f>
        <v>1.0451901371027739</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-8.3076681917936546E-2</v>
      </c>
      <c r="AZ68" s="80">
        <f t="shared" ca="1" si="5"/>
        <v>160</v>
      </c>
      <c r="BA68" s="88">
        <f ca="1">_xlfn.XLOOKUP(TabCalc[[#This Row],[Ticker]],[1]!RTData[Ticker_Symbol],[1]!RTData[V/VA])</f>
        <v>0.96938852069526071</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0.96938852069526071</v>
      </c>
      <c r="BD68" s="85" cm="1">
        <f t="array" aca="1" ref="BD68" ca="1">INDEX(TabReg[], 1, _xlfn.XMATCH(TabCalc[[#This Row],[Ticker]]&amp;1, TabReg[#Headers], 0))</f>
        <v>160</v>
      </c>
      <c r="BE68" s="157">
        <f ca="1">TabCalc[[#This Row],[Nbegin]]*TabCalc[[#This Row],[M]]*TabCalc[[#This Row],[Scale]]+TabCalc[[#This Row],[ValueBegin]]</f>
        <v>50857.600000000006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46002.708333333336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225.83559168925038</v>
      </c>
      <c r="CX68" s="402">
        <f ca="1">IF(TabCalc[[#This Row],[ntoBuy]]*TabCalc[[#This Row],[M]]&lt;=0,0,TabCalc[[#This Row],[ntoBuy]]*TabCalc[[#This Row],[M]])</f>
        <v>212488.70822041569</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1.6470772226718622</v>
      </c>
      <c r="DE68" s="308">
        <f ca="1">MEDIAN(DataShift!F767:Z767)</f>
        <v>3.703E-4</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150544</v>
      </c>
      <c r="DH68" s="85" cm="1">
        <f t="array" aca="1" ref="DH68" ca="1">SUMPRODUCT(ISNUMBER(INDIRECT("TabReg["&amp;TabCalc[[#This Row],[Ticker]]&amp;"2]"))* INDIRECT("TabReg["&amp;TabCalc[[#This Row],[Ticker]]&amp;"1]") * INDIRECT("TabReg["&amp;TabCalc[[#This Row],[Ticker]]&amp;"2]") )*TabCalc[[#This Row],[Scale]]</f>
        <v>199315.55800000002</v>
      </c>
      <c r="DK68" s="85">
        <f ca="1"/>
        <v>39018</v>
      </c>
      <c r="DL68" s="88">
        <f t="shared" ca="1" si="6"/>
        <v>0.31722202896435553</v>
      </c>
      <c r="DM68" t="str">
        <f ca="1">_xlfn.XLOOKUP(DK68,TabCalc[Column1],TabCalc[Ticker])</f>
        <v>DIS</v>
      </c>
      <c r="DN68" s="85">
        <f ca="1">_xlfn.XLOOKUP(DM68,TabCalc[Ticker],TabCalc[ValueBegin])</f>
        <v>-59749.990000000005</v>
      </c>
      <c r="DO68" s="85">
        <f ca="1">_xlfn.XLOOKUP(DM68,TabCalc[Ticker],TabCalc[M_V])</f>
        <v>111179.004</v>
      </c>
      <c r="DP68" s="85">
        <f ca="1">_xlfn.XLOOKUP(DM68,TabCalc[Ticker],TabCalc[GL])</f>
        <v>18954.013058399956</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215566.39499999999</v>
      </c>
      <c r="G69" s="80">
        <f ca="1">IFERROR(TabCalc[[#This Row],[SB]]-TabCalc[[#This Row],[SST]],TabCalc[[#This Row],[SB]])</f>
        <v>110000</v>
      </c>
      <c r="H69" s="530" t="str">
        <f ca="1">[1]!RTData[[#This Row],[Ticker_Symbol]]</f>
        <v>SAFDDD</v>
      </c>
      <c r="I69" s="381">
        <f ca="1">_xlfn.XLOOKUP(TabCalc[[#This Row],[Ticker]],[1]!RTData[Ticker_Symbol],[1]!RTData[M-Price])</f>
        <v>1.9650000000000001</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0.110169</v>
      </c>
      <c r="N69" s="1041">
        <v>0</v>
      </c>
      <c r="O69" s="886">
        <f>TabCalc[[#This Row],[Up20]]-1+TabCalc[[#This Row],[Up20]]</f>
        <v>-1</v>
      </c>
      <c r="P69" s="886">
        <f>TabCalc[[#This Row],[Up20]]-TabCalc[[#This Row],[Up150]]</f>
        <v>-0.42105263157894735</v>
      </c>
      <c r="Q69" s="886">
        <v>0.42105263157894735</v>
      </c>
      <c r="R69" s="886">
        <f>TabCalc[[#This Row],[Up150]]-1+TabCalc[[#This Row],[Up150]]</f>
        <v>-0.15789473684210531</v>
      </c>
      <c r="S69" s="886">
        <f ca="1">IFERROR(SUMPRODUCT(DataShift!F1561:Z1561,DataShift!AB768:AV768)/SQRT(SUMPRODUCT(DataShift!F1561:Z1561,DataShift!F1561:Z1561)*SUMPRODUCT(DataShift!AB768:AV768,DataShift!AB768:AV768)),0)</f>
        <v>-0.86321441800238707</v>
      </c>
      <c r="T69" s="886">
        <f ca="1">IFERROR(SUMPRODUCT(DataShift!F1561:Z1561,DataShift!F768:Z768)/SQRT(SUMPRODUCT(DataShift!F1561:Z1561,DataShift!F1561:Z1561)*SUMPRODUCT(DataShift!F768:Z768,DataShift!F768:Z768)),0)</f>
        <v>0.26077041790646277</v>
      </c>
      <c r="U69" s="996">
        <v>0</v>
      </c>
      <c r="V69" s="996">
        <v>110000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753</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47">
        <f ca="1">(TabCalc[[#This Row],[M]]+TabCalc[[#This Row],[L_Bp]])/TabCalc[[#This Row],[M]]</f>
        <v>1.8320610687022915E-2</v>
      </c>
      <c r="AE69" s="209">
        <f ca="1">IFERROR(MIN(TabCalc[[#This Row],[L_B1n]],TabCalc[[#This Row],[NAfter]])*(TabCalc[[#This Row],[M]]+TabCalc[[#This Row],[L_B1p]])*TabCalc[[#This Row],[Scale]],"")</f>
        <v>-18157.5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13145</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12580</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19250</v>
      </c>
      <c r="AR69" s="332">
        <f ca="1">_xlfn.LET(_xlpm.MVToday,DataShift!AV569,         _xlpm.MVY,DataShift!AU569,        _xlpm.MVYY, DataShift!AT569,                                IF(_xlpm.MVToday=_xlpm.MVY,_xlpm.MVY-_xlpm.MVYY,_xlpm.MVToday-_xlpm.MVY))</f>
        <v>-2243.9249999999884</v>
      </c>
      <c r="AS69" s="332">
        <f ca="1">_xlfn.LET(_xlpm.MVToday,DataShift!AV569,         _xlpm.MVY,DataShift!AU569,        _xlpm.MVYY, DataShift!AT569,         _xlpm.MVYYY, DataShift!AS569,                      IF(_xlpm.MVToday=_xlpm.MVY,      _xlpm.MVYY-_xlpm.MVYYY,          _xlpm.MVY-_xlpm.MVYY))</f>
        <v>6077.8952550000395</v>
      </c>
      <c r="AT69" s="969">
        <f ca="1">TabCalc[[#This Row],[Y]]/TabCalc[[#This Row],[M]]</f>
        <v>1.8447837150127226</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-0.64217544967974016</v>
      </c>
      <c r="AZ69" s="80">
        <f t="shared" ref="AZ69:AZ96" ca="1" si="8">IF(G69&lt;C69,C69-G69,0)</f>
        <v>0</v>
      </c>
      <c r="BA69" s="88">
        <f ca="1">_xlfn.XLOOKUP(TabCalc[[#This Row],[Ticker]],[1]!RTData[Ticker_Symbol],[1]!RTData[V/VA])</f>
        <v>1.5342978323128995</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1.5342978323128995</v>
      </c>
      <c r="BD69" s="85" cm="1">
        <f t="array" aca="1" ref="BD69" ca="1">INDEX(TabReg[], 1, _xlfn.XMATCH(TabCalc[[#This Row],[Ticker]]&amp;1, TabReg[#Headers], 0))</f>
        <v>850</v>
      </c>
      <c r="BE69" s="157">
        <f ca="1">TabCalc[[#This Row],[Nbegin]]*TabCalc[[#This Row],[M]]*TabCalc[[#This Row],[Scale]]+TabCalc[[#This Row],[ValueBegin]]</f>
        <v>-40498.25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173397.89499999999</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-168065.40021899997</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4.82</v>
      </c>
      <c r="BS69" s="172" t="str">
        <f ca="1">IF(TabCalc[[#This Row],[EfCost]]+TabCalc[[#This Row],[M_V]]&lt;TabCalc[[#This Row],[NoT_GL]],"Pile","")</f>
        <v>Pile</v>
      </c>
      <c r="BT69" s="163">
        <f ca="1">_xlfn.XLOOKUP(TabCalc[[#This Row],[Ticker]],[1]!RTData[Ticker_Symbol],[1]!RTData[Last trade time])</f>
        <v>46002.876046238278</v>
      </c>
      <c r="BU69" s="173">
        <f ca="1">(TabCalc[[#This Row],[ValueBegin]]+(TabCalc[[#This Row],[M]]-TabCalc[[#This Row],[A]])*TabCalc[[#This Row],[NAfter]])*TabCalc[[#This Row],[Scale]]</f>
        <v>-188108.9939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-145940.4939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4184.100418410042</v>
      </c>
      <c r="CX69" s="402">
        <f ca="1">IF(TabCalc[[#This Row],[ntoBuy]]*TabCalc[[#This Row],[M]]&lt;=0,0,TabCalc[[#This Row],[ntoBuy]]*TabCalc[[#This Row],[M]])</f>
        <v>8221.757322175732</v>
      </c>
      <c r="CY69" s="402">
        <f ca="1">IF(TabCalc[[#This Row],[M]]&gt;ABS(TabCalc[[#This Row],[L_Bp]]),MIN(TabCalc[[#This Row],[NAfter]],DesiredSaleGain/(TabCalc[[#This Row],[M]]+TabCalc[[#This Row],[L_Bp]])),0)/TabCalc[[#This Row],[Scale]]</f>
        <v>110000</v>
      </c>
      <c r="CZ69" s="403">
        <f ca="1">TabCalc[[#This Row],[ntoSell]]*TabCalc[[#This Row],[M]]</f>
        <v>216150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-145940.4939</v>
      </c>
      <c r="DD69" s="88">
        <f ca="1">IFERROR((TabCalc[[#This Row],[M]]+TabCalc[[#This Row],[L_Bp]])/ABS(TabCalc[[#This Row],[L_Bp]])/(TODAY()-TabCalc[[#This Row],[L_Bdate]])*360,"")</f>
        <v>3.169107074738111E-2</v>
      </c>
      <c r="DE69" s="308">
        <f ca="1">MEDIAN(DataShift!F768:Z768)</f>
        <v>-2.2209999999999999E-3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1670.25</v>
      </c>
      <c r="DH69" s="85" cm="1">
        <f t="array" aca="1" ref="DH69" ca="1">SUMPRODUCT(ISNUMBER(INDIRECT("TabReg["&amp;TabCalc[[#This Row],[Ticker]]&amp;"2]"))* INDIRECT("TabReg["&amp;TabCalc[[#This Row],[Ticker]]&amp;"1]") * INDIRECT("TabReg["&amp;TabCalc[[#This Row],[Ticker]]&amp;"2]") )*TabCalc[[#This Row],[Scale]]</f>
        <v>-382077.92</v>
      </c>
      <c r="DK69" s="85">
        <f ca="1"/>
        <v>38850</v>
      </c>
      <c r="DL69" s="88">
        <f t="shared" ca="1" si="6"/>
        <v>-1.2284616528325027</v>
      </c>
      <c r="DM69" t="str">
        <f ca="1">_xlfn.XLOOKUP(DK69,TabCalc[Column1],TabCalc[Ticker])</f>
        <v>BMRA</v>
      </c>
      <c r="DN69" s="85">
        <f ca="1">_xlfn.XLOOKUP(DM69,TabCalc[Ticker],TabCalc[ValueBegin])</f>
        <v>-103548</v>
      </c>
      <c r="DO69" s="85">
        <f ca="1">_xlfn.XLOOKUP(DM69,TabCalc[Ticker],TabCalc[M_V])</f>
        <v>32287.587499999998</v>
      </c>
      <c r="DP69" s="85">
        <f ca="1">_xlfn.XLOOKUP(DM69,TabCalc[Ticker],TabCalc[GL])</f>
        <v>-127204.74722749999</v>
      </c>
      <c r="DQ69" s="88"/>
      <c r="DR69" s="88"/>
      <c r="DS69" s="86" t="s">
        <v>65</v>
      </c>
      <c r="DT69" s="79">
        <v>2000</v>
      </c>
      <c r="DU69" s="313">
        <v>-157.13999999999999</v>
      </c>
      <c r="DW69" s="80">
        <v>288750</v>
      </c>
      <c r="DX69" s="80">
        <f ca="1">DW69-TabCalc[[#This Row],[M_V]]</f>
        <v>73183.60500000001</v>
      </c>
    </row>
    <row r="70" spans="1:128">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133414.80479999998</v>
      </c>
      <c r="G70" s="80">
        <f ca="1">IFERROR(TabCalc[[#This Row],[SB]]-TabCalc[[#This Row],[SST]],TabCalc[[#This Row],[SB]])</f>
        <v>1200</v>
      </c>
      <c r="H70" s="530" t="str">
        <f ca="1">[1]!RTData[[#This Row],[Ticker_Symbol]]</f>
        <v>SAFDIS</v>
      </c>
      <c r="I70" s="381">
        <f ca="1">_xlfn.XLOOKUP(TabCalc[[#This Row],[Ticker]],[1]!RTData[Ticker_Symbol],[1]!RTData[M-Price])</f>
        <v>111.48</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2.435E-2</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-0.74995185233359174</v>
      </c>
      <c r="T70" s="886">
        <f ca="1">IFERROR(SUMPRODUCT(DataShift!F1562:Z1562,DataShift!F769:Z769)/SQRT(SUMPRODUCT(DataShift!F1562:Z1562,DataShift!F1562:Z1562)*SUMPRODUCT(DataShift!F769:Z769,DataShift!F769:Z769)),0)</f>
        <v>1.9936563446086481E-2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-793</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47">
        <f ca="1">(TabCalc[[#This Row],[M]]+TabCalc[[#This Row],[L_Bp]])/TabCalc[[#This Row],[M]]</f>
        <v>-1.3455328310010764E-2</v>
      </c>
      <c r="AE70" s="209">
        <f ca="1">IFERROR(MIN(TabCalc[[#This Row],[L_B1n]],TabCalc[[#This Row],[NAfter]])*(TabCalc[[#This Row],[M]]+TabCalc[[#This Row],[L_B1p]])*TabCalc[[#This Row],[Scale]],"")</f>
        <v>2009.0000000000032</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3791.6999999999985</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6271.9999999999909</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2832</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1.1885860243989952</v>
      </c>
      <c r="AU70" s="295" t="str" cm="1">
        <f t="array" aca="1" ref="AU70" ca="1">IFERROR(_xlfn.IFS(          TabCalc[[#This Row],[E]]&gt;0, "Free Trade",      TabCalc[[#This Row],[A]]&lt;MIN(TabCalc[[#This Row],[L_Sp]],TabCalc[[#This Row],[M]]), "Buy",            TabCalc[[#This Row],[M]]&lt;TabCalc[[#This Row],[L_Sp]],       "Refill",       TabCalc[[#This Row],[M]]&gt;TabCalc[[#This Row],[L_Sp]],"S_more"),"")</f>
        <v>Buy</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-0.6290640348554718</v>
      </c>
      <c r="AZ70" s="80">
        <f t="shared" ca="1" si="8"/>
        <v>590</v>
      </c>
      <c r="BA70" s="88">
        <f ca="1">_xlfn.XLOOKUP(TabCalc[[#This Row],[Ticker]],[1]!RTData[Ticker_Symbol],[1]!RTData[V/VA])</f>
        <v>0.95490146509038409</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0.95490146509038409</v>
      </c>
      <c r="BD70" s="85" cm="1">
        <f t="array" aca="1" ref="BD70" ca="1">INDEX(TabReg[], 1, _xlfn.XMATCH(TabCalc[[#This Row],[Ticker]]&amp;1, TabReg[#Headers], 0))</f>
        <v>1790</v>
      </c>
      <c r="BE70" s="157">
        <f ca="1">TabCalc[[#This Row],[Nbegin]]*TabCalc[[#This Row],[M]]*TabCalc[[#This Row],[Scale]]+TabCalc[[#This Row],[ValueBegin]]</f>
        <v>12440.5</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-53693.895200000028</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36046.444619519971</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130.27</v>
      </c>
      <c r="BS70" s="172" t="str">
        <f ca="1">IF(TabCalc[[#This Row],[EfCost]]+TabCalc[[#This Row],[M_V]]&lt;TabCalc[[#This Row],[NoT_GL]],"Pile","")</f>
        <v/>
      </c>
      <c r="BT70" s="163">
        <f ca="1">_xlfn.XLOOKUP(TabCalc[[#This Row],[Ticker]],[1]!RTData[Ticker_Symbol],[1]!RTData[Last trade time])</f>
        <v>46002.876101110938</v>
      </c>
      <c r="BU70" s="173">
        <f ca="1">(TabCalc[[#This Row],[ValueBegin]]+(TabCalc[[#This Row],[M]]-TabCalc[[#This Row],[A]])*TabCalc[[#This Row],[NAfter]])*TabCalc[[#This Row],[Scale]]</f>
        <v>-186325.68506000002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783.01494000000389</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435.1610095735424</v>
      </c>
      <c r="CX70" s="402">
        <f ca="1">IF(TabCalc[[#This Row],[ntoBuy]]*TabCalc[[#This Row],[M]]&lt;=0,0,TabCalc[[#This Row],[ntoBuy]]*TabCalc[[#This Row],[M]])</f>
        <v>48511.749347258512</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783.01494000000389</v>
      </c>
      <c r="DD70" s="88">
        <f ca="1">IFERROR((TabCalc[[#This Row],[M]]+TabCalc[[#This Row],[L_Bp]])/ABS(TabCalc[[#This Row],[L_Bp]])/(TODAY()-TabCalc[[#This Row],[L_Bdate]])*360,"")</f>
        <v>-7.2418288031670927E-2</v>
      </c>
      <c r="DE70" s="308">
        <f ca="1">MEDIAN(DataShift!F769:Z769)</f>
        <v>-5.9540000000000001E-3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199549.2</v>
      </c>
      <c r="DH70" s="85" cm="1">
        <f t="array" aca="1" ref="DH70" ca="1">SUMPRODUCT(ISNUMBER(INDIRECT("TabReg["&amp;TabCalc[[#This Row],[Ticker]]&amp;"2]"))* INDIRECT("TabReg["&amp;TabCalc[[#This Row],[Ticker]]&amp;"1]") * INDIRECT("TabReg["&amp;TabCalc[[#This Row],[Ticker]]&amp;"2]") )*TabCalc[[#This Row],[Scale]]</f>
        <v>-96769.880000000019</v>
      </c>
      <c r="DK70" s="85">
        <f ca="1"/>
        <v>33553</v>
      </c>
      <c r="DL70" s="88">
        <f t="shared" ca="1" si="6"/>
        <v>0.84848838353342204</v>
      </c>
      <c r="DM70" t="str">
        <f ca="1">_xlfn.XLOOKUP(DK70,TabCalc[Column1],TabCalc[Ticker])</f>
        <v>PFE</v>
      </c>
      <c r="DN70" s="85">
        <f ca="1">_xlfn.XLOOKUP(DM70,TabCalc[Ticker],TabCalc[ValueBegin])</f>
        <v>-53976.000000000007</v>
      </c>
      <c r="DO70" s="85">
        <f ca="1">_xlfn.XLOOKUP(DM70,TabCalc[Ticker],TabCalc[M_V])</f>
        <v>51480.625999999997</v>
      </c>
      <c r="DP70" s="85">
        <f ca="1">_xlfn.XLOOKUP(DM70,TabCalc[Ticker],TabCalc[GL])</f>
        <v>45798.008989599992</v>
      </c>
      <c r="DQ70" s="88"/>
      <c r="DR70" s="88"/>
      <c r="DS70" s="86" t="s">
        <v>66</v>
      </c>
      <c r="DT70" s="80">
        <v>500</v>
      </c>
      <c r="DU70" s="313">
        <v>-68.847200000000043</v>
      </c>
      <c r="DW70" s="80">
        <v>133764</v>
      </c>
      <c r="DX70" s="80">
        <f ca="1">DW70-TabCalc[[#This Row],[M_V]]</f>
        <v>349.19520000001648</v>
      </c>
    </row>
    <row r="71" spans="1:128">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80.844999999999999</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5.5690000000000004E-4</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v>
      </c>
      <c r="T71" s="886">
        <f ca="1">IFERROR(SUMPRODUCT(DataShift!F1563:Z1563,DataShift!F770:Z770)/SQRT(SUMPRODUCT(DataShift!F1563:Z1563,DataShift!F1563:Z1563)*SUMPRODUCT(DataShift!F770:Z770,DataShift!F770:Z770)),0)</f>
        <v>0</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47">
        <f ca="1">(TabCalc[[#This Row],[M]]+TabCalc[[#This Row],[L_Bp]])/TabCalc[[#This Row],[M]]</f>
        <v>0.44807965860597443</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-64423.199999999997</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-128739.19999999998</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21392.084999999992</v>
      </c>
      <c r="AS71" s="332">
        <f ca="1">_xlfn.LET(_xlpm.MVToday,DataShift!AV571,         _xlpm.MVY,DataShift!AU571,        _xlpm.MVYY, DataShift!AT571,         _xlpm.MVYYY, DataShift!AS571,                      IF(_xlpm.MVToday=_xlpm.MVY,      _xlpm.MVYY-_xlpm.MVYYY,          _xlpm.MVY-_xlpm.MVYY))</f>
        <v>548.51500000001397</v>
      </c>
      <c r="AT71" s="969">
        <f ca="1">TabCalc[[#This Row],[Y]]/TabCalc[[#This Row],[M]]</f>
        <v>0.91866200754530269</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4.7356299319782261E-2</v>
      </c>
      <c r="AZ71" s="80">
        <f t="shared" ca="1" si="8"/>
        <v>3900</v>
      </c>
      <c r="BA71" s="88">
        <f ca="1">_xlfn.XLOOKUP(TabCalc[[#This Row],[Ticker]],[1]!RTData[Ticker_Symbol],[1]!RTData[V/VA])</f>
        <v>1.0689103082554057</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1.0689103082554057</v>
      </c>
      <c r="BD71" s="85" cm="1">
        <f t="array" aca="1" ref="BD71" ca="1">INDEX(TabReg[], 1, _xlfn.XMATCH(TabCalc[[#This Row],[Ticker]]&amp;1, TabReg[#Headers], 0))</f>
        <v>3900</v>
      </c>
      <c r="BE71" s="157">
        <f ca="1">TabCalc[[#This Row],[Nbegin]]*TabCalc[[#This Row],[M]]*TabCalc[[#This Row],[Scale]]+TabCalc[[#This Row],[ValueBegin]]</f>
        <v>161947.5</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46002.876132175785</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0.58570749746916517</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315295.5</v>
      </c>
      <c r="DH71" s="85" cm="1">
        <f t="array" aca="1" ref="DH71" ca="1">SUMPRODUCT(ISNUMBER(INDIRECT("TabReg["&amp;TabCalc[[#This Row],[Ticker]]&amp;"2]"))* INDIRECT("TabReg["&amp;TabCalc[[#This Row],[Ticker]]&amp;"1]") * INDIRECT("TabReg["&amp;TabCalc[[#This Row],[Ticker]]&amp;"2]") )*TabCalc[[#This Row],[Scale]]</f>
        <v>62342.085000000006</v>
      </c>
      <c r="DK71" s="85">
        <f ca="1"/>
        <v>29995</v>
      </c>
      <c r="DL71" s="88">
        <f t="shared" ca="1" si="6"/>
        <v>2.131207353372325</v>
      </c>
      <c r="DM71" t="str">
        <f ca="1">_xlfn.XLOOKUP(DK71,TabCalc[Column1],TabCalc[Ticker])</f>
        <v>RIG</v>
      </c>
      <c r="DN71" s="85">
        <f ca="1">_xlfn.XLOOKUP(DM71,TabCalc[Ticker],TabCalc[ValueBegin])</f>
        <v>-20090</v>
      </c>
      <c r="DO71" s="85">
        <f ca="1">_xlfn.XLOOKUP(DM71,TabCalc[Ticker],TabCalc[M_V])</f>
        <v>117519.33875</v>
      </c>
      <c r="DP71" s="85">
        <f ca="1">_xlfn.XLOOKUP(DM71,TabCalc[Ticker],TabCalc[GL])</f>
        <v>42815.95572925001</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397.6</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3.1120000000000002E-2</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-0.91418624551443939</v>
      </c>
      <c r="T72" s="886">
        <f ca="1">IFERROR(SUMPRODUCT(DataShift!F1564:Z1564,DataShift!F771:Z771)/SQRT(SUMPRODUCT(DataShift!F1564:Z1564,DataShift!F1564:Z1564)*SUMPRODUCT(DataShift!F771:Z771,DataShift!F771:Z771)),0)</f>
        <v>-0.15741014152848967</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47">
        <f ca="1">(TabCalc[[#This Row],[M]]+TabCalc[[#This Row],[L_Bp]])/TabCalc[[#This Row],[M]]</f>
        <v>0.50160965794768619</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-95680</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-46325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3171.4139999999898</v>
      </c>
      <c r="AS72" s="332">
        <f ca="1">_xlfn.LET(_xlpm.MVToday,DataShift!AV572,         _xlpm.MVY,DataShift!AU572,        _xlpm.MVYY, DataShift!AT572,         _xlpm.MVYYY, DataShift!AS572,                      IF(_xlpm.MVToday=_xlpm.MVY,      _xlpm.MVYY-_xlpm.MVYYY,          _xlpm.MVY-_xlpm.MVYY))</f>
        <v>2549.0987999999925</v>
      </c>
      <c r="AT72" s="969">
        <f ca="1">TabCalc[[#This Row],[Y]]/TabCalc[[#This Row],[M]]</f>
        <v>1.160889134808853</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-1.426381764423809</v>
      </c>
      <c r="AZ72" s="80">
        <f t="shared" ca="1" si="8"/>
        <v>200000</v>
      </c>
      <c r="BA72" s="88">
        <f ca="1">_xlfn.XLOOKUP(TabCalc[[#This Row],[Ticker]],[1]!RTData[Ticker_Symbol],[1]!RTData[V/VA])</f>
        <v>0.83897669667496144</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0.83897669667496144</v>
      </c>
      <c r="BD72" s="85" cm="1">
        <f t="array" aca="1" ref="BD72" ca="1">INDEX(TabReg[], 1, _xlfn.XMATCH(TabCalc[[#This Row],[Ticker]]&amp;1, TabReg[#Headers], 0))</f>
        <v>200000</v>
      </c>
      <c r="BE72" s="157">
        <f ca="1">TabCalc[[#This Row],[Nbegin]]*TabCalc[[#This Row],[M]]*TabCalc[[#This Row],[Scale]]+TabCalc[[#This Row],[ValueBegin]]</f>
        <v>463200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46002.686080821091</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0.85052909300778445</v>
      </c>
      <c r="DE72" s="308">
        <f ca="1">MEDIAN(DataShift!F771:Z771)</f>
        <v>1.1620000000000001E-3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795200</v>
      </c>
      <c r="DH72" s="85" cm="1">
        <f t="array" aca="1" ref="DH72" ca="1">SUMPRODUCT(ISNUMBER(INDIRECT("TabReg["&amp;TabCalc[[#This Row],[Ticker]]&amp;"2]"))* INDIRECT("TabReg["&amp;TabCalc[[#This Row],[Ticker]]&amp;"1]") * INDIRECT("TabReg["&amp;TabCalc[[#This Row],[Ticker]]&amp;"2]") )*TabCalc[[#This Row],[Scale]]</f>
        <v>177515</v>
      </c>
      <c r="DK72" s="85">
        <f ca="1"/>
        <v>28900</v>
      </c>
      <c r="DL72" s="88">
        <f t="shared" ca="1" si="6"/>
        <v>0.95642649951672787</v>
      </c>
      <c r="DM72" t="str">
        <f ca="1">_xlfn.XLOOKUP(DK72,TabCalc[Column1],TabCalc[Ticker])</f>
        <v>BLDP</v>
      </c>
      <c r="DN72" s="85">
        <f ca="1">_xlfn.XLOOKUP(DM72,TabCalc[Ticker],TabCalc[ValueBegin])</f>
        <v>-26900</v>
      </c>
      <c r="DO72" s="85">
        <f ca="1">_xlfn.XLOOKUP(DM72,TabCalc[Ticker],TabCalc[M_V])</f>
        <v>57643.939999999995</v>
      </c>
      <c r="DP72" s="85">
        <f ca="1">_xlfn.XLOOKUP(DM72,TabCalc[Ticker],TabCalc[GL])</f>
        <v>25727.872836999981</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147749.995</v>
      </c>
      <c r="G73" s="80">
        <f ca="1">IFERROR(TabCalc[[#This Row],[SB]]-TabCalc[[#This Row],[SST]],TabCalc[[#This Row],[SB]])</f>
        <v>5000</v>
      </c>
      <c r="H73" s="530" t="str">
        <f ca="1">[1]!RTData[[#This Row],[Ticker_Symbol]]</f>
        <v>SAFMRNA</v>
      </c>
      <c r="I73" s="381">
        <f ca="1">_xlfn.XLOOKUP(TabCalc[[#This Row],[Ticker]],[1]!RTData[Ticker_Symbol],[1]!RTData[M-Price])</f>
        <v>29.63</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2.0668000000000002E-2</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-0.6918604920354452</v>
      </c>
      <c r="T73" s="886">
        <f ca="1">IFERROR(SUMPRODUCT(DataShift!F1565:Z1565,DataShift!F772:Z772)/SQRT(SUMPRODUCT(DataShift!F1565:Z1565,DataShift!F1565:Z1565)*SUMPRODUCT(DataShift!F772:Z772,DataShift!F772:Z772)),0)</f>
        <v>-0.60544910194702783</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21,240 = $ 629,341</v>
      </c>
      <c r="Z73" s="209">
        <f ca="1">INT(MIN(TabCalc[[#This Row],[L_Bn]],TabCalc[[#This Row],[NAfter]])*(TabCalc[[#This Row],[M]]+TabCalc[[#This Row],[L_Bp]])*Comm_Net*TabCalc[[#This Row],[Scale]])</f>
        <v>-27474</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47">
        <f ca="1">(TabCalc[[#This Row],[M]]+TabCalc[[#This Row],[L_Bp]])/TabCalc[[#This Row],[M]]</f>
        <v>-0.30990887613904844</v>
      </c>
      <c r="AE73" s="209">
        <f ca="1">IFERROR(MIN(TabCalc[[#This Row],[L_B1n]],TabCalc[[#This Row],[NAfter]])*(TabCalc[[#This Row],[M]]+TabCalc[[#This Row],[L_B1p]])*TabCalc[[#This Row],[Scale]],"")</f>
        <v>-42911.700000000012</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18894</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29047.850000000002</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3150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1.207484981437732</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-0.21918453710919086</v>
      </c>
      <c r="AZ73" s="80">
        <f t="shared" ca="1" si="8"/>
        <v>0</v>
      </c>
      <c r="BA73" s="88">
        <f ca="1">_xlfn.XLOOKUP(TabCalc[[#This Row],[Ticker]],[1]!RTData[Ticker_Symbol],[1]!RTData[V/VA])</f>
        <v>0.78849697446149747</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0.78849697446149747</v>
      </c>
      <c r="BD73" s="85" cm="1">
        <f t="array" aca="1" ref="BD73" ca="1">INDEX(TabReg[], 1, _xlfn.XMATCH(TabCalc[[#This Row],[Ticker]]&amp;1, TabReg[#Headers], 0))</f>
        <v>500</v>
      </c>
      <c r="BE73" s="157">
        <f ca="1">TabCalc[[#This Row],[Nbegin]]*TabCalc[[#This Row],[M]]*TabCalc[[#This Row],[Scale]]+TabCalc[[#This Row],[ValueBegin]]</f>
        <v>-48360</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84574.994999999995</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-151827.03517660001</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48.34</v>
      </c>
      <c r="BS73" s="172" t="str">
        <f ca="1">IF(TabCalc[[#This Row],[EfCost]]+TabCalc[[#This Row],[M_V]]&lt;TabCalc[[#This Row],[NoT_GL]],"Pile","")</f>
        <v>Pile</v>
      </c>
      <c r="BT73" s="163">
        <f ca="1">_xlfn.XLOOKUP(TabCalc[[#This Row],[Ticker]],[1]!RTData[Ticker_Symbol],[1]!RTData[Last trade time])</f>
        <v>46002.875958541408</v>
      </c>
      <c r="BU73" s="173">
        <f ca="1">(TabCalc[[#This Row],[ValueBegin]]+(TabCalc[[#This Row],[M]]-TabCalc[[#This Row],[A]])*TabCalc[[#This Row],[NAfter]])*TabCalc[[#This Row],[Scale]]</f>
        <v>-224498.11899630004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-161323.11899630004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52.926855086270777</v>
      </c>
      <c r="CX73" s="402">
        <f ca="1">IF(TabCalc[[#This Row],[ntoBuy]]*TabCalc[[#This Row],[M]]&lt;=0,0,TabCalc[[#This Row],[ntoBuy]]*TabCalc[[#This Row],[M]])</f>
        <v>1568.2227162062031</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-161323.11899630004</v>
      </c>
      <c r="DD73" s="88">
        <f ca="1">IFERROR((TabCalc[[#This Row],[M]]+TabCalc[[#This Row],[L_Bp]])/ABS(TabCalc[[#This Row],[L_Bp]])/(TODAY()-TabCalc[[#This Row],[L_Bdate]])*360,"")</f>
        <v>-0.26368954360660612</v>
      </c>
      <c r="DE73" s="308">
        <f ca="1">MEDIAN(DataShift!F772:Z772)</f>
        <v>8.9790000000000009E-3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14815</v>
      </c>
      <c r="DH73" s="85" cm="1">
        <f t="array" aca="1" ref="DH73" ca="1">SUMPRODUCT(ISNUMBER(INDIRECT("TabReg["&amp;TabCalc[[#This Row],[Ticker]]&amp;"2]"))* INDIRECT("TabReg["&amp;TabCalc[[#This Row],[Ticker]]&amp;"1]") * INDIRECT("TabReg["&amp;TabCalc[[#This Row],[Ticker]]&amp;"2]") )*TabCalc[[#This Row],[Scale]]</f>
        <v>-298416.99599999998</v>
      </c>
      <c r="DK73" s="85">
        <f ca="1"/>
        <v>28788.36</v>
      </c>
      <c r="DL73" s="88">
        <f t="shared" ca="1" si="6"/>
        <v>-0.4196931996664286</v>
      </c>
      <c r="DM73" t="str">
        <f ca="1">_xlfn.XLOOKUP(DK73,TabCalc[Column1],TabCalc[Ticker])</f>
        <v>DXC</v>
      </c>
      <c r="DN73" s="85">
        <f ca="1">_xlfn.XLOOKUP(DM73,TabCalc[Ticker],TabCalc[ValueBegin])</f>
        <v>-88065.18</v>
      </c>
      <c r="DO73" s="85">
        <f ca="1">_xlfn.XLOOKUP(DM73,TabCalc[Ticker],TabCalc[M_V])</f>
        <v>91193.111999999994</v>
      </c>
      <c r="DP73" s="85">
        <f ca="1">_xlfn.XLOOKUP(DM73,TabCalc[Ticker],TabCalc[GL])</f>
        <v>-36960.357173399971</v>
      </c>
      <c r="DQ73" s="88"/>
      <c r="DR73" s="88"/>
      <c r="DS73" s="86" t="s">
        <v>69</v>
      </c>
      <c r="DT73" s="80">
        <v>1790</v>
      </c>
      <c r="DU73" s="313">
        <v>-104.53</v>
      </c>
      <c r="DW73" s="80">
        <v>118750</v>
      </c>
      <c r="DX73" s="80">
        <f ca="1">DW73-TabCalc[[#This Row],[M_V]]</f>
        <v>-28999.994999999995</v>
      </c>
    </row>
    <row r="74" spans="1:128">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106009.00079999999</v>
      </c>
      <c r="G74" s="80">
        <f ca="1">IFERROR(TabCalc[[#This Row],[SB]]-TabCalc[[#This Row],[SST]],TabCalc[[#This Row],[SB]])</f>
        <v>120000</v>
      </c>
      <c r="H74" s="530" t="str">
        <f ca="1">[1]!RTData[[#This Row],[Ticker_Symbol]]</f>
        <v>BLNK</v>
      </c>
      <c r="I74" s="381">
        <f ca="1">_xlfn.XLOOKUP(TabCalc[[#This Row],[Ticker]],[1]!RTData[Ticker_Symbol],[1]!RTData[M-Price])</f>
        <v>0.88580000000000003</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-6.1454000000000002E-2</v>
      </c>
      <c r="N74" s="1041" t="s">
        <v>2953</v>
      </c>
      <c r="O74" s="886" t="e">
        <f>TabCalc[[#This Row],[Up20]]-1+TabCalc[[#This Row],[Up20]]</f>
        <v>#VALUE!</v>
      </c>
      <c r="P74" s="886" t="e">
        <f>TabCalc[[#This Row],[Up20]]-TabCalc[[#This Row],[Up150]]</f>
        <v>#VALUE!</v>
      </c>
      <c r="Q74" s="886" t="s">
        <v>2954</v>
      </c>
      <c r="R74" s="886" t="e">
        <f>TabCalc[[#This Row],[Up150]]-1+TabCalc[[#This Row],[Up150]]</f>
        <v>#VALUE!</v>
      </c>
      <c r="S74" s="886">
        <f ca="1">IFERROR(SUMPRODUCT(DataShift!F1566:Z1566,DataShift!AB773:AV773)/SQRT(SUMPRODUCT(DataShift!F1566:Z1566,DataShift!F1566:Z1566)*SUMPRODUCT(DataShift!AB773:AV773,DataShift!AB773:AV773)),0)</f>
        <v>-0.90385053361914269</v>
      </c>
      <c r="T74" s="886">
        <f ca="1">IFERROR(SUMPRODUCT(DataShift!F1566:Z1566,DataShift!F773:Z773)/SQRT(SUMPRODUCT(DataShift!F1566:Z1566,DataShift!F1566:Z1566)*SUMPRODUCT(DataShift!F773:Z773,DataShift!F773:Z773)),0)</f>
        <v>0.15500822949624923</v>
      </c>
      <c r="U74" s="996">
        <v>0</v>
      </c>
      <c r="V74" s="996">
        <v>120000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-5035</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47">
        <f ca="1">(TabCalc[[#This Row],[M]]+TabCalc[[#This Row],[L_Bp]])/TabCalc[[#This Row],[M]]</f>
        <v>-0.14247008354030252</v>
      </c>
      <c r="AE74" s="209">
        <f ca="1">IFERROR(MIN(TabCalc[[#This Row],[L_B1n]],TabCalc[[#This Row],[NAfter]])*(TabCalc[[#This Row],[M]]+TabCalc[[#This Row],[L_B1p]])*TabCalc[[#This Row],[Scale]],"")</f>
        <v>-21083.999999999996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12290.4</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17757.599999999999</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-1164</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2.7094152178821402</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-1.6330625062504696</v>
      </c>
      <c r="AZ74" s="80">
        <f t="shared" ca="1" si="8"/>
        <v>0</v>
      </c>
      <c r="BA74" s="88">
        <f ca="1">_xlfn.XLOOKUP(TabCalc[[#This Row],[Ticker]],[1]!RTData[Ticker_Symbol],[1]!RTData[V/VA])</f>
        <v>4.923244086017772</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4.923244086017772</v>
      </c>
      <c r="BD74" s="85" cm="1">
        <f t="array" aca="1" ref="BD74" ca="1">INDEX(TabReg[], 1, _xlfn.XMATCH(TabCalc[[#This Row],[Ticker]]&amp;1, TabReg[#Headers], 0))</f>
        <v>30000</v>
      </c>
      <c r="BE74" s="157">
        <f ca="1">TabCalc[[#This Row],[Nbegin]]*TabCalc[[#This Row],[M]]*TabCalc[[#This Row],[Scale]]+TabCalc[[#This Row],[ValueBegin]]</f>
        <v>-184626</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-105190.99920000001</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-339211.36891607998</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4.46</v>
      </c>
      <c r="BS74" s="172" t="str">
        <f ca="1">IF(TabCalc[[#This Row],[EfCost]]+TabCalc[[#This Row],[M_V]]&lt;TabCalc[[#This Row],[NoT_GL]],"Pile","")</f>
        <v>Pile</v>
      </c>
      <c r="BT74" s="163">
        <f ca="1">_xlfn.XLOOKUP(TabCalc[[#This Row],[Ticker]],[1]!RTData[Ticker_Symbol],[1]!RTData[Last trade time])</f>
        <v>46002.875947060158</v>
      </c>
      <c r="BU74" s="173">
        <f ca="1">(TabCalc[[#This Row],[ValueBegin]]+(TabCalc[[#This Row],[M]]-TabCalc[[#This Row],[A]])*TabCalc[[#This Row],[NAfter]])*TabCalc[[#This Row],[Scale]]</f>
        <v>-369203.39639999997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-158003.39639999994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4881.8590119117362</v>
      </c>
      <c r="CX74" s="402">
        <f ca="1">IF(TabCalc[[#This Row],[ntoBuy]]*TabCalc[[#This Row],[M]]&lt;=0,0,TabCalc[[#This Row],[ntoBuy]]*TabCalc[[#This Row],[M]])</f>
        <v>4324.3507127514158</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-158003.39639999994</v>
      </c>
      <c r="DD74" s="88">
        <f ca="1">IFERROR((TabCalc[[#This Row],[M]]+TabCalc[[#This Row],[L_Bp]])/ABS(TabCalc[[#This Row],[L_Bp]])/(TODAY()-TabCalc[[#This Row],[L_Bdate]])*360,"")</f>
        <v>-0.26722190852625627</v>
      </c>
      <c r="DE74" s="308">
        <f ca="1">MEDIAN(DataShift!F773:Z773)</f>
        <v>-2.454E-3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26574</v>
      </c>
      <c r="DH74" s="85" cm="1">
        <f t="array" aca="1" ref="DH74" ca="1">SUMPRODUCT(ISNUMBER(INDIRECT("TabReg["&amp;TabCalc[[#This Row],[Ticker]]&amp;"2]"))* INDIRECT("TabReg["&amp;TabCalc[[#This Row],[Ticker]]&amp;"1]") * INDIRECT("TabReg["&amp;TabCalc[[#This Row],[Ticker]]&amp;"2]") )*TabCalc[[#This Row],[Scale]]</f>
        <v>-443790.89</v>
      </c>
      <c r="DK74" s="85">
        <f ca="1"/>
        <v>28620</v>
      </c>
      <c r="DL74" s="88">
        <f t="shared" ca="1" si="6"/>
        <v>-1.4389521773517442</v>
      </c>
      <c r="DM74" t="str">
        <f ca="1">_xlfn.XLOOKUP(DK74,TabCalc[Column1],TabCalc[Ticker])</f>
        <v>XYZ</v>
      </c>
      <c r="DN74" s="85">
        <f ca="1">_xlfn.XLOOKUP(DM74,TabCalc[Ticker],TabCalc[ValueBegin])</f>
        <v>-118300.5</v>
      </c>
      <c r="DO74" s="85">
        <f ca="1">_xlfn.XLOOKUP(DM74,TabCalc[Ticker],TabCalc[M_V])</f>
        <v>38056.968000000001</v>
      </c>
      <c r="DP74" s="85">
        <f ca="1">_xlfn.XLOOKUP(DM74,TabCalc[Ticker],TabCalc[GL])</f>
        <v>-170228.76205680001</v>
      </c>
      <c r="DQ74" s="88"/>
      <c r="DR74" s="88"/>
      <c r="DS74" s="86" t="s">
        <v>70</v>
      </c>
      <c r="DT74" s="79">
        <v>310</v>
      </c>
      <c r="DU74" s="313">
        <v>-358.7</v>
      </c>
      <c r="DW74" s="80">
        <v>177600</v>
      </c>
      <c r="DX74" s="80">
        <f ca="1">DW74-TabCalc[[#This Row],[M_V]]</f>
        <v>71590.999200000006</v>
      </c>
    </row>
    <row r="75" spans="1:128">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158610.592</v>
      </c>
      <c r="G75" s="80">
        <f ca="1">IFERROR(TabCalc[[#This Row],[SB]]-TabCalc[[#This Row],[SST]],TabCalc[[#This Row],[SB]])</f>
        <v>10000</v>
      </c>
      <c r="H75" s="530" t="str">
        <f ca="1">[1]!RTData[[#This Row],[Ticker_Symbol]]</f>
        <v>ENI</v>
      </c>
      <c r="I75" s="381">
        <f ca="1">_xlfn.XLOOKUP(TabCalc[[#This Row],[Ticker]],[1]!RTData[Ticker_Symbol],[1]!RTData[M-Price])</f>
        <v>15.904</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-6.8689999999999992E-3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-0.83841828721259859</v>
      </c>
      <c r="T75" s="886">
        <f ca="1">IFERROR(SUMPRODUCT(DataShift!F1567:Z1567,DataShift!F774:Z774)/SQRT(SUMPRODUCT(DataShift!F1567:Z1567,DataShift!F1567:Z1567)*SUMPRODUCT(DataShift!F774:Z774,DataShift!F774:Z774)),0)</f>
        <v>-0.33489138536208363</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10312</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47">
        <f ca="1">(TabCalc[[#This Row],[M]]+TabCalc[[#This Row],[L_Bp]])/TabCalc[[#This Row],[M]]</f>
        <v>6.5015090543259602E-2</v>
      </c>
      <c r="AE75" s="209">
        <f ca="1">IFERROR(MIN(TabCalc[[#This Row],[L_B1n]],TabCalc[[#This Row],[NAfter]])*(TabCalc[[#This Row],[M]]+TabCalc[[#This Row],[L_B1p]])*TabCalc[[#This Row],[Scale]],"")</f>
        <v>9830.16</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2230.0000000000077</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-207.99999999999841</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-960</v>
      </c>
      <c r="AR75" s="332">
        <f ca="1">_xlfn.LET(_xlpm.MVToday,DataShift!AV575,         _xlpm.MVY,DataShift!AU575,        _xlpm.MVYY, DataShift!AT575,                                IF(_xlpm.MVToday=_xlpm.MVY,_xlpm.MVY-_xlpm.MVYY,_xlpm.MVToday-_xlpm.MVY))</f>
        <v>2991.8999999999942</v>
      </c>
      <c r="AS75" s="332">
        <f ca="1">_xlfn.LET(_xlpm.MVToday,DataShift!AV575,         _xlpm.MVY,DataShift!AU575,        _xlpm.MVYY, DataShift!AT575,         _xlpm.MVYYY, DataShift!AS575,                      IF(_xlpm.MVToday=_xlpm.MVY,      _xlpm.MVYY-_xlpm.MVYYY,          _xlpm.MVY-_xlpm.MVYY))</f>
        <v>3475.5905000000203</v>
      </c>
      <c r="AT75" s="969">
        <f ca="1">TabCalc[[#This Row],[Y]]/TabCalc[[#This Row],[M]]</f>
        <v>1.0311871227364184</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-4.6783726750748022E-4</v>
      </c>
      <c r="AZ75" s="80">
        <f t="shared" ca="1" si="8"/>
        <v>0</v>
      </c>
      <c r="BA75" s="88">
        <f ca="1">_xlfn.XLOOKUP(TabCalc[[#This Row],[Ticker]],[1]!RTData[Ticker_Symbol],[1]!RTData[V/VA])</f>
        <v>1.121580663028575</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1.121580663028575</v>
      </c>
      <c r="BD75" s="85" cm="1">
        <f t="array" aca="1" ref="BD75" ca="1">INDEX(TabReg[], 1, _xlfn.XMATCH(TabCalc[[#This Row],[Ticker]]&amp;1, TabReg[#Headers], 0))</f>
        <v>7300</v>
      </c>
      <c r="BE75" s="157">
        <f ca="1">TabCalc[[#This Row],[Nbegin]]*TabCalc[[#This Row],[M]]*TabCalc[[#This Row],[Scale]]+TabCalc[[#This Row],[ValueBegin]]</f>
        <v>16235.199999999997</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58746.592000000004</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34424.764054400075</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20.43</v>
      </c>
      <c r="BS75" s="172" t="str">
        <f ca="1">IF(TabCalc[[#This Row],[EfCost]]+TabCalc[[#This Row],[M_V]]&lt;TabCalc[[#This Row],[NoT_GL]],"Pile","")</f>
        <v/>
      </c>
      <c r="BT75" s="163">
        <f ca="1">_xlfn.XLOOKUP(TabCalc[[#This Row],[Ticker]],[1]!RTData[Ticker_Symbol],[1]!RTData[Last trade time])</f>
        <v>46002.708333333336</v>
      </c>
      <c r="BU75" s="173">
        <f ca="1">(TabCalc[[#This Row],[ValueBegin]]+(TabCalc[[#This Row],[M]]-TabCalc[[#This Row],[A]])*TabCalc[[#This Row],[NAfter]])*TabCalc[[#This Row],[Scale]]</f>
        <v>-89910.62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9953.3800000000028</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11210.762331838527</v>
      </c>
      <c r="CX75" s="402">
        <f ca="1">IF(TabCalc[[#This Row],[ntoBuy]]*TabCalc[[#This Row],[M]]&lt;=0,0,TabCalc[[#This Row],[ntoBuy]]*TabCalc[[#This Row],[M]])</f>
        <v>178295.96412555993</v>
      </c>
      <c r="CY75" s="402">
        <f ca="1">IF(TabCalc[[#This Row],[M]]&gt;ABS(TabCalc[[#This Row],[L_Bp]]),MIN(TabCalc[[#This Row],[NAfter]],DesiredSaleGain/(TabCalc[[#This Row],[M]]+TabCalc[[#This Row],[L_Bp]])),0)/TabCalc[[#This Row],[Scale]]</f>
        <v>4835.5899419729176</v>
      </c>
      <c r="CZ75" s="403">
        <f ca="1">TabCalc[[#This Row],[ntoSell]]*TabCalc[[#This Row],[M]]</f>
        <v>76905.222437137287</v>
      </c>
      <c r="DA75" s="396">
        <f ca="1">_xlfn.LET(_xlpm.nToSell,IF(TabCalc[[#This Row],[M]]-TabCalc[[#This Row],[A]]&lt;=0,"",INT(DesiredSaleGain/(TabCalc[[#This Row],[M]]-IF(TabCalc[[#This Row],[E]]&gt;0,0,TabCalc[[#This Row],[A]])))),IF(_xlpm.nToSell&lt;=TabCalc[[#This Row],[NAfter]],_xlpm.nToSell,0))</f>
        <v>5023</v>
      </c>
      <c r="DB75" s="334">
        <f ca="1">IFERROR(TabCalc[[#This Row],[NMA]]*TabCalc[[#This Row],[M]],"")</f>
        <v>79885.792000000001</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9953.3800000000028</v>
      </c>
      <c r="DD75" s="88">
        <f ca="1">IFERROR((TabCalc[[#This Row],[M]]+TabCalc[[#This Row],[L_Bp]])/ABS(TabCalc[[#This Row],[L_Bp]])/(TODAY()-TabCalc[[#This Row],[L_Bdate]])*360,"")</f>
        <v>0.30160183437178462</v>
      </c>
      <c r="DE75" s="308">
        <f ca="1">MEDIAN(DataShift!F774:Z774)</f>
        <v>1.2978E-2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116099.2</v>
      </c>
      <c r="DH75" s="85" cm="1">
        <f t="array" aca="1" ref="DH75" ca="1">SUMPRODUCT(ISNUMBER(INDIRECT("TabReg["&amp;TabCalc[[#This Row],[Ticker]]&amp;"2]"))* INDIRECT("TabReg["&amp;TabCalc[[#This Row],[Ticker]]&amp;"1]") * INDIRECT("TabReg["&amp;TabCalc[[#This Row],[Ticker]]&amp;"2]") )*TabCalc[[#This Row],[Scale]]</f>
        <v>-123452.46399999992</v>
      </c>
      <c r="DK75" s="85">
        <f ca="1"/>
        <v>26574</v>
      </c>
      <c r="DL75" s="88">
        <f t="shared" ca="1" si="6"/>
        <v>-1.6061144361556818</v>
      </c>
      <c r="DM75" t="str">
        <f ca="1">_xlfn.XLOOKUP(DK75,TabCalc[Column1],TabCalc[Ticker])</f>
        <v>BLNK</v>
      </c>
      <c r="DN75" s="85">
        <f ca="1">_xlfn.XLOOKUP(DM75,TabCalc[Ticker],TabCalc[ValueBegin])</f>
        <v>-211200</v>
      </c>
      <c r="DO75" s="85">
        <f ca="1">_xlfn.XLOOKUP(DM75,TabCalc[Ticker],TabCalc[M_V])</f>
        <v>106009.00079999999</v>
      </c>
      <c r="DP75" s="85">
        <f ca="1">_xlfn.XLOOKUP(DM75,TabCalc[Ticker],TabCalc[GL])</f>
        <v>-339211.36891607998</v>
      </c>
      <c r="DQ75" s="88"/>
      <c r="DR75" s="88"/>
      <c r="DS75" s="86" t="s">
        <v>71</v>
      </c>
      <c r="DT75" s="80">
        <v>7000</v>
      </c>
      <c r="DU75" s="313">
        <v>-2.87</v>
      </c>
      <c r="DW75" s="80">
        <v>350020</v>
      </c>
      <c r="DX75" s="80">
        <f ca="1">DW75-TabCalc[[#This Row],[M_V]]</f>
        <v>191409.408</v>
      </c>
    </row>
    <row r="76" spans="1:128">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145137.06900000002</v>
      </c>
      <c r="G76" s="80">
        <f ca="1">IFERROR(TabCalc[[#This Row],[SB]]-TabCalc[[#This Row],[SST]],TabCalc[[#This Row],[SB]])</f>
        <v>30000</v>
      </c>
      <c r="H76" s="530" t="str">
        <f ca="1">[1]!RTData[[#This Row],[Ticker_Symbol]]</f>
        <v>EZJ</v>
      </c>
      <c r="I76" s="381">
        <f ca="1">_xlfn.XLOOKUP(TabCalc[[#This Row],[Ticker]],[1]!RTData[Ticker_Symbol],[1]!RTData[M-Price])</f>
        <v>485.1</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1.8262E-2</v>
      </c>
      <c r="N76" s="1041">
        <v>0</v>
      </c>
      <c r="O76" s="886">
        <f>TabCalc[[#This Row],[Up20]]-1+TabCalc[[#This Row],[Up20]]</f>
        <v>-1</v>
      </c>
      <c r="P76" s="886">
        <f>TabCalc[[#This Row],[Up20]]-TabCalc[[#This Row],[Up150]]</f>
        <v>-0.25</v>
      </c>
      <c r="Q76" s="886">
        <v>0.25</v>
      </c>
      <c r="R76" s="886">
        <f>TabCalc[[#This Row],[Up150]]-1+TabCalc[[#This Row],[Up150]]</f>
        <v>-0.5</v>
      </c>
      <c r="S76" s="886">
        <f ca="1">IFERROR(SUMPRODUCT(DataShift!F1568:Z1568,DataShift!AB775:AV775)/SQRT(SUMPRODUCT(DataShift!F1568:Z1568,DataShift!F1568:Z1568)*SUMPRODUCT(DataShift!AB775:AV775,DataShift!AB775:AV775)),0)</f>
        <v>-0.94079650555423411</v>
      </c>
      <c r="T76" s="886">
        <f ca="1">IFERROR(SUMPRODUCT(DataShift!F1568:Z1568,DataShift!F775:Z775)/SQRT(SUMPRODUCT(DataShift!F1568:Z1568,DataShift!F1568:Z1568)*SUMPRODUCT(DataShift!F775:Z775,DataShift!F775:Z775)),0)</f>
        <v>0.23962695117842947</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6799</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47">
        <f ca="1">(TabCalc[[#This Row],[M]]+TabCalc[[#This Row],[L_Bp]])/TabCalc[[#This Row],[M]]</f>
        <v>7.0274170274170336E-2</v>
      </c>
      <c r="AE76" s="209">
        <f ca="1">IFERROR(MIN(TabCalc[[#This Row],[L_B1n]],TabCalc[[#This Row],[NAfter]])*(TabCalc[[#This Row],[M]]+TabCalc[[#This Row],[L_B1p]])*TabCalc[[#This Row],[Scale]],"")</f>
        <v>420.00000000000455</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1050</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10638.000000000005</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2640</v>
      </c>
      <c r="AR76" s="332">
        <f ca="1">_xlfn.LET(_xlpm.MVToday,DataShift!AV576,         _xlpm.MVY,DataShift!AU576,        _xlpm.MVYY, DataShift!AT576,                                IF(_xlpm.MVToday=_xlpm.MVY,_xlpm.MVY-_xlpm.MVYY,_xlpm.MVToday-_xlpm.MVY))</f>
        <v>-6941.2079999999987</v>
      </c>
      <c r="AS76" s="332">
        <f ca="1">_xlfn.LET(_xlpm.MVToday,DataShift!AV576,         _xlpm.MVY,DataShift!AU576,        _xlpm.MVYY, DataShift!AT576,         _xlpm.MVYYY, DataShift!AS576,                      IF(_xlpm.MVToday=_xlpm.MVY,      _xlpm.MVYY-_xlpm.MVYYY,          _xlpm.MVY-_xlpm.MVYY))</f>
        <v>-8520.9311999999918</v>
      </c>
      <c r="AT76" s="969">
        <f ca="1">TabCalc[[#This Row],[Y]]/TabCalc[[#This Row],[M]]</f>
        <v>1.2693259121830549</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-7.4660784169719214</v>
      </c>
      <c r="AZ76" s="80">
        <f t="shared" ca="1" si="8"/>
        <v>0</v>
      </c>
      <c r="BA76" s="88">
        <f ca="1">_xlfn.XLOOKUP(TabCalc[[#This Row],[Ticker]],[1]!RTData[Ticker_Symbol],[1]!RTData[V/VA])</f>
        <v>0.58216563357609563</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0.58216563357609563</v>
      </c>
      <c r="BD76" s="85" cm="1">
        <f t="array" aca="1" ref="BD76" ca="1">INDEX(TabReg[], 1, _xlfn.XMATCH(TabCalc[[#This Row],[Ticker]]&amp;1, TabReg[#Headers], 0))</f>
        <v>19440</v>
      </c>
      <c r="BE76" s="157">
        <f ca="1">TabCalc[[#This Row],[Nbegin]]*TabCalc[[#This Row],[M]]*TabCalc[[#This Row],[Scale]]+TabCalc[[#This Row],[ValueBegin]]</f>
        <v>-5423.7599999999948</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45409.869000000021</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36528.444068400029</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596.97</v>
      </c>
      <c r="BS76" s="172" t="str">
        <f ca="1">IF(TabCalc[[#This Row],[EfCost]]+TabCalc[[#This Row],[M_V]]&lt;TabCalc[[#This Row],[NoT_GL]],"Pile","")</f>
        <v/>
      </c>
      <c r="BT76" s="163">
        <f ca="1">_xlfn.XLOOKUP(TabCalc[[#This Row],[Ticker]],[1]!RTData[Ticker_Symbol],[1]!RTData[Last trade time])</f>
        <v>46002.681354941407</v>
      </c>
      <c r="BU76" s="173">
        <f ca="1">(TabCalc[[#This Row],[ValueBegin]]+(TabCalc[[#This Row],[M]]-TabCalc[[#This Row],[A]])*TabCalc[[#This Row],[NAfter]])*TabCalc[[#This Row],[Scale]]</f>
        <v>5881.1688000000167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687844.08000000159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476.1904761904762</v>
      </c>
      <c r="CX76" s="402">
        <f ca="1">IF(TabCalc[[#This Row],[ntoBuy]]*TabCalc[[#This Row],[M]]&lt;=0,0,TabCalc[[#This Row],[ntoBuy]]*TabCalc[[#This Row],[M]])</f>
        <v>231000.00000000003</v>
      </c>
      <c r="CY76" s="402">
        <f ca="1">IF(TabCalc[[#This Row],[M]]&gt;ABS(TabCalc[[#This Row],[L_Bp]]),MIN(TabCalc[[#This Row],[NAfter]],DesiredSaleGain/(TabCalc[[#This Row],[M]]+TabCalc[[#This Row],[L_Bp]])),0)/TabCalc[[#This Row],[Scale]]</f>
        <v>14667.05778820767</v>
      </c>
      <c r="CZ76" s="403">
        <f ca="1">TabCalc[[#This Row],[ntoSell]]*TabCalc[[#This Row],[M]]</f>
        <v>7114989.7330595413</v>
      </c>
      <c r="DA76" s="396">
        <f ca="1">_xlfn.LET(_xlpm.nToSell,IF(TabCalc[[#This Row],[M]]-TabCalc[[#This Row],[A]]&lt;=0,"",INT(DesiredSaleGain/(TabCalc[[#This Row],[M]]-IF(TabCalc[[#This Row],[E]]&gt;0,0,TabCalc[[#This Row],[A]])))),IF(_xlpm.nToSell&lt;=TabCalc[[#This Row],[NAfter]],_xlpm.nToSell,0))</f>
        <v>218</v>
      </c>
      <c r="DB76" s="334">
        <f ca="1">IFERROR(TabCalc[[#This Row],[NMA]]*TabCalc[[#This Row],[M]],"")</f>
        <v>105751.8</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6878.4408000000158</v>
      </c>
      <c r="DD76" s="88">
        <f ca="1">IFERROR((TabCalc[[#This Row],[M]]+TabCalc[[#This Row],[L_Bp]])/ABS(TabCalc[[#This Row],[L_Bp]])/(TODAY()-TabCalc[[#This Row],[L_Bdate]])*360,"")</f>
        <v>0.32784248899992363</v>
      </c>
      <c r="DE76" s="308">
        <f ca="1">MEDIAN(DataShift!F775:Z775)</f>
        <v>-1.1029000000000001E-2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94303.44</v>
      </c>
      <c r="DH76" s="85" cm="1">
        <f t="array" aca="1" ref="DH76" ca="1">SUMPRODUCT(ISNUMBER(INDIRECT("TabReg["&amp;TabCalc[[#This Row],[Ticker]]&amp;"2]"))* INDIRECT("TabReg["&amp;TabCalc[[#This Row],[Ticker]]&amp;"1]") * INDIRECT("TabReg["&amp;TabCalc[[#This Row],[Ticker]]&amp;"2]") )*TabCalc[[#This Row],[Scale]]</f>
        <v>-107950.59699999999</v>
      </c>
      <c r="DK76" s="85">
        <f ca="1"/>
        <v>26472.000000000004</v>
      </c>
      <c r="DL76" s="88">
        <f t="shared" ca="1" si="6"/>
        <v>0.79196605498776873</v>
      </c>
      <c r="DM76" t="str">
        <f ca="1">_xlfn.XLOOKUP(DK76,TabCalc[Column1],TabCalc[Ticker])</f>
        <v>NVS</v>
      </c>
      <c r="DN76" s="85">
        <f ca="1">_xlfn.XLOOKUP(DM76,TabCalc[Ticker],TabCalc[ValueBegin])</f>
        <v>-17170</v>
      </c>
      <c r="DO76" s="85">
        <f ca="1">_xlfn.XLOOKUP(DM76,TabCalc[Ticker],TabCalc[M_V])</f>
        <v>0</v>
      </c>
      <c r="DP76" s="85">
        <f ca="1">_xlfn.XLOOKUP(DM76,TabCalc[Ticker],TabCalc[GL])</f>
        <v>13598.057164139989</v>
      </c>
      <c r="DQ76" s="88"/>
      <c r="DR76" s="88"/>
      <c r="DS76" s="86" t="s">
        <v>72</v>
      </c>
      <c r="DT76" s="79">
        <v>200</v>
      </c>
      <c r="DU76" s="313">
        <v>-85.85</v>
      </c>
      <c r="DW76" s="80">
        <v>144090</v>
      </c>
      <c r="DX76" s="80">
        <f ca="1">DW76-TabCalc[[#This Row],[M_V]]</f>
        <v>-1047.0690000000177</v>
      </c>
    </row>
    <row r="77" spans="1:128">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13.625</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1.6032999999999999E-2</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-0.77702644610632343</v>
      </c>
      <c r="T77" s="886">
        <f ca="1">IFERROR(SUMPRODUCT(DataShift!F1569:Z1569,DataShift!F776:Z776)/SQRT(SUMPRODUCT(DataShift!F1569:Z1569,DataShift!F1569:Z1569)*SUMPRODUCT(DataShift!F776:Z776,DataShift!F776:Z776)),0)</f>
        <v>-4.3188213728536026E-2</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47">
        <f ca="1">(TabCalc[[#This Row],[M]]+TabCalc[[#This Row],[L_Bp]])/TabCalc[[#This Row],[M]]</f>
        <v>0.32220183486238535</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-4815.0000000000009</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-4430</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-1097.0299999999988</v>
      </c>
      <c r="AS77" s="332">
        <f ca="1">_xlfn.LET(_xlpm.MVToday,DataShift!AV577,         _xlpm.MVY,DataShift!AU577,        _xlpm.MVYY, DataShift!AT577,         _xlpm.MVYYY, DataShift!AS577,                      IF(_xlpm.MVToday=_xlpm.MVY,      _xlpm.MVYY-_xlpm.MVYYY,          _xlpm.MVY-_xlpm.MVYY))</f>
        <v>-937.46199999999953</v>
      </c>
      <c r="AT77" s="969">
        <f ca="1">TabCalc[[#This Row],[Y]]/TabCalc[[#This Row],[M]]</f>
        <v>0.92770642201834863</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5.5491326500987015E-3</v>
      </c>
      <c r="AZ77" s="80">
        <f t="shared" ca="1" si="8"/>
        <v>12000</v>
      </c>
      <c r="BA77" s="88">
        <f ca="1">_xlfn.XLOOKUP(TabCalc[[#This Row],[Ticker]],[1]!RTData[Ticker_Symbol],[1]!RTData[V/VA])</f>
        <v>0.95151912282576889</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0.95151912282576889</v>
      </c>
      <c r="BD77" s="85" cm="1">
        <f t="array" aca="1" ref="BD77" ca="1">INDEX(TabReg[], 1, _xlfn.XMATCH(TabCalc[[#This Row],[Ticker]]&amp;1, TabReg[#Headers], 0))</f>
        <v>12000</v>
      </c>
      <c r="BE77" s="157">
        <f ca="1">TabCalc[[#This Row],[Nbegin]]*TabCalc[[#This Row],[M]]*TabCalc[[#This Row],[Scale]]+TabCalc[[#This Row],[ValueBegin]]</f>
        <v>1620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46002.875952372655</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0.57814717803889448</v>
      </c>
      <c r="DE77" s="308">
        <f ca="1">MEDIAN(DataShift!F776:Z776)</f>
        <v>6.1810000000000001E-4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163500</v>
      </c>
      <c r="DH77" s="85" cm="1">
        <f t="array" aca="1" ref="DH77" ca="1">SUMPRODUCT(ISNUMBER(INDIRECT("TabReg["&amp;TabCalc[[#This Row],[Ticker]]&amp;"2]"))* INDIRECT("TabReg["&amp;TabCalc[[#This Row],[Ticker]]&amp;"1]") * INDIRECT("TabReg["&amp;TabCalc[[#This Row],[Ticker]]&amp;"2]") )*TabCalc[[#This Row],[Scale]]</f>
        <v>-12620</v>
      </c>
      <c r="DK77" s="85">
        <f ca="1"/>
        <v>26425</v>
      </c>
      <c r="DL77" s="88">
        <f t="shared" ca="1" si="6"/>
        <v>-0.96143854296777553</v>
      </c>
      <c r="DM77" t="str">
        <f ca="1">_xlfn.XLOOKUP(DK77,TabCalc[Column1],TabCalc[Ticker])</f>
        <v>UN0</v>
      </c>
      <c r="DN77" s="85">
        <f ca="1">_xlfn.XLOOKUP(DM77,TabCalc[Ticker],TabCalc[ValueBegin])</f>
        <v>-184394</v>
      </c>
      <c r="DO77" s="85">
        <f ca="1">_xlfn.XLOOKUP(DM77,TabCalc[Ticker],TabCalc[M_V])</f>
        <v>112944.22499999999</v>
      </c>
      <c r="DP77" s="85">
        <f ca="1">_xlfn.XLOOKUP(DM77,TabCalc[Ticker],TabCalc[GL])</f>
        <v>-177283.49869199999</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64.36</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1.3863E-2</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0.81094843030776331</v>
      </c>
      <c r="T78" s="886">
        <f ca="1">IFERROR(SUMPRODUCT(DataShift!F1570:Z1570,DataShift!F777:Z777)/SQRT(SUMPRODUCT(DataShift!F1570:Z1570,DataShift!F1570:Z1570)*SUMPRODUCT(DataShift!F777:Z777,DataShift!F777:Z777)),0)</f>
        <v>9.1370011668191822E-2</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47">
        <f ca="1">(TabCalc[[#This Row],[M]]+TabCalc[[#This Row],[L_Bp]])/TabCalc[[#This Row],[M]]</f>
        <v>0.55034182722187697</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-66520</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-82601.599999999991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2602.9530000000086</v>
      </c>
      <c r="AS78" s="332">
        <f ca="1">_xlfn.LET(_xlpm.MVToday,DataShift!AV578,         _xlpm.MVY,DataShift!AU578,        _xlpm.MVYY, DataShift!AT578,         _xlpm.MVYYY, DataShift!AS578,                      IF(_xlpm.MVToday=_xlpm.MVY,      _xlpm.MVYY-_xlpm.MVYYY,          _xlpm.MVY-_xlpm.MVYY))</f>
        <v>-568.46099999998114</v>
      </c>
      <c r="AT78" s="969">
        <f ca="1">TabCalc[[#This Row],[Y]]/TabCalc[[#This Row],[M]]</f>
        <v>1.0259995338719703</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-1.1024668956934401E-3</v>
      </c>
      <c r="AZ78" s="80">
        <f t="shared" ca="1" si="8"/>
        <v>5000</v>
      </c>
      <c r="BA78" s="88">
        <f ca="1">_xlfn.XLOOKUP(TabCalc[[#This Row],[Ticker]],[1]!RTData[Ticker_Symbol],[1]!RTData[V/VA])</f>
        <v>1.0644112472996281</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1.0644112472996281</v>
      </c>
      <c r="BD78" s="85" cm="1">
        <f t="array" aca="1" ref="BD78" ca="1">INDEX(TabReg[], 1, _xlfn.XMATCH(TabCalc[[#This Row],[Ticker]]&amp;1, TabReg[#Headers], 0))</f>
        <v>5000</v>
      </c>
      <c r="BE78" s="157">
        <f ca="1">TabCalc[[#This Row],[Nbegin]]*TabCalc[[#This Row],[M]]*TabCalc[[#This Row],[Scale]]+TabCalc[[#This Row],[ValueBegin]]</f>
        <v>223650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46002.708333333336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1.343317545131222</v>
      </c>
      <c r="DE78" s="308">
        <f ca="1">MEDIAN(DataShift!F777:Z777)</f>
        <v>-1.8240000000000001E-3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321800</v>
      </c>
      <c r="DH78" s="85" cm="1">
        <f t="array" aca="1" ref="DH78" ca="1">SUMPRODUCT(ISNUMBER(INDIRECT("TabReg["&amp;TabCalc[[#This Row],[Ticker]]&amp;"2]"))* INDIRECT("TabReg["&amp;TabCalc[[#This Row],[Ticker]]&amp;"1]") * INDIRECT("TabReg["&amp;TabCalc[[#This Row],[Ticker]]&amp;"2]") )*TabCalc[[#This Row],[Scale]]</f>
        <v>43473.079999999994</v>
      </c>
      <c r="DK78" s="85">
        <f ca="1"/>
        <v>26174</v>
      </c>
      <c r="DL78" s="88">
        <f t="shared" ca="1" si="6"/>
        <v>-0.39755825054046645</v>
      </c>
      <c r="DM78" t="str">
        <f ca="1">_xlfn.XLOOKUP(DK78,TabCalc[Column1],TabCalc[Ticker])</f>
        <v>LNSR</v>
      </c>
      <c r="DN78" s="85">
        <f ca="1">_xlfn.XLOOKUP(DM78,TabCalc[Ticker],TabCalc[ValueBegin])</f>
        <v>-40423.409999999996</v>
      </c>
      <c r="DO78" s="85">
        <f ca="1">_xlfn.XLOOKUP(DM78,TabCalc[Ticker],TabCalc[M_V])</f>
        <v>0</v>
      </c>
      <c r="DP78" s="85">
        <f ca="1">_xlfn.XLOOKUP(DM78,TabCalc[Ticker],TabCalc[GL])</f>
        <v>-16070.660160479994</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150549.4161</v>
      </c>
      <c r="G79" s="80">
        <f ca="1">IFERROR(TabCalc[[#This Row],[SB]]-TabCalc[[#This Row],[SST]],TabCalc[[#This Row],[SB]])</f>
        <v>900</v>
      </c>
      <c r="H79" s="530" t="str">
        <f ca="1">[1]!RTData[[#This Row],[Ticker_Symbol]]</f>
        <v>GNRC</v>
      </c>
      <c r="I79" s="381">
        <f ca="1">_xlfn.XLOOKUP(TabCalc[[#This Row],[Ticker]],[1]!RTData[Ticker_Symbol],[1]!RTData[M-Price])</f>
        <v>167.73</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6.9640000000000006E-3</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-0.80769595204749145</v>
      </c>
      <c r="T79" s="886">
        <f ca="1">IFERROR(SUMPRODUCT(DataShift!F1571:Z1571,DataShift!F778:Z778)/SQRT(SUMPRODUCT(DataShift!F1571:Z1571,DataShift!F1571:Z1571)*SUMPRODUCT(DataShift!F778:Z778,DataShift!F778:Z778)),0)</f>
        <v>-0.35162593389018654</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-4617</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47">
        <f ca="1">(TabCalc[[#This Row],[M]]+TabCalc[[#This Row],[L_Bp]])/TabCalc[[#This Row],[M]]</f>
        <v>-9.1993084123293434E-2</v>
      </c>
      <c r="AE79" s="209">
        <f ca="1">IFERROR(MIN(TabCalc[[#This Row],[L_B1n]],TabCalc[[#This Row],[NAfter]])*(TabCalc[[#This Row],[M]]+TabCalc[[#This Row],[L_B1p]])*TabCalc[[#This Row],[Scale]],"")</f>
        <v>206.00000000000023</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4856</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13308.000000000004</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1062</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1.2281643116914089</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-1.6221739365855565</v>
      </c>
      <c r="AZ79" s="80">
        <f t="shared" ca="1" si="8"/>
        <v>0</v>
      </c>
      <c r="BA79" s="88">
        <f ca="1">_xlfn.XLOOKUP(TabCalc[[#This Row],[Ticker]],[1]!RTData[Ticker_Symbol],[1]!RTData[V/VA])</f>
        <v>0.45658747132549016</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0.45658747132549016</v>
      </c>
      <c r="BD79" s="85" cm="1">
        <f t="array" aca="1" ref="BD79" ca="1">INDEX(TabReg[], 1, _xlfn.XMATCH(TabCalc[[#This Row],[Ticker]]&amp;1, TabReg[#Headers], 0))</f>
        <v>550</v>
      </c>
      <c r="BE79" s="157">
        <f ca="1">TabCalc[[#This Row],[Nbegin]]*TabCalc[[#This Row],[M]]*TabCalc[[#This Row],[Scale]]+TabCalc[[#This Row],[ValueBegin]]</f>
        <v>-12226.5</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46071.416100000002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28794.109828140034</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214.4</v>
      </c>
      <c r="BS79" s="172" t="str">
        <f ca="1">IF(TabCalc[[#This Row],[EfCost]]+TabCalc[[#This Row],[M_V]]&lt;TabCalc[[#This Row],[NoT_GL]],"Pile","")</f>
        <v/>
      </c>
      <c r="BT79" s="163">
        <f ca="1">_xlfn.XLOOKUP(TabCalc[[#This Row],[Ticker]],[1]!RTData[Ticker_Symbol],[1]!RTData[Last trade time])</f>
        <v>46002.876049178129</v>
      </c>
      <c r="BU79" s="173">
        <f ca="1">(TabCalc[[#This Row],[ValueBegin]]+(TabCalc[[#This Row],[M]]-TabCalc[[#This Row],[A]])*TabCalc[[#This Row],[NAfter]])*TabCalc[[#This Row],[Scale]]</f>
        <v>-116788.39439999999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-12310.394399999992</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205.93080724876441</v>
      </c>
      <c r="CX79" s="402">
        <f ca="1">IF(TabCalc[[#This Row],[ntoBuy]]*TabCalc[[#This Row],[M]]&lt;=0,0,TabCalc[[#This Row],[ntoBuy]]*TabCalc[[#This Row],[M]])</f>
        <v>34540.774299835255</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-12310.394399999992</v>
      </c>
      <c r="DD79" s="88">
        <f ca="1">IFERROR((TabCalc[[#This Row],[M]]+TabCalc[[#This Row],[L_Bp]])/ABS(TabCalc[[#This Row],[L_Bp]])/(TODAY()-TabCalc[[#This Row],[L_Bdate]])*360,"")</f>
        <v>-0.60655164883162294</v>
      </c>
      <c r="DE79" s="308">
        <f ca="1">MEDIAN(DataShift!F778:Z778)</f>
        <v>3.4780000000000002E-3</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92251.5</v>
      </c>
      <c r="DH79" s="85" cm="1">
        <f t="array" aca="1" ref="DH79" ca="1">SUMPRODUCT(ISNUMBER(INDIRECT("TabReg["&amp;TabCalc[[#This Row],[Ticker]]&amp;"2]"))* INDIRECT("TabReg["&amp;TabCalc[[#This Row],[Ticker]]&amp;"1]") * INDIRECT("TabReg["&amp;TabCalc[[#This Row],[Ticker]]&amp;"2]") )*TabCalc[[#This Row],[Scale]]</f>
        <v>-121049.14999999998</v>
      </c>
      <c r="DK79" s="85">
        <f ca="1"/>
        <v>25405</v>
      </c>
      <c r="DL79" s="88">
        <f t="shared" ca="1" si="6"/>
        <v>2.6673756387707024</v>
      </c>
      <c r="DM79" t="str">
        <f ca="1">_xlfn.XLOOKUP(DK79,TabCalc[Column1],TabCalc[Ticker])</f>
        <v>HPQ</v>
      </c>
      <c r="DN79" s="85">
        <f ca="1">_xlfn.XLOOKUP(DM79,TabCalc[Ticker],TabCalc[ValueBegin])</f>
        <v>-15700</v>
      </c>
      <c r="DO79" s="85">
        <f ca="1">_xlfn.XLOOKUP(DM79,TabCalc[Ticker],TabCalc[M_V])</f>
        <v>228027.65849999999</v>
      </c>
      <c r="DP79" s="85">
        <f ca="1">_xlfn.XLOOKUP(DM79,TabCalc[Ticker],TabCalc[GL])</f>
        <v>41877.79752870003</v>
      </c>
      <c r="DQ79" s="88"/>
      <c r="DR79" s="88"/>
      <c r="DS79" s="86" t="s">
        <v>75</v>
      </c>
      <c r="DT79" s="79">
        <v>7700</v>
      </c>
      <c r="DU79" s="313">
        <v>-12.54</v>
      </c>
      <c r="DW79" s="80">
        <v>140904</v>
      </c>
      <c r="DX79" s="80">
        <f ca="1">DW79-TabCalc[[#This Row],[M_V]]</f>
        <v>-9645.4161000000022</v>
      </c>
    </row>
    <row r="80" spans="1:128">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910.94</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2.4403000000000001E-2</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-0.83940934398708511</v>
      </c>
      <c r="T80" s="886">
        <f ca="1">IFERROR(SUMPRODUCT(DataShift!F1572:Z1572,DataShift!F779:Z779)/SQRT(SUMPRODUCT(DataShift!F1572:Z1572,DataShift!F1572:Z1572)*SUMPRODUCT(DataShift!F779:Z779,DataShift!F779:Z779)),0)</f>
        <v>-0.21662507062128092</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47">
        <f ca="1">(TabCalc[[#This Row],[M]]+TabCalc[[#This Row],[L_Bp]])/TabCalc[[#This Row],[M]]</f>
        <v>0.38349232660768001</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-27904.000000000007</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-41590.93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0.88098700243704298</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1.7430243452778715</v>
      </c>
      <c r="AZ80" s="80">
        <f t="shared" ca="1" si="8"/>
        <v>310</v>
      </c>
      <c r="BA80" s="88">
        <f ca="1">_xlfn.XLOOKUP(TabCalc[[#This Row],[Ticker]],[1]!RTData[Ticker_Symbol],[1]!RTData[V/VA])</f>
        <v>1.2888796962689482</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1.2888796962689482</v>
      </c>
      <c r="BD80" s="85" cm="1">
        <f t="array" aca="1" ref="BD80" ca="1">INDEX(TabReg[], 1, _xlfn.XMATCH(TabCalc[[#This Row],[Ticker]]&amp;1, TabReg[#Headers], 0))</f>
        <v>310</v>
      </c>
      <c r="BE80" s="157">
        <f ca="1">TabCalc[[#This Row],[Nbegin]]*TabCalc[[#This Row],[M]]*TabCalc[[#This Row],[Scale]]+TabCalc[[#This Row],[ValueBegin]]</f>
        <v>171194.40000000002</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46002.875974594528</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0.51361086647297605</v>
      </c>
      <c r="DE80" s="308">
        <f ca="1">MEDIAN(DataShift!F779:Z779)</f>
        <v>4.4710000000000001E-3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282391.40000000002</v>
      </c>
      <c r="DH80" s="85" cm="1">
        <f t="array" aca="1" ref="DH80" ca="1">SUMPRODUCT(ISNUMBER(INDIRECT("TabReg["&amp;TabCalc[[#This Row],[Ticker]]&amp;"2]"))* INDIRECT("TabReg["&amp;TabCalc[[#This Row],[Ticker]]&amp;"1]") * INDIRECT("TabReg["&amp;TabCalc[[#This Row],[Ticker]]&amp;"2]") )*TabCalc[[#This Row],[Scale]]</f>
        <v>45917.739000000023</v>
      </c>
      <c r="DK80" s="85">
        <f ca="1"/>
        <v>23910</v>
      </c>
      <c r="DL80" s="88">
        <f t="shared" ca="1" si="6"/>
        <v>0.55583397550497438</v>
      </c>
      <c r="DM80" t="str">
        <f ca="1">_xlfn.XLOOKUP(DK80,TabCalc[Column1],TabCalc[Ticker])</f>
        <v>XOM</v>
      </c>
      <c r="DN80" s="85">
        <f ca="1">_xlfn.XLOOKUP(DM80,TabCalc[Ticker],TabCalc[ValueBegin])</f>
        <v>-19902</v>
      </c>
      <c r="DO80" s="85">
        <f ca="1">_xlfn.XLOOKUP(DM80,TabCalc[Ticker],TabCalc[M_V])</f>
        <v>59613.607499999998</v>
      </c>
      <c r="DP80" s="85">
        <f ca="1">_xlfn.XLOOKUP(DM80,TabCalc[Ticker],TabCalc[GL])</f>
        <v>11062.207780500001</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14953.009172679998</v>
      </c>
      <c r="G81" s="80">
        <f ca="1">IFERROR(TabCalc[[#This Row],[SB]]-TabCalc[[#This Row],[SST]],TabCalc[[#This Row],[SB]])</f>
        <v>15518</v>
      </c>
      <c r="H81" s="530" t="str">
        <f ca="1">[1]!RTData[[#This Row],[Ticker_Symbol]]</f>
        <v>LAZR</v>
      </c>
      <c r="I81" s="381">
        <f ca="1">_xlfn.XLOOKUP(TabCalc[[#This Row],[Ticker]],[1]!RTData[Ticker_Symbol],[1]!RTData[M-Price])</f>
        <v>0.96619999999999995</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0.10612500000000001</v>
      </c>
      <c r="N81" s="1041">
        <v>0</v>
      </c>
      <c r="O81" s="886">
        <f>TabCalc[[#This Row],[Up20]]-1+TabCalc[[#This Row],[Up20]]</f>
        <v>-1</v>
      </c>
      <c r="P81" s="886">
        <f>TabCalc[[#This Row],[Up20]]-TabCalc[[#This Row],[Up150]]</f>
        <v>-0.30434782608695654</v>
      </c>
      <c r="Q81" s="886">
        <v>0.30434782608695654</v>
      </c>
      <c r="R81" s="886">
        <f>TabCalc[[#This Row],[Up150]]-1+TabCalc[[#This Row],[Up150]]</f>
        <v>-0.39130434782608692</v>
      </c>
      <c r="S81" s="886">
        <f ca="1">IFERROR(SUMPRODUCT(DataShift!F1573:Z1573,DataShift!AB780:AV780)/SQRT(SUMPRODUCT(DataShift!F1573:Z1573,DataShift!F1573:Z1573)*SUMPRODUCT(DataShift!AB780:AV780,DataShift!AB780:AV780)),0)</f>
        <v>0</v>
      </c>
      <c r="T81" s="886">
        <f ca="1">IFERROR(SUMPRODUCT(DataShift!F1573:Z1573,DataShift!F780:Z780)/SQRT(SUMPRODUCT(DataShift!F1573:Z1573,DataShift!F1573:Z1573)*SUMPRODUCT(DataShift!F780:Z780,DataShift!F780:Z780)),0)</f>
        <v>0</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7,445 = $ 7,193</v>
      </c>
      <c r="Z81" s="209">
        <f ca="1">INT(MIN(TabCalc[[#This Row],[L_Bn]],TabCalc[[#This Row],[NAfter]])*(TabCalc[[#This Row],[M]]+TabCalc[[#This Row],[L_Bp]])*Comm_Net*TabCalc[[#This Row],[Scale]])</f>
        <v>-52664</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47">
        <f ca="1">(TabCalc[[#This Row],[M]]+TabCalc[[#This Row],[L_Bp]])/TabCalc[[#This Row],[M]]</f>
        <v>-5.6652866901262691</v>
      </c>
      <c r="AE81" s="209">
        <f ca="1">IFERROR(MIN(TabCalc[[#This Row],[L_B1n]],TabCalc[[#This Row],[NAfter]])*(TabCalc[[#This Row],[M]]+TabCalc[[#This Row],[L_B1p]])*TabCalc[[#This Row],[Scale]],"")</f>
        <v>-21742.428399999997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1492.8315999999995</v>
      </c>
      <c r="AR81" s="332">
        <f ca="1">_xlfn.LET(_xlpm.MVToday,DataShift!AV581,         _xlpm.MVY,DataShift!AU581,        _xlpm.MVYY, DataShift!AT581,                                IF(_xlpm.MVToday=_xlpm.MVY,_xlpm.MVY-_xlpm.MVYY,_xlpm.MVToday-_xlpm.MVY))</f>
        <v>996.30270000000019</v>
      </c>
      <c r="AS81" s="332">
        <f ca="1">_xlfn.LET(_xlpm.MVToday,DataShift!AV581,         _xlpm.MVY,DataShift!AU581,        _xlpm.MVYY, DataShift!AT581,         _xlpm.MVYYY, DataShift!AS581,                      IF(_xlpm.MVToday=_xlpm.MVY,      _xlpm.MVYY-_xlpm.MVYYY,          _xlpm.MVY-_xlpm.MVYY))</f>
        <v>4261.2135750000016</v>
      </c>
      <c r="AT81" s="969">
        <f ca="1">TabCalc[[#This Row],[Y]]/TabCalc[[#This Row],[M]]</f>
        <v>15.524725729662597</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-190.70712449352416</v>
      </c>
      <c r="AZ81" s="80">
        <f t="shared" ca="1" si="8"/>
        <v>0</v>
      </c>
      <c r="BA81" s="88">
        <f ca="1">_xlfn.XLOOKUP(TabCalc[[#This Row],[Ticker]],[1]!RTData[Ticker_Symbol],[1]!RTData[V/VA])</f>
        <v>1.5841251522935991</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1.5841251522935991</v>
      </c>
      <c r="BD81" s="85" cm="1">
        <f t="array" aca="1" ref="BD81" ca="1">INDEX(TabReg[], 1, _xlfn.XMATCH(TabCalc[[#This Row],[Ticker]]&amp;1, TabReg[#Headers], 0))</f>
        <v>5353</v>
      </c>
      <c r="BE81" s="157">
        <f ca="1">TabCalc[[#This Row],[Nbegin]]*TabCalc[[#This Row],[M]]*TabCalc[[#This Row],[Scale]]+TabCalc[[#This Row],[ValueBegin]]</f>
        <v>-246847.17139999999</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-237066.23082731999</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-322349.31963516888</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46002.875009640622</v>
      </c>
      <c r="BU81" s="173">
        <f ca="1">(TabCalc[[#This Row],[ValueBegin]]+(TabCalc[[#This Row],[M]]-TabCalc[[#This Row],[A]])*TabCalc[[#This Row],[NAfter]])*TabCalc[[#This Row],[Scale]]</f>
        <v>-574289.19938399992</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-322269.95938399993</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-322269.95938399993</v>
      </c>
      <c r="DD81" s="88">
        <f ca="1">IFERROR((TabCalc[[#This Row],[M]]+TabCalc[[#This Row],[L_Bp]])/ABS(TabCalc[[#This Row],[L_Bp]])/(TODAY()-TabCalc[[#This Row],[L_Bdate]])*360,"")</f>
        <v>-0.94733380766494257</v>
      </c>
      <c r="DE81" s="308">
        <f ca="1">MEDIAN(DataShift!F780:Z780)</f>
        <v>9.8279999999999999E-3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5172.0685999999996</v>
      </c>
      <c r="DH81" s="85" cm="1">
        <f t="array" aca="1" ref="DH81" ca="1">SUMPRODUCT(ISNUMBER(INDIRECT("TabReg["&amp;TabCalc[[#This Row],[Ticker]]&amp;"2]"))* INDIRECT("TabReg["&amp;TabCalc[[#This Row],[Ticker]]&amp;"1]") * INDIRECT("TabReg["&amp;TabCalc[[#This Row],[Ticker]]&amp;"2]") )*TabCalc[[#This Row],[Scale]]</f>
        <v>-336388.83999999997</v>
      </c>
      <c r="DK81" s="85">
        <f ca="1"/>
        <v>19650</v>
      </c>
      <c r="DL81" s="88">
        <f t="shared" ca="1" si="6"/>
        <v>0.15063822221708995</v>
      </c>
      <c r="DM81" t="str">
        <f ca="1">_xlfn.XLOOKUP(DK81,TabCalc[Column1],TabCalc[Ticker])</f>
        <v>MVEDDD</v>
      </c>
      <c r="DN81" s="85">
        <f ca="1">_xlfn.XLOOKUP(DM81,TabCalc[Ticker],TabCalc[ValueBegin])</f>
        <v>-43300</v>
      </c>
      <c r="DO81" s="85">
        <f ca="1">_xlfn.XLOOKUP(DM81,TabCalc[Ticker],TabCalc[M_V])</f>
        <v>19596.945</v>
      </c>
      <c r="DP81" s="85">
        <f ca="1">_xlfn.XLOOKUP(DM81,TabCalc[Ticker],TabCalc[GL])</f>
        <v>6522.6350219999949</v>
      </c>
      <c r="DQ81" s="88"/>
      <c r="DR81" s="88"/>
      <c r="DS81" s="86" t="s">
        <v>77</v>
      </c>
      <c r="DT81" s="79">
        <v>19440</v>
      </c>
      <c r="DU81" s="313">
        <v>-513</v>
      </c>
      <c r="DW81" s="80">
        <v>20949.300000000003</v>
      </c>
      <c r="DX81" s="80">
        <f ca="1">DW81-TabCalc[[#This Row],[M_V]]</f>
        <v>5996.2908273200046</v>
      </c>
    </row>
    <row r="82" spans="1:128">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85323.004199999996</v>
      </c>
      <c r="G82" s="80">
        <f ca="1">IFERROR(TabCalc[[#This Row],[SB]]-TabCalc[[#This Row],[SST]],TabCalc[[#This Row],[SB]])</f>
        <v>2100</v>
      </c>
      <c r="H82" s="530" t="str">
        <f ca="1">[1]!RTData[[#This Row],[Ticker_Symbol]]</f>
        <v>LUV</v>
      </c>
      <c r="I82" s="381">
        <f ca="1">_xlfn.XLOOKUP(TabCalc[[#This Row],[Ticker]],[1]!RTData[Ticker_Symbol],[1]!RTData[M-Price])</f>
        <v>40.74</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2.2846999999999999E-2</v>
      </c>
      <c r="N82" s="1041" t="s">
        <v>2938</v>
      </c>
      <c r="O82" s="886" t="e">
        <f>TabCalc[[#This Row],[Up20]]-1+TabCalc[[#This Row],[Up20]]</f>
        <v>#VALUE!</v>
      </c>
      <c r="P82" s="886" t="e">
        <f>TabCalc[[#This Row],[Up20]]-TabCalc[[#This Row],[Up150]]</f>
        <v>#VALUE!</v>
      </c>
      <c r="Q82" s="886" t="s">
        <v>2950</v>
      </c>
      <c r="R82" s="886" t="e">
        <f>TabCalc[[#This Row],[Up150]]-1+TabCalc[[#This Row],[Up150]]</f>
        <v>#VALUE!</v>
      </c>
      <c r="S82" s="886">
        <f ca="1">IFERROR(SUMPRODUCT(DataShift!F1574:Z1574,DataShift!AB781:AV781)/SQRT(SUMPRODUCT(DataShift!F1574:Z1574,DataShift!F1574:Z1574)*SUMPRODUCT(DataShift!AB781:AV781,DataShift!AB781:AV781)),0)</f>
        <v>-0.71959582259225974</v>
      </c>
      <c r="T82" s="886">
        <f ca="1">IFERROR(SUMPRODUCT(DataShift!F1574:Z1574,DataShift!F781:Z781)/SQRT(SUMPRODUCT(DataShift!F1574:Z1574,DataShift!F1574:Z1574)*SUMPRODUCT(DataShift!F781:Z781,DataShift!F781:Z781)),0)</f>
        <v>-0.49406714419425957</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2629</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47">
        <f ca="1">(TabCalc[[#This Row],[M]]+TabCalc[[#This Row],[L_Bp]])/TabCalc[[#This Row],[M]]</f>
        <v>7.1919489445262635E-2</v>
      </c>
      <c r="AE82" s="209">
        <f ca="1">IFERROR(MIN(TabCalc[[#This Row],[L_B1n]],TabCalc[[#This Row],[NAfter]])*(TabCalc[[#This Row],[M]]+TabCalc[[#This Row],[L_B1p]])*TabCalc[[#This Row],[Scale]],"")</f>
        <v>12051.120000000004</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-8512.1700000000055</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-24400.000000000007</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1911</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0.84609720176730474</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0.17552553863191556</v>
      </c>
      <c r="AZ82" s="80">
        <f t="shared" ca="1" si="8"/>
        <v>0</v>
      </c>
      <c r="BA82" s="88">
        <f ca="1">_xlfn.XLOOKUP(TabCalc[[#This Row],[Ticker]],[1]!RTData[Ticker_Symbol],[1]!RTData[V/VA])</f>
        <v>2.7751078974989354</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2.7751078974989354</v>
      </c>
      <c r="BD82" s="85" cm="1">
        <f t="array" aca="1" ref="BD82" ca="1">INDEX(TabReg[], 1, _xlfn.XMATCH(TabCalc[[#This Row],[Ticker]]&amp;1, TabReg[#Headers], 0))</f>
        <v>2100</v>
      </c>
      <c r="BE82" s="157">
        <f ca="1">TabCalc[[#This Row],[Nbegin]]*TabCalc[[#This Row],[M]]*TabCalc[[#This Row],[Scale]]+TabCalc[[#This Row],[ValueBegin]]</f>
        <v>-8253</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-8483.9958000000042</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-6967.0421809200197</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46002.876090265629</v>
      </c>
      <c r="BU82" s="173">
        <f ca="1">(TabCalc[[#This Row],[ValueBegin]]+(TabCalc[[#This Row],[M]]-TabCalc[[#This Row],[A]])*TabCalc[[#This Row],[NAfter]])*TabCalc[[#This Row],[Scale]]</f>
        <v>-79303.131288000004</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14503.868711999992</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1706.4846416382254</v>
      </c>
      <c r="CZ82" s="403">
        <f ca="1">TabCalc[[#This Row],[ntoSell]]*TabCalc[[#This Row],[M]]</f>
        <v>69522.184300341309</v>
      </c>
      <c r="DA82" s="396">
        <f ca="1">_xlfn.LET(_xlpm.nToSell,IF(TabCalc[[#This Row],[M]]-TabCalc[[#This Row],[A]]&lt;=0,"",INT(DesiredSaleGain/(TabCalc[[#This Row],[M]]-IF(TabCalc[[#This Row],[E]]&gt;0,0,TabCalc[[#This Row],[A]])))),IF(_xlpm.nToSell&lt;=TabCalc[[#This Row],[NAfter]],_xlpm.nToSell,0))</f>
        <v>723</v>
      </c>
      <c r="DB82" s="334">
        <f ca="1">IFERROR(TabCalc[[#This Row],[NMA]]*TabCalc[[#This Row],[M]],"")</f>
        <v>29455.02</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14503.868711999992</v>
      </c>
      <c r="DD82" s="88">
        <f ca="1">IFERROR((TabCalc[[#This Row],[M]]+TabCalc[[#This Row],[L_Bp]])/ABS(TabCalc[[#This Row],[L_Bp]])/(TODAY()-TabCalc[[#This Row],[L_Bdate]])*360,"")</f>
        <v>4.6495636075112401</v>
      </c>
      <c r="DE82" s="308">
        <f ca="1">MEDIAN(DataShift!F781:Z781)</f>
        <v>9.6360000000000005E-3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85554</v>
      </c>
      <c r="DH82" s="85" cm="1">
        <f t="array" aca="1" ref="DH82" ca="1">SUMPRODUCT(ISNUMBER(INDIRECT("TabReg["&amp;TabCalc[[#This Row],[Ticker]]&amp;"2]"))* INDIRECT("TabReg["&amp;TabCalc[[#This Row],[Ticker]]&amp;"1]") * INDIRECT("TabReg["&amp;TabCalc[[#This Row],[Ticker]]&amp;"2]") )*TabCalc[[#This Row],[Scale]]</f>
        <v>-91829.450000000012</v>
      </c>
      <c r="DK82" s="85">
        <f ca="1"/>
        <v>18063</v>
      </c>
      <c r="DL82" s="88">
        <f t="shared" ca="1" si="6"/>
        <v>-0.33493716841483978</v>
      </c>
      <c r="DM82" t="str">
        <f ca="1">_xlfn.XLOOKUP(DK82,TabCalc[Column1],TabCalc[Ticker])</f>
        <v>NVAX</v>
      </c>
      <c r="DN82" s="85">
        <f ca="1">_xlfn.XLOOKUP(DM82,TabCalc[Ticker],TabCalc[ValueBegin])</f>
        <v>-160110</v>
      </c>
      <c r="DO82" s="85">
        <f ca="1">_xlfn.XLOOKUP(DM82,TabCalc[Ticker],TabCalc[M_V])</f>
        <v>30023.716499999999</v>
      </c>
      <c r="DP82" s="85">
        <f ca="1">_xlfn.XLOOKUP(DM82,TabCalc[Ticker],TabCalc[GL])</f>
        <v>-53626.790034899997</v>
      </c>
      <c r="DQ82" s="88"/>
      <c r="DR82" s="88"/>
      <c r="DS82" s="86" t="s">
        <v>78</v>
      </c>
      <c r="DT82" s="79">
        <v>30000</v>
      </c>
      <c r="DU82" s="313">
        <v>-7.04</v>
      </c>
      <c r="DW82" s="80">
        <v>35604</v>
      </c>
      <c r="DX82" s="80">
        <f ca="1">DW82-TabCalc[[#This Row],[M_V]]</f>
        <v>-49719.004199999996</v>
      </c>
    </row>
    <row r="83" spans="1:128">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112409.67220000002</v>
      </c>
      <c r="G83" s="80">
        <f ca="1">IFERROR(TabCalc[[#This Row],[SB]]-TabCalc[[#This Row],[SST]],TabCalc[[#This Row],[SB]])</f>
        <v>200</v>
      </c>
      <c r="H83" s="530" t="str">
        <f ca="1">[1]!RTData[[#This Row],[Ticker_Symbol]]</f>
        <v>MA</v>
      </c>
      <c r="I83" s="381">
        <f ca="1">_xlfn.XLOOKUP(TabCalc[[#This Row],[Ticker]],[1]!RTData[Ticker_Symbol],[1]!RTData[M-Price])</f>
        <v>563.57000000000005</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4.5856000000000001E-2</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-0.92521942657938316</v>
      </c>
      <c r="T83" s="886">
        <f ca="1">IFERROR(SUMPRODUCT(DataShift!F1575:Z1575,DataShift!F782:Z782)/SQRT(SUMPRODUCT(DataShift!F1575:Z1575,DataShift!F1575:Z1575)*SUMPRODUCT(DataShift!F782:Z782,DataShift!F782:Z782)),0)</f>
        <v>-0.27306536930773273</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-232</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47">
        <f ca="1">(TabCalc[[#This Row],[M]]+TabCalc[[#This Row],[L_Bp]])/TabCalc[[#This Row],[M]]</f>
        <v>-4.1166137303261996E-3</v>
      </c>
      <c r="AE83" s="209">
        <f ca="1">IFERROR(MIN(TabCalc[[#This Row],[L_B1n]],TabCalc[[#This Row],[NAfter]])*(TabCalc[[#This Row],[M]]+TabCalc[[#This Row],[L_B1p]])*TabCalc[[#This Row],[Scale]],"")</f>
        <v>3352.0000000000209</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2910.99999999999</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-1690.0000000000091</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3958.0000000000146</v>
      </c>
      <c r="AR83" s="332">
        <f ca="1">_xlfn.LET(_xlpm.MVToday,DataShift!AV583,         _xlpm.MVY,DataShift!AU583,        _xlpm.MVYY, DataShift!AT583,                                IF(_xlpm.MVToday=_xlpm.MVY,_xlpm.MVY-_xlpm.MVYY,_xlpm.MVToday-_xlpm.MVY))</f>
        <v>1434.6345997799981</v>
      </c>
      <c r="AS83" s="332">
        <f ca="1">_xlfn.LET(_xlpm.MVToday,DataShift!AV583,         _xlpm.MVY,DataShift!AU583,        _xlpm.MVYY, DataShift!AT583,         _xlpm.MVYYY, DataShift!AS583,                      IF(_xlpm.MVToday=_xlpm.MVY,      _xlpm.MVYY-_xlpm.MVYYY,          _xlpm.MVY-_xlpm.MVYY))</f>
        <v>-108.33270979999725</v>
      </c>
      <c r="AT83" s="969">
        <f ca="1">TabCalc[[#This Row],[Y]]/TabCalc[[#This Row],[M]]</f>
        <v>1.1649050694678564</v>
      </c>
      <c r="AU83" s="295" t="str" cm="1">
        <f t="array" aca="1" ref="AU83" ca="1">IFERROR(_xlfn.IFS(          TabCalc[[#This Row],[E]]&gt;0, "Free Trade",      TabCalc[[#This Row],[A]]&lt;MIN(TabCalc[[#This Row],[L_Sp]],TabCalc[[#This Row],[M]]), "Buy",            TabCalc[[#This Row],[M]]&lt;TabCalc[[#This Row],[L_Sp]],       "Refill",       TabCalc[[#This Row],[M]]&gt;TabCalc[[#This Row],[L_Sp]],"S_more"),"")</f>
        <v>Buy</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-2.1694984883361896</v>
      </c>
      <c r="AZ83" s="80">
        <f t="shared" ca="1" si="8"/>
        <v>130</v>
      </c>
      <c r="BA83" s="88">
        <f ca="1">_xlfn.XLOOKUP(TabCalc[[#This Row],[Ticker]],[1]!RTData[Ticker_Symbol],[1]!RTData[V/VA])</f>
        <v>1.2355910357032382</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1.2355910357032382</v>
      </c>
      <c r="BD83" s="85" cm="1">
        <f t="array" aca="1" ref="BD83" ca="1">INDEX(TabReg[], 1, _xlfn.XMATCH(TabCalc[[#This Row],[Ticker]]&amp;1, TabReg[#Headers], 0))</f>
        <v>330</v>
      </c>
      <c r="BE83" s="157">
        <f ca="1">TabCalc[[#This Row],[Nbegin]]*TabCalc[[#This Row],[M]]*TabCalc[[#This Row],[Scale]]+TabCalc[[#This Row],[ValueBegin]]</f>
        <v>69448.5</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-4119.9277999999904</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49304.275425679996</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514.58</v>
      </c>
      <c r="BS83" s="172" t="str">
        <f ca="1">IF(TabCalc[[#This Row],[EfCost]]+TabCalc[[#This Row],[M_V]]&lt;TabCalc[[#This Row],[NoT_GL]],"Pile","")</f>
        <v>Pile</v>
      </c>
      <c r="BT83" s="163">
        <f ca="1">_xlfn.XLOOKUP(TabCalc[[#This Row],[Ticker]],[1]!RTData[Ticker_Symbol],[1]!RTData[Last trade time])</f>
        <v>46002.876149120311</v>
      </c>
      <c r="BU83" s="173">
        <f ca="1">(TabCalc[[#This Row],[ValueBegin]]+(TabCalc[[#This Row],[M]]-TabCalc[[#This Row],[A]])*TabCalc[[#This Row],[NAfter]])*TabCalc[[#This Row],[Scale]]</f>
        <v>-115374.902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1154.6980000000076</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171.76228100309231</v>
      </c>
      <c r="CX83" s="402">
        <f ca="1">IF(TabCalc[[#This Row],[ntoBuy]]*TabCalc[[#This Row],[M]]&lt;=0,0,TabCalc[[#This Row],[ntoBuy]]*TabCalc[[#This Row],[M]])</f>
        <v>96800.068704912745</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1154.6980000000076</v>
      </c>
      <c r="DD83" s="88">
        <f ca="1">IFERROR((TabCalc[[#This Row],[M]]+TabCalc[[#This Row],[L_Bp]])/ABS(TabCalc[[#This Row],[L_Bp]])/(TODAY()-TabCalc[[#This Row],[L_Bdate]])*360,"")</f>
        <v>-1.8921861682821776E-2</v>
      </c>
      <c r="DE83" s="308">
        <f ca="1">MEDIAN(DataShift!F782:Z782)</f>
        <v>1.6997999999999999E-2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185978.1</v>
      </c>
      <c r="DH83" s="85" cm="1">
        <f t="array" aca="1" ref="DH83" ca="1">SUMPRODUCT(ISNUMBER(INDIRECT("TabReg["&amp;TabCalc[[#This Row],[Ticker]]&amp;"2]"))* INDIRECT("TabReg["&amp;TabCalc[[#This Row],[Ticker]]&amp;"1]") * INDIRECT("TabReg["&amp;TabCalc[[#This Row],[Ticker]]&amp;"2]") )*TabCalc[[#This Row],[Scale]]</f>
        <v>-62650.241000000009</v>
      </c>
      <c r="DK83" s="85">
        <f ca="1"/>
        <v>17300</v>
      </c>
      <c r="DL83" s="88">
        <f t="shared" ca="1" si="6"/>
        <v>0.27058081637806802</v>
      </c>
      <c r="DM83" t="str">
        <f ca="1">_xlfn.XLOOKUP(DK83,TabCalc[Column1],TabCalc[Ticker])</f>
        <v>LUMN</v>
      </c>
      <c r="DN83" s="85">
        <f ca="1">_xlfn.XLOOKUP(DM83,TabCalc[Ticker],TabCalc[ValueBegin])</f>
        <v>-54753.100000000006</v>
      </c>
      <c r="DO83" s="85">
        <f ca="1">_xlfn.XLOOKUP(DM83,TabCalc[Ticker],TabCalc[M_V])</f>
        <v>86.266449999999992</v>
      </c>
      <c r="DP83" s="85">
        <f ca="1">_xlfn.XLOOKUP(DM83,TabCalc[Ticker],TabCalc[GL])</f>
        <v>14815.138497229998</v>
      </c>
      <c r="DQ83" s="88"/>
      <c r="DR83" s="88"/>
      <c r="DS83" s="86" t="s">
        <v>665</v>
      </c>
      <c r="DT83" s="80">
        <v>450</v>
      </c>
      <c r="DU83" s="313">
        <v>-262.89</v>
      </c>
      <c r="DW83" s="80">
        <v>110588.00000000001</v>
      </c>
      <c r="DX83" s="80">
        <f ca="1">DW83-TabCalc[[#This Row],[M_V]]</f>
        <v>-1821.6722000000009</v>
      </c>
    </row>
    <row r="84" spans="1:128">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30023.716499999999</v>
      </c>
      <c r="G84" s="80">
        <f ca="1">IFERROR(TabCalc[[#This Row],[SB]]-TabCalc[[#This Row],[SST]],TabCalc[[#This Row],[SB]])</f>
        <v>4500</v>
      </c>
      <c r="H84" s="530" t="str">
        <f ca="1">[1]!RTData[[#This Row],[Ticker_Symbol]]</f>
        <v>NVAX</v>
      </c>
      <c r="I84" s="381">
        <f ca="1">_xlfn.XLOOKUP(TabCalc[[#This Row],[Ticker]],[1]!RTData[Ticker_Symbol],[1]!RTData[M-Price])</f>
        <v>6.69</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-7.4180000000000001E-3</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-0.67884423330213062</v>
      </c>
      <c r="T84" s="886">
        <f ca="1">IFERROR(SUMPRODUCT(DataShift!F1576:Z1576,DataShift!F783:Z783)/SQRT(SUMPRODUCT(DataShift!F1576:Z1576,DataShift!F1576:Z1576)*SUMPRODUCT(DataShift!F783:Z783,DataShift!F783:Z783)),0)</f>
        <v>-0.60274269599791919</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-13728</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47">
        <f ca="1">(TabCalc[[#This Row],[M]]+TabCalc[[#This Row],[L_Bp]])/TabCalc[[#This Row],[M]]</f>
        <v>-0.45721973094170382</v>
      </c>
      <c r="AE84" s="209">
        <f ca="1">IFERROR(MIN(TabCalc[[#This Row],[L_B1n]],TabCalc[[#This Row],[NAfter]])*(TabCalc[[#This Row],[M]]+TabCalc[[#This Row],[L_B1p]])*TabCalc[[#This Row],[Scale]],"")</f>
        <v>7357.9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14165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22301.999999999996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-135</v>
      </c>
      <c r="AR84" s="332">
        <f ca="1">_xlfn.LET(_xlpm.MVToday,DataShift!AV584,         _xlpm.MVY,DataShift!AU584,        _xlpm.MVYY, DataShift!AT584,                                IF(_xlpm.MVToday=_xlpm.MVY,_xlpm.MVY-_xlpm.MVYY,_xlpm.MVToday-_xlpm.MVY))</f>
        <v>1916.311950000003</v>
      </c>
      <c r="AS84" s="332">
        <f ca="1">_xlfn.LET(_xlpm.MVToday,DataShift!AV584,         _xlpm.MVY,DataShift!AU584,        _xlpm.MVYY, DataShift!AT584,         _xlpm.MVYYY, DataShift!AS584,                      IF(_xlpm.MVToday=_xlpm.MVY,      _xlpm.MVYY-_xlpm.MVYYY,          _xlpm.MVY-_xlpm.MVYY))</f>
        <v>2973.9485999999888</v>
      </c>
      <c r="AT84" s="969">
        <f ca="1">TabCalc[[#This Row],[Y]]/TabCalc[[#This Row],[M]]</f>
        <v>1.8933736920777278</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-2.5193543582763476</v>
      </c>
      <c r="AZ84" s="80">
        <f t="shared" ca="1" si="8"/>
        <v>0</v>
      </c>
      <c r="BA84" s="88">
        <f ca="1">_xlfn.XLOOKUP(TabCalc[[#This Row],[Ticker]],[1]!RTData[Ticker_Symbol],[1]!RTData[V/VA])</f>
        <v>0.6525138583606388</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0.6525138583606388</v>
      </c>
      <c r="BD84" s="85" cm="1">
        <f t="array" aca="1" ref="BD84" ca="1">INDEX(TabReg[], 1, _xlfn.XMATCH(TabCalc[[#This Row],[Ticker]]&amp;1, TabReg[#Headers], 0))</f>
        <v>2600</v>
      </c>
      <c r="BE84" s="157">
        <f ca="1">TabCalc[[#This Row],[Nbegin]]*TabCalc[[#This Row],[M]]*TabCalc[[#This Row],[Scale]]+TabCalc[[#This Row],[ValueBegin]]</f>
        <v>-142047</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-130086.28350000001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-53626.790034899997</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18.14</v>
      </c>
      <c r="BS84" s="172" t="str">
        <f ca="1">IF(TabCalc[[#This Row],[EfCost]]+TabCalc[[#This Row],[M_V]]&lt;TabCalc[[#This Row],[NoT_GL]],"Pile","")</f>
        <v/>
      </c>
      <c r="BT84" s="163">
        <f ca="1">_xlfn.XLOOKUP(TabCalc[[#This Row],[Ticker]],[1]!RTData[Ticker_Symbol],[1]!RTData[Last trade time])</f>
        <v>46002.876026075784</v>
      </c>
      <c r="BU84" s="173">
        <f ca="1">(TabCalc[[#This Row],[ValueBegin]]+(TabCalc[[#This Row],[M]]-TabCalc[[#This Row],[A]])*TabCalc[[#This Row],[NAfter]])*TabCalc[[#This Row],[Scale]]</f>
        <v>-173988.66095999998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-13878.66095999999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352.98270384751152</v>
      </c>
      <c r="CX84" s="402">
        <f ca="1">IF(TabCalc[[#This Row],[ntoBuy]]*TabCalc[[#This Row],[M]]&lt;=0,0,TabCalc[[#This Row],[ntoBuy]]*TabCalc[[#This Row],[M]])</f>
        <v>2361.454288739852</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-13878.66095999999</v>
      </c>
      <c r="DD84" s="88">
        <f ca="1">IFERROR((TabCalc[[#This Row],[M]]+TabCalc[[#This Row],[L_Bp]])/ABS(TabCalc[[#This Row],[L_Bp]])/(TODAY()-TabCalc[[#This Row],[L_Bdate]])*360,"")</f>
        <v>-0.33319825884628951</v>
      </c>
      <c r="DE84" s="308">
        <f ca="1">MEDIAN(DataShift!F783:Z783)</f>
        <v>1.1989000000000001E-2</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18063</v>
      </c>
      <c r="DH84" s="85" cm="1">
        <f t="array" aca="1" ref="DH84" ca="1">SUMPRODUCT(ISNUMBER(INDIRECT("TabReg["&amp;TabCalc[[#This Row],[Ticker]]&amp;"2]"))* INDIRECT("TabReg["&amp;TabCalc[[#This Row],[Ticker]]&amp;"1]") * INDIRECT("TabReg["&amp;TabCalc[[#This Row],[Ticker]]&amp;"2]") )*TabCalc[[#This Row],[Scale]]</f>
        <v>-83355.72</v>
      </c>
      <c r="DK84" s="85">
        <f ca="1"/>
        <v>14815</v>
      </c>
      <c r="DL84" s="88">
        <f t="shared" ca="1" si="6"/>
        <v>-2.4032771693961221</v>
      </c>
      <c r="DM84" t="str">
        <f ca="1">_xlfn.XLOOKUP(DK84,TabCalc[Column1],TabCalc[Ticker])</f>
        <v>SAFMRNA</v>
      </c>
      <c r="DN84" s="85">
        <f ca="1">_xlfn.XLOOKUP(DM84,TabCalc[Ticker],TabCalc[ValueBegin])</f>
        <v>-63175</v>
      </c>
      <c r="DO84" s="85">
        <f ca="1">_xlfn.XLOOKUP(DM84,TabCalc[Ticker],TabCalc[M_V])</f>
        <v>147749.995</v>
      </c>
      <c r="DP84" s="85">
        <f ca="1">_xlfn.XLOOKUP(DM84,TabCalc[Ticker],TabCalc[GL])</f>
        <v>-151827.03517660001</v>
      </c>
      <c r="DQ84" s="88"/>
      <c r="DR84" s="88"/>
      <c r="DS84" s="86" t="s">
        <v>79</v>
      </c>
      <c r="DT84" s="79">
        <v>12000</v>
      </c>
      <c r="DU84" s="313">
        <v>-13.49</v>
      </c>
      <c r="DW84" s="80">
        <v>48815</v>
      </c>
      <c r="DX84" s="80">
        <f ca="1">DW84-TabCalc[[#This Row],[M_V]]</f>
        <v>18791.283500000001</v>
      </c>
    </row>
    <row r="85" spans="1:128">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132.36000000000001</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8.9180000000000006E-3</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-0.9256719648778079</v>
      </c>
      <c r="T85" s="886">
        <f ca="1">IFERROR(SUMPRODUCT(DataShift!F1577:Z1577,DataShift!F784:Z784)/SQRT(SUMPRODUCT(DataShift!F1577:Z1577,DataShift!F1577:Z1577)*SUMPRODUCT(DataShift!F784:Z784,DataShift!F784:Z784)),0)</f>
        <v>-0.27459564679254866</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47">
        <f ca="1">(TabCalc[[#This Row],[M]]+TabCalc[[#This Row],[L_Bp]])/TabCalc[[#This Row],[M]]</f>
        <v>0.25932305832577823</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-11739.800000000008</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-32960.000000000007</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4932.645800000013</v>
      </c>
      <c r="AS85" s="332">
        <f ca="1">_xlfn.LET(_xlpm.MVToday,DataShift!AV585,         _xlpm.MVY,DataShift!AU585,        _xlpm.MVYY, DataShift!AT585,         _xlpm.MVYYY, DataShift!AS585,                      IF(_xlpm.MVToday=_xlpm.MVY,      _xlpm.MVYY-_xlpm.MVYYY,          _xlpm.MVY-_xlpm.MVYY))</f>
        <v>-109.70299999999406</v>
      </c>
      <c r="AT85" s="969">
        <f ca="1">TabCalc[[#This Row],[Y]]/TabCalc[[#This Row],[M]]</f>
        <v>1.0190557570262917</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-8.9874695410832866E-4</v>
      </c>
      <c r="AZ85" s="80">
        <f t="shared" ca="1" si="8"/>
        <v>200</v>
      </c>
      <c r="BA85" s="88">
        <f ca="1">_xlfn.XLOOKUP(TabCalc[[#This Row],[Ticker]],[1]!RTData[Ticker_Symbol],[1]!RTData[V/VA])</f>
        <v>1.2135400759484285</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1.2135400759484285</v>
      </c>
      <c r="BD85" s="85" cm="1">
        <f t="array" aca="1" ref="BD85" ca="1">INDEX(TabReg[], 1, _xlfn.XMATCH(TabCalc[[#This Row],[Ticker]]&amp;1, TabReg[#Headers], 0))</f>
        <v>200</v>
      </c>
      <c r="BE85" s="157">
        <f ca="1">TabCalc[[#This Row],[Nbegin]]*TabCalc[[#This Row],[M]]*TabCalc[[#This Row],[Scale]]+TabCalc[[#This Row],[ValueBegin]]</f>
        <v>9302.0000000000036</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46002.875450150001</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0.37180490316542575</v>
      </c>
      <c r="DE85" s="308">
        <f ca="1">MEDIAN(DataShift!F784:Z784)</f>
        <v>1.8270000000000001E-3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26472.000000000004</v>
      </c>
      <c r="DH85" s="85" cm="1">
        <f t="array" aca="1" ref="DH85" ca="1">SUMPRODUCT(ISNUMBER(INDIRECT("TabReg["&amp;TabCalc[[#This Row],[Ticker]]&amp;"2]"))* INDIRECT("TabReg["&amp;TabCalc[[#This Row],[Ticker]]&amp;"1]") * INDIRECT("TabReg["&amp;TabCalc[[#This Row],[Ticker]]&amp;"2]") )*TabCalc[[#This Row],[Scale]]</f>
        <v>13562.79389999999</v>
      </c>
      <c r="DK85" s="85">
        <f ca="1"/>
        <v>14480</v>
      </c>
      <c r="DL85" s="88">
        <f t="shared" ca="1" si="6"/>
        <v>-0.25323707128251971</v>
      </c>
      <c r="DM85" t="str">
        <f ca="1">_xlfn.XLOOKUP(DK85,TabCalc[Column1],TabCalc[Ticker])</f>
        <v>UNIT</v>
      </c>
      <c r="DN85" s="85">
        <f ca="1">_xlfn.XLOOKUP(DM85,TabCalc[Ticker],TabCalc[ValueBegin])</f>
        <v>-60640</v>
      </c>
      <c r="DO85" s="85">
        <f ca="1">_xlfn.XLOOKUP(DM85,TabCalc[Ticker],TabCalc[M_V])</f>
        <v>52239.970220000003</v>
      </c>
      <c r="DP85" s="85">
        <f ca="1">_xlfn.XLOOKUP(DM85,TabCalc[Ticker],TabCalc[GL])</f>
        <v>-15356.296002571995</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16437.498599999999</v>
      </c>
      <c r="G86" s="80">
        <f ca="1">IFERROR(TabCalc[[#This Row],[SB]]-TabCalc[[#This Row],[SST]],TabCalc[[#This Row],[SB]])</f>
        <v>1200</v>
      </c>
      <c r="H86" s="530" t="str">
        <f ca="1">[1]!RTData[[#This Row],[Ticker_Symbol]]</f>
        <v>ORA</v>
      </c>
      <c r="I86" s="381">
        <f ca="1">_xlfn.XLOOKUP(TabCalc[[#This Row],[Ticker]],[1]!RTData[Ticker_Symbol],[1]!RTData[M-Price])</f>
        <v>13.734999999999999</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5.1229999999999999E-3</v>
      </c>
      <c r="N86" s="1041">
        <v>0</v>
      </c>
      <c r="O86" s="886">
        <f>TabCalc[[#This Row],[Up20]]-1+TabCalc[[#This Row],[Up20]]</f>
        <v>-1</v>
      </c>
      <c r="P86" s="886">
        <f>TabCalc[[#This Row],[Up20]]-TabCalc[[#This Row],[Up150]]</f>
        <v>-0.2</v>
      </c>
      <c r="Q86" s="886">
        <v>0.2</v>
      </c>
      <c r="R86" s="886">
        <f>TabCalc[[#This Row],[Up150]]-1+TabCalc[[#This Row],[Up150]]</f>
        <v>-0.60000000000000009</v>
      </c>
      <c r="S86" s="886">
        <f ca="1">IFERROR(SUMPRODUCT(DataShift!F1578:Z1578,DataShift!AB785:AV785)/SQRT(SUMPRODUCT(DataShift!F1578:Z1578,DataShift!F1578:Z1578)*SUMPRODUCT(DataShift!AB785:AV785,DataShift!AB785:AV785)),0)</f>
        <v>-0.93558716881819459</v>
      </c>
      <c r="T86" s="886">
        <f ca="1">IFERROR(SUMPRODUCT(DataShift!F1578:Z1578,DataShift!F785:Z785)/SQRT(SUMPRODUCT(DataShift!F1578:Z1578,DataShift!F1578:Z1578)*SUMPRODUCT(DataShift!F785:Z785,DataShift!F785:Z785)),0)</f>
        <v>-0.10101168834030086</v>
      </c>
      <c r="U86" s="996">
        <v>0</v>
      </c>
      <c r="V86" s="996">
        <v>1200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-12</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47">
        <f ca="1">(TabCalc[[#This Row],[M]]+TabCalc[[#This Row],[L_Bp]])/TabCalc[[#This Row],[M]]</f>
        <v>-7.280669821623434E-4</v>
      </c>
      <c r="AE86" s="209">
        <f ca="1">IFERROR(MIN(TabCalc[[#This Row],[L_B1n]],TabCalc[[#This Row],[NAfter]])*(TabCalc[[#This Row],[M]]+TabCalc[[#This Row],[L_B1p]])*TabCalc[[#This Row],[Scale]],"")</f>
        <v>4746</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-3410</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-3779.9999999999977</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108</v>
      </c>
      <c r="AR86" s="332">
        <f ca="1">_xlfn.LET(_xlpm.MVToday,DataShift!AV586,         _xlpm.MVY,DataShift!AU586,        _xlpm.MVYY, DataShift!AT586,                                IF(_xlpm.MVToday=_xlpm.MVY,_xlpm.MVY-_xlpm.MVYY,_xlpm.MVToday-_xlpm.MVY))</f>
        <v>-224.39250000000175</v>
      </c>
      <c r="AS86" s="332">
        <f ca="1">_xlfn.LET(_xlpm.MVToday,DataShift!AV586,         _xlpm.MVY,DataShift!AU586,        _xlpm.MVYY, DataShift!AT586,         _xlpm.MVYYY, DataShift!AS586,                      IF(_xlpm.MVToday=_xlpm.MVY,      _xlpm.MVYY-_xlpm.MVYYY,          _xlpm.MVY-_xlpm.MVYY))</f>
        <v>-269.270999999997</v>
      </c>
      <c r="AT86" s="969">
        <f ca="1">TabCalc[[#This Row],[Y]]/TabCalc[[#This Row],[M]]</f>
        <v>1.133215143793229</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-2.8653461047389656E-2</v>
      </c>
      <c r="AZ86" s="80">
        <f t="shared" ca="1" si="8"/>
        <v>6500</v>
      </c>
      <c r="BA86" s="88">
        <f ca="1">_xlfn.XLOOKUP(TabCalc[[#This Row],[Ticker]],[1]!RTData[Ticker_Symbol],[1]!RTData[V/VA])</f>
        <v>0.67743021645652646</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0.67743021645652646</v>
      </c>
      <c r="BD86" s="85" cm="1">
        <f t="array" aca="1" ref="BD86" ca="1">INDEX(TabReg[], 1, _xlfn.XMATCH(TabCalc[[#This Row],[Ticker]]&amp;1, TabReg[#Headers], 0))</f>
        <v>7700</v>
      </c>
      <c r="BE86" s="157">
        <f ca="1">TabCalc[[#This Row],[Nbegin]]*TabCalc[[#This Row],[M]]*TabCalc[[#This Row],[Scale]]+TabCalc[[#This Row],[ValueBegin]]</f>
        <v>9201.5</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-80120.501400000008</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5838.5862236400098</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46002.708333333336</v>
      </c>
      <c r="BU86" s="173">
        <f ca="1">(TabCalc[[#This Row],[ValueBegin]]+(TabCalc[[#This Row],[M]]-TabCalc[[#This Row],[A]])*TabCalc[[#This Row],[NAfter]])*TabCalc[[#This Row],[Scale]]</f>
        <v>-96612.884399999995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-54.884399999998834</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-54.884399999998834</v>
      </c>
      <c r="DD86" s="88">
        <f ca="1">IFERROR((TabCalc[[#This Row],[M]]+TabCalc[[#This Row],[L_Bp]])/ABS(TabCalc[[#This Row],[L_Bp]])/(TODAY()-TabCalc[[#This Row],[L_Bdate]])*360,"")</f>
        <v>-3.1555834103967036E-3</v>
      </c>
      <c r="DE86" s="308">
        <f ca="1">MEDIAN(DataShift!F785:Z785)</f>
        <v>1.3129999999999999E-3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105759.5</v>
      </c>
      <c r="DH86" s="85" cm="1">
        <f t="array" aca="1" ref="DH86" ca="1">SUMPRODUCT(ISNUMBER(INDIRECT("TabReg["&amp;TabCalc[[#This Row],[Ticker]]&amp;"2]"))* INDIRECT("TabReg["&amp;TabCalc[[#This Row],[Ticker]]&amp;"1]") * INDIRECT("TabReg["&amp;TabCalc[[#This Row],[Ticker]]&amp;"2]") )*TabCalc[[#This Row],[Scale]]</f>
        <v>-10528.799999999988</v>
      </c>
      <c r="DK86" s="85">
        <f ca="1"/>
        <v>11175</v>
      </c>
      <c r="DL86" s="88">
        <f t="shared" ca="1" si="6"/>
        <v>8.4890493264571028</v>
      </c>
      <c r="DM86" t="str">
        <f ca="1">_xlfn.XLOOKUP(DK86,TabCalc[Column1],TabCalc[Ticker])</f>
        <v>C</v>
      </c>
      <c r="DN86" s="85">
        <f ca="1">_xlfn.XLOOKUP(DM86,TabCalc[Ticker],TabCalc[ValueBegin])</f>
        <v>-4907</v>
      </c>
      <c r="DO86" s="85">
        <f ca="1">_xlfn.XLOOKUP(DM86,TabCalc[Ticker],TabCalc[M_V])</f>
        <v>11702.068874999999</v>
      </c>
      <c r="DP86" s="85">
        <f ca="1">_xlfn.XLOOKUP(DM86,TabCalc[Ticker],TabCalc[GL])</f>
        <v>41655.765044925</v>
      </c>
      <c r="DQ86" s="88"/>
      <c r="DR86" s="88"/>
      <c r="DS86" s="86" t="s">
        <v>81</v>
      </c>
      <c r="DT86" s="79">
        <v>5353</v>
      </c>
      <c r="DU86" s="313">
        <v>-47.08</v>
      </c>
      <c r="DW86" s="80">
        <v>16458</v>
      </c>
      <c r="DX86" s="80">
        <f ca="1">DW86-TabCalc[[#This Row],[M_V]]</f>
        <v>20.501400000001013</v>
      </c>
    </row>
    <row r="87" spans="1:128">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164355.04</v>
      </c>
      <c r="G87" s="80">
        <f ca="1">IFERROR(TabCalc[[#This Row],[SB]]-TabCalc[[#This Row],[SST]],TabCalc[[#This Row],[SB]])</f>
        <v>4000</v>
      </c>
      <c r="H87" s="530" t="str">
        <f ca="1">[1]!RTData[[#This Row],[Ticker_Symbol]]</f>
        <v>OXY</v>
      </c>
      <c r="I87" s="381">
        <f ca="1">_xlfn.XLOOKUP(TabCalc[[#This Row],[Ticker]],[1]!RTData[Ticker_Symbol],[1]!RTData[M-Price])</f>
        <v>41.2</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-1.3173999999999998E-2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0.81933490834644707</v>
      </c>
      <c r="T87" s="886">
        <f ca="1">IFERROR(SUMPRODUCT(DataShift!F1579:Z1579,DataShift!F786:Z786)/SQRT(SUMPRODUCT(DataShift!F1579:Z1579,DataShift!F1579:Z1579)*SUMPRODUCT(DataShift!F786:Z786,DataShift!F786:Z786)),0)</f>
        <v>0.17950354399271204</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1,787 = $ 73,624</v>
      </c>
      <c r="Z87" s="209">
        <f ca="1">INT(MIN(TabCalc[[#This Row],[L_Bn]],TabCalc[[#This Row],[NAfter]])*(TabCalc[[#This Row],[M]]+TabCalc[[#This Row],[L_Bp]])*Comm_Net*TabCalc[[#This Row],[Scale]])</f>
        <v>-6024</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47">
        <f ca="1">(TabCalc[[#This Row],[M]]+TabCalc[[#This Row],[L_Bp]])/TabCalc[[#This Row],[M]]</f>
        <v>-0.14660194174757279</v>
      </c>
      <c r="AE87" s="209">
        <f ca="1">IFERROR(MIN(TabCalc[[#This Row],[L_B1n]],TabCalc[[#This Row],[NAfter]])*(TabCalc[[#This Row],[M]]+TabCalc[[#This Row],[L_B1p]])*TabCalc[[#This Row],[Scale]],"")</f>
        <v>-6201.0000000000009</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10659.999999999996</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43400.399999999994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480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1.2226941747572815</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-0.3721396489315566</v>
      </c>
      <c r="AZ87" s="80">
        <f t="shared" ca="1" si="8"/>
        <v>0</v>
      </c>
      <c r="BA87" s="88">
        <f ca="1">_xlfn.XLOOKUP(TabCalc[[#This Row],[Ticker]],[1]!RTData[Ticker_Symbol],[1]!RTData[V/VA])</f>
        <v>0.87848413970723505</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0.87848413970723505</v>
      </c>
      <c r="BD87" s="85" cm="1">
        <f t="array" aca="1" ref="BD87" ca="1">INDEX(TabReg[], 1, _xlfn.XMATCH(TabCalc[[#This Row],[Ticker]]&amp;1, TabReg[#Headers], 0))</f>
        <v>1100</v>
      </c>
      <c r="BE87" s="157">
        <f ca="1">TabCalc[[#This Row],[Nbegin]]*TabCalc[[#This Row],[M]]*TabCalc[[#This Row],[Scale]]+TabCalc[[#This Row],[ValueBegin]]</f>
        <v>-33297</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85738.040000000008</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-71000.338051599974</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90.11</v>
      </c>
      <c r="BS87" s="172" t="str">
        <f ca="1">IF(TabCalc[[#This Row],[EfCost]]+TabCalc[[#This Row],[M_V]]&lt;TabCalc[[#This Row],[NoT_GL]],"Pile","")</f>
        <v>Pile</v>
      </c>
      <c r="BT87" s="163">
        <f ca="1">_xlfn.XLOOKUP(TabCalc[[#This Row],[Ticker]],[1]!RTData[Ticker_Symbol],[1]!RTData[Last trade time])</f>
        <v>46002.876105474221</v>
      </c>
      <c r="BU87" s="173">
        <f ca="1">(TabCalc[[#This Row],[ValueBegin]]+(TabCalc[[#This Row],[M]]-TabCalc[[#This Row],[A]])*TabCalc[[#This Row],[NAfter]])*TabCalc[[#This Row],[Scale]]</f>
        <v>-131719.97853999998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-53102.978539999982</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469.04315196998141</v>
      </c>
      <c r="CX87" s="402">
        <f ca="1">IF(TabCalc[[#This Row],[ntoBuy]]*TabCalc[[#This Row],[M]]&lt;=0,0,TabCalc[[#This Row],[ntoBuy]]*TabCalc[[#This Row],[M]])</f>
        <v>19324.577861163234</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-53102.978539999982</v>
      </c>
      <c r="DD87" s="88">
        <f ca="1">IFERROR((TabCalc[[#This Row],[M]]+TabCalc[[#This Row],[L_Bp]])/ABS(TabCalc[[#This Row],[L_Bp]])/(TODAY()-TabCalc[[#This Row],[L_Bdate]])*360,"")</f>
        <v>-0.17111074037816856</v>
      </c>
      <c r="DE87" s="308">
        <f ca="1">MEDIAN(DataShift!F786:Z786)</f>
        <v>1.382E-3</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45320</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-4007.0400000000081</v>
      </c>
    </row>
    <row r="88" spans="1:128">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51480.625999999997</v>
      </c>
      <c r="G88" s="80">
        <f ca="1">IFERROR(TabCalc[[#This Row],[SB]]-TabCalc[[#This Row],[SST]],TabCalc[[#This Row],[SB]])</f>
        <v>2000</v>
      </c>
      <c r="H88" s="530" t="str">
        <f ca="1">[1]!RTData[[#This Row],[Ticker_Symbol]]</f>
        <v>PFE</v>
      </c>
      <c r="I88" s="381">
        <f ca="1">_xlfn.XLOOKUP(TabCalc[[#This Row],[Ticker]],[1]!RTData[Ticker_Symbol],[1]!RTData[M-Price])</f>
        <v>25.81</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1.1640000000000001E-3</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-0.82835669737722994</v>
      </c>
      <c r="T88" s="886">
        <f ca="1">IFERROR(SUMPRODUCT(DataShift!F1580:Z1580,DataShift!F787:Z787)/SQRT(SUMPRODUCT(DataShift!F1580:Z1580,DataShift!F1580:Z1580)*SUMPRODUCT(DataShift!F787:Z787,DataShift!F787:Z787)),0)</f>
        <v>-7.947339235094459E-3</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159</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47">
        <f ca="1">(TabCalc[[#This Row],[M]]+TabCalc[[#This Row],[L_Bp]])/TabCalc[[#This Row],[M]]</f>
        <v>3.0995738086012515E-3</v>
      </c>
      <c r="AE88" s="209">
        <f ca="1">IFERROR(MIN(TabCalc[[#This Row],[L_B1n]],TabCalc[[#This Row],[NAfter]])*(TabCalc[[#This Row],[M]]+TabCalc[[#This Row],[L_B1p]])*TabCalc[[#This Row],[Scale]],"")</f>
        <v>-4230.0000000000036</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8225.3220000000038</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4805.8500000000058</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-140</v>
      </c>
      <c r="AR88" s="332">
        <f ca="1">_xlfn.LET(_xlpm.MVToday,DataShift!AV588,         _xlpm.MVY,DataShift!AU588,        _xlpm.MVYY, DataShift!AT588,                                IF(_xlpm.MVToday=_xlpm.MVY,_xlpm.MVY-_xlpm.MVYY,_xlpm.MVToday-_xlpm.MVY))</f>
        <v>83.773199999999633</v>
      </c>
      <c r="AS88" s="332">
        <f ca="1">_xlfn.LET(_xlpm.MVToday,DataShift!AV588,         _xlpm.MVY,DataShift!AU588,        _xlpm.MVYY, DataShift!AT588,         _xlpm.MVYYY, DataShift!AS588,                      IF(_xlpm.MVToday=_xlpm.MVY,      _xlpm.MVYY-_xlpm.MVYYY,          _xlpm.MVY-_xlpm.MVYY))</f>
        <v>-59.837999999999738</v>
      </c>
      <c r="AT88" s="969">
        <f ca="1">TabCalc[[#This Row],[Y]]/TabCalc[[#This Row],[M]]</f>
        <v>1.1251290197597832</v>
      </c>
      <c r="AU88" s="295" t="str" cm="1">
        <f t="array" aca="1" ref="AU88" ca="1">IFERROR(_xlfn.IFS(          TabCalc[[#This Row],[E]]&gt;0, "Free Trade",      TabCalc[[#This Row],[A]]&lt;MIN(TabCalc[[#This Row],[L_Sp]],TabCalc[[#This Row],[M]]), "Buy",            TabCalc[[#This Row],[M]]&lt;TabCalc[[#This Row],[L_Sp]],       "Refill",       TabCalc[[#This Row],[M]]&gt;TabCalc[[#This Row],[L_Sp]],"S_more"),"")</f>
        <v>Buy</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-4.4942766812336471E-2</v>
      </c>
      <c r="AZ88" s="80">
        <f t="shared" ca="1" si="8"/>
        <v>0</v>
      </c>
      <c r="BA88" s="88">
        <f ca="1">_xlfn.XLOOKUP(TabCalc[[#This Row],[Ticker]],[1]!RTData[Ticker_Symbol],[1]!RTData[V/VA])</f>
        <v>0.47391678552967959</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0.47391678552967959</v>
      </c>
      <c r="BD88" s="85" cm="1">
        <f t="array" aca="1" ref="BD88" ca="1">INDEX(TabReg[], 1, _xlfn.XMATCH(TabCalc[[#This Row],[Ticker]]&amp;1, TabReg[#Headers], 0))</f>
        <v>1300</v>
      </c>
      <c r="BE88" s="157">
        <f ca="1">TabCalc[[#This Row],[Nbegin]]*TabCalc[[#This Row],[M]]*TabCalc[[#This Row],[Scale]]+TabCalc[[#This Row],[ValueBegin]]</f>
        <v>-20423.000000000007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-2495.3740000000107</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45798.008989599992</v>
      </c>
      <c r="BN88" s="157">
        <f ca="1">IF(        OR( TabCalc[[#This Row],[GL]]&gt;ABS(TabCalc[[#This Row],[EfCost]]),TabCalc[[#This Row],[NAfter]]=0),             TabCalc[[#This Row],[GL]],     0)</f>
        <v>45798.008989599992</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4.39</v>
      </c>
      <c r="BS88" s="172" t="str">
        <f ca="1">IF(TabCalc[[#This Row],[EfCost]]+TabCalc[[#This Row],[M_V]]&lt;TabCalc[[#This Row],[NoT_GL]],"Pile","")</f>
        <v/>
      </c>
      <c r="BT88" s="163">
        <f ca="1">_xlfn.XLOOKUP(TabCalc[[#This Row],[Ticker]],[1]!RTData[Ticker_Symbol],[1]!RTData[Last trade time])</f>
        <v>46002.876166376562</v>
      </c>
      <c r="BU88" s="173">
        <f ca="1">(TabCalc[[#This Row],[ValueBegin]]+(TabCalc[[#This Row],[M]]-TabCalc[[#This Row],[A]])*TabCalc[[#This Row],[NAfter]])*TabCalc[[#This Row],[Scale]]</f>
        <v>-53949.796000000009</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26.203999999999894</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1221.8366648746389</v>
      </c>
      <c r="CX88" s="402">
        <f ca="1">IF(TabCalc[[#This Row],[ntoBuy]]*TabCalc[[#This Row],[M]]&lt;=0,0,TabCalc[[#This Row],[ntoBuy]]*TabCalc[[#This Row],[M]])</f>
        <v>31535.60432041443</v>
      </c>
      <c r="CY88" s="402">
        <f ca="1">IF(TabCalc[[#This Row],[M]]&gt;ABS(TabCalc[[#This Row],[L_Bp]]),MIN(TabCalc[[#This Row],[NAfter]],DesiredSaleGain/(TabCalc[[#This Row],[M]]+TabCalc[[#This Row],[L_Bp]])),0)/TabCalc[[#This Row],[Scale]]</f>
        <v>2000</v>
      </c>
      <c r="CZ88" s="403">
        <f ca="1">TabCalc[[#This Row],[ntoSell]]*TabCalc[[#This Row],[M]]</f>
        <v>51620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26.203999999999894</v>
      </c>
      <c r="DD88" s="88">
        <f ca="1">IFERROR((TabCalc[[#This Row],[M]]+TabCalc[[#This Row],[L_Bp]])/ABS(TabCalc[[#This Row],[L_Bp]])/(TODAY()-TabCalc[[#This Row],[L_Bdate]])*360,"")</f>
        <v>7.4621064904778822E-2</v>
      </c>
      <c r="DE88" s="308">
        <f ca="1">MEDIAN(DataShift!F787:Z787)</f>
        <v>3.6470000000000003E-4</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33553</v>
      </c>
      <c r="DH88" s="85" cm="1">
        <f t="array" aca="1" ref="DH88" ca="1">SUMPRODUCT(ISNUMBER(INDIRECT("TabReg["&amp;TabCalc[[#This Row],[Ticker]]&amp;"2]"))* INDIRECT("TabReg["&amp;TabCalc[[#This Row],[Ticker]]&amp;"1]") * INDIRECT("TabReg["&amp;TabCalc[[#This Row],[Ticker]]&amp;"2]") )*TabCalc[[#This Row],[Scale]]</f>
        <v>-5534.3780000000042</v>
      </c>
      <c r="DK88" s="85">
        <f ca="1"/>
        <v>5926</v>
      </c>
      <c r="DL88" s="88">
        <f t="shared" ca="1" si="6"/>
        <v>-18.442610207665911</v>
      </c>
      <c r="DM88" t="str">
        <f ca="1">_xlfn.XLOOKUP(DK88,TabCalc[Column1],TabCalc[Ticker])</f>
        <v>MRNA</v>
      </c>
      <c r="DN88" s="85">
        <f ca="1">_xlfn.XLOOKUP(DM88,TabCalc[Ticker],TabCalc[ValueBegin])</f>
        <v>-25031.07</v>
      </c>
      <c r="DO88" s="85">
        <f ca="1">_xlfn.XLOOKUP(DM88,TabCalc[Ticker],TabCalc[M_V])</f>
        <v>354599.98800000001</v>
      </c>
      <c r="DP88" s="85">
        <f ca="1">_xlfn.XLOOKUP(DM88,TabCalc[Ticker],TabCalc[GL])</f>
        <v>-461638.26709079993</v>
      </c>
      <c r="DQ88" s="88"/>
      <c r="DR88" s="88"/>
      <c r="DS88" s="86" t="s">
        <v>83</v>
      </c>
      <c r="DT88" s="79">
        <v>2700</v>
      </c>
      <c r="DU88" s="313">
        <v>-59.3</v>
      </c>
      <c r="DW88" s="80">
        <v>38912</v>
      </c>
      <c r="DX88" s="80">
        <f ca="1">DW88-TabCalc[[#This Row],[M_V]]</f>
        <v>-12568.625999999997</v>
      </c>
    </row>
    <row r="89" spans="1:128">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117519.33875</v>
      </c>
      <c r="G89" s="80">
        <f ca="1">IFERROR(TabCalc[[#This Row],[SB]]-TabCalc[[#This Row],[SST]],TabCalc[[#This Row],[SB]])</f>
        <v>27500</v>
      </c>
      <c r="H89" s="530" t="str">
        <f ca="1">[1]!RTData[[#This Row],[Ticker_Symbol]]</f>
        <v>RIG</v>
      </c>
      <c r="I89" s="381">
        <f ca="1">_xlfn.XLOOKUP(TabCalc[[#This Row],[Ticker]],[1]!RTData[Ticker_Symbol],[1]!RTData[M-Price])</f>
        <v>4.2850000000000001</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-3.4879999999999998E-3</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v>
      </c>
      <c r="T89" s="886">
        <f ca="1">IFERROR(SUMPRODUCT(DataShift!F1581:Z1581,DataShift!F788:Z788)/SQRT(SUMPRODUCT(DataShift!F1581:Z1581,DataShift!F1581:Z1581)*SUMPRODUCT(DataShift!F788:Z788,DataShift!F788:Z788)),0)</f>
        <v>0</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11733</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47">
        <f ca="1">(TabCalc[[#This Row],[M]]+TabCalc[[#This Row],[L_Bp]])/TabCalc[[#This Row],[M]]</f>
        <v>0.21120186697782969</v>
      </c>
      <c r="AE89" s="209">
        <f ca="1">IFERROR(MIN(TabCalc[[#This Row],[L_B1n]],TabCalc[[#This Row],[NAfter]])*(TabCalc[[#This Row],[M]]+TabCalc[[#This Row],[L_B1p]])*TabCalc[[#This Row],[Scale]],"")</f>
        <v>31125.000000000004</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1387.499999999997</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39.999999999999147</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550.00000000001455</v>
      </c>
      <c r="AR89" s="332">
        <f ca="1">_xlfn.LET(_xlpm.MVToday,DataShift!AV589,         _xlpm.MVY,DataShift!AU589,        _xlpm.MVYY, DataShift!AT589,                                IF(_xlpm.MVToday=_xlpm.MVY,_xlpm.MVY-_xlpm.MVYY,_xlpm.MVToday-_xlpm.MVY))</f>
        <v>-2194.0599999999977</v>
      </c>
      <c r="AS89" s="332">
        <f ca="1">_xlfn.LET(_xlpm.MVToday,DataShift!AV589,         _xlpm.MVY,DataShift!AU589,        _xlpm.MVYY, DataShift!AT589,         _xlpm.MVYYY, DataShift!AS589,                      IF(_xlpm.MVToday=_xlpm.MVY,      _xlpm.MVYY-_xlpm.MVYYY,          _xlpm.MVY-_xlpm.MVYY))</f>
        <v>139.62200000000303</v>
      </c>
      <c r="AT89" s="969">
        <f ca="1">TabCalc[[#This Row],[Y]]/TabCalc[[#This Row],[M]]</f>
        <v>0.97208401400233369</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9.5897203019121446E-5</v>
      </c>
      <c r="AZ89" s="80">
        <f t="shared" ca="1" si="8"/>
        <v>0</v>
      </c>
      <c r="BA89" s="88">
        <f ca="1">_xlfn.XLOOKUP(TabCalc[[#This Row],[Ticker]],[1]!RTData[Ticker_Symbol],[1]!RTData[V/VA])</f>
        <v>0.86607859404355392</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0.86607859404355392</v>
      </c>
      <c r="BD89" s="85" cm="1">
        <f t="array" aca="1" ref="BD89" ca="1">INDEX(TabReg[], 1, _xlfn.XMATCH(TabCalc[[#This Row],[Ticker]]&amp;1, TabReg[#Headers], 0))</f>
        <v>7000</v>
      </c>
      <c r="BE89" s="157">
        <f ca="1">TabCalc[[#This Row],[Nbegin]]*TabCalc[[#This Row],[M]]*TabCalc[[#This Row],[Scale]]+TabCalc[[#This Row],[ValueBegin]]</f>
        <v>9905</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97429.338749999995</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42815.95572925001</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4.44</v>
      </c>
      <c r="BS89" s="172" t="str">
        <f ca="1">IF(TabCalc[[#This Row],[EfCost]]+TabCalc[[#This Row],[M_V]]&lt;TabCalc[[#This Row],[NoT_GL]],"Pile","")</f>
        <v/>
      </c>
      <c r="BT89" s="163">
        <f ca="1">_xlfn.XLOOKUP(TabCalc[[#This Row],[Ticker]],[1]!RTData[Ticker_Symbol],[1]!RTData[Last trade time])</f>
        <v>46002.876083286719</v>
      </c>
      <c r="BU89" s="173">
        <f ca="1">(TabCalc[[#This Row],[ValueBegin]]+(TabCalc[[#This Row],[M]]-TabCalc[[#This Row],[A]])*TabCalc[[#This Row],[NAfter]])*TabCalc[[#This Row],[Scale]]</f>
        <v>9498.648000000012</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29588.648000000012</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27027.027027027085</v>
      </c>
      <c r="CX89" s="402">
        <f ca="1">IF(TabCalc[[#This Row],[ntoBuy]]*TabCalc[[#This Row],[M]]&lt;=0,0,TabCalc[[#This Row],[ntoBuy]]*TabCalc[[#This Row],[M]])</f>
        <v>115810.81081081106</v>
      </c>
      <c r="CY89" s="402">
        <f ca="1">IF(TabCalc[[#This Row],[M]]&gt;ABS(TabCalc[[#This Row],[L_Bp]]),MIN(TabCalc[[#This Row],[NAfter]],DesiredSaleGain/(TabCalc[[#This Row],[M]]+TabCalc[[#This Row],[L_Bp]])),0)/TabCalc[[#This Row],[Scale]]</f>
        <v>5524.8618784530372</v>
      </c>
      <c r="CZ89" s="403">
        <f ca="1">TabCalc[[#This Row],[ntoSell]]*TabCalc[[#This Row],[M]]</f>
        <v>23674.033149171264</v>
      </c>
      <c r="DA89" s="396">
        <f ca="1">_xlfn.LET(_xlpm.nToSell,IF(TabCalc[[#This Row],[M]]-TabCalc[[#This Row],[A]]&lt;=0,"",INT(DesiredSaleGain/(TabCalc[[#This Row],[M]]-IF(TabCalc[[#This Row],[E]]&gt;0,0,TabCalc[[#This Row],[A]])))),IF(_xlpm.nToSell&lt;=TabCalc[[#This Row],[NAfter]],_xlpm.nToSell,0))</f>
        <v>4647</v>
      </c>
      <c r="DB89" s="334">
        <f ca="1">IFERROR(TabCalc[[#This Row],[NMA]]*TabCalc[[#This Row],[M]],"")</f>
        <v>19912.395</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29588.648000000012</v>
      </c>
      <c r="DD89" s="88">
        <f ca="1">IFERROR((TabCalc[[#This Row],[M]]+TabCalc[[#This Row],[L_Bp]])/ABS(TabCalc[[#This Row],[L_Bp]])/(TODAY()-TabCalc[[#This Row],[L_Bdate]])*360,"")</f>
        <v>1.2048816568047342</v>
      </c>
      <c r="DE89" s="308">
        <f ca="1">MEDIAN(DataShift!F788:Z788)</f>
        <v>5.4330000000000003E-3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29995</v>
      </c>
      <c r="DH89" s="85" cm="1">
        <f t="array" aca="1" ref="DH89" ca="1">SUMPRODUCT(ISNUMBER(INDIRECT("TabReg["&amp;TabCalc[[#This Row],[Ticker]]&amp;"2]"))* INDIRECT("TabReg["&amp;TabCalc[[#This Row],[Ticker]]&amp;"1]") * INDIRECT("TabReg["&amp;TabCalc[[#This Row],[Ticker]]&amp;"2]") )*TabCalc[[#This Row],[Scale]]</f>
        <v>-74204.899999999994</v>
      </c>
      <c r="DK89" s="85">
        <f ca="1"/>
        <v>5782.5</v>
      </c>
      <c r="DL89" s="88">
        <f t="shared" ca="1" si="6"/>
        <v>-56.370008995200273</v>
      </c>
      <c r="DM89" t="str">
        <f ca="1">_xlfn.XLOOKUP(DK89,TabCalc[Column1],TabCalc[Ticker])</f>
        <v>DSY</v>
      </c>
      <c r="DN89" s="85">
        <f ca="1">_xlfn.XLOOKUP(DM89,TabCalc[Ticker],TabCalc[ValueBegin])</f>
        <v>-250</v>
      </c>
      <c r="DO89" s="85">
        <f ca="1">_xlfn.XLOOKUP(DM89,TabCalc[Ticker],TabCalc[M_V])</f>
        <v>92270.195999999996</v>
      </c>
      <c r="DP89" s="85">
        <f ca="1">_xlfn.XLOOKUP(DM89,TabCalc[Ticker],TabCalc[GL])</f>
        <v>-14092.502248800069</v>
      </c>
      <c r="DQ89" s="88"/>
      <c r="DR89" s="88"/>
      <c r="DS89" s="314" t="s">
        <v>84</v>
      </c>
      <c r="DT89" s="79">
        <v>1100</v>
      </c>
      <c r="DU89" s="313">
        <v>-71.47</v>
      </c>
      <c r="DW89" s="80">
        <v>186960</v>
      </c>
      <c r="DX89" s="80">
        <f ca="1">DW89-TabCalc[[#This Row],[M_V]]</f>
        <v>69440.661250000005</v>
      </c>
    </row>
    <row r="90" spans="1:128">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36.299999999999997</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-2.6549E-2</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-0.70596348937379971</v>
      </c>
      <c r="T90" s="886">
        <f ca="1">IFERROR(SUMPRODUCT(DataShift!F1582:Z1582,DataShift!F789:Z789)/SQRT(SUMPRODUCT(DataShift!F1582:Z1582,DataShift!F1582:Z1582)*SUMPRODUCT(DataShift!F789:Z789,DataShift!F789:Z789)),0)</f>
        <v>-0.15751147758743395</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47">
        <f ca="1">(TabCalc[[#This Row],[M]]+TabCalc[[#This Row],[L_Bp]])/TabCalc[[#This Row],[M]]</f>
        <v>-1.3473829201101944E-2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-2204.9999999999768</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-3964.9999999999964</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69.811000000001513</v>
      </c>
      <c r="AS90" s="332">
        <f ca="1">_xlfn.LET(_xlpm.MVToday,DataShift!AV590,         _xlpm.MVY,DataShift!AU590,        _xlpm.MVYY, DataShift!AT590,         _xlpm.MVYYY, DataShift!AS590,                      IF(_xlpm.MVToday=_xlpm.MVY,      _xlpm.MVYY-_xlpm.MVYYY,          _xlpm.MVY-_xlpm.MVYY))</f>
        <v>398.91999999999825</v>
      </c>
      <c r="AT90" s="969">
        <f ca="1">TabCalc[[#This Row],[Y]]/TabCalc[[#This Row],[M]]</f>
        <v>1.1606179063360882</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-0.12959828068272042</v>
      </c>
      <c r="AZ90" s="80">
        <f t="shared" ca="1" si="8"/>
        <v>2700</v>
      </c>
      <c r="BA90" s="88">
        <f ca="1">_xlfn.XLOOKUP(TabCalc[[#This Row],[Ticker]],[1]!RTData[Ticker_Symbol],[1]!RTData[V/VA])</f>
        <v>1.3783333254019026</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1.3783333254019026</v>
      </c>
      <c r="BD90" s="85" cm="1">
        <f t="array" aca="1" ref="BD90" ca="1">INDEX(TabReg[], 1, _xlfn.XMATCH(TabCalc[[#This Row],[Ticker]]&amp;1, TabReg[#Headers], 0))</f>
        <v>2700</v>
      </c>
      <c r="BE90" s="157">
        <f ca="1">TabCalc[[#This Row],[Nbegin]]*TabCalc[[#This Row],[M]]*TabCalc[[#This Row],[Scale]]+TabCalc[[#This Row],[ValueBegin]]</f>
        <v>16172.999999999985</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46002.875984664061</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-1.3832634487128124E-2</v>
      </c>
      <c r="DE90" s="308">
        <f ca="1">MEDIAN(DataShift!F789:Z789)</f>
        <v>1.1640000000000001E-3</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98009.999999999985</v>
      </c>
      <c r="DH90" s="85" cm="1">
        <f t="array" aca="1" ref="DH90" ca="1">SUMPRODUCT(ISNUMBER(INDIRECT("TabReg["&amp;TabCalc[[#This Row],[Ticker]]&amp;"2]"))* INDIRECT("TabReg["&amp;TabCalc[[#This Row],[Ticker]]&amp;"1]") * INDIRECT("TabReg["&amp;TabCalc[[#This Row],[Ticker]]&amp;"2]") )*TabCalc[[#This Row],[Scale]]</f>
        <v>9803.4699999999721</v>
      </c>
      <c r="DK90" s="85">
        <f ca="1"/>
        <v>5172.0685999999996</v>
      </c>
      <c r="DL90" s="88">
        <f t="shared" ca="1" si="6"/>
        <v>-1.2790663111085046</v>
      </c>
      <c r="DM90" t="str">
        <f ca="1">_xlfn.XLOOKUP(DK90,TabCalc[Column1],TabCalc[Ticker])</f>
        <v>LAZR</v>
      </c>
      <c r="DN90" s="85">
        <f ca="1">_xlfn.XLOOKUP(DM90,TabCalc[Ticker],TabCalc[ValueBegin])</f>
        <v>-252019.24</v>
      </c>
      <c r="DO90" s="85">
        <f ca="1">_xlfn.XLOOKUP(DM90,TabCalc[Ticker],TabCalc[M_V])</f>
        <v>14953.009172679998</v>
      </c>
      <c r="DP90" s="85">
        <f ca="1">_xlfn.XLOOKUP(DM90,TabCalc[Ticker],TabCalc[GL])</f>
        <v>-322349.31963516888</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38056.968000000001</v>
      </c>
      <c r="G91" s="80">
        <f ca="1">IFERROR(TabCalc[[#This Row],[SB]]-TabCalc[[#This Row],[SST]],TabCalc[[#This Row],[SB]])</f>
        <v>600</v>
      </c>
      <c r="H91" s="530" t="str">
        <f ca="1">[1]!RTData[[#This Row],[Ticker_Symbol]]</f>
        <v>XYZ</v>
      </c>
      <c r="I91" s="381">
        <f ca="1">_xlfn.XLOOKUP(TabCalc[[#This Row],[Ticker]],[1]!RTData[Ticker_Symbol],[1]!RTData[M-Price])</f>
        <v>63.6</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4.8980000000000004E-3</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-0.63506978899194944</v>
      </c>
      <c r="T91" s="886">
        <f ca="1">IFERROR(SUMPRODUCT(DataShift!F1583:Z1583,DataShift!F790:Z790)/SQRT(SUMPRODUCT(DataShift!F1583:Z1583,DataShift!F1583:Z1583)*SUMPRODUCT(DataShift!F790:Z790,DataShift!F790:Z790)),0)</f>
        <v>-0.3115273233109363</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-7983</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47">
        <f ca="1">(TabCalc[[#This Row],[M]]+TabCalc[[#This Row],[L_Bp]])/TabCalc[[#This Row],[M]]</f>
        <v>-0.2097484276729559</v>
      </c>
      <c r="AE91" s="209">
        <f ca="1">IFERROR(MIN(TabCalc[[#This Row],[L_B1n]],TabCalc[[#This Row],[NAfter]])*(TabCalc[[#This Row],[M]]+TabCalc[[#This Row],[L_B1p]])*TabCalc[[#This Row],[Scale]],"")</f>
        <v>2076.0000000000005</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-4680.0000000000073</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6329.9999999999873</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264</v>
      </c>
      <c r="AR91" s="332">
        <f ca="1">_xlfn.LET(_xlpm.MVToday,DataShift!AV591,         _xlpm.MVY,DataShift!AU591,        _xlpm.MVYY, DataShift!AT591,                                IF(_xlpm.MVToday=_xlpm.MVY,_xlpm.MVY-_xlpm.MVYY,_xlpm.MVToday-_xlpm.MVY))</f>
        <v>-274.25750000000698</v>
      </c>
      <c r="AS91" s="332">
        <f ca="1">_xlfn.LET(_xlpm.MVToday,DataShift!AV591,         _xlpm.MVY,DataShift!AU591,        _xlpm.MVYY, DataShift!AT591,         _xlpm.MVYYY, DataShift!AS591,                      IF(_xlpm.MVToday=_xlpm.MVY,      _xlpm.MVYY-_xlpm.MVYYY,          _xlpm.MVY-_xlpm.MVYY))</f>
        <v>-6445.0512499999895</v>
      </c>
      <c r="AT91" s="969">
        <f ca="1">TabCalc[[#This Row],[Y]]/TabCalc[[#This Row],[M]]</f>
        <v>1.3208374213836478</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-1.5902404734792643</v>
      </c>
      <c r="AZ91" s="80">
        <f t="shared" ca="1" si="8"/>
        <v>0</v>
      </c>
      <c r="BA91" s="88">
        <f ca="1">_xlfn.XLOOKUP(TabCalc[[#This Row],[Ticker]],[1]!RTData[Ticker_Symbol],[1]!RTData[V/VA])</f>
        <v>0.62150617808507302</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0.62150617808507302</v>
      </c>
      <c r="BD91" s="85" cm="1">
        <f t="array" aca="1" ref="BD91" ca="1">INDEX(TabReg[], 1, _xlfn.XMATCH(TabCalc[[#This Row],[Ticker]]&amp;1, TabReg[#Headers], 0))</f>
        <v>450</v>
      </c>
      <c r="BE91" s="157">
        <f ca="1">TabCalc[[#This Row],[Nbegin]]*TabCalc[[#This Row],[M]]*TabCalc[[#This Row],[Scale]]+TabCalc[[#This Row],[ValueBegin]]</f>
        <v>-89680.5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-80243.532000000007</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-170228.76205680001</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46002.876078645313</v>
      </c>
      <c r="BU91" s="173">
        <f ca="1">(TabCalc[[#This Row],[ValueBegin]]+(TabCalc[[#This Row],[M]]-TabCalc[[#This Row],[A]])*TabCalc[[#This Row],[NAfter]])*TabCalc[[#This Row],[Scale]]</f>
        <v>-126424.52639999999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-8124.0263999999925</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-8124.0263999999925</v>
      </c>
      <c r="DD91" s="88">
        <f ca="1">IFERROR((TabCalc[[#This Row],[M]]+TabCalc[[#This Row],[L_Bp]])/ABS(TabCalc[[#This Row],[L_Bp]])/(TODAY()-TabCalc[[#This Row],[L_Bdate]])*360,"")</f>
        <v>-0.75201768863861973</v>
      </c>
      <c r="DE91" s="308">
        <f ca="1">MEDIAN(DataShift!F790:Z790)</f>
        <v>6.4099999999999999E-3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28620</v>
      </c>
      <c r="DH91" s="85" cm="1">
        <f t="array" aca="1" ref="DH91" ca="1">SUMPRODUCT(ISNUMBER(INDIRECT("TabReg["&amp;TabCalc[[#This Row],[Ticker]]&amp;"2]"))* INDIRECT("TabReg["&amp;TabCalc[[#This Row],[Ticker]]&amp;"1]") * INDIRECT("TabReg["&amp;TabCalc[[#This Row],[Ticker]]&amp;"2]") )*TabCalc[[#This Row],[Scale]]</f>
        <v>-207646.90000000002</v>
      </c>
      <c r="DK91" s="85">
        <f ca="1"/>
        <v>4928</v>
      </c>
      <c r="DL91" s="88">
        <f t="shared" ca="1" si="6"/>
        <v>-1.111420322568468</v>
      </c>
      <c r="DM91" t="str">
        <f ca="1">_xlfn.XLOOKUP(DK91,TabCalc[Column1],TabCalc[Ticker])</f>
        <v>XPER</v>
      </c>
      <c r="DN91" s="85">
        <f ca="1">_xlfn.XLOOKUP(DM91,TabCalc[Ticker],TabCalc[ValueBegin])</f>
        <v>-55366.229999999996</v>
      </c>
      <c r="DO91" s="85">
        <f ca="1">_xlfn.XLOOKUP(DM91,TabCalc[Ticker],TabCalc[M_V])</f>
        <v>61433.68</v>
      </c>
      <c r="DP91" s="85">
        <f ca="1">_xlfn.XLOOKUP(DM91,TabCalc[Ticker],TabCalc[GL])</f>
        <v>-61535.153205999981</v>
      </c>
      <c r="DQ91" s="88"/>
      <c r="DR91" s="88"/>
      <c r="DS91" s="86" t="s">
        <v>86</v>
      </c>
      <c r="DT91" s="79">
        <v>2700</v>
      </c>
      <c r="DU91" s="313">
        <v>-30.31</v>
      </c>
      <c r="DW91" s="80">
        <v>43554</v>
      </c>
      <c r="DX91" s="80">
        <f ca="1">DW91-TabCalc[[#This Row],[M_V]]</f>
        <v>5497.0319999999992</v>
      </c>
    </row>
    <row r="92" spans="1:128">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295592.24024999997</v>
      </c>
      <c r="G92" s="80">
        <f ca="1">IFERROR(TabCalc[[#This Row],[SB]]-TabCalc[[#This Row],[SST]],TabCalc[[#This Row],[SB]])</f>
        <v>1500</v>
      </c>
      <c r="H92" s="530" t="str">
        <f ca="1">[1]!RTData[[#This Row],[Ticker_Symbol]]</f>
        <v>THC</v>
      </c>
      <c r="I92" s="381">
        <f ca="1">_xlfn.XLOOKUP(TabCalc[[#This Row],[Ticker]],[1]!RTData[Ticker_Symbol],[1]!RTData[M-Price])</f>
        <v>197.595</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6.3299999999999999E-4</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-0.70636644649313185</v>
      </c>
      <c r="T92" s="886">
        <f ca="1">IFERROR(SUMPRODUCT(DataShift!F1584:Z1584,DataShift!F791:Z791)/SQRT(SUMPRODUCT(DataShift!F1584:Z1584,DataShift!F1584:Z1584)*SUMPRODUCT(DataShift!F791:Z791,DataShift!F791:Z791)),0)</f>
        <v>-0.22536048531262226</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-1091</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47">
        <f ca="1">(TabCalc[[#This Row],[M]]+TabCalc[[#This Row],[L_Bp]])/TabCalc[[#This Row],[M]]</f>
        <v>-1.8446823047141934E-2</v>
      </c>
      <c r="AE92" s="209">
        <f ca="1">IFERROR(MIN(TabCalc[[#This Row],[L_B1n]],TabCalc[[#This Row],[NAfter]])*(TabCalc[[#This Row],[M]]+TabCalc[[#This Row],[L_B1p]])*TabCalc[[#This Row],[Scale]],"")</f>
        <v>45414.999999999993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6944.9999999999927</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-828.74999999999943</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-112.5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1.1859274273134441</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-1.0708982714969488</v>
      </c>
      <c r="AZ92" s="80">
        <f t="shared" ca="1" si="8"/>
        <v>500</v>
      </c>
      <c r="BA92" s="88">
        <f ca="1">_xlfn.XLOOKUP(TabCalc[[#This Row],[Ticker]],[1]!RTData[Ticker_Symbol],[1]!RTData[V/VA])</f>
        <v>0.79188085697408961</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0.79188085697408961</v>
      </c>
      <c r="BD92" s="85" cm="1">
        <f t="array" aca="1" ref="BD92" ca="1">INDEX(TabReg[], 1, _xlfn.XMATCH(TabCalc[[#This Row],[Ticker]]&amp;1, TabReg[#Headers], 0))</f>
        <v>2000</v>
      </c>
      <c r="BE92" s="157">
        <f ca="1">TabCalc[[#This Row],[Nbegin]]*TabCalc[[#This Row],[M]]*TabCalc[[#This Row],[Scale]]+TabCalc[[#This Row],[ValueBegin]]</f>
        <v>303050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203452.24024999997</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287971.77963014995</v>
      </c>
      <c r="BN92" s="157">
        <f ca="1">IF(        OR( TabCalc[[#This Row],[GL]]&gt;ABS(TabCalc[[#This Row],[EfCost]]),TabCalc[[#This Row],[NAfter]]=0),             TabCalc[[#This Row],[GL]],     0)</f>
        <v>287971.77963014995</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7.52</v>
      </c>
      <c r="BS92" s="172" t="str">
        <f ca="1">IF(TabCalc[[#This Row],[EfCost]]+TabCalc[[#This Row],[M_V]]&lt;TabCalc[[#This Row],[NoT_GL]],"Pile","")</f>
        <v>Pile</v>
      </c>
      <c r="BT92" s="163">
        <f ca="1">_xlfn.XLOOKUP(TabCalc[[#This Row],[Ticker]],[1]!RTData[Ticker_Symbol],[1]!RTData[Last trade time])</f>
        <v>46002.875630740622</v>
      </c>
      <c r="BU92" s="173">
        <f ca="1">(TabCalc[[#This Row],[ValueBegin]]+(TabCalc[[#This Row],[M]]-TabCalc[[#This Row],[A]])*TabCalc[[#This Row],[NAfter]])*TabCalc[[#This Row],[Scale]]</f>
        <v>-37095.261900999969</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55044.738099000031</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719.94240460763206</v>
      </c>
      <c r="CX92" s="402">
        <f ca="1">IF(TabCalc[[#This Row],[ntoBuy]]*TabCalc[[#This Row],[M]]&lt;=0,0,TabCalc[[#This Row],[ntoBuy]]*TabCalc[[#This Row],[M]])</f>
        <v>142257.01943844504</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136</v>
      </c>
      <c r="DB92" s="334">
        <f ca="1">IFERROR(TabCalc[[#This Row],[NMA]]*TabCalc[[#This Row],[M]],"")</f>
        <v>26872.92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55044.738099000031</v>
      </c>
      <c r="DD92" s="88">
        <f ca="1">IFERROR((TabCalc[[#This Row],[M]]+TabCalc[[#This Row],[L_Bp]])/ABS(TabCalc[[#This Row],[L_Bp]])/(TODAY()-TabCalc[[#This Row],[L_Bdate]])*360,"")</f>
        <v>-0.10188394454382854</v>
      </c>
      <c r="DE92" s="308">
        <f ca="1">MEDIAN(DataShift!F791:Z791)</f>
        <v>3.9280000000000001E-3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395190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16002.759750000027</v>
      </c>
    </row>
    <row r="93" spans="1:128">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-0.93373078068494708</v>
      </c>
      <c r="T93" s="886">
        <f ca="1">IFERROR(SUMPRODUCT(DataShift!F1585:Z1585,DataShift!F792:Z792)/SQRT(SUMPRODUCT(DataShift!F1585:Z1585,DataShift!F1585:Z1585)*SUMPRODUCT(DataShift!F792:Z792,DataShift!F792:Z792)),0)</f>
        <v>7.0666630113860512E-2</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47">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191.48159999999916</v>
      </c>
      <c r="AS93" s="332">
        <f ca="1">_xlfn.LET(_xlpm.MVToday,DataShift!AV593,         _xlpm.MVY,DataShift!AU593,        _xlpm.MVYY, DataShift!AT593,         _xlpm.MVYYY, DataShift!AS593,                      IF(_xlpm.MVToday=_xlpm.MVY,      _xlpm.MVYY-_xlpm.MVYYY,          _xlpm.MVY-_xlpm.MVYY))</f>
        <v>927.01029600000038</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0.81208178664104047</v>
      </c>
      <c r="DE93" s="308">
        <f ca="1">MEDIAN(DataShift!F792:Z792)</f>
        <v>4.8980000000000004E-3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2950.8</v>
      </c>
      <c r="DL93" s="88">
        <f t="shared" ca="1" si="6"/>
        <v>-0.50142156997321263</v>
      </c>
      <c r="DM93" t="str">
        <f ca="1">_xlfn.XLOOKUP(DK93,TabCalc[Column1],TabCalc[Ticker])</f>
        <v>PW</v>
      </c>
      <c r="DN93" s="85">
        <f ca="1">_xlfn.XLOOKUP(DM93,TabCalc[Ticker],TabCalc[ValueBegin])</f>
        <v>-9500.85</v>
      </c>
      <c r="DO93" s="85">
        <f ca="1">_xlfn.XLOOKUP(DM93,TabCalc[Ticker],TabCalc[M_V])</f>
        <v>9809.4427999999989</v>
      </c>
      <c r="DP93" s="85">
        <f ca="1">_xlfn.XLOOKUP(DM93,TabCalc[Ticker],TabCalc[GL])</f>
        <v>-4763.9311230799976</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794138.82023999991</v>
      </c>
      <c r="G94" s="80">
        <f ca="1">IFERROR(TabCalc[[#This Row],[SB]]-TabCalc[[#This Row],[SST]],TabCalc[[#This Row],[SB]])</f>
        <v>77100</v>
      </c>
      <c r="H94" s="530" t="str">
        <f ca="1">[1]!RTData[[#This Row],[Ticker_Symbol]]</f>
        <v>LOCK</v>
      </c>
      <c r="I94" s="381">
        <f ca="1">_xlfn.XLOOKUP(TabCalc[[#This Row],[Ticker]],[1]!RTData[Ticker_Symbol],[1]!RTData[M-Price])</f>
        <v>10.327999999999999</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8.9880000000000012E-3</v>
      </c>
      <c r="N94" s="1041" t="s">
        <v>2961</v>
      </c>
      <c r="O94" s="886" t="e">
        <f>TabCalc[[#This Row],[Up20]]-1+TabCalc[[#This Row],[Up20]]</f>
        <v>#VALUE!</v>
      </c>
      <c r="P94" s="886" t="e">
        <f>TabCalc[[#This Row],[Up20]]-TabCalc[[#This Row],[Up150]]</f>
        <v>#VALUE!</v>
      </c>
      <c r="Q94" s="886" t="s">
        <v>2962</v>
      </c>
      <c r="R94" s="886" t="e">
        <f>TabCalc[[#This Row],[Up150]]-1+TabCalc[[#This Row],[Up150]]</f>
        <v>#VALUE!</v>
      </c>
      <c r="S94" s="886">
        <f ca="1">IFERROR(SUMPRODUCT(DataShift!F1586:Z1586,DataShift!AB793:AV793)/SQRT(SUMPRODUCT(DataShift!F1586:Z1586,DataShift!F1586:Z1586)*SUMPRODUCT(DataShift!AB793:AV793,DataShift!AB793:AV793)),0)</f>
        <v>-0.8058063831353689</v>
      </c>
      <c r="T94" s="886">
        <f ca="1">IFERROR(SUMPRODUCT(DataShift!F1586:Z1586,DataShift!F793:Z793)/SQRT(SUMPRODUCT(DataShift!F1586:Z1586,DataShift!F1586:Z1586)*SUMPRODUCT(DataShift!F793:Z793,DataShift!F793:Z793)),0)</f>
        <v>0.25007183461270832</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-39,968 = $ -412,790</v>
      </c>
      <c r="Z94" s="209">
        <f ca="1">INT(MIN(TabCalc[[#This Row],[L_Bn]],TabCalc[[#This Row],[NAfter]])*(TabCalc[[#This Row],[M]]+TabCalc[[#This Row],[L_Bp]])*Comm_Net*TabCalc[[#This Row],[Scale]])</f>
        <v>383536</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47">
        <f ca="1">(TabCalc[[#This Row],[M]]+TabCalc[[#This Row],[L_Bp]])/TabCalc[[#This Row],[M]]</f>
        <v>0.48295894655305965</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6939</v>
      </c>
      <c r="AR94" s="332">
        <f ca="1">_xlfn.LET(_xlpm.MVToday,DataShift!AV594,         _xlpm.MVY,DataShift!AU594,        _xlpm.MVYY, DataShift!AT594,                                IF(_xlpm.MVToday=_xlpm.MVY,_xlpm.MVY-_xlpm.MVYY,_xlpm.MVToday-_xlpm.MVY))</f>
        <v>186.99374999996508</v>
      </c>
      <c r="AS94" s="332">
        <f ca="1">_xlfn.LET(_xlpm.MVToday,DataShift!AV594,         _xlpm.MVY,DataShift!AU594,        _xlpm.MVYY, DataShift!AT594,         _xlpm.MVYYY, DataShift!AS594,                      IF(_xlpm.MVToday=_xlpm.MVY,      _xlpm.MVYY-_xlpm.MVYYY,          _xlpm.MVY-_xlpm.MVYY))</f>
        <v>-6028.67849999998</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384574.79999999993</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382424.82023999991</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379289.60290737596</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46002.729178240741</v>
      </c>
      <c r="BU94" s="173">
        <f ca="1">(TabCalc[[#This Row],[ValueBegin]]+(TabCalc[[#This Row],[M]]-TabCalc[[#This Row],[A]])*TabCalc[[#This Row],[NAfter]])*TabCalc[[#This Row],[Scale]]</f>
        <v>-28209.656400000036</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383504.34359999996</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1002.4057738572575</v>
      </c>
      <c r="CZ94" s="403">
        <f ca="1">TabCalc[[#This Row],[ntoSell]]*TabCalc[[#This Row],[M]]</f>
        <v>10352.846832397754</v>
      </c>
      <c r="DA94" s="396">
        <f ca="1">_xlfn.LET(_xlpm.nToSell,IF(TabCalc[[#This Row],[M]]-TabCalc[[#This Row],[A]]&lt;=0,"",INT(DesiredSaleGain/(TabCalc[[#This Row],[M]]-IF(TabCalc[[#This Row],[E]]&gt;0,0,TabCalc[[#This Row],[A]])))),IF(_xlpm.nToSell&lt;=TabCalc[[#This Row],[NAfter]],_xlpm.nToSell,0))</f>
        <v>1005</v>
      </c>
      <c r="DB94" s="334">
        <f ca="1">IFERROR(TabCalc[[#This Row],[NMA]]*TabCalc[[#This Row],[M]],"")</f>
        <v>10379.64</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383504.34359999996</v>
      </c>
      <c r="DD94" s="88">
        <f ca="1">IFERROR((TabCalc[[#This Row],[M]]+TabCalc[[#This Row],[L_Bp]])/ABS(TabCalc[[#This Row],[L_Bp]])/(TODAY()-TabCalc[[#This Row],[L_Bdate]])*360,"")</f>
        <v>0.25946733250104037</v>
      </c>
      <c r="DE94" s="308">
        <f ca="1">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796288.79999999993</v>
      </c>
      <c r="DH94" s="85" cm="1">
        <f t="array" aca="1" ref="DH94" ca="1">SUMPRODUCT(ISNUMBER(INDIRECT("TabReg["&amp;TabCalc[[#This Row],[Ticker]]&amp;"2]"))* INDIRECT("TabReg["&amp;TabCalc[[#This Row],[Ticker]]&amp;"1]") * INDIRECT("TabReg["&amp;TabCalc[[#This Row],[Ticker]]&amp;"2]") )*TabCalc[[#This Row],[Scale]]</f>
        <v>-411714</v>
      </c>
      <c r="DK94" s="85">
        <f ca="1"/>
        <v>1698.75</v>
      </c>
      <c r="DL94" s="88">
        <f t="shared" ca="1" si="6"/>
        <v>1.1470619470192851</v>
      </c>
      <c r="DM94" t="str">
        <f ca="1">_xlfn.XLOOKUP(DK94,TabCalc[Column1],TabCalc[Ticker])</f>
        <v>MVEUN0</v>
      </c>
      <c r="DN94" s="85">
        <f ca="1">_xlfn.XLOOKUP(DM94,TabCalc[Ticker],TabCalc[ValueBegin])</f>
        <v>-3543.4214999999999</v>
      </c>
      <c r="DO94" s="85">
        <f ca="1">_xlfn.XLOOKUP(DM94,TabCalc[Ticker],TabCalc[M_V])</f>
        <v>21082.921999999999</v>
      </c>
      <c r="DP94" s="85">
        <f ca="1">_xlfn.XLOOKUP(DM94,TabCalc[Ticker],TabCalc[GL])</f>
        <v>4064.5239648999959</v>
      </c>
      <c r="DQ94" s="88"/>
      <c r="DR94" s="88"/>
      <c r="DS94" s="86" t="s">
        <v>89</v>
      </c>
      <c r="DT94" s="79">
        <v>3200</v>
      </c>
      <c r="DU94" s="313">
        <v>-26.21</v>
      </c>
      <c r="DW94" s="80">
        <v>801994.2</v>
      </c>
      <c r="DX94" s="80">
        <f ca="1">DW94-TabCalc[[#This Row],[M_V]]</f>
        <v>7855.3797600000398</v>
      </c>
    </row>
    <row r="95" spans="1:128">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940.9</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-5.391E-3</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-0.95118973121134187</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47">
        <f ca="1">(TabCalc[[#This Row],[M]]+TabCalc[[#This Row],[L_Bp]])/TabCalc[[#This Row],[M]]</f>
        <v>0.23080029758741627</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4379.9999999999955</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-33809.999999999978</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1.0451901371027739</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-8.3076681917936546E-2</v>
      </c>
      <c r="AZ95" s="80">
        <f t="shared" ca="1" si="8"/>
        <v>500</v>
      </c>
      <c r="BA95" s="88">
        <f ca="1">_xlfn.XLOOKUP(TabCalc[[#This Row],[Ticker]],[1]!RTData[Ticker_Symbol],[1]!RTData[V/VA])</f>
        <v>0.96938852069526071</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0.96938852069526071</v>
      </c>
      <c r="BD95" s="85" cm="1">
        <f t="array" aca="1" ref="BD95" ca="1">INDEX(TabReg[], 1, _xlfn.XMATCH(TabCalc[[#This Row],[Ticker]]&amp;1, TabReg[#Headers], 0))</f>
        <v>500</v>
      </c>
      <c r="BE95" s="157">
        <f ca="1">TabCalc[[#This Row],[Nbegin]]*TabCalc[[#This Row],[M]]*TabCalc[[#This Row],[Scale]]+TabCalc[[#This Row],[ValueBegin]]</f>
        <v>108580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46002.708333333336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228.31050228310525</v>
      </c>
      <c r="CX95" s="402">
        <f ca="1">IF(TabCalc[[#This Row],[ntoBuy]]*TabCalc[[#This Row],[M]]&lt;=0,0,TabCalc[[#This Row],[ntoBuy]]*TabCalc[[#This Row],[M]])</f>
        <v>214817.35159817373</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0.32634109309839615</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470450</v>
      </c>
      <c r="DH95" s="85" cm="1">
        <f t="array" aca="1" ref="DH95" ca="1">SUMPRODUCT(ISNUMBER(INDIRECT("TabReg["&amp;TabCalc[[#This Row],[Ticker]]&amp;"2]"))* INDIRECT("TabReg["&amp;TabCalc[[#This Row],[Ticker]]&amp;"1]") * INDIRECT("TabReg["&amp;TabCalc[[#This Row],[Ticker]]&amp;"2]") )*TabCalc[[#This Row],[Scale]]</f>
        <v>79150</v>
      </c>
      <c r="DK95" s="85">
        <f ca="1"/>
        <v>1670.25</v>
      </c>
      <c r="DL95" s="88">
        <f t="shared" ca="1" si="6"/>
        <v>-3.9855674311156424</v>
      </c>
      <c r="DM95" t="str">
        <f ca="1">_xlfn.XLOOKUP(DK95,TabCalc[Column1],TabCalc[Ticker])</f>
        <v>SAFDDD</v>
      </c>
      <c r="DN95" s="85">
        <f ca="1">_xlfn.XLOOKUP(DM95,TabCalc[Ticker],TabCalc[ValueBegin])</f>
        <v>-42168.5</v>
      </c>
      <c r="DO95" s="85">
        <f ca="1">_xlfn.XLOOKUP(DM95,TabCalc[Ticker],TabCalc[M_V])</f>
        <v>215566.39499999999</v>
      </c>
      <c r="DP95" s="85">
        <f ca="1">_xlfn.XLOOKUP(DM95,TabCalc[Ticker],TabCalc[GL])</f>
        <v>-168065.40021899997</v>
      </c>
      <c r="DQ95" s="88"/>
      <c r="DR95" s="88"/>
      <c r="DS95" s="86" t="s">
        <v>1542</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314882.51549999998</v>
      </c>
      <c r="G96" s="80">
        <f ca="1">IFERROR(TabCalc[[#This Row],[SB]]-TabCalc[[#This Row],[SST]],TabCalc[[#This Row],[SB]])</f>
        <v>21000</v>
      </c>
      <c r="H96" s="530" t="str">
        <f ca="1">[1]!RTData[[#This Row],[Ticker_Symbol]]</f>
        <v>JBEOAN</v>
      </c>
      <c r="I96" s="381">
        <f ca="1">_xlfn.XLOOKUP(TabCalc[[#This Row],[Ticker]],[1]!RTData[Ticker_Symbol],[1]!RTData[M-Price])</f>
        <v>15.035</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-3.3119000000000003E-2</v>
      </c>
      <c r="N96" s="1041" t="s">
        <v>2963</v>
      </c>
      <c r="O96" s="886" t="e">
        <f>TabCalc[[#This Row],[Up20]]-1+TabCalc[[#This Row],[Up20]]</f>
        <v>#VALUE!</v>
      </c>
      <c r="P96" s="886" t="e">
        <f>TabCalc[[#This Row],[Up20]]-TabCalc[[#This Row],[Up150]]</f>
        <v>#VALUE!</v>
      </c>
      <c r="Q96" s="886" t="s">
        <v>2964</v>
      </c>
      <c r="R96" s="886" t="e">
        <f>TabCalc[[#This Row],[Up150]]-1+TabCalc[[#This Row],[Up150]]</f>
        <v>#VALUE!</v>
      </c>
      <c r="S96" s="886">
        <f ca="1">IFERROR(SUMPRODUCT(DataShift!F1588:Z1588,DataShift!AB795:AV795)/SQRT(SUMPRODUCT(DataShift!F1588:Z1588,DataShift!F1588:Z1588)*SUMPRODUCT(DataShift!AB795:AV795,DataShift!AB795:AV795)),0)</f>
        <v>-0.89405556558646704</v>
      </c>
      <c r="T96" s="886">
        <f ca="1">IFERROR(SUMPRODUCT(DataShift!F1588:Z1588,DataShift!F795:Z795)/SQRT(SUMPRODUCT(DataShift!F1588:Z1588,DataShift!F1588:Z1588)*SUMPRODUCT(DataShift!F795:Z795,DataShift!F795:Z795)),0)</f>
        <v>8.2305791169462472E-4</v>
      </c>
      <c r="U96" s="996">
        <v>10000</v>
      </c>
      <c r="V96" s="996">
        <v>11000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-345</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47">
        <f ca="1">(TabCalc[[#This Row],[M]]+TabCalc[[#This Row],[L_Bp]])/TabCalc[[#This Row],[M]]</f>
        <v>-7.6488194213501972E-3</v>
      </c>
      <c r="AE96" s="209">
        <f ca="1">IFERROR(MIN(TabCalc[[#This Row],[L_B1n]],TabCalc[[#This Row],[NAfter]])*(TabCalc[[#This Row],[M]]+TabCalc[[#This Row],[L_B1p]])*TabCalc[[#This Row],[Scale]],"")</f>
        <v>1074.9999999999993</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3255.0000000000027</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11100.000000000009</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-8925</v>
      </c>
      <c r="AR96" s="332">
        <f ca="1">_xlfn.LET(_xlpm.MVToday,DataShift!AV596,         _xlpm.MVY,DataShift!AU598,        _xlpm.MVYY, DataShift!AT598,                                IF(_xlpm.MVToday=_xlpm.MVY,_xlpm.MVY-_xlpm.MVYY,_xlpm.MVToday-_xlpm.MVY))</f>
        <v>479256.30473999993</v>
      </c>
      <c r="AS96" s="332">
        <f ca="1">_xlfn.LET(_xlpm.MVToday,DataShift!AV596,         _xlpm.MVY,DataShift!AU598,        _xlpm.MVYY, DataShift!AT598,         _xlpm.MVYYY, DataShift!AS598,                      IF(_xlpm.MVToday=_xlpm.MVY,      _xlpm.MVYY-_xlpm.MVYYY,          _xlpm.MVY-_xlpm.MVYY))</f>
        <v>-10785.799500000023</v>
      </c>
      <c r="AT96" s="969">
        <f ca="1">TabCalc[[#This Row],[Y]]/TabCalc[[#This Row],[M]]</f>
        <v>1.126317259727303</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-2.6904862707847661E-2</v>
      </c>
      <c r="AZ96" s="80">
        <f t="shared" ca="1" si="8"/>
        <v>29000</v>
      </c>
      <c r="BA96" s="88">
        <f ca="1">_xlfn.XLOOKUP(TabCalc[[#This Row],[Ticker]],[1]!RTData[Ticker_Symbol],[1]!RTData[V/VA])</f>
        <v>8.077429734486519E-3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8.077429734486519E-3</v>
      </c>
      <c r="BD96" s="85" cm="1">
        <f t="array" aca="1" ref="BD96" ca="1">INDEX(TabReg[], 1, _xlfn.XMATCH(TabCalc[[#This Row],[Ticker]]&amp;1, TabReg[#Headers], 0))</f>
        <v>50000</v>
      </c>
      <c r="BE96" s="157">
        <f ca="1">TabCalc[[#This Row],[Nbegin]]*TabCalc[[#This Row],[M]]*TabCalc[[#This Row],[Scale]]+TabCalc[[#This Row],[ValueBegin]]</f>
        <v>300750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-136117.48450000002</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297724.46981430001</v>
      </c>
      <c r="BN96" s="157">
        <f ca="1">IF(        OR( TabCalc[[#This Row],[GL]]&gt;ABS(TabCalc[[#This Row],[EfCost]]),TabCalc[[#This Row],[NAfter]]=0),             TabCalc[[#This Row],[GL]],     0)</f>
        <v>297724.46981430001</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1.26</v>
      </c>
      <c r="BS96" s="172" t="str">
        <f ca="1">IF(TabCalc[[#This Row],[EfCost]]+TabCalc[[#This Row],[M_V]]&lt;TabCalc[[#This Row],[NoT_GL]],"Pile","")</f>
        <v>Pile</v>
      </c>
      <c r="BT96" s="163">
        <f ca="1">_xlfn.XLOOKUP(TabCalc[[#This Row],[Ticker]],[1]!RTData[Ticker_Symbol],[1]!RTData[Last trade time])</f>
        <v>46002.863194444442</v>
      </c>
      <c r="BU96" s="173">
        <f ca="1">(TabCalc[[#This Row],[ValueBegin]]+(TabCalc[[#This Row],[M]]-TabCalc[[#This Row],[A]])*TabCalc[[#This Row],[NAfter]])*TabCalc[[#This Row],[Scale]]</f>
        <v>-439571.68460139999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11428.315398600009</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4608.2949308755724</v>
      </c>
      <c r="CX96" s="402">
        <f ca="1">IF(TabCalc[[#This Row],[ntoBuy]]*TabCalc[[#This Row],[M]]&lt;=0,0,TabCalc[[#This Row],[ntoBuy]]*TabCalc[[#This Row],[M]])</f>
        <v>69285.714285714232</v>
      </c>
      <c r="CY96" s="402">
        <f ca="1">IF(TabCalc[[#This Row],[M]]&gt;ABS(TabCalc[[#This Row],[L_Bp]]),MIN(TabCalc[[#This Row],[NAfter]],DesiredSaleGain/(TabCalc[[#This Row],[M]]+TabCalc[[#This Row],[L_Bp]])),0)/TabCalc[[#This Row],[Scale]]</f>
        <v>0</v>
      </c>
      <c r="CZ96" s="403">
        <f ca="1">TabCalc[[#This Row],[ntoSell]]*TabCalc[[#This Row],[M]]</f>
        <v>0</v>
      </c>
      <c r="DA96" s="397">
        <f ca="1">_xlfn.LET(_xlpm.nToSell,IF(TabCalc[[#This Row],[M]]-TabCalc[[#This Row],[A]]&lt;=0,"",INT(DesiredSaleGain/(TabCalc[[#This Row],[M]]-IF(TabCalc[[#This Row],[E]]&gt;0,0,TabCalc[[#This Row],[A]])))),IF(_xlpm.nToSell&lt;=TabCalc[[#This Row],[NAfter]],_xlpm.nToSell,0))</f>
        <v>9187</v>
      </c>
      <c r="DB96" s="334">
        <f ca="1">IFERROR(TabCalc[[#This Row],[NMA]]*TabCalc[[#This Row],[M]],"")</f>
        <v>138126.54500000001</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11428.315398600009</v>
      </c>
      <c r="DD96" s="88">
        <f ca="1">IFERROR((TabCalc[[#This Row],[M]]+TabCalc[[#This Row],[L_Bp]])/ABS(TabCalc[[#This Row],[L_Bp]])/(TODAY()-TabCalc[[#This Row],[L_Bdate]])*360,"")</f>
        <v>-9.7595473833097773E-2</v>
      </c>
      <c r="DE96" s="308">
        <f ca="1">MEDIAN(DataShift!F795:Z795)</f>
        <v>2.3499999999999997E-3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751750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2499</v>
      </c>
      <c r="DT96" s="79">
        <v>500</v>
      </c>
      <c r="DU96" s="313">
        <v>-723.74</v>
      </c>
      <c r="DW96" s="80">
        <v>283500</v>
      </c>
      <c r="DX96" s="80">
        <f ca="1">DW96-TabCalc[[#This Row],[M_V]]</f>
        <v>-31382.51549999998</v>
      </c>
    </row>
    <row r="97" spans="1:111" ht="23" thickBot="1">
      <c r="A97" s="214"/>
      <c r="B97" s="214"/>
      <c r="D97" s="214"/>
      <c r="E97" s="83">
        <f ca="1">SUBTOTAL(109,TabCalc[ValueBegin])</f>
        <v>-25594821.556763712</v>
      </c>
      <c r="F97" s="80">
        <f ca="1">SUBTOTAL(109,TabCalc[M_V])</f>
        <v>32903830.332280245</v>
      </c>
      <c r="H97" t="s">
        <v>1085</v>
      </c>
      <c r="I97" s="214"/>
      <c r="J97" s="215"/>
      <c r="K97" s="34"/>
      <c r="L97" s="215"/>
      <c r="M97" s="728"/>
      <c r="N97" s="883"/>
      <c r="O97" s="882"/>
      <c r="P97" s="882"/>
      <c r="Q97" s="882"/>
      <c r="R97" s="882"/>
      <c r="S97" s="728">
        <f ca="1">SUBTOTAL(101,TabCalc[DPWC150])</f>
        <v>-0.58767616424852698</v>
      </c>
      <c r="T97" s="728">
        <f ca="1">SUBTOTAL(101,TabCalc[DPWC20])</f>
        <v>-6.8250512522542273E-2</v>
      </c>
      <c r="U97" s="728"/>
      <c r="V97" s="728"/>
      <c r="W97" s="11">
        <f>SUBTOTAL(103,TabCalc[NMZ])</f>
        <v>94</v>
      </c>
      <c r="X97" s="11">
        <f ca="1">COUNTIF(TabCalc[Type],"Pile")</f>
        <v>47</v>
      </c>
      <c r="Y97" s="214"/>
      <c r="Z97" s="366">
        <f ca="1">SUBTOTAL(109,TabCalc[Rev(MinStock)])</f>
        <v>300345</v>
      </c>
      <c r="AA97" s="367"/>
      <c r="AB97" s="367"/>
      <c r="AC97" s="367"/>
      <c r="AD97" s="1488"/>
      <c r="AE97" s="366">
        <f ca="1">SUBTOTAL(109,TabCalc[ReverseS1])</f>
        <v>241431.00375200002</v>
      </c>
      <c r="AF97" s="367"/>
      <c r="AG97" s="367"/>
      <c r="AH97" s="368"/>
      <c r="AI97" s="369">
        <f ca="1">SUBTOTAL(109,TabCalc[ReverseB])</f>
        <v>-8150.5382999999974</v>
      </c>
      <c r="AJ97" s="370"/>
      <c r="AK97" s="367"/>
      <c r="AL97" s="368"/>
      <c r="AM97" s="369">
        <f ca="1">SUBTOTAL(109,TabCalc[ReverseB1])</f>
        <v>-116382.7046000001</v>
      </c>
      <c r="AN97" s="216"/>
      <c r="AO97" s="365"/>
      <c r="AP97" s="365"/>
      <c r="AQ97" s="970">
        <f ca="1">SUBTOTAL(109,TabCalc[SaldOp])</f>
        <v>128426.20749999955</v>
      </c>
      <c r="AR97" s="971"/>
      <c r="AS97" s="971"/>
      <c r="AT97" s="972">
        <f ca="1">SUBTOTAL(101,TabCalc[Gravity])</f>
        <v>1.3632887777223788</v>
      </c>
      <c r="AU97" s="1"/>
      <c r="AV97" s="1"/>
      <c r="AY97" s="303">
        <f ca="1">SUBTOTAL(105,TabCalc[Repulse])</f>
        <v>-190.70712449352416</v>
      </c>
      <c r="BD97" s="1293">
        <f ca="1">SUBTOTAL(109,TabCalc[NoT_C])</f>
        <v>4981386</v>
      </c>
      <c r="BE97" s="156">
        <f ca="1">SUBTOTAL(109,TabCalc[NoT_GL])</f>
        <v>9790180.1362362839</v>
      </c>
      <c r="BF97" s="156">
        <f ca="1">SUBTOTAL(109,TabCalc[GLStatus])</f>
        <v>0</v>
      </c>
      <c r="BG97" s="156">
        <f ca="1">SUBTOTAL(109,TabCalc[AddBuys])</f>
        <v>-74271972.199438274</v>
      </c>
      <c r="BH97" s="156">
        <f ca="1">SUBTOTAL(109,TabCalc[AddCash])</f>
        <v>-9293764.3603945505</v>
      </c>
      <c r="BI97" s="156">
        <f ca="1">SUBTOTAL(109,TabCalc[AddValue])</f>
        <v>7309008.7755165314</v>
      </c>
      <c r="BJ97" s="156">
        <f ca="1">SUBTOTAL(109,TabCalc[Tot_Paid])</f>
        <v>-99866793.756201982</v>
      </c>
      <c r="BK97" s="156">
        <f ca="1">SUBTOTAL(109,TabCalc[S_Income])</f>
        <v>77766716.895075738</v>
      </c>
      <c r="BL97" s="156">
        <f ca="1">SUBTOTAL(109,TabCalc[EfCost])</f>
        <v>-21694635.786477741</v>
      </c>
      <c r="BM97" s="156">
        <f ca="1">SUBTOTAL(109,TabCalc[GL])</f>
        <v>11123644.586938584</v>
      </c>
      <c r="BN97" s="156">
        <f ca="1">SUBTOTAL(109,TabCalc[Cost+Gain])</f>
        <v>11344422.61894339</v>
      </c>
      <c r="BO97" s="156">
        <f ca="1">SUBTOTAL(109,TabCalc[SB])</f>
        <v>8936036</v>
      </c>
      <c r="BP97" s="156">
        <f ca="1">SUBTOTAL(109,TabCalc[SABT])</f>
        <v>3963285</v>
      </c>
      <c r="BQ97" s="156">
        <f ca="1">SUBTOTAL(109,TabCalc[SST])</f>
        <v>3921682</v>
      </c>
      <c r="BR97" s="11"/>
      <c r="BS97" s="124"/>
      <c r="BT97" s="11"/>
      <c r="BU97" s="156">
        <f ca="1">SUBTOTAL(109,TabCalc[CostReduct])</f>
        <v>-24294560.513921529</v>
      </c>
      <c r="BV97" s="216"/>
      <c r="BW97" s="11"/>
      <c r="BX97" s="11"/>
      <c r="BY97" s="11"/>
      <c r="BZ97" s="11"/>
      <c r="CA97" s="218"/>
      <c r="CB97" s="156">
        <f ca="1">SUBTOTAL(109,TabCalc[Resale(ME)])</f>
        <v>2393819.9473122605</v>
      </c>
      <c r="CC97" s="11"/>
      <c r="CD97" s="11"/>
      <c r="CE97" s="11"/>
      <c r="CF97" s="11"/>
      <c r="CG97" s="11"/>
      <c r="CH97" s="11"/>
      <c r="CI97" s="11"/>
      <c r="CJ97" s="11"/>
      <c r="CK97" s="11"/>
      <c r="CL97" s="11"/>
      <c r="CM97" s="11"/>
      <c r="CN97" s="11"/>
      <c r="CO97" s="11"/>
      <c r="CP97" s="11"/>
      <c r="CQ97" s="11"/>
      <c r="CR97" s="11"/>
      <c r="CS97" s="11"/>
      <c r="CT97" s="11"/>
      <c r="CU97" s="11"/>
      <c r="CV97" s="217">
        <f ca="1">SUBTOTAL(109,TabCalc[WB2P])</f>
        <v>-9048.6945168888924</v>
      </c>
      <c r="CW97" s="11">
        <f ca="1">SUBTOTAL(103,TabCalc[ntoBuy])</f>
        <v>94</v>
      </c>
      <c r="CX97" s="405">
        <f ca="1">SUBTOTAL(109,TabCalc[BuyCost])</f>
        <v>16074612.0118725</v>
      </c>
      <c r="CY97" s="11"/>
      <c r="CZ97" s="405">
        <f ca="1">SUBTOTAL(109,TabCalc[vReverse])</f>
        <v>19806960.443696115</v>
      </c>
      <c r="DA97" s="11"/>
      <c r="DB97" s="11"/>
      <c r="DC97" s="11"/>
      <c r="DD97" s="1034">
        <f ca="1">SUBTOTAL(101,TabCalc[Ann%RevLB])</f>
        <v>0.43197774743350437</v>
      </c>
      <c r="DE97" s="1034"/>
      <c r="DF97" s="11"/>
      <c r="DG97" s="1293">
        <f ca="1">SUBTOTAL(109,TabCalc[Column1])</f>
        <v>35385001.692999996</v>
      </c>
    </row>
    <row r="98" spans="1:111">
      <c r="AO98" s="163"/>
      <c r="AP98" s="163"/>
      <c r="BJ98" s="3" t="s">
        <v>1540</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35385001.692999996</v>
      </c>
      <c r="BA99" s="80">
        <f ca="1">TabCalc[[#Totals],[GLStatus]]+TabCalc[[#Totals],[EfCost]]</f>
        <v>-21694635.786477741</v>
      </c>
      <c r="BR99"/>
      <c r="BS99" s="80"/>
      <c r="CZ99" s="220" t="s">
        <v>2067</v>
      </c>
    </row>
    <row r="100" spans="1:111" ht="23" thickBot="1">
      <c r="A100" t="s">
        <v>83</v>
      </c>
      <c r="B100">
        <v>4500</v>
      </c>
      <c r="H100">
        <v>4500</v>
      </c>
      <c r="BC100" t="s">
        <v>1872</v>
      </c>
      <c r="BD100" t="s">
        <v>1014</v>
      </c>
      <c r="BE100" t="s">
        <v>1884</v>
      </c>
      <c r="BF100" t="s">
        <v>1885</v>
      </c>
      <c r="BG100" t="s">
        <v>1886</v>
      </c>
      <c r="BH100" t="s">
        <v>1889</v>
      </c>
      <c r="BI100" t="s">
        <v>1856</v>
      </c>
      <c r="BJ100" t="s">
        <v>1887</v>
      </c>
      <c r="BK100" s="1871" t="s">
        <v>944</v>
      </c>
      <c r="BL100" s="1872"/>
      <c r="BO100" t="s">
        <v>728</v>
      </c>
      <c r="BP100" t="s">
        <v>1541</v>
      </c>
      <c r="BQ100" t="s">
        <v>730</v>
      </c>
      <c r="BR100"/>
      <c r="BU100" s="80"/>
    </row>
    <row r="101" spans="1:111">
      <c r="A101" t="s">
        <v>81</v>
      </c>
      <c r="H101">
        <v>15000</v>
      </c>
      <c r="AM101" s="1"/>
      <c r="BA101" s="7" t="s">
        <v>1829</v>
      </c>
      <c r="BF101" s="315" t="s">
        <v>157</v>
      </c>
      <c r="BG101" s="721" t="s">
        <v>2114</v>
      </c>
      <c r="BI101" s="91">
        <f ca="1">SUMIF(TabCalc[EfCost],"&lt;0",TabCalc[EfCost])</f>
        <v>-24612001.647373501</v>
      </c>
      <c r="BR101"/>
      <c r="BU101" s="80"/>
      <c r="BX101" t="s">
        <v>2407</v>
      </c>
    </row>
    <row r="102" spans="1:111" ht="23" thickBot="1">
      <c r="AX102" t="s">
        <v>2604</v>
      </c>
      <c r="AZ102" s="1" t="s">
        <v>2291</v>
      </c>
      <c r="BA102" s="23" t="s">
        <v>2274</v>
      </c>
      <c r="BB102" s="1" t="s">
        <v>2505</v>
      </c>
      <c r="BC102" s="1" t="s">
        <v>2115</v>
      </c>
      <c r="BD102" s="315" t="s">
        <v>1821</v>
      </c>
      <c r="BE102" s="315" t="s">
        <v>1896</v>
      </c>
      <c r="BF102" s="315" t="s">
        <v>1893</v>
      </c>
      <c r="BG102" s="315" t="s">
        <v>1895</v>
      </c>
      <c r="BH102" s="315" t="s">
        <v>1898</v>
      </c>
      <c r="BI102" s="330" t="s">
        <v>2273</v>
      </c>
      <c r="BJ102" s="315" t="s">
        <v>2292</v>
      </c>
      <c r="BK102" s="330" t="s">
        <v>2603</v>
      </c>
      <c r="BL102" s="330" t="s">
        <v>2602</v>
      </c>
      <c r="BM102" s="841" t="s">
        <v>2601</v>
      </c>
      <c r="BN102" s="315" t="s">
        <v>2279</v>
      </c>
      <c r="BO102" s="315" t="s">
        <v>1892</v>
      </c>
      <c r="BP102" s="315" t="s">
        <v>2272</v>
      </c>
      <c r="BQ102" s="315" t="s">
        <v>1887</v>
      </c>
      <c r="BR102" s="782" t="s">
        <v>2211</v>
      </c>
      <c r="BS102" s="783" t="s">
        <v>1133</v>
      </c>
      <c r="BT102" s="783" t="s">
        <v>1130</v>
      </c>
      <c r="BU102" s="783" t="s">
        <v>1431</v>
      </c>
      <c r="BV102" s="783" t="s">
        <v>1132</v>
      </c>
      <c r="BW102" s="783" t="s">
        <v>1149</v>
      </c>
      <c r="BX102" s="315" t="s">
        <v>1014</v>
      </c>
      <c r="BY102" s="783" t="s">
        <v>1021</v>
      </c>
      <c r="BZ102" s="783" t="s">
        <v>1020</v>
      </c>
    </row>
    <row r="103" spans="1:111">
      <c r="AX103" s="91" cm="1">
        <f t="array" aca="1" ref="AX103" ca="1">SUMPRODUCT(TabCalc[NoT_C],TabCalc[M]*TabCalc[Scale]*(TabCalc[GL]&gt;0))</f>
        <v>35631048.140000001</v>
      </c>
      <c r="AY103" s="699" t="s">
        <v>1447</v>
      </c>
      <c r="AZ103" s="91">
        <f ca="1">BJ103+BE103</f>
        <v>7178479.8792404905</v>
      </c>
      <c r="BA103" s="80">
        <f ca="1">SUMIF(TabCalc[EfCost],"&gt;=0",TabCalc[EfCost])</f>
        <v>2917365.8608957608</v>
      </c>
      <c r="BB103" s="80">
        <f ca="1">SUMIF(TabCalc[EfCost],"&lt;0",TabCalc[EfCost])</f>
        <v>-24612001.647373501</v>
      </c>
      <c r="BC103" s="91">
        <f ca="1">SUMIF(TabCalc[GL],"&gt;0",TabCalc[ValueBegin])</f>
        <v>-18293202.056299996</v>
      </c>
      <c r="BD103" s="91">
        <f ca="1">SUMIF(TabCalc[GL],"&gt;0",TabCalc[M_V])</f>
        <v>27729731.099908564</v>
      </c>
      <c r="BE103" s="91">
        <f ca="1">SUMIF(TabCalc[GL],"&gt;0",TabCalc[AddBuys])</f>
        <v>-61204945.050549351</v>
      </c>
      <c r="BF103" s="91">
        <f ca="1">SUMIF(TabCalc[GL],"&gt;=0",TabCalc[AddCash])</f>
        <v>-5122637.1623969981</v>
      </c>
      <c r="BG103" s="91">
        <f ca="1">SUMIF(TabCalc[GL],"&gt;=0",TabCalc[AddValue])</f>
        <v>9436529.0436085742</v>
      </c>
      <c r="BH103" s="91">
        <f ca="1">SUMIF(TabCalc[GL],"&gt;0",TabCalc[Tot_Paid])</f>
        <v>-79498147.106849343</v>
      </c>
      <c r="BI103" s="91">
        <f ca="1">SUMIF(TabCalc[GL],"&gt;0",TabCalc[EfCost])</f>
        <v>-10758201.413439192</v>
      </c>
      <c r="BJ103" s="91">
        <f ca="1">SUMIF(TabCalc[GL],"&gt;=0",TabCalc[S_Income])</f>
        <v>68383424.929789841</v>
      </c>
      <c r="BK103" s="91">
        <f ca="1">SUMIF(TabCalc[NoT_GL],"&gt;0",TabCalc[NoT_GL])</f>
        <v>15516488.555200001</v>
      </c>
      <c r="BL103" s="91">
        <f ca="1">SUMIF(TabCalc[GL],"&gt;=0",TabCalc[GL])</f>
        <v>16899432.385609619</v>
      </c>
      <c r="BM103" s="91">
        <f ca="1">BD103+NetCash</f>
        <v>30647096.960804325</v>
      </c>
      <c r="BN103" s="91">
        <f ca="1">SUMIF(TabCalc[GL],"&gt;0",TabCalc[Cost+Gain])</f>
        <v>11373146.09110387</v>
      </c>
      <c r="BO103" s="91">
        <f ca="1">Commission*(BH103-BJ103)</f>
        <v>-384492.08729526185</v>
      </c>
      <c r="BP103" s="85">
        <f ca="1">SUMIF(TabCalc[GL],"&gt;0",TabCalc[AddCash])</f>
        <v>-5122637.1623969981</v>
      </c>
      <c r="BQ103" s="85">
        <f ca="1">SUMIF(TabCalc[GL],"&gt;0",TabCalc[S_Income])</f>
        <v>68383424.929789841</v>
      </c>
      <c r="BR103" s="784" t="s">
        <v>2209</v>
      </c>
      <c r="BS103" s="785">
        <f ca="1">SUMIFS(TabCalc[M_V], TabCalc[Cur], "="&amp;$BS$102, TabCalc[GL], "&gt;0")</f>
        <v>4610638.7129219994</v>
      </c>
      <c r="BT103" s="785">
        <f ca="1">SUMIFS(TabCalc[M_V], TabCalc[Cur], "="&amp;$BT$102, TabCalc[GL], "&gt;0")</f>
        <v>21572000.842986565</v>
      </c>
      <c r="BU103" s="785">
        <f ca="1">SUMIFS(TabCalc[M_V], TabCalc[Cur], "="&amp;BU$102, TabCalc[GL], "&gt;0")</f>
        <v>541663.549</v>
      </c>
      <c r="BV103" s="785">
        <f ca="1">SUMIFS(TabCalc[M_V], TabCalc[Cur], "="&amp;BV$102, TabCalc[GL], "&lt;&gt;")</f>
        <v>1005427.995</v>
      </c>
      <c r="BW103" s="784">
        <f ca="1">SUMIF(TabCalc[Cur],"="&amp;BW102,TabCalc[M_V])</f>
        <v>0</v>
      </c>
      <c r="BX103" s="85">
        <f ca="1">SUMIF(TabCalc[Cost+Gain],"&gt;0",TabCalc[M_V])</f>
        <v>10303419.004312571</v>
      </c>
      <c r="BY103" s="85">
        <f ca="1">SUMIF(TabCalc[GLStatus],"="&amp;BY102,TabCalc[M_V])</f>
        <v>17426312.095595997</v>
      </c>
      <c r="BZ103" s="85">
        <f ca="1">SUMIF(TabCalc[GLStatus],"="&amp;BZ102,TabCalc[M_V])</f>
        <v>5174099.2323716804</v>
      </c>
    </row>
    <row r="104" spans="1:111">
      <c r="AX104" s="91" cm="1">
        <f t="array" aca="1" ref="AX104" ca="1">SUMPRODUCT(TabCalc[NoT_C],TabCalc[M]*TabCalc[Scale]*(TabCalc[GL]&lt;0))</f>
        <v>3116450.9529999997</v>
      </c>
      <c r="AY104" s="138" t="s">
        <v>1448</v>
      </c>
      <c r="AZ104" s="91">
        <f ca="1">BJ104+BE104</f>
        <v>-3683735.1836029943</v>
      </c>
      <c r="BA104" s="80">
        <f ca="1">SUMIF(TabCalc[NAfter],0,TabCalc[GL])</f>
        <v>603997.06102686014</v>
      </c>
      <c r="BC104" s="91">
        <f ca="1">SUMIF(TabCalc[GL],"&lt;0",TabCalc[ValueBegin])</f>
        <v>-7301619.5004637176</v>
      </c>
      <c r="BD104" s="91">
        <f ca="1">SUMIF(TabCalc[GL],"&lt;0",TabCalc[M_V])</f>
        <v>5174099.2323716804</v>
      </c>
      <c r="BE104" s="91">
        <f ca="1">SUMIF(TabCalc[GL],"&lt;0",TabCalc[AddBuys])</f>
        <v>-13067027.148888914</v>
      </c>
      <c r="BF104" s="91">
        <f ca="1">SUMIF(TabCalc[GL],"&lt;0",TabCalc[AddCash])</f>
        <v>-4171127.1979975509</v>
      </c>
      <c r="BG104" s="91">
        <f ca="1">SUMIF(TabCalc[GL],"&lt;0",TabCalc[AddValue])</f>
        <v>-2127520.2680920367</v>
      </c>
      <c r="BH104" s="91">
        <f ca="1">SUMIF(TabCalc[GL],"&lt;0",TabCalc[Tot_Paid])</f>
        <v>-20368646.649352629</v>
      </c>
      <c r="BI104" s="91">
        <f ca="1">SUMIF(TabCalc[GL],"&lt;0",TabCalc[EfCost])</f>
        <v>-10936434.373038549</v>
      </c>
      <c r="BJ104" s="91">
        <f ca="1">SUMIF(TabCalc[GL],"&lt;0",TabCalc[S_Income])</f>
        <v>9383291.9652859196</v>
      </c>
      <c r="BK104" s="91">
        <f ca="1">SUMIF(TabCalc[NoT_GL],"&lt;0",TabCalc[NoT_GL])</f>
        <v>-5726308.4189637173</v>
      </c>
      <c r="BL104" s="91">
        <f ca="1">SUMIF(TabCalc[GL],"&lt;0",TabCalc[GL])</f>
        <v>-5775787.7986710398</v>
      </c>
      <c r="BM104" s="91">
        <f ca="1">BD104+BP104</f>
        <v>1002972.0343741295</v>
      </c>
      <c r="BN104" s="91">
        <f ca="1">SUMIF(TabCalc[GL],"&lt;0",TabCalc[Cost+Gain])</f>
        <v>-28723.472160479992</v>
      </c>
      <c r="BO104" s="91">
        <f ca="1">Commission*(BH104-BJ104)</f>
        <v>-77355.040398060228</v>
      </c>
      <c r="BP104" s="85">
        <f ca="1">SUMIF(TabCalc[GL],"&lt;0",TabCalc[AddCash])</f>
        <v>-4171127.1979975509</v>
      </c>
      <c r="BQ104" s="85">
        <f ca="1">SUMIF(TabCalc[GL],"&lt;0",TabCalc[S_Income])</f>
        <v>9383291.9652859196</v>
      </c>
      <c r="BR104" s="360" t="s">
        <v>2210</v>
      </c>
      <c r="BS104" s="790">
        <f ca="1">SUMIFS(TabCalc[M_V], TabCalc[Cur], "="&amp;$BS$102, TabCalc[GL], "&lt;0")</f>
        <v>2939960.6160000004</v>
      </c>
      <c r="BT104" s="785">
        <f ca="1">SUMIFS(TabCalc[M_V], TabCalc[Cur], "="&amp;$BT$102, TabCalc[GL], "&lt;0")</f>
        <v>1915202.0763716802</v>
      </c>
      <c r="BU104" s="785">
        <f ca="1">SUMIFS(TabCalc[M_V], TabCalc[Cur], "="&amp;BU$102, TabCalc[GL], "&lt;0")</f>
        <v>318936.53999999998</v>
      </c>
      <c r="BV104" s="785">
        <f ca="1">SUMIFS(TabCalc[M_V], TabCalc[Cur], "="&amp;BV$102, TabCalc[GL], "&lt;0")</f>
        <v>0</v>
      </c>
      <c r="BW104" s="784"/>
      <c r="BX104" s="308">
        <f ca="1">BX103/$BD$105</f>
        <v>0.313137373377604</v>
      </c>
      <c r="BY104" s="308">
        <f ca="1">BY103/$BD$105</f>
        <v>0.5296134802427529</v>
      </c>
      <c r="BZ104" s="308">
        <f ca="1">BZ103/$BD$105</f>
        <v>0.15724914637964321</v>
      </c>
    </row>
    <row r="105" spans="1:111">
      <c r="M105" cm="1">
        <f t="array" aca="1" ref="M105" ca="1">SUMPRODUCT((ISTEXT(TabCalc[Pile?]))*(NOT(_xlfn.ISFORMULA(TabCalc[Pile?]))))</f>
        <v>0</v>
      </c>
      <c r="AX105" s="91">
        <f ca="1">SUM(AX103:AX104)</f>
        <v>38747499.093000002</v>
      </c>
      <c r="AY105" t="s">
        <v>1894</v>
      </c>
      <c r="BA105" s="80">
        <f ca="1">SUM(BA103:BA104)</f>
        <v>3521362.9219226209</v>
      </c>
      <c r="BC105" s="91">
        <f ca="1">TabCalc[[#Totals],[ValueBegin]]</f>
        <v>-25594821.556763712</v>
      </c>
      <c r="BD105" s="652">
        <f ca="1">TabCalc[[#Totals],[M_V]]</f>
        <v>32903830.332280245</v>
      </c>
      <c r="BK105" s="91">
        <f ca="1">SUM(BK103:BK104)</f>
        <v>9790180.1362362839</v>
      </c>
      <c r="BL105" s="91">
        <f ca="1">SUM(BL103:BL104)</f>
        <v>11123644.586938579</v>
      </c>
      <c r="BM105" s="91">
        <f ca="1">SUM(BM103:BM104)</f>
        <v>31650068.995178454</v>
      </c>
      <c r="BO105" s="91">
        <f ca="1">SUM(BO103:BO104)</f>
        <v>-461847.12769332208</v>
      </c>
      <c r="BR105" s="791" t="s">
        <v>2212</v>
      </c>
      <c r="BS105" s="792">
        <f ca="1">BS104-F8-F7-F57</f>
        <v>-1351999.7179999996</v>
      </c>
      <c r="BT105" s="786"/>
      <c r="BU105" s="784"/>
      <c r="BV105" s="784"/>
      <c r="BW105" s="784"/>
    </row>
    <row r="106" spans="1:111">
      <c r="BB106" t="s">
        <v>2132</v>
      </c>
      <c r="BD106" s="91">
        <f ca="1">TabCalc[[#Totals],[EfCost]]</f>
        <v>-21694635.786477741</v>
      </c>
      <c r="BH106" s="80"/>
      <c r="BR106" s="784" t="s">
        <v>2202</v>
      </c>
      <c r="BS106" s="787">
        <f ca="1">SUMIFS(TabCalc[GL], TabCalc[Cur], BS$102, TabCalc[GL], "&gt;0")</f>
        <v>3224522.5191020025</v>
      </c>
      <c r="BT106" s="785">
        <f ca="1">SUMIFS(TabCalc[GL], TabCalc[Cur], BT$102, TabCalc[GL], "&gt;0")</f>
        <v>12121804.35343376</v>
      </c>
      <c r="BU106" s="786">
        <f ca="1">SUMIFS(TabCalc[GL], TabCalc[Cur], BU$102, TabCalc[GL], "&gt;0")</f>
        <v>1383688.53365486</v>
      </c>
      <c r="BV106" s="785">
        <f ca="1">SUMIFS(TabCalc[GL], TabCalc[Cur], BV$102, TabCalc[GL], "&gt;0")</f>
        <v>169416.97941899998</v>
      </c>
      <c r="BW106" s="784"/>
    </row>
    <row r="107" spans="1:111">
      <c r="BB107" t="s">
        <v>2568</v>
      </c>
      <c r="BD107" s="80">
        <f ca="1">BD105+BD106</f>
        <v>11209194.545802504</v>
      </c>
      <c r="BG107" s="88">
        <f ca="1">ABS(BD107/BD106)</f>
        <v>0.51668046682715874</v>
      </c>
      <c r="BR107" s="784" t="s">
        <v>2203</v>
      </c>
      <c r="BS107" s="788">
        <f ca="1">SUMIFS(TabCalc[EfCost], TabCalc[Cur], BS$102, TabCalc[GL], "&gt;0")</f>
        <v>-1374128.5331663999</v>
      </c>
      <c r="BT107" s="788">
        <f ca="1">SUMIFS(TabCalc[EfCost], TabCalc[Cur], BT$102, TabCalc[GL], "&gt;0")</f>
        <v>-9394109.2873610482</v>
      </c>
      <c r="BU107" s="788">
        <f ca="1">SUMIFS(TabCalc[EfCost], TabCalc[Cur], BU$102, TabCalc[GL], "&gt;0")</f>
        <v>843433.30988226004</v>
      </c>
      <c r="BV107" s="788">
        <f ca="1">SUMIFS(TabCalc[EfCost], TabCalc[Cur], BV$102, TabCalc[GL], "&gt;0")</f>
        <v>-833396.90279399999</v>
      </c>
      <c r="BW107" s="784"/>
    </row>
    <row r="108" spans="1:111" hidden="1">
      <c r="BD108" s="649" t="s">
        <v>2133</v>
      </c>
      <c r="BF108" s="650">
        <f ca="1">TabCalc[[#Totals],[AddValue]]</f>
        <v>7309008.7755165314</v>
      </c>
      <c r="BG108" s="88">
        <f ca="1">BF108/BD107</f>
        <v>0.65205477036291859</v>
      </c>
      <c r="BP108" s="784" t="s">
        <v>2204</v>
      </c>
      <c r="BQ108" s="789">
        <f ca="1">+ABS(BS106/BS107)</f>
        <v>2.3465945443049243</v>
      </c>
      <c r="BR108" s="789">
        <f ca="1">+ABS(BT106/BT107)</f>
        <v>1.2903622879651386</v>
      </c>
      <c r="BS108" s="789">
        <f ca="1">+ABS(BU106/BU107)</f>
        <v>1.6405429065257304</v>
      </c>
      <c r="BT108" s="789">
        <f ca="1">+ABS(BV106/BV107)</f>
        <v>0.20328486805149151</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1133</v>
      </c>
      <c r="BP193" s="784" t="s">
        <v>2208</v>
      </c>
      <c r="BQ193" s="787">
        <f ca="1">SUMIFS(TabCalc[Cost+Gain], TabCalc[Cur], BS$102, TabCalc[GL], "&gt;0")</f>
        <v>1970328.6743536426</v>
      </c>
      <c r="BR193" s="787">
        <f ca="1">SUMIFS(TabCalc[Cost+Gain], TabCalc[Cur], BT$102, TabCalc[GL], "&gt;0")</f>
        <v>8055657.3271637671</v>
      </c>
      <c r="BS193" s="787">
        <f ca="1">SUMIFS(TabCalc[Cost+Gain], TabCalc[Cur], BU$102, TabCalc[GL], "&gt;0")</f>
        <v>1347160.08958646</v>
      </c>
      <c r="BT193" s="787">
        <f ca="1">SUMIFS(TabCalc[Cost+Gain], TabCalc[Cur], BV$102, TabCalc[GL], "&gt;0")</f>
        <v>0</v>
      </c>
      <c r="BU193" s="784"/>
    </row>
    <row r="194" spans="51:248">
      <c r="BP194" s="784" t="s">
        <v>2207</v>
      </c>
      <c r="BQ194" s="787">
        <f ca="1">SUMIFS(TabCalc[EfCost], TabCalc[Cur], BS$102, TabCalc[EfCost], "&gt;0")</f>
        <v>1185630.1598403</v>
      </c>
      <c r="BR194" s="787">
        <f ca="1">SUMIFS(TabCalc[EfCost], TabCalc[Cur], BT$102, TabCalc[EfCost], "&gt;0")</f>
        <v>780071.12262100063</v>
      </c>
      <c r="BS194" s="787">
        <f ca="1">SUMIFS(TabCalc[EfCost], TabCalc[Cur], BU$102, TabCalc[EfCost], "&gt;0")</f>
        <v>951664.57843445998</v>
      </c>
      <c r="BT194" s="787">
        <f ca="1">SUMIFS(TabCalc[EfCost], TabCalc[Cur], BV$102, TabCalc[EfCost], "&gt;0")</f>
        <v>0</v>
      </c>
      <c r="BU194" s="784"/>
    </row>
    <row r="195" spans="51:248">
      <c r="BD195" t="s">
        <v>1130</v>
      </c>
    </row>
    <row r="197" spans="51:248">
      <c r="BD197" t="s">
        <v>1431</v>
      </c>
    </row>
    <row r="199" spans="51:248">
      <c r="BD199" t="s">
        <v>1132</v>
      </c>
    </row>
    <row r="200" spans="51:248">
      <c r="BF200" s="220" t="s">
        <v>2299</v>
      </c>
      <c r="BP200" s="651"/>
    </row>
    <row r="201" spans="51:248" ht="23" thickBot="1">
      <c r="AZ201" s="890" t="s">
        <v>964</v>
      </c>
      <c r="BA201" s="890" t="s">
        <v>2295</v>
      </c>
      <c r="BB201" s="890" t="str">
        <f>BE102</f>
        <v>Added Buys</v>
      </c>
      <c r="BC201" s="890" t="s">
        <v>2298</v>
      </c>
      <c r="BD201" s="890" t="str">
        <f>BJ102</f>
        <v>Sales Income</v>
      </c>
      <c r="BE201" s="890" t="s">
        <v>2297</v>
      </c>
      <c r="BF201" s="890" t="s">
        <v>2301</v>
      </c>
      <c r="BG201" s="890" t="s">
        <v>2294</v>
      </c>
      <c r="BH201" s="890" t="s">
        <v>2293</v>
      </c>
      <c r="BI201" s="890" t="s">
        <v>2264</v>
      </c>
      <c r="BJ201" s="890" t="s">
        <v>2304</v>
      </c>
      <c r="BK201" s="890" t="s">
        <v>2296</v>
      </c>
      <c r="BL201" s="890" t="s">
        <v>1085</v>
      </c>
      <c r="BM201" s="890" t="s">
        <v>2300</v>
      </c>
      <c r="BN201" s="890" t="s">
        <v>2302</v>
      </c>
      <c r="BO201" s="890" t="s">
        <v>2303</v>
      </c>
      <c r="BP201" s="351" t="s">
        <v>1892</v>
      </c>
      <c r="IN201" s="283"/>
    </row>
    <row r="202" spans="51:248" ht="23" thickTop="1">
      <c r="AY202" s="661" t="s">
        <v>2206</v>
      </c>
      <c r="AZ202" s="91">
        <f ca="1">BC103</f>
        <v>-18293202.056299996</v>
      </c>
      <c r="BA202" s="91">
        <f ca="1">-AZ202</f>
        <v>18293202.056299996</v>
      </c>
      <c r="BB202" s="91">
        <f ca="1">BE103</f>
        <v>-61204945.050549351</v>
      </c>
      <c r="BC202" s="91">
        <f ca="1">AZ202+BB202</f>
        <v>-79498147.106849343</v>
      </c>
      <c r="BD202" s="91">
        <f ca="1">BJ103</f>
        <v>68383424.929789841</v>
      </c>
      <c r="BE202" s="91">
        <f ca="1">BC202+BD202</f>
        <v>-11114722.177059501</v>
      </c>
      <c r="BF202" s="91">
        <f ca="1">BB202+BD202</f>
        <v>7178479.8792404905</v>
      </c>
      <c r="BG202" s="91">
        <f ca="1">BF202-BH202</f>
        <v>4261114.0183447301</v>
      </c>
      <c r="BH202" s="91">
        <f ca="1">NetCash</f>
        <v>2917365.8608957608</v>
      </c>
      <c r="BI202" s="91">
        <f ca="1">BD103</f>
        <v>27729731.099908564</v>
      </c>
      <c r="BJ202" s="91">
        <f ca="1">BI202-BA202</f>
        <v>9436529.0436085686</v>
      </c>
      <c r="BK202" s="91">
        <f ca="1">BH202+BJ202</f>
        <v>12353894.904504329</v>
      </c>
      <c r="BL202" s="91"/>
      <c r="BM202" s="88">
        <f ca="1">BI202/(-BE202)</f>
        <v>2.4948649780146561</v>
      </c>
      <c r="BN202" s="91"/>
      <c r="BO202" s="88">
        <f ca="1">BJ202/-BE202</f>
        <v>0.84901168857691467</v>
      </c>
      <c r="BP202" s="91">
        <f ca="1">(BC202-BD202)*Commission</f>
        <v>-384492.08729526185</v>
      </c>
    </row>
    <row r="203" spans="51:248">
      <c r="AY203" s="661" t="s">
        <v>2090</v>
      </c>
      <c r="AZ203" s="91">
        <f ca="1">BC104</f>
        <v>-7301619.5004637176</v>
      </c>
      <c r="BA203" s="91">
        <f ca="1">-AZ203</f>
        <v>7301619.5004637176</v>
      </c>
      <c r="BB203" s="91">
        <f ca="1">BE104</f>
        <v>-13067027.148888914</v>
      </c>
      <c r="BC203" s="91">
        <f ca="1">AZ203+BB203</f>
        <v>-20368646.649352632</v>
      </c>
      <c r="BD203" s="91">
        <f ca="1">BJ104</f>
        <v>9383291.9652859196</v>
      </c>
      <c r="BE203" s="91">
        <f ca="1">BC203+BD203</f>
        <v>-10985354.684066713</v>
      </c>
      <c r="BF203" s="91">
        <f ca="1">BB203+BD203</f>
        <v>-3683735.1836029943</v>
      </c>
      <c r="BG203" s="680">
        <v>0</v>
      </c>
      <c r="BH203" s="680">
        <v>0</v>
      </c>
      <c r="BI203" s="91">
        <f ca="1">BD104</f>
        <v>5174099.2323716804</v>
      </c>
      <c r="BJ203" s="91">
        <f ca="1">BI203-BA203</f>
        <v>-2127520.2680920372</v>
      </c>
      <c r="BK203" s="91">
        <f ca="1">BH203+BJ203</f>
        <v>-2127520.2680920372</v>
      </c>
      <c r="BL203" s="91"/>
      <c r="BM203" s="88">
        <f ca="1">BI203/(-BE203)</f>
        <v>0.47099974294651176</v>
      </c>
      <c r="BN203" s="91"/>
      <c r="BO203" s="88">
        <f ca="1">BJ203/-BE203</f>
        <v>-0.19366878259996625</v>
      </c>
      <c r="BP203" s="91">
        <f ca="1">(BC203-BD203)*Commission</f>
        <v>-77355.040398060228</v>
      </c>
    </row>
    <row r="204" spans="51:248">
      <c r="AZ204" s="720">
        <f t="shared" ref="AZ204:BA204" ca="1" si="9">AZ202+AZ203</f>
        <v>-25594821.556763712</v>
      </c>
      <c r="BA204" s="720">
        <f t="shared" ca="1" si="9"/>
        <v>25594821.556763712</v>
      </c>
      <c r="BB204" s="720">
        <f ca="1">BB202+BB203</f>
        <v>-74271972.199438259</v>
      </c>
      <c r="BC204" s="720">
        <f t="shared" ref="BC204:BN204" ca="1" si="10">BC202+BC203</f>
        <v>-99866793.756201982</v>
      </c>
      <c r="BD204" s="720">
        <f t="shared" ca="1" si="10"/>
        <v>77766716.895075768</v>
      </c>
      <c r="BE204" s="720">
        <f t="shared" ca="1" si="10"/>
        <v>-22100076.861126214</v>
      </c>
      <c r="BF204" s="720">
        <f t="shared" ca="1" si="10"/>
        <v>3494744.6956374962</v>
      </c>
      <c r="BG204" s="720">
        <f ca="1">BG202+BG203</f>
        <v>4261114.0183447301</v>
      </c>
      <c r="BH204" s="720">
        <f ca="1">BH202+BH203</f>
        <v>2917365.8608957608</v>
      </c>
      <c r="BI204" s="720">
        <f t="shared" ca="1" si="10"/>
        <v>32903830.332280245</v>
      </c>
      <c r="BJ204" s="720">
        <f t="shared" ca="1" si="10"/>
        <v>7309008.7755165314</v>
      </c>
      <c r="BK204" s="720">
        <f t="shared" ca="1" si="10"/>
        <v>10226374.636412293</v>
      </c>
      <c r="BL204" s="720"/>
      <c r="BM204" s="854">
        <f ca="1">BI204/(-BE204)</f>
        <v>1.4888559229473863</v>
      </c>
      <c r="BN204" s="720">
        <f t="shared" si="10"/>
        <v>0</v>
      </c>
      <c r="BO204" s="854">
        <f ca="1">BJ204/-BE204</f>
        <v>0.33072322876727162</v>
      </c>
      <c r="BP204" s="91">
        <f ca="1">(BC204-BD204)*Commission</f>
        <v>-461847.12769332214</v>
      </c>
    </row>
    <row r="216" spans="47:47">
      <c r="AU216" s="138"/>
    </row>
  </sheetData>
  <mergeCells count="2">
    <mergeCell ref="N1:T1"/>
    <mergeCell ref="BK100:BL100"/>
  </mergeCells>
  <phoneticPr fontId="50" type="noConversion"/>
  <conditionalFormatting sqref="BQ18 BM18">
    <cfRule type="containsText" dxfId="593" priority="155" operator="containsText" text="Pile">
      <formula>NOT(ISERROR(SEARCH("Pile",BM18)))</formula>
    </cfRule>
  </conditionalFormatting>
  <conditionalFormatting sqref="BS2:BS97">
    <cfRule type="containsText" dxfId="592" priority="154" operator="containsText" text="Pile">
      <formula>NOT(ISERROR(SEARCH("Pile",BS2)))</formula>
    </cfRule>
    <cfRule type="containsText" dxfId="591" priority="156" operator="containsText" text="Trade">
      <formula>NOT(ISERROR(SEARCH("Trade",BS2)))</formula>
    </cfRule>
  </conditionalFormatting>
  <conditionalFormatting sqref="H3:J96">
    <cfRule type="expression" dxfId="590" priority="146">
      <formula>$L3&gt;0</formula>
    </cfRule>
  </conditionalFormatting>
  <conditionalFormatting sqref="A2:A97">
    <cfRule type="containsText" dxfId="589" priority="145" operator="containsText" text="GBP">
      <formula>NOT(ISERROR(SEARCH("GBP",A2)))</formula>
    </cfRule>
  </conditionalFormatting>
  <conditionalFormatting sqref="AU3:AV96">
    <cfRule type="containsText" dxfId="588" priority="135" operator="containsText" text="Free">
      <formula>NOT(ISERROR(SEARCH("Free",AU3)))</formula>
    </cfRule>
    <cfRule type="containsText" dxfId="587" priority="136" operator="containsText" text="Buy">
      <formula>NOT(ISERROR(SEARCH("Buy",AU3)))</formula>
    </cfRule>
    <cfRule type="containsText" dxfId="586" priority="143" operator="containsText" text="Refill">
      <formula>NOT(ISERROR(SEARCH("Refill",AU3)))</formula>
    </cfRule>
    <cfRule type="containsText" dxfId="585" priority="153" operator="containsText" text="S_more">
      <formula>NOT(ISERROR(SEARCH("S_more",AU3)))</formula>
    </cfRule>
  </conditionalFormatting>
  <conditionalFormatting sqref="AW2:AX97">
    <cfRule type="containsText" dxfId="584" priority="133" operator="containsText" text="Free">
      <formula>NOT(ISERROR(SEARCH("Free",AW2)))</formula>
    </cfRule>
    <cfRule type="containsText" dxfId="583" priority="134" operator="containsText" text="Sell">
      <formula>NOT(ISERROR(SEARCH("Sell",AW2)))</formula>
    </cfRule>
    <cfRule type="containsText" dxfId="582" priority="141" operator="containsText" text="Re-Sell">
      <formula>NOT(ISERROR(SEARCH("Re-Sell",AW2)))</formula>
    </cfRule>
    <cfRule type="containsText" dxfId="581" priority="142" operator="containsText" text="B_more">
      <formula>NOT(ISERROR(SEARCH("B_more",AW2)))</formula>
    </cfRule>
  </conditionalFormatting>
  <conditionalFormatting sqref="AX3:AX96">
    <cfRule type="cellIs" dxfId="580" priority="137" operator="lessThan">
      <formula>0</formula>
    </cfRule>
  </conditionalFormatting>
  <conditionalFormatting sqref="AT2:AT96">
    <cfRule type="cellIs" dxfId="579" priority="126" operator="equal">
      <formula>0</formula>
    </cfRule>
    <cfRule type="cellIs" dxfId="578" priority="127" operator="greaterThanOrEqual">
      <formula>200%</formula>
    </cfRule>
    <cfRule type="cellIs" dxfId="577" priority="128" operator="lessThan">
      <formula>1</formula>
    </cfRule>
  </conditionalFormatting>
  <conditionalFormatting sqref="BM3:BM96">
    <cfRule type="cellIs" dxfId="576" priority="124" operator="greaterThan">
      <formula>0</formula>
    </cfRule>
    <cfRule type="cellIs" dxfId="575"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74" priority="26">
      <formula>ROW()=CELL("row")</formula>
    </cfRule>
  </conditionalFormatting>
  <conditionalFormatting sqref="A100:BK100 A101:BL107 A98:DK99 A108:DK120 DO100:DS107 DO108:DQ120 DL98:DN120 DO98:DQ99 DJ98:DJ120 BM100:DK107">
    <cfRule type="expression" dxfId="573" priority="25">
      <formula>AND(ROW()&gt;2, ROW()=SelRowNum)</formula>
    </cfRule>
  </conditionalFormatting>
  <conditionalFormatting sqref="DD2:DD97">
    <cfRule type="cellIs" dxfId="572" priority="24" operator="lessThan">
      <formula>0</formula>
    </cfRule>
  </conditionalFormatting>
  <conditionalFormatting sqref="K3:K96">
    <cfRule type="expression" dxfId="571" priority="2079">
      <formula>$K3&gt;MAX(ABS($L3),$I3)</formula>
    </cfRule>
    <cfRule type="expression" dxfId="570" priority="2080" stopIfTrue="1">
      <formula>$I3&gt;$L3</formula>
    </cfRule>
    <cfRule type="expression" dxfId="569" priority="2081">
      <formula>$K3&lt;MIN(ABS($L3),$I3)</formula>
    </cfRule>
  </conditionalFormatting>
  <conditionalFormatting sqref="L3:L96 J3:J96">
    <cfRule type="expression" dxfId="568" priority="2082">
      <formula>ABS($L3)&lt;MIN($I3,$K3)</formula>
    </cfRule>
    <cfRule type="expression" dxfId="567" priority="2083" stopIfTrue="1">
      <formula>$I3&gt;$K3</formula>
    </cfRule>
    <cfRule type="expression" dxfId="566" priority="2084" stopIfTrue="1">
      <formula>ABS($L3)&gt;$I3</formula>
    </cfRule>
    <cfRule type="expression" dxfId="565"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64" priority="3014" percent="1" rank="10"/>
  </conditionalFormatting>
  <conditionalFormatting sqref="DL3:DL96">
    <cfRule type="top10" dxfId="563" priority="2" percent="1" rank="25"/>
    <cfRule type="top10" dxfId="562" priority="4" percent="1" bottom="1" rank="10"/>
  </conditionalFormatting>
  <conditionalFormatting sqref="CB1">
    <cfRule type="expression" dxfId="561"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K83" activePane="bottomRight" state="frozen"/>
      <selection pane="topRight" activeCell="B1" sqref="B1"/>
      <selection pane="bottomLeft" activeCell="A3" sqref="A3"/>
      <selection pane="bottomRight" activeCell="S94" sqref="S9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667</v>
      </c>
      <c r="C1" s="94"/>
      <c r="D1" s="95"/>
      <c r="E1" s="96"/>
      <c r="F1" s="97" t="s">
        <v>2498</v>
      </c>
      <c r="G1" s="98"/>
      <c r="H1" s="98"/>
      <c r="I1" s="1498" t="s">
        <v>2880</v>
      </c>
      <c r="J1" s="1499"/>
      <c r="K1" s="1498" t="s">
        <v>2497</v>
      </c>
      <c r="L1" s="1499"/>
      <c r="M1" s="99"/>
      <c r="N1" s="100" t="s">
        <v>181</v>
      </c>
      <c r="O1" s="98" t="s">
        <v>2495</v>
      </c>
      <c r="P1" s="100"/>
      <c r="Q1" s="100"/>
      <c r="R1" s="100"/>
      <c r="S1" s="1047" t="s">
        <v>2550</v>
      </c>
      <c r="T1" s="100"/>
      <c r="U1" s="1047" t="s">
        <v>2552</v>
      </c>
      <c r="AB1" s="100"/>
      <c r="AC1" s="1045" t="s">
        <v>661</v>
      </c>
      <c r="AD1" s="100"/>
      <c r="AG1" s="1045" t="s">
        <v>2494</v>
      </c>
      <c r="AH1" s="103"/>
      <c r="AI1" s="1045" t="s">
        <v>2493</v>
      </c>
      <c r="AJ1" s="104"/>
      <c r="AK1" s="1045" t="s">
        <v>2183</v>
      </c>
      <c r="AL1" s="102"/>
      <c r="AM1" s="1045" t="s">
        <v>2487</v>
      </c>
      <c r="AN1" s="1046"/>
      <c r="AO1" s="1045" t="s">
        <v>2488</v>
      </c>
      <c r="AP1" s="1046"/>
      <c r="AQ1" s="102" t="s">
        <v>2492</v>
      </c>
      <c r="AR1" s="105"/>
      <c r="AS1" s="102" t="s">
        <v>183</v>
      </c>
      <c r="AT1" s="105"/>
      <c r="AU1" s="106"/>
      <c r="AV1" s="105"/>
      <c r="AW1" s="107" t="s">
        <v>184</v>
      </c>
      <c r="AX1" s="105"/>
    </row>
    <row r="2" spans="1:50">
      <c r="A2" s="695" cm="1">
        <f t="array" ref="A2">MATCH(A$1,_xlfn._xlws.FILTER(D2:AZ2,D2:AZ2&lt;&gt;0),0)</f>
        <v>1</v>
      </c>
      <c r="B2" s="1" t="s">
        <v>2086</v>
      </c>
      <c r="C2" s="1" t="s">
        <v>2087</v>
      </c>
      <c r="D2" t="s">
        <v>1875</v>
      </c>
      <c r="E2" s="358" t="s">
        <v>543</v>
      </c>
      <c r="F2" s="644" t="s">
        <v>2074</v>
      </c>
      <c r="G2" s="643" t="s">
        <v>1394</v>
      </c>
      <c r="H2" s="643" t="s">
        <v>1085</v>
      </c>
      <c r="I2" s="654" t="s">
        <v>2123</v>
      </c>
      <c r="J2" s="694" t="s">
        <v>2074</v>
      </c>
      <c r="K2" s="643" t="s">
        <v>194</v>
      </c>
      <c r="L2" s="643" t="s">
        <v>2074</v>
      </c>
      <c r="M2" s="358" t="s">
        <v>2261</v>
      </c>
      <c r="N2" s="644" t="s">
        <v>1876</v>
      </c>
      <c r="O2" s="643" t="s">
        <v>2185</v>
      </c>
      <c r="P2" s="643" t="s">
        <v>1877</v>
      </c>
      <c r="Q2" s="358" t="s">
        <v>2332</v>
      </c>
      <c r="R2" s="694" t="s">
        <v>2074</v>
      </c>
      <c r="S2" s="643" t="s">
        <v>1878</v>
      </c>
      <c r="T2" s="693" t="s">
        <v>2074</v>
      </c>
      <c r="U2" s="358" t="s">
        <v>2401</v>
      </c>
      <c r="V2" s="694" t="s">
        <v>2074</v>
      </c>
      <c r="W2" s="643" t="s">
        <v>1880</v>
      </c>
      <c r="X2" s="693" t="s">
        <v>2074</v>
      </c>
      <c r="Y2" s="654" t="s">
        <v>1881</v>
      </c>
      <c r="Z2" s="694" t="s">
        <v>2074</v>
      </c>
      <c r="AA2" s="643" t="s">
        <v>661</v>
      </c>
      <c r="AB2" s="693" t="s">
        <v>2074</v>
      </c>
      <c r="AC2" s="654" t="s">
        <v>1900</v>
      </c>
      <c r="AD2" s="694" t="s">
        <v>2074</v>
      </c>
      <c r="AE2" s="643" t="s">
        <v>1883</v>
      </c>
      <c r="AF2" s="693" t="s">
        <v>2074</v>
      </c>
      <c r="AG2" s="654" t="s">
        <v>2079</v>
      </c>
      <c r="AH2" s="694" t="s">
        <v>2074</v>
      </c>
      <c r="AI2" s="643" t="s">
        <v>1904</v>
      </c>
      <c r="AJ2" s="693" t="s">
        <v>2074</v>
      </c>
      <c r="AK2" s="654" t="s">
        <v>2085</v>
      </c>
      <c r="AL2" s="694" t="s">
        <v>2074</v>
      </c>
      <c r="AM2" s="643" t="s">
        <v>2121</v>
      </c>
      <c r="AN2" s="693" t="s">
        <v>2490</v>
      </c>
      <c r="AO2" s="654" t="s">
        <v>2122</v>
      </c>
      <c r="AP2" s="694" t="s">
        <v>2489</v>
      </c>
      <c r="AQ2" s="643" t="s">
        <v>2453</v>
      </c>
      <c r="AR2" s="693" t="s">
        <v>2074</v>
      </c>
      <c r="AS2" s="654" t="s">
        <v>2506</v>
      </c>
      <c r="AT2" s="694" t="s">
        <v>2074</v>
      </c>
    </row>
    <row r="3" spans="1:50">
      <c r="A3" t="s">
        <v>1875</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3796257.0008499995</v>
      </c>
      <c r="I3" t="str" cm="1">
        <f t="array" aca="1" ref="I3:J96" ca="1">_xlfn._xlws.SORT(CHOOSE({1,2},D3:D96,Tab1ChangePercent[Change%19]),2,-1)</f>
        <v>DDD</v>
      </c>
      <c r="J3" s="559">
        <f ca="1"/>
        <v>0.110169</v>
      </c>
      <c r="K3" s="151" t="str" cm="1">
        <f t="array" aca="1" ref="K3:L96" ca="1">_xlfn._xlws.SORT(CHOOSE({1,2},D3:D96,Tab1ChangePercent[Change%20]),2,-1)</f>
        <v>DDD</v>
      </c>
      <c r="L3" s="559">
        <f ca="1"/>
        <v>0.110169</v>
      </c>
      <c r="M3" s="1" t="str" cm="1">
        <f t="array" aca="1" ref="M3:N96" ca="1">_xlfn._xlws.SORT(CHOOSE({1,2},D3:D96,TabCalc[GLMore@A]),2,-1)</f>
        <v>MSFT</v>
      </c>
      <c r="N3" s="558">
        <f ca="1"/>
        <v>1457151.5470400003</v>
      </c>
      <c r="O3" t="str" cm="1">
        <f t="array" aca="1" ref="O3:P96" ca="1">_xlfn._xlws.SORT(CHOOSE({1,2},D3:D96,TabTRADERCorrupted[Buy_Back]),2,-1)</f>
        <v>SAFIAG</v>
      </c>
      <c r="P3" s="558">
        <f ca="1"/>
        <v>95431.231999999989</v>
      </c>
      <c r="Q3" t="str" cm="1">
        <f t="array" aca="1" ref="Q3:R96" ca="1">_xlfn._xlws.SORT(CHOOSE({1,2},D3:D96,Tab2SumChangePercent[AVGChan20]),2,-1)</f>
        <v>UNIT</v>
      </c>
      <c r="R3" s="645" t="e">
        <f ca="1"/>
        <v>#REF!</v>
      </c>
      <c r="S3" t="str" cm="1">
        <f t="array" aca="1" ref="S3:T96" ca="1">_xlfn._xlws.SORT(CHOOSE({1,2},D3:D96,Tab2Saldo[Sald20]),2,-1)</f>
        <v>NEM</v>
      </c>
      <c r="T3" s="85">
        <f ca="1"/>
        <v>75310</v>
      </c>
      <c r="U3" t="str" cm="1">
        <f t="array" aca="1" ref="U3:V96" ca="1">_xlfn._xlws.SORT(CHOOSE({1,2},D3:D96,Tab2Saldo5Days[AvCh%_5d20]),2,-1)</f>
        <v>LAZR</v>
      </c>
      <c r="V3" s="308">
        <f ca="1"/>
        <v>5.4663200000000002E-2</v>
      </c>
      <c r="W3" t="str" cm="1">
        <f t="array" aca="1" ref="W3:X96" ca="1">_xlfn._xlws.SORT(CHOOSE({1,2},D3:D96,Tab2Free2[Price_R_20]),2,1)</f>
        <v>ASML</v>
      </c>
      <c r="X3">
        <f ca="1"/>
        <v>0</v>
      </c>
      <c r="Y3" t="str" cm="1">
        <f t="array" aca="1" ref="Y3:Z96" ca="1">_xlfn._xlws.SORT(CHOOSE({1,2},D3:D96,Tab2Free3[CH-R-20]),2,1)</f>
        <v>CVS</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383536</v>
      </c>
      <c r="AI3" t="str" cm="1">
        <f t="array" aca="1" ref="AI3:AJ96" ca="1">_xlfn._xlws.SORT(CHOOSE({1,2},D3:D96,Tab2ReBuy[RevBuy20]),2,-1)</f>
        <v>MRNA</v>
      </c>
      <c r="AJ3" s="85">
        <f ca="1"/>
        <v>87915</v>
      </c>
      <c r="AK3" s="88" t="str" cm="1">
        <f t="array" aca="1" ref="AK3:AL96" ca="1">_xlfn._xlws.SORT(CHOOSE({1,2},D3:D96,Tab2SumChangePercent[AVGChan20]),2,-1)</f>
        <v>UNIT</v>
      </c>
      <c r="AL3" s="308" t="e">
        <f ca="1"/>
        <v>#REF!</v>
      </c>
      <c r="AM3" t="str" cm="1">
        <f t="array" aca="1" ref="AM3:AN96" ca="1">_xlfn._xlws.SORT(CHOOSE({1,2},TabTRADERCorrupted[ClickTick],TabTRADERCorrupted[SellMore(/A)]),2,-1)</f>
        <v>C</v>
      </c>
      <c r="AN3" s="308" t="str">
        <f ca="1"/>
        <v/>
      </c>
      <c r="AO3" t="str" cm="1">
        <f t="array" aca="1" ref="AO3:AP96" ca="1">_xlfn._xlws.SORT(CHOOSE({1,2},TabTRADERCorrupted[ClickTick],TabTRADERCorrupted[BuyMore]),2,)</f>
        <v>GLE</v>
      </c>
      <c r="AP3" s="308">
        <f ca="1"/>
        <v>-0.519380609073959</v>
      </c>
      <c r="AQ3" s="85" t="str" cm="1">
        <f t="array" aca="1" ref="AQ3:AR96" ca="1">_xlfn._xlws.SORT(CHOOSE({1,2},D3:D96,TabCalc[Ann%RevLB]),2,-1)</f>
        <v>NFLX</v>
      </c>
      <c r="AR3" s="88">
        <f ca="1"/>
        <v>6.2673010380622811</v>
      </c>
      <c r="AS3" s="92" t="str" cm="1">
        <f t="array" aca="1" ref="AS3:AT96" ca="1">_xlfn._xlws.SORT(CHOOSE({1,2},D3:D96,TabCalc[Up20]),2,-1)</f>
        <v>DXC</v>
      </c>
      <c r="AT3" s="88" t="str">
        <f ca="1"/>
        <v>/89/%</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BLNK</v>
      </c>
      <c r="F4" s="557">
        <f ca="1"/>
        <v>4.923244086017772</v>
      </c>
      <c r="G4" s="151" t="str">
        <f ca="1"/>
        <v>NEM</v>
      </c>
      <c r="H4" s="558">
        <f ca="1"/>
        <v>1479424.4737942</v>
      </c>
      <c r="I4" t="str">
        <f ca="1"/>
        <v>MVEDDD</v>
      </c>
      <c r="J4" s="559">
        <f ca="1"/>
        <v>0.110169</v>
      </c>
      <c r="K4" s="151" t="str">
        <f ca="1"/>
        <v>MVEDDD</v>
      </c>
      <c r="L4" s="559">
        <f ca="1"/>
        <v>0.110169</v>
      </c>
      <c r="M4" s="1" t="str">
        <f ca="1"/>
        <v>ASML</v>
      </c>
      <c r="N4" s="558">
        <f ca="1"/>
        <v>779318.98599999992</v>
      </c>
      <c r="O4" t="str">
        <f ca="1"/>
        <v>GLE</v>
      </c>
      <c r="P4" s="558">
        <f ca="1"/>
        <v>66347.047999999995</v>
      </c>
      <c r="Q4" t="str">
        <f ca="1"/>
        <v>PROF</v>
      </c>
      <c r="R4" s="645">
        <f ca="1"/>
        <v>5.1914648809523803E-2</v>
      </c>
      <c r="S4" t="str">
        <f ca="1"/>
        <v>MSFT</v>
      </c>
      <c r="T4" s="85">
        <f ca="1"/>
        <v>70700</v>
      </c>
      <c r="U4" t="str">
        <f ca="1"/>
        <v>POET</v>
      </c>
      <c r="V4" s="308">
        <f ca="1"/>
        <v>3.4707599999999998E-2</v>
      </c>
      <c r="W4" t="str">
        <f ca="1"/>
        <v>AVGO</v>
      </c>
      <c r="X4">
        <f ca="1"/>
        <v>0</v>
      </c>
      <c r="Y4" t="str">
        <f ca="1"/>
        <v>DDD</v>
      </c>
      <c r="Z4">
        <f ca="1"/>
        <v>1</v>
      </c>
      <c r="AA4" t="str">
        <f ca="1"/>
        <v>EOAN</v>
      </c>
      <c r="AB4" t="e">
        <f ca="1"/>
        <v>#DIV/0!</v>
      </c>
      <c r="AC4" t="str">
        <f ca="1"/>
        <v>EOAN</v>
      </c>
      <c r="AD4" t="e">
        <f ca="1"/>
        <v>#DIV/0!</v>
      </c>
      <c r="AE4" t="str">
        <f ca="1"/>
        <v>AVGO</v>
      </c>
      <c r="AF4" s="85">
        <f ca="1"/>
        <v>0</v>
      </c>
      <c r="AG4" t="str">
        <f ca="1"/>
        <v>NEM</v>
      </c>
      <c r="AH4" s="85">
        <f ca="1"/>
        <v>40989</v>
      </c>
      <c r="AI4" t="str">
        <f ca="1"/>
        <v>EPIX</v>
      </c>
      <c r="AJ4" s="85">
        <f ca="1"/>
        <v>55687.999999999993</v>
      </c>
      <c r="AK4" s="88" t="str">
        <f ca="1"/>
        <v>PROF</v>
      </c>
      <c r="AL4" s="308">
        <f ca="1"/>
        <v>5.1914648809523803E-2</v>
      </c>
      <c r="AM4" t="str">
        <f ca="1"/>
        <v>DXC</v>
      </c>
      <c r="AN4" s="308" t="str">
        <f ca="1"/>
        <v/>
      </c>
      <c r="AO4" t="str">
        <f ca="1"/>
        <v>LOCK</v>
      </c>
      <c r="AP4" s="308">
        <f ca="1"/>
        <v>-0.48421463981409757</v>
      </c>
      <c r="AQ4" s="85" t="str">
        <f ca="1"/>
        <v>POET</v>
      </c>
      <c r="AR4" s="88">
        <f ca="1"/>
        <v>5.587690398308446</v>
      </c>
      <c r="AS4" s="92" t="str">
        <f ca="1"/>
        <v>LOCK</v>
      </c>
      <c r="AT4" s="88" t="str">
        <f ca="1"/>
        <v>/67/45%</v>
      </c>
    </row>
    <row r="5" spans="1:50">
      <c r="A5" s="644" t="s">
        <v>1086</v>
      </c>
      <c r="B5" s="1" t="str" cm="1">
        <f t="array" aca="1" ref="B5" ca="1">INDIRECT("SORTING!" &amp; ADDRESS(ROW(), A$2+3))</f>
        <v>AET</v>
      </c>
      <c r="C5" s="1" t="str">
        <f ca="1">_xlfn.XLOOKUP(D5,[1]!RTData[Ticker_Symbol],[1]!RTData[Currency])</f>
        <v>GBp</v>
      </c>
      <c r="D5" s="151" t="str">
        <f ca="1">TabCalc[[#This Row],[Ticker]]</f>
        <v>AET</v>
      </c>
      <c r="E5" t="str">
        <f ca="1"/>
        <v>BMRA</v>
      </c>
      <c r="F5" s="557">
        <f ca="1"/>
        <v>2.8347077052366196</v>
      </c>
      <c r="G5" s="151" t="str">
        <f ca="1"/>
        <v>AAPL</v>
      </c>
      <c r="H5" s="558">
        <f ca="1"/>
        <v>1210744.0997956996</v>
      </c>
      <c r="I5" t="str">
        <f ca="1"/>
        <v>SAFDDD</v>
      </c>
      <c r="J5" s="559">
        <f ca="1"/>
        <v>0.110169</v>
      </c>
      <c r="K5" s="151" t="str">
        <f ca="1"/>
        <v>SAFDDD</v>
      </c>
      <c r="L5" s="559">
        <f ca="1"/>
        <v>0.110169</v>
      </c>
      <c r="M5" s="1" t="str">
        <f ca="1"/>
        <v>AAPL</v>
      </c>
      <c r="N5" s="558">
        <f ca="1"/>
        <v>621870.52821399982</v>
      </c>
      <c r="O5" t="str">
        <f ca="1"/>
        <v>SAFGM</v>
      </c>
      <c r="P5" s="558">
        <f ca="1"/>
        <v>64255.699679999991</v>
      </c>
      <c r="Q5" t="str">
        <f ca="1"/>
        <v>LAZR</v>
      </c>
      <c r="R5" s="645">
        <f ca="1"/>
        <v>3.5802720238095241E-2</v>
      </c>
      <c r="S5" t="str">
        <f ca="1"/>
        <v>SAP</v>
      </c>
      <c r="T5" s="85">
        <f ca="1"/>
        <v>20140</v>
      </c>
      <c r="U5" t="str">
        <f ca="1"/>
        <v>MRNA</v>
      </c>
      <c r="V5" s="308">
        <f ca="1"/>
        <v>3.4549199999999995E-2</v>
      </c>
      <c r="W5" t="str">
        <f ca="1"/>
        <v>AZN</v>
      </c>
      <c r="X5">
        <f ca="1"/>
        <v>0</v>
      </c>
      <c r="Y5" t="str">
        <f ca="1"/>
        <v>EOAN</v>
      </c>
      <c r="Z5">
        <f ca="1"/>
        <v>1</v>
      </c>
      <c r="AA5" t="str">
        <f ca="1"/>
        <v>WBA</v>
      </c>
      <c r="AB5" t="e">
        <f ca="1"/>
        <v>#DIV/0!</v>
      </c>
      <c r="AC5" t="str">
        <f ca="1"/>
        <v>WBA</v>
      </c>
      <c r="AD5" t="e">
        <f ca="1"/>
        <v>#DIV/0!</v>
      </c>
      <c r="AE5" t="str">
        <f ca="1"/>
        <v>AZN</v>
      </c>
      <c r="AF5" s="85">
        <f ca="1"/>
        <v>0</v>
      </c>
      <c r="AG5" t="str">
        <f ca="1"/>
        <v>AMZN</v>
      </c>
      <c r="AH5" s="85">
        <f ca="1"/>
        <v>30437</v>
      </c>
      <c r="AI5" t="str">
        <f ca="1"/>
        <v>XPER</v>
      </c>
      <c r="AJ5" s="85">
        <f ca="1"/>
        <v>31608.000000000004</v>
      </c>
      <c r="AK5" s="88" t="str">
        <f ca="1"/>
        <v>LAZR</v>
      </c>
      <c r="AL5" s="308">
        <f ca="1"/>
        <v>3.5802720238095241E-2</v>
      </c>
      <c r="AM5" t="str">
        <f ca="1"/>
        <v>HPE</v>
      </c>
      <c r="AN5" s="308" t="str">
        <f ca="1"/>
        <v/>
      </c>
      <c r="AO5" t="str">
        <f ca="1"/>
        <v>X</v>
      </c>
      <c r="AP5" s="308">
        <f ca="1"/>
        <v>-0.43663182466083161</v>
      </c>
      <c r="AQ5" s="85" t="str">
        <f ca="1"/>
        <v>RIGL</v>
      </c>
      <c r="AR5" s="88">
        <f ca="1"/>
        <v>4.71203289417197</v>
      </c>
      <c r="AS5" s="92" t="str">
        <f ca="1"/>
        <v>POET</v>
      </c>
      <c r="AT5" s="88" t="str">
        <f ca="1"/>
        <v>/67/%</v>
      </c>
    </row>
    <row r="6" spans="1:50">
      <c r="A6" s="707" t="s">
        <v>2082</v>
      </c>
      <c r="B6" s="1" t="str" cm="1">
        <f t="array" aca="1" ref="B6" ca="1">INDIRECT("SORTING!" &amp; ADDRESS(ROW(), A$2+3))</f>
        <v>AMZN</v>
      </c>
      <c r="C6" s="1" t="str">
        <f ca="1">_xlfn.XLOOKUP(D6,[1]!RTData[Ticker_Symbol],[1]!RTData[Currency])</f>
        <v>USD</v>
      </c>
      <c r="D6" s="151" t="str">
        <f ca="1">TabCalc[[#This Row],[Ticker]]</f>
        <v>AMZN</v>
      </c>
      <c r="E6" t="str">
        <f ca="1"/>
        <v>LUV</v>
      </c>
      <c r="F6" s="557">
        <f ca="1"/>
        <v>2.7751078974989354</v>
      </c>
      <c r="G6" s="151" t="str">
        <f ca="1"/>
        <v>IAG</v>
      </c>
      <c r="H6" s="558">
        <f ca="1"/>
        <v>1169183.5505864599</v>
      </c>
      <c r="I6" t="str">
        <f ca="1"/>
        <v>LAZR</v>
      </c>
      <c r="J6" s="559">
        <f ca="1"/>
        <v>0.10612500000000001</v>
      </c>
      <c r="K6" s="151" t="str">
        <f ca="1"/>
        <v>LAZR</v>
      </c>
      <c r="L6" s="559">
        <f ca="1"/>
        <v>0.10612500000000001</v>
      </c>
      <c r="M6" s="1" t="str">
        <f ca="1"/>
        <v>NEM</v>
      </c>
      <c r="N6" s="558">
        <f ca="1"/>
        <v>551143.75856600038</v>
      </c>
      <c r="O6" t="str">
        <f ca="1"/>
        <v>MVERWE</v>
      </c>
      <c r="P6" s="558">
        <f ca="1"/>
        <v>39606.823817999997</v>
      </c>
      <c r="Q6" t="str">
        <f ca="1"/>
        <v>LUMN</v>
      </c>
      <c r="R6" s="645">
        <f ca="1"/>
        <v>2.0962380952380955E-2</v>
      </c>
      <c r="S6" t="str">
        <f ca="1"/>
        <v>SAFDDD</v>
      </c>
      <c r="T6" s="85">
        <f ca="1"/>
        <v>19250</v>
      </c>
      <c r="U6" t="str">
        <f ca="1"/>
        <v>SAFMRNA</v>
      </c>
      <c r="V6" s="308">
        <f ca="1"/>
        <v>3.4549199999999995E-2</v>
      </c>
      <c r="W6" t="str">
        <f ca="1"/>
        <v>BLDP</v>
      </c>
      <c r="X6">
        <f ca="1"/>
        <v>0</v>
      </c>
      <c r="Y6" t="str">
        <f ca="1"/>
        <v>HPQ</v>
      </c>
      <c r="Z6">
        <f ca="1"/>
        <v>1</v>
      </c>
      <c r="AA6" t="str">
        <f ca="1"/>
        <v>MVEEPIX</v>
      </c>
      <c r="AB6" t="e">
        <f ca="1"/>
        <v>#DIV/0!</v>
      </c>
      <c r="AC6" t="str">
        <f ca="1"/>
        <v>MVEEPIX</v>
      </c>
      <c r="AD6" t="e">
        <f ca="1"/>
        <v>#DIV/0!</v>
      </c>
      <c r="AE6" t="str">
        <f ca="1"/>
        <v>C</v>
      </c>
      <c r="AF6" s="85">
        <f ca="1"/>
        <v>0</v>
      </c>
      <c r="AG6" t="str">
        <f ca="1"/>
        <v>MVEENI</v>
      </c>
      <c r="AH6" s="85">
        <f ca="1"/>
        <v>23488</v>
      </c>
      <c r="AI6" t="str">
        <f ca="1"/>
        <v>NFLX</v>
      </c>
      <c r="AJ6" s="85">
        <f ca="1"/>
        <v>29265.999999999993</v>
      </c>
      <c r="AK6" s="88" t="str">
        <f ca="1"/>
        <v>LUMN</v>
      </c>
      <c r="AL6" s="308">
        <f ca="1"/>
        <v>2.0962380952380955E-2</v>
      </c>
      <c r="AM6" t="str">
        <f ca="1"/>
        <v>HPQ</v>
      </c>
      <c r="AN6" s="308" t="str">
        <f ca="1"/>
        <v/>
      </c>
      <c r="AO6" t="str">
        <f ca="1"/>
        <v>GM</v>
      </c>
      <c r="AP6" s="308">
        <f ca="1"/>
        <v>-0.42374716308986332</v>
      </c>
      <c r="AQ6" s="85" t="str">
        <f ca="1"/>
        <v>HPE</v>
      </c>
      <c r="AR6" s="88">
        <f ca="1"/>
        <v>4.6994535519125655</v>
      </c>
      <c r="AS6" s="92" t="str">
        <f ca="1"/>
        <v>JBEOAN</v>
      </c>
      <c r="AT6" s="88" t="str">
        <f ca="1"/>
        <v>/50/50%</v>
      </c>
    </row>
    <row r="7" spans="1:50">
      <c r="A7" s="643" t="s">
        <v>2074</v>
      </c>
      <c r="B7" s="1" t="str" cm="1">
        <f t="array" aca="1" ref="B7" ca="1">INDIRECT("SORTING!" &amp; ADDRESS(ROW(), A$2+3))</f>
        <v>ALDNE</v>
      </c>
      <c r="C7" s="1" t="str">
        <f ca="1">_xlfn.XLOOKUP(D7,[1]!RTData[Ticker_Symbol],[1]!RTData[Currency])</f>
        <v>EUR</v>
      </c>
      <c r="D7" s="151" t="str">
        <f ca="1">TabCalc[[#This Row],[Ticker]]</f>
        <v>ALDNE</v>
      </c>
      <c r="E7" t="str">
        <f ca="1"/>
        <v>UNIT</v>
      </c>
      <c r="F7" s="557">
        <f ca="1"/>
        <v>1.8710369154732505</v>
      </c>
      <c r="G7" s="151" t="str">
        <f ca="1"/>
        <v>EOAN</v>
      </c>
      <c r="H7" s="558">
        <f ca="1"/>
        <v>1146898.6232424998</v>
      </c>
      <c r="I7" t="str">
        <f ca="1"/>
        <v>UNIT</v>
      </c>
      <c r="J7" s="559">
        <f ca="1"/>
        <v>7.2592999999999991E-2</v>
      </c>
      <c r="K7" s="151" t="str">
        <f ca="1"/>
        <v>UNIT</v>
      </c>
      <c r="L7" s="559">
        <f ca="1"/>
        <v>7.2592999999999991E-2</v>
      </c>
      <c r="M7" s="1" t="str">
        <f ca="1"/>
        <v>TSM</v>
      </c>
      <c r="N7" s="558">
        <f ca="1"/>
        <v>443404.54980000015</v>
      </c>
      <c r="O7" t="str">
        <f ca="1"/>
        <v>RWE</v>
      </c>
      <c r="P7" s="558">
        <f ca="1"/>
        <v>31693.382399999999</v>
      </c>
      <c r="Q7" t="str">
        <f ca="1"/>
        <v>SAFMRNA</v>
      </c>
      <c r="R7" s="645">
        <f ca="1"/>
        <v>2.0962380952380955E-2</v>
      </c>
      <c r="S7" t="str">
        <f ca="1"/>
        <v>DDD</v>
      </c>
      <c r="T7" s="85">
        <f ca="1"/>
        <v>14875</v>
      </c>
      <c r="U7" t="str">
        <f ca="1"/>
        <v>PAAS</v>
      </c>
      <c r="V7" s="308">
        <f ca="1"/>
        <v>2.9247000000000002E-2</v>
      </c>
      <c r="W7" t="str">
        <f ca="1"/>
        <v>BMRA</v>
      </c>
      <c r="X7">
        <f ca="1"/>
        <v>0</v>
      </c>
      <c r="Y7" t="str">
        <f ca="1"/>
        <v>NEE</v>
      </c>
      <c r="Z7">
        <f ca="1"/>
        <v>1</v>
      </c>
      <c r="AA7" t="str">
        <f ca="1"/>
        <v>X</v>
      </c>
      <c r="AB7" t="e">
        <f ca="1"/>
        <v>#DIV/0!</v>
      </c>
      <c r="AC7" t="str">
        <f ca="1"/>
        <v>X</v>
      </c>
      <c r="AD7" t="e">
        <f ca="1"/>
        <v>#DIV/0!</v>
      </c>
      <c r="AE7" t="str">
        <f ca="1"/>
        <v>CSCO</v>
      </c>
      <c r="AF7" s="85">
        <f ca="1"/>
        <v>0</v>
      </c>
      <c r="AG7" t="str">
        <f ca="1"/>
        <v>SAFAAPL</v>
      </c>
      <c r="AH7" s="85">
        <f ca="1"/>
        <v>22914</v>
      </c>
      <c r="AI7" t="str">
        <f ca="1"/>
        <v>MVESAP</v>
      </c>
      <c r="AJ7" s="85">
        <f ca="1"/>
        <v>29090.000000000004</v>
      </c>
      <c r="AK7" s="88" t="str">
        <f ca="1"/>
        <v>SAFMRNA</v>
      </c>
      <c r="AL7" s="308">
        <f ca="1"/>
        <v>2.0962380952380955E-2</v>
      </c>
      <c r="AM7" t="str">
        <f ca="1"/>
        <v>KR</v>
      </c>
      <c r="AN7" s="308" t="str">
        <f ca="1"/>
        <v/>
      </c>
      <c r="AO7" t="str">
        <f ca="1"/>
        <v>LUMN</v>
      </c>
      <c r="AP7" s="308">
        <f ca="1"/>
        <v>-0.41514594450867059</v>
      </c>
      <c r="AQ7" s="85" t="str">
        <f ca="1"/>
        <v>LUV</v>
      </c>
      <c r="AR7" s="88">
        <f ca="1"/>
        <v>4.6495636075112401</v>
      </c>
      <c r="AS7" s="92" t="str">
        <f ca="1"/>
        <v>AAPL</v>
      </c>
      <c r="AT7" s="88" t="str">
        <f ca="1"/>
        <v>/50/%</v>
      </c>
    </row>
    <row r="8" spans="1:50">
      <c r="A8" s="358" t="s">
        <v>1603</v>
      </c>
      <c r="B8" s="1" t="str" cm="1">
        <f t="array" aca="1" ref="B8" ca="1">INDIRECT("SORTING!" &amp; ADDRESS(ROW(), A$2+3))</f>
        <v>ASML</v>
      </c>
      <c r="C8" s="1" t="str">
        <f ca="1">_xlfn.XLOOKUP(D8,[1]!RTData[Ticker_Symbol],[1]!RTData[Currency])</f>
        <v>EUR</v>
      </c>
      <c r="D8" s="151" t="str">
        <f ca="1">TabCalc[[#This Row],[Ticker]]</f>
        <v>ASML</v>
      </c>
      <c r="E8" t="str">
        <f ca="1"/>
        <v>EPIX</v>
      </c>
      <c r="F8" s="557">
        <f ca="1"/>
        <v>1.8522760022071003</v>
      </c>
      <c r="G8" s="151" t="str">
        <f ca="1"/>
        <v>ASML</v>
      </c>
      <c r="H8" s="558">
        <f ca="1"/>
        <v>1000159.1914364002</v>
      </c>
      <c r="I8" t="str">
        <f ca="1"/>
        <v>NEM</v>
      </c>
      <c r="J8" s="559">
        <f ca="1"/>
        <v>5.3284000000000005E-2</v>
      </c>
      <c r="K8" s="151" t="str">
        <f ca="1"/>
        <v>NEM</v>
      </c>
      <c r="L8" s="559">
        <f ca="1"/>
        <v>5.3284000000000005E-2</v>
      </c>
      <c r="M8" s="1" t="str">
        <f ca="1"/>
        <v>LOCK</v>
      </c>
      <c r="N8" s="558">
        <f ca="1"/>
        <v>383504.34359999996</v>
      </c>
      <c r="O8" t="str">
        <f ca="1"/>
        <v>X</v>
      </c>
      <c r="P8" s="558">
        <f ca="1"/>
        <v>29750.846160000008</v>
      </c>
      <c r="Q8" t="str">
        <f ca="1"/>
        <v>PAAS</v>
      </c>
      <c r="R8" s="645">
        <f ca="1"/>
        <v>1.887285119047619E-2</v>
      </c>
      <c r="S8" t="str">
        <f ca="1"/>
        <v>SHECY</v>
      </c>
      <c r="T8" s="85">
        <f ca="1"/>
        <v>12750</v>
      </c>
      <c r="U8" t="str">
        <f ca="1"/>
        <v>LUV</v>
      </c>
      <c r="V8" s="308">
        <f ca="1"/>
        <v>2.8123199999999998E-2</v>
      </c>
      <c r="W8" t="str">
        <f ca="1"/>
        <v>C</v>
      </c>
      <c r="X8">
        <f ca="1"/>
        <v>0</v>
      </c>
      <c r="Y8" t="str">
        <f ca="1"/>
        <v>UN0</v>
      </c>
      <c r="Z8">
        <f ca="1"/>
        <v>1</v>
      </c>
      <c r="AA8" t="str">
        <f ca="1"/>
        <v>EPIX</v>
      </c>
      <c r="AB8">
        <f ca="1"/>
        <v>92</v>
      </c>
      <c r="AC8" t="str">
        <f ca="1"/>
        <v>EPIX</v>
      </c>
      <c r="AD8">
        <f ca="1"/>
        <v>98</v>
      </c>
      <c r="AE8" t="str">
        <f ca="1"/>
        <v>CVS</v>
      </c>
      <c r="AF8" s="85">
        <f ca="1"/>
        <v>0</v>
      </c>
      <c r="AG8" t="str">
        <f ca="1"/>
        <v>AVGO</v>
      </c>
      <c r="AH8" s="85">
        <f ca="1"/>
        <v>14907</v>
      </c>
      <c r="AI8" t="str">
        <f ca="1"/>
        <v>DXC</v>
      </c>
      <c r="AJ8" s="85">
        <f ca="1"/>
        <v>20320</v>
      </c>
      <c r="AK8" s="88" t="str">
        <f ca="1"/>
        <v>PAAS</v>
      </c>
      <c r="AL8" s="308">
        <f ca="1"/>
        <v>1.887285119047619E-2</v>
      </c>
      <c r="AM8" t="str">
        <f ca="1"/>
        <v>LNSR</v>
      </c>
      <c r="AN8" s="308" t="str">
        <f ca="1"/>
        <v/>
      </c>
      <c r="AO8" t="str">
        <f ca="1"/>
        <v>SAFGM</v>
      </c>
      <c r="AP8" s="308">
        <f ca="1"/>
        <v>-0.40103651431752113</v>
      </c>
      <c r="AQ8" s="85" t="str">
        <f ca="1"/>
        <v>PAAS</v>
      </c>
      <c r="AR8" s="88">
        <f ca="1"/>
        <v>2.889137737961927</v>
      </c>
      <c r="AS8" s="92" t="str">
        <f ca="1"/>
        <v>LUV</v>
      </c>
      <c r="AT8" s="88" t="str">
        <f ca="1"/>
        <v>/50/%</v>
      </c>
    </row>
    <row r="9" spans="1:50">
      <c r="A9" s="694" t="s">
        <v>2074</v>
      </c>
      <c r="B9" s="1" t="str" cm="1">
        <f t="array" aca="1" ref="B9" ca="1">INDIRECT("SORTING!" &amp; ADDRESS(ROW(), A$2+3))</f>
        <v>AVGO</v>
      </c>
      <c r="C9" s="1" t="str">
        <f ca="1">_xlfn.XLOOKUP(D9,[1]!RTData[Ticker_Symbol],[1]!RTData[Currency])</f>
        <v>USD</v>
      </c>
      <c r="D9" s="151" t="str">
        <f ca="1">TabCalc[[#This Row],[Ticker]]</f>
        <v>AVGO</v>
      </c>
      <c r="E9" t="str">
        <f ca="1"/>
        <v>MVEEPIX</v>
      </c>
      <c r="F9" s="557">
        <f ca="1"/>
        <v>1.8522760022071003</v>
      </c>
      <c r="G9" s="151" t="str">
        <f ca="1"/>
        <v>TSM</v>
      </c>
      <c r="H9" s="558">
        <f ca="1"/>
        <v>980985.68262000009</v>
      </c>
      <c r="I9" t="str">
        <f ca="1"/>
        <v>MA</v>
      </c>
      <c r="J9" s="559">
        <f ca="1"/>
        <v>4.5856000000000001E-2</v>
      </c>
      <c r="K9" s="151" t="str">
        <f ca="1"/>
        <v>MA</v>
      </c>
      <c r="L9" s="559">
        <f ca="1"/>
        <v>4.5856000000000001E-2</v>
      </c>
      <c r="M9" s="1" t="str">
        <f ca="1"/>
        <v>AMZN</v>
      </c>
      <c r="N9" s="558">
        <f ca="1"/>
        <v>319118.67277199996</v>
      </c>
      <c r="O9" t="str">
        <f ca="1"/>
        <v>GS</v>
      </c>
      <c r="P9" s="558">
        <f ca="1"/>
        <v>27831.449600000007</v>
      </c>
      <c r="Q9" t="str">
        <f ca="1"/>
        <v>CVS</v>
      </c>
      <c r="R9" s="645">
        <f ca="1"/>
        <v>1.5473065476190479E-2</v>
      </c>
      <c r="S9" t="str">
        <f ca="1"/>
        <v>NFLX</v>
      </c>
      <c r="T9" s="85">
        <f ca="1"/>
        <v>10800</v>
      </c>
      <c r="U9" t="str">
        <f ca="1"/>
        <v>NEM</v>
      </c>
      <c r="V9" s="308">
        <f ca="1"/>
        <v>1.9429999999999999E-2</v>
      </c>
      <c r="W9" t="str">
        <f ca="1"/>
        <v>CSCO</v>
      </c>
      <c r="X9">
        <f ca="1"/>
        <v>0</v>
      </c>
      <c r="Y9" t="str">
        <f ca="1"/>
        <v>WBA</v>
      </c>
      <c r="Z9">
        <f ca="1"/>
        <v>1</v>
      </c>
      <c r="AA9" t="str">
        <f ca="1"/>
        <v>SAFGM</v>
      </c>
      <c r="AB9">
        <f ca="1"/>
        <v>92</v>
      </c>
      <c r="AC9" t="str">
        <f ca="1"/>
        <v>SAFGM</v>
      </c>
      <c r="AD9">
        <f ca="1"/>
        <v>98</v>
      </c>
      <c r="AE9" t="str">
        <f ca="1"/>
        <v>EOAN</v>
      </c>
      <c r="AF9" s="85">
        <f ca="1"/>
        <v>0</v>
      </c>
      <c r="AG9" t="str">
        <f ca="1"/>
        <v>TSM</v>
      </c>
      <c r="AH9" s="85">
        <f ca="1"/>
        <v>14774</v>
      </c>
      <c r="AI9" t="str">
        <f ca="1"/>
        <v>SAFMRNA</v>
      </c>
      <c r="AJ9" s="85">
        <f ca="1"/>
        <v>18894</v>
      </c>
      <c r="AK9" s="88" t="str">
        <f ca="1"/>
        <v>CVS</v>
      </c>
      <c r="AL9" s="308">
        <f ca="1"/>
        <v>1.5473065476190479E-2</v>
      </c>
      <c r="AM9" t="str">
        <f ca="1"/>
        <v>MSFT</v>
      </c>
      <c r="AN9" s="308" t="str">
        <f ca="1"/>
        <v/>
      </c>
      <c r="AO9" t="str">
        <f ca="1"/>
        <v>RWE</v>
      </c>
      <c r="AP9" s="308">
        <f ca="1"/>
        <v>-0.34554844074844082</v>
      </c>
      <c r="AQ9" s="85" t="str">
        <f ca="1"/>
        <v>NEM</v>
      </c>
      <c r="AR9" s="88">
        <f ca="1"/>
        <v>2.5348116879557057</v>
      </c>
      <c r="AS9" s="92" t="str">
        <f ca="1"/>
        <v>TSM</v>
      </c>
      <c r="AT9" s="88" t="str">
        <f ca="1"/>
        <v>/33/%</v>
      </c>
    </row>
    <row r="10" spans="1:50">
      <c r="A10" s="707" t="s">
        <v>188</v>
      </c>
      <c r="B10" s="1" t="str" cm="1">
        <f t="array" aca="1" ref="B10" ca="1">INDIRECT("SORTING!" &amp; ADDRESS(ROW(), A$2+3))</f>
        <v>AZN</v>
      </c>
      <c r="C10" s="1" t="str">
        <f ca="1">_xlfn.XLOOKUP(D10,[1]!RTData[Ticker_Symbol],[1]!RTData[Currency])</f>
        <v>USD</v>
      </c>
      <c r="D10" s="151" t="str">
        <f ca="1">TabCalc[[#This Row],[Ticker]]</f>
        <v>AZN</v>
      </c>
      <c r="E10" t="str">
        <f ca="1"/>
        <v>SAP</v>
      </c>
      <c r="F10" s="557">
        <f ca="1"/>
        <v>1.6723113482056255</v>
      </c>
      <c r="G10" s="151" t="str">
        <f ca="1"/>
        <v>NFLX</v>
      </c>
      <c r="H10" s="558">
        <f ca="1"/>
        <v>933768.40619880054</v>
      </c>
      <c r="I10" t="str">
        <f ca="1"/>
        <v>BLDP</v>
      </c>
      <c r="J10" s="559">
        <f ca="1"/>
        <v>3.9567999999999999E-2</v>
      </c>
      <c r="K10" s="151" t="str">
        <f ca="1"/>
        <v>BLDP</v>
      </c>
      <c r="L10" s="559">
        <f ca="1"/>
        <v>3.9567999999999999E-2</v>
      </c>
      <c r="M10" s="1" t="str">
        <f ca="1"/>
        <v>IAG</v>
      </c>
      <c r="N10" s="558">
        <f ca="1"/>
        <v>102945.90605200001</v>
      </c>
      <c r="O10" t="str">
        <f ca="1"/>
        <v>XOM</v>
      </c>
      <c r="P10" s="558">
        <f ca="1"/>
        <v>21866.997599999984</v>
      </c>
      <c r="Q10" t="str">
        <f ca="1"/>
        <v>MVEDDD</v>
      </c>
      <c r="R10" s="645">
        <f ca="1"/>
        <v>1.5473065476190479E-2</v>
      </c>
      <c r="S10" t="str">
        <f ca="1"/>
        <v>IAG</v>
      </c>
      <c r="T10" s="85">
        <f ca="1"/>
        <v>8700</v>
      </c>
      <c r="U10" t="str">
        <f ca="1"/>
        <v>GM</v>
      </c>
      <c r="V10" s="308">
        <f ca="1"/>
        <v>1.8370580000000001E-2</v>
      </c>
      <c r="W10" t="str">
        <f ca="1"/>
        <v>CVS</v>
      </c>
      <c r="X10">
        <f ca="1"/>
        <v>0</v>
      </c>
      <c r="Y10" t="str">
        <f ca="1"/>
        <v>MVEDDD</v>
      </c>
      <c r="Z10">
        <f ca="1"/>
        <v>1</v>
      </c>
      <c r="AA10" t="str">
        <f ca="1"/>
        <v>LUV</v>
      </c>
      <c r="AB10">
        <f ca="1"/>
        <v>90</v>
      </c>
      <c r="AC10" t="str">
        <f ca="1"/>
        <v>DVA</v>
      </c>
      <c r="AD10">
        <f ca="1"/>
        <v>96</v>
      </c>
      <c r="AE10" t="str">
        <f ca="1"/>
        <v>EPIX</v>
      </c>
      <c r="AF10" s="85">
        <f ca="1"/>
        <v>0</v>
      </c>
      <c r="AG10" t="str">
        <f ca="1"/>
        <v>PAAS</v>
      </c>
      <c r="AH10" s="85">
        <f ca="1"/>
        <v>14580</v>
      </c>
      <c r="AI10" t="str">
        <f ca="1"/>
        <v>MVEDSY</v>
      </c>
      <c r="AJ10" s="85">
        <f ca="1"/>
        <v>16880</v>
      </c>
      <c r="AK10" s="88" t="str">
        <f ca="1"/>
        <v>MVEDDD</v>
      </c>
      <c r="AL10" s="308">
        <f ca="1"/>
        <v>1.5473065476190479E-2</v>
      </c>
      <c r="AM10" t="str">
        <f ca="1"/>
        <v>NFLX</v>
      </c>
      <c r="AN10" s="308" t="str">
        <f ca="1"/>
        <v/>
      </c>
      <c r="AO10" t="str">
        <f ca="1"/>
        <v>NEM</v>
      </c>
      <c r="AP10" s="308">
        <f ca="1"/>
        <v>-0.32866075723743005</v>
      </c>
      <c r="AQ10" s="85" t="str">
        <f ca="1"/>
        <v>PROF</v>
      </c>
      <c r="AR10" s="88">
        <f ca="1"/>
        <v>1.9919964428634942</v>
      </c>
      <c r="AS10" s="92" t="str">
        <f ca="1"/>
        <v>BLNK</v>
      </c>
      <c r="AT10" s="88" t="str">
        <f ca="1"/>
        <v>/29/94%</v>
      </c>
    </row>
    <row r="11" spans="1:50">
      <c r="A11" s="643" t="s">
        <v>2074</v>
      </c>
      <c r="B11" s="1" t="str" cm="1">
        <f t="array" aca="1" ref="B11" ca="1">INDIRECT("SORTING!" &amp; ADDRESS(ROW(), A$2+3))</f>
        <v>BLDP</v>
      </c>
      <c r="C11" s="1" t="str">
        <f ca="1">_xlfn.XLOOKUP(D11,[1]!RTData[Ticker_Symbol],[1]!RTData[Currency])</f>
        <v>USD</v>
      </c>
      <c r="D11" s="151" t="str">
        <f ca="1">TabCalc[[#This Row],[Ticker]]</f>
        <v>BLDP</v>
      </c>
      <c r="E11" t="str">
        <f ca="1"/>
        <v>MVESAP</v>
      </c>
      <c r="F11" s="557">
        <f ca="1"/>
        <v>1.6723113482056255</v>
      </c>
      <c r="G11" s="151" t="str">
        <f ca="1"/>
        <v>AMZN</v>
      </c>
      <c r="H11" s="558">
        <f ca="1"/>
        <v>781267.22381519992</v>
      </c>
      <c r="I11" t="str">
        <f ca="1"/>
        <v>BMRA</v>
      </c>
      <c r="J11" s="559">
        <f ca="1"/>
        <v>3.6000000000000004E-2</v>
      </c>
      <c r="K11" s="151" t="str">
        <f ca="1"/>
        <v>BMRA</v>
      </c>
      <c r="L11" s="559">
        <f ca="1"/>
        <v>3.6000000000000004E-2</v>
      </c>
      <c r="M11" s="1" t="str">
        <f ca="1"/>
        <v>MVEENI</v>
      </c>
      <c r="N11" s="558">
        <f ca="1"/>
        <v>81336.745760000049</v>
      </c>
      <c r="O11" t="str">
        <f ca="1"/>
        <v>AVGO</v>
      </c>
      <c r="P11" s="558">
        <f ca="1"/>
        <v>12776.694000000001</v>
      </c>
      <c r="Q11" t="str">
        <f ca="1"/>
        <v>SAFDDD</v>
      </c>
      <c r="R11" s="645">
        <f ca="1"/>
        <v>1.5473065476190479E-2</v>
      </c>
      <c r="S11" t="str">
        <f ca="1"/>
        <v>MRNA</v>
      </c>
      <c r="T11" s="85">
        <f ca="1"/>
        <v>7560</v>
      </c>
      <c r="U11" t="str">
        <f ca="1"/>
        <v>SAFGM</v>
      </c>
      <c r="V11" s="308">
        <f ca="1"/>
        <v>1.8370580000000001E-2</v>
      </c>
      <c r="W11" t="str">
        <f ca="1"/>
        <v>DDD</v>
      </c>
      <c r="X11">
        <f ca="1"/>
        <v>0</v>
      </c>
      <c r="Y11" t="str">
        <f ca="1"/>
        <v>MVEEPIX</v>
      </c>
      <c r="Z11">
        <f ca="1"/>
        <v>1</v>
      </c>
      <c r="AA11" t="str">
        <f ca="1"/>
        <v>BMRA</v>
      </c>
      <c r="AB11">
        <f ca="1"/>
        <v>84</v>
      </c>
      <c r="AC11" t="str">
        <f ca="1"/>
        <v>LUV</v>
      </c>
      <c r="AD11">
        <f ca="1"/>
        <v>92</v>
      </c>
      <c r="AE11" t="str">
        <f ca="1"/>
        <v>GM</v>
      </c>
      <c r="AF11" s="85">
        <f ca="1"/>
        <v>0</v>
      </c>
      <c r="AG11" t="str">
        <f ca="1"/>
        <v>HPE</v>
      </c>
      <c r="AH11" s="85">
        <f ca="1"/>
        <v>12865</v>
      </c>
      <c r="AI11" t="str">
        <f ca="1"/>
        <v>NVAX</v>
      </c>
      <c r="AJ11" s="85">
        <f ca="1"/>
        <v>14165</v>
      </c>
      <c r="AK11" s="88" t="str">
        <f ca="1"/>
        <v>SAFDDD</v>
      </c>
      <c r="AL11" s="308">
        <f ca="1"/>
        <v>1.5473065476190479E-2</v>
      </c>
      <c r="AM11" t="str">
        <f ca="1"/>
        <v>POET</v>
      </c>
      <c r="AN11" s="308" t="str">
        <f ca="1"/>
        <v/>
      </c>
      <c r="AO11" t="str">
        <f ca="1"/>
        <v>RIGL</v>
      </c>
      <c r="AP11" s="308">
        <f ca="1"/>
        <v>-0.3271265636147444</v>
      </c>
      <c r="AQ11" s="85" t="str">
        <f ca="1"/>
        <v>SAFASML</v>
      </c>
      <c r="AR11" s="88">
        <f ca="1"/>
        <v>1.6470772226718622</v>
      </c>
      <c r="AS11" s="92" t="str">
        <f ca="1"/>
        <v>AET</v>
      </c>
      <c r="AT11" s="88" t="str">
        <f ca="1"/>
        <v>/25/%</v>
      </c>
    </row>
    <row r="12" spans="1:50">
      <c r="A12" s="358" t="s">
        <v>1839</v>
      </c>
      <c r="B12" s="1" t="str" cm="1">
        <f t="array" aca="1" ref="B12" ca="1">INDIRECT("SORTING!" &amp; ADDRESS(ROW(), A$2+3))</f>
        <v>BMRA</v>
      </c>
      <c r="C12" s="1" t="str">
        <f ca="1">_xlfn.XLOOKUP(D12,[1]!RTData[Ticker_Symbol],[1]!RTData[Currency])</f>
        <v>USD</v>
      </c>
      <c r="D12" s="151" t="str">
        <f ca="1">TabCalc[[#This Row],[Ticker]]</f>
        <v>BMRA</v>
      </c>
      <c r="E12" t="str">
        <f ca="1"/>
        <v>LAZR</v>
      </c>
      <c r="F12" s="557">
        <f ca="1"/>
        <v>1.5841251522935991</v>
      </c>
      <c r="G12" s="151" t="str">
        <f ca="1"/>
        <v>LOCK</v>
      </c>
      <c r="H12" s="558">
        <f ca="1"/>
        <v>379289.60290737596</v>
      </c>
      <c r="I12" t="str">
        <f ca="1"/>
        <v>PAAS</v>
      </c>
      <c r="J12" s="559">
        <f ca="1"/>
        <v>3.4525E-2</v>
      </c>
      <c r="K12" s="151" t="str">
        <f ca="1"/>
        <v>PAAS</v>
      </c>
      <c r="L12" s="559">
        <f ca="1"/>
        <v>3.4525E-2</v>
      </c>
      <c r="M12" s="1" t="str">
        <f ca="1"/>
        <v>POET</v>
      </c>
      <c r="N12" s="558">
        <f ca="1"/>
        <v>72166.532066000029</v>
      </c>
      <c r="O12" t="str">
        <f ca="1"/>
        <v>NVS</v>
      </c>
      <c r="P12" s="558">
        <f ca="1"/>
        <v>11709.276520000009</v>
      </c>
      <c r="Q12" t="str">
        <f ca="1"/>
        <v>XYZ</v>
      </c>
      <c r="R12" s="645">
        <f ca="1"/>
        <v>1.1488988095238096E-2</v>
      </c>
      <c r="S12" t="str">
        <f ca="1"/>
        <v>LOCK</v>
      </c>
      <c r="T12" s="85">
        <f ca="1"/>
        <v>6939</v>
      </c>
      <c r="U12" t="str">
        <f ca="1"/>
        <v>UNIT</v>
      </c>
      <c r="V12" s="308">
        <f ca="1"/>
        <v>1.7353599999999997E-2</v>
      </c>
      <c r="W12" t="str">
        <f ca="1"/>
        <v>DIS</v>
      </c>
      <c r="X12">
        <f ca="1"/>
        <v>0</v>
      </c>
      <c r="Y12" t="str">
        <f ca="1"/>
        <v>SAFDDD</v>
      </c>
      <c r="Z12">
        <f ca="1"/>
        <v>1</v>
      </c>
      <c r="AA12" t="str">
        <f ca="1"/>
        <v>XOM</v>
      </c>
      <c r="AB12">
        <f ca="1"/>
        <v>81</v>
      </c>
      <c r="AC12" t="str">
        <f ca="1"/>
        <v>BMRA</v>
      </c>
      <c r="AD12">
        <f ca="1"/>
        <v>88</v>
      </c>
      <c r="AE12" t="str">
        <f ca="1"/>
        <v>IAG</v>
      </c>
      <c r="AF12" s="85">
        <f ca="1"/>
        <v>0</v>
      </c>
      <c r="AG12" t="str">
        <f ca="1"/>
        <v>CSCO</v>
      </c>
      <c r="AH12" s="85">
        <f ca="1"/>
        <v>12037</v>
      </c>
      <c r="AI12" t="str">
        <f ca="1"/>
        <v>SAFDDD</v>
      </c>
      <c r="AJ12" s="85">
        <f ca="1"/>
        <v>13145</v>
      </c>
      <c r="AK12" s="88" t="str">
        <f ca="1"/>
        <v>XYZ</v>
      </c>
      <c r="AL12" s="308">
        <f ca="1"/>
        <v>1.1488988095238096E-2</v>
      </c>
      <c r="AM12" t="str">
        <f ca="1"/>
        <v>UN0</v>
      </c>
      <c r="AN12" s="308" t="str">
        <f ca="1"/>
        <v/>
      </c>
      <c r="AO12" t="str">
        <f ca="1"/>
        <v>TSM</v>
      </c>
      <c r="AP12" s="308">
        <f ca="1"/>
        <v>-0.32574818444182091</v>
      </c>
      <c r="AQ12" s="85" t="str">
        <f ca="1"/>
        <v>GLE</v>
      </c>
      <c r="AR12" s="88">
        <f ca="1"/>
        <v>1.343317545131222</v>
      </c>
      <c r="AS12" s="92" t="str">
        <f ca="1"/>
        <v>MVEGLE</v>
      </c>
      <c r="AT12" s="88" t="str">
        <f ca="1"/>
        <v>/25/%</v>
      </c>
    </row>
    <row r="13" spans="1:50">
      <c r="A13" s="644" t="s">
        <v>1876</v>
      </c>
      <c r="B13" s="1" t="str" cm="1">
        <f t="array" aca="1" ref="B13" ca="1">INDIRECT("SORTING!" &amp; ADDRESS(ROW(), A$2+3))</f>
        <v>C</v>
      </c>
      <c r="C13" s="1" t="str">
        <f ca="1">_xlfn.XLOOKUP(D13,[1]!RTData[Ticker_Symbol],[1]!RTData[Currency])</f>
        <v>USD</v>
      </c>
      <c r="D13" s="151" t="str">
        <f ca="1">TabCalc[[#This Row],[Ticker]]</f>
        <v>C</v>
      </c>
      <c r="E13" t="str">
        <f ca="1"/>
        <v>VONN</v>
      </c>
      <c r="F13" s="557">
        <f ca="1"/>
        <v>1.5685418415897006</v>
      </c>
      <c r="G13" s="151" t="str">
        <f ca="1"/>
        <v>JBEOAN</v>
      </c>
      <c r="H13" s="558">
        <f ca="1"/>
        <v>297724.46981430001</v>
      </c>
      <c r="I13" t="str">
        <f ca="1"/>
        <v>IAG</v>
      </c>
      <c r="J13" s="559">
        <f ca="1"/>
        <v>3.1120000000000002E-2</v>
      </c>
      <c r="K13" s="151" t="str">
        <f ca="1"/>
        <v>IAG</v>
      </c>
      <c r="L13" s="559">
        <f ca="1"/>
        <v>3.1120000000000002E-2</v>
      </c>
      <c r="M13" s="1" t="str">
        <f ca="1"/>
        <v>THC</v>
      </c>
      <c r="N13" s="558">
        <f ca="1"/>
        <v>55044.738099000031</v>
      </c>
      <c r="O13" t="str">
        <f ca="1"/>
        <v>CSCO</v>
      </c>
      <c r="P13" s="558">
        <f ca="1"/>
        <v>9904.1819999999916</v>
      </c>
      <c r="Q13" t="str">
        <f ca="1"/>
        <v>HPQ</v>
      </c>
      <c r="R13" s="645">
        <f ca="1"/>
        <v>1.0374880952380951E-2</v>
      </c>
      <c r="S13" t="str">
        <f ca="1"/>
        <v>POET</v>
      </c>
      <c r="T13" s="85">
        <f ca="1"/>
        <v>6175</v>
      </c>
      <c r="U13" t="str">
        <f ca="1"/>
        <v>DXC</v>
      </c>
      <c r="V13" s="308">
        <f ca="1"/>
        <v>1.64406E-2</v>
      </c>
      <c r="W13" t="str">
        <f ca="1"/>
        <v>DSY</v>
      </c>
      <c r="X13">
        <f ca="1"/>
        <v>0</v>
      </c>
      <c r="Y13" t="str">
        <f ca="1"/>
        <v>SAFDIS</v>
      </c>
      <c r="Z13">
        <f ca="1"/>
        <v>1</v>
      </c>
      <c r="AA13" t="str">
        <f ca="1"/>
        <v>NOTE</v>
      </c>
      <c r="AB13">
        <f ca="1"/>
        <v>80</v>
      </c>
      <c r="AC13" t="str">
        <f ca="1"/>
        <v>PROF</v>
      </c>
      <c r="AD13">
        <f ca="1"/>
        <v>87</v>
      </c>
      <c r="AE13" t="str">
        <f ca="1"/>
        <v>LNSR</v>
      </c>
      <c r="AF13" s="85">
        <f ca="1"/>
        <v>0</v>
      </c>
      <c r="AG13" t="str">
        <f ca="1"/>
        <v>RIG</v>
      </c>
      <c r="AH13" s="85">
        <f ca="1"/>
        <v>11733</v>
      </c>
      <c r="AI13" t="str">
        <f ca="1"/>
        <v>BLNK</v>
      </c>
      <c r="AJ13" s="85">
        <f ca="1"/>
        <v>12290.4</v>
      </c>
      <c r="AK13" s="88" t="str">
        <f ca="1"/>
        <v>HPQ</v>
      </c>
      <c r="AL13" s="308">
        <f ca="1"/>
        <v>1.0374880952380951E-2</v>
      </c>
      <c r="AM13" t="str">
        <f ca="1"/>
        <v>XOM</v>
      </c>
      <c r="AN13" s="308" t="str">
        <f ca="1"/>
        <v/>
      </c>
      <c r="AO13" t="str">
        <f ca="1"/>
        <v>GS</v>
      </c>
      <c r="AP13" s="308">
        <f ca="1"/>
        <v>-0.30892094320152813</v>
      </c>
      <c r="AQ13" s="85" t="str">
        <f ca="1"/>
        <v>AVGO</v>
      </c>
      <c r="AR13" s="88">
        <f ca="1"/>
        <v>1.3086095755763565</v>
      </c>
      <c r="AS13" s="92" t="str">
        <f ca="1"/>
        <v>NEM</v>
      </c>
      <c r="AT13" s="88" t="str">
        <f ca="1"/>
        <v>/100/80%</v>
      </c>
    </row>
    <row r="14" spans="1:50">
      <c r="A14" s="707" t="s">
        <v>1840</v>
      </c>
      <c r="B14" s="1" t="str" cm="1">
        <f t="array" aca="1" ref="B14" ca="1">INDIRECT("SORTING!" &amp; ADDRESS(ROW(), A$2+3))</f>
        <v>CSCO</v>
      </c>
      <c r="C14" s="1" t="str">
        <f ca="1">_xlfn.XLOOKUP(D14,[1]!RTData[Ticker_Symbol],[1]!RTData[Currency])</f>
        <v>USD</v>
      </c>
      <c r="D14" s="151" t="str">
        <f ca="1">TabCalc[[#This Row],[Ticker]]</f>
        <v>CSCO</v>
      </c>
      <c r="E14" t="str">
        <f ca="1"/>
        <v>SSYS</v>
      </c>
      <c r="F14" s="557">
        <f ca="1"/>
        <v>1.5368385815758943</v>
      </c>
      <c r="G14" s="151" t="str">
        <f ca="1"/>
        <v>THC</v>
      </c>
      <c r="H14" s="558">
        <f ca="1"/>
        <v>287971.77963014995</v>
      </c>
      <c r="I14" t="str">
        <f ca="1"/>
        <v>SAFIAG</v>
      </c>
      <c r="J14" s="559">
        <f ca="1"/>
        <v>3.1120000000000002E-2</v>
      </c>
      <c r="K14" s="151" t="str">
        <f ca="1"/>
        <v>SAFIAG</v>
      </c>
      <c r="L14" s="559">
        <f ca="1"/>
        <v>3.1120000000000002E-2</v>
      </c>
      <c r="M14" s="1" t="str">
        <f ca="1"/>
        <v>HPE</v>
      </c>
      <c r="N14" s="558">
        <f ca="1"/>
        <v>50343.053236799984</v>
      </c>
      <c r="O14" t="str">
        <f ca="1"/>
        <v>LNSR</v>
      </c>
      <c r="P14" s="558">
        <f ca="1"/>
        <v>9096.2879999999986</v>
      </c>
      <c r="Q14" t="str">
        <f ca="1"/>
        <v>SAFIAG</v>
      </c>
      <c r="R14" s="645">
        <f ca="1"/>
        <v>1.0374880952380951E-2</v>
      </c>
      <c r="S14" t="str">
        <f ca="1"/>
        <v>MVESAP</v>
      </c>
      <c r="T14" s="85">
        <f ca="1"/>
        <v>4770</v>
      </c>
      <c r="U14" t="str">
        <f ca="1"/>
        <v>ADEA</v>
      </c>
      <c r="V14" s="308">
        <f ca="1"/>
        <v>1.5941799999999999E-2</v>
      </c>
      <c r="W14" t="str">
        <f ca="1"/>
        <v>DVA</v>
      </c>
      <c r="X14">
        <f ca="1"/>
        <v>0</v>
      </c>
      <c r="Y14" t="str">
        <f ca="1"/>
        <v>SAFIAG</v>
      </c>
      <c r="Z14">
        <f ca="1"/>
        <v>1</v>
      </c>
      <c r="AA14" t="str">
        <f ca="1"/>
        <v>ADEA</v>
      </c>
      <c r="AB14">
        <f ca="1"/>
        <v>79</v>
      </c>
      <c r="AC14" t="str">
        <f ca="1"/>
        <v>UN0</v>
      </c>
      <c r="AD14">
        <f ca="1"/>
        <v>87</v>
      </c>
      <c r="AE14" t="str">
        <f ca="1"/>
        <v>LUMN</v>
      </c>
      <c r="AF14" s="85">
        <f ca="1"/>
        <v>0</v>
      </c>
      <c r="AG14" t="str">
        <f ca="1"/>
        <v>VTRS</v>
      </c>
      <c r="AH14" s="85">
        <f ca="1"/>
        <v>10621</v>
      </c>
      <c r="AI14" t="str">
        <f ca="1"/>
        <v>DSY</v>
      </c>
      <c r="AJ14" s="85">
        <f ca="1"/>
        <v>12020.000000000004</v>
      </c>
      <c r="AK14" s="88" t="str">
        <f ca="1"/>
        <v>SAFIAG</v>
      </c>
      <c r="AL14" s="308">
        <f ca="1"/>
        <v>1.0374880952380951E-2</v>
      </c>
      <c r="AM14" t="str">
        <f ca="1"/>
        <v>MVESAP</v>
      </c>
      <c r="AN14" s="308" t="str">
        <f ca="1"/>
        <v/>
      </c>
      <c r="AO14" t="str">
        <f ca="1"/>
        <v>CVS</v>
      </c>
      <c r="AP14" s="308">
        <f ca="1"/>
        <v>-0.30728964377087714</v>
      </c>
      <c r="AQ14" s="85" t="str">
        <f ca="1"/>
        <v>MVEGLE</v>
      </c>
      <c r="AR14" s="88">
        <f ca="1"/>
        <v>1.2528693076638275</v>
      </c>
      <c r="AS14" s="92" t="str">
        <f ca="1"/>
        <v>ADEA</v>
      </c>
      <c r="AT14" s="88" t="str">
        <f ca="1"/>
        <v>/100/%</v>
      </c>
    </row>
    <row r="15" spans="1:50">
      <c r="A15" s="643" t="s">
        <v>1877</v>
      </c>
      <c r="B15" s="1" t="str" cm="1">
        <f t="array" aca="1" ref="B15" ca="1">INDIRECT("SORTING!" &amp; ADDRESS(ROW(), A$2+3))</f>
        <v>CVS</v>
      </c>
      <c r="C15" s="1" t="str">
        <f ca="1">_xlfn.XLOOKUP(D15,[1]!RTData[Ticker_Symbol],[1]!RTData[Currency])</f>
        <v>USD</v>
      </c>
      <c r="D15" s="151" t="str">
        <f ca="1">TabCalc[[#This Row],[Ticker]]</f>
        <v>CVS</v>
      </c>
      <c r="E15" t="str">
        <f ca="1"/>
        <v>DDD</v>
      </c>
      <c r="F15" s="557">
        <f ca="1"/>
        <v>1.5342978323128995</v>
      </c>
      <c r="G15" s="151" t="str">
        <f ca="1"/>
        <v>HPE</v>
      </c>
      <c r="H15" s="558">
        <f ca="1"/>
        <v>200153.73184535993</v>
      </c>
      <c r="I15" t="str">
        <f ca="1"/>
        <v>PROF</v>
      </c>
      <c r="J15" s="559">
        <f ca="1"/>
        <v>2.6242999999999999E-2</v>
      </c>
      <c r="K15" s="151" t="str">
        <f ca="1"/>
        <v>PROF</v>
      </c>
      <c r="L15" s="559">
        <f ca="1"/>
        <v>2.6242999999999999E-2</v>
      </c>
      <c r="M15" s="1" t="str">
        <f ca="1"/>
        <v>SAFAMZN</v>
      </c>
      <c r="N15" s="558">
        <f ca="1"/>
        <v>37571.670000000027</v>
      </c>
      <c r="O15" t="str">
        <f ca="1"/>
        <v>LUV</v>
      </c>
      <c r="P15" s="558">
        <f ca="1"/>
        <v>8490.0383580000052</v>
      </c>
      <c r="Q15" t="str">
        <f ca="1"/>
        <v>BLDP</v>
      </c>
      <c r="R15" s="645">
        <f ca="1"/>
        <v>1.0240875E-2</v>
      </c>
      <c r="S15" t="str">
        <f ca="1"/>
        <v>KR</v>
      </c>
      <c r="T15" s="85">
        <f ca="1"/>
        <v>4235</v>
      </c>
      <c r="U15" t="str">
        <f ca="1"/>
        <v>VLVLY</v>
      </c>
      <c r="V15" s="308">
        <f ca="1"/>
        <v>1.4860799999999999E-2</v>
      </c>
      <c r="W15" t="str">
        <f ca="1"/>
        <v>EOAN</v>
      </c>
      <c r="X15">
        <f ca="1"/>
        <v>0</v>
      </c>
      <c r="Y15" t="str">
        <f ca="1"/>
        <v>MA</v>
      </c>
      <c r="Z15">
        <f ca="1"/>
        <v>1</v>
      </c>
      <c r="AA15" t="str">
        <f ca="1"/>
        <v>GS</v>
      </c>
      <c r="AB15">
        <f ca="1"/>
        <v>77</v>
      </c>
      <c r="AC15" t="str">
        <f ca="1"/>
        <v>GS</v>
      </c>
      <c r="AD15">
        <f ca="1"/>
        <v>87</v>
      </c>
      <c r="AE15" t="str">
        <f ca="1"/>
        <v>MSFT</v>
      </c>
      <c r="AF15" s="85">
        <f ca="1"/>
        <v>0</v>
      </c>
      <c r="AG15" t="str">
        <f ca="1"/>
        <v>MVEGLE</v>
      </c>
      <c r="AH15" s="85">
        <f ca="1"/>
        <v>10312</v>
      </c>
      <c r="AI15" t="str">
        <f ca="1"/>
        <v>DDD</v>
      </c>
      <c r="AJ15" s="85">
        <f ca="1"/>
        <v>11849.999999999998</v>
      </c>
      <c r="AK15" s="88" t="str">
        <f ca="1"/>
        <v>BLDP</v>
      </c>
      <c r="AL15" s="308">
        <f ca="1"/>
        <v>1.0240875E-2</v>
      </c>
      <c r="AM15" t="str">
        <f ca="1"/>
        <v>MVEUN0</v>
      </c>
      <c r="AN15" s="308" t="str">
        <f ca="1"/>
        <v/>
      </c>
      <c r="AO15" t="str">
        <f ca="1"/>
        <v>MSFT</v>
      </c>
      <c r="AP15" s="308">
        <f ca="1"/>
        <v>-0.30399440855482252</v>
      </c>
      <c r="AQ15" s="85" t="str">
        <f ca="1"/>
        <v>VLVLY</v>
      </c>
      <c r="AR15" s="88">
        <f ca="1"/>
        <v>1.2094684385382064</v>
      </c>
      <c r="AS15" s="92" t="str">
        <f ca="1"/>
        <v>UNIT</v>
      </c>
      <c r="AT15" s="88" t="str">
        <f ca="1"/>
        <v>/100/%</v>
      </c>
    </row>
    <row r="16" spans="1:50">
      <c r="A16" s="358" t="s">
        <v>2081</v>
      </c>
      <c r="B16" s="1" t="str" cm="1">
        <f t="array" aca="1" ref="B16" ca="1">INDIRECT("SORTING!" &amp; ADDRESS(ROW(), A$2+3))</f>
        <v>DDD</v>
      </c>
      <c r="C16" s="1" t="str">
        <f ca="1">_xlfn.XLOOKUP(D16,[1]!RTData[Ticker_Symbol],[1]!RTData[Currency])</f>
        <v>USD</v>
      </c>
      <c r="D16" s="151" t="str">
        <f ca="1">TabCalc[[#This Row],[Ticker]]</f>
        <v>DDD</v>
      </c>
      <c r="E16" t="str">
        <f ca="1"/>
        <v>MVEDDD</v>
      </c>
      <c r="F16" s="557">
        <f ca="1"/>
        <v>1.5342978323128995</v>
      </c>
      <c r="G16" s="151" t="str">
        <f ca="1"/>
        <v>SAFASML</v>
      </c>
      <c r="H16" s="558">
        <f ca="1"/>
        <v>199833.77845080002</v>
      </c>
      <c r="I16" t="str">
        <f ca="1"/>
        <v>GS</v>
      </c>
      <c r="J16" s="559">
        <f ca="1"/>
        <v>2.4403000000000001E-2</v>
      </c>
      <c r="K16" s="151" t="str">
        <f ca="1"/>
        <v>GS</v>
      </c>
      <c r="L16" s="559">
        <f ca="1"/>
        <v>2.4403000000000001E-2</v>
      </c>
      <c r="M16" s="1" t="str">
        <f ca="1"/>
        <v>MVEORA</v>
      </c>
      <c r="N16" s="558">
        <f ca="1"/>
        <v>31455.327599999997</v>
      </c>
      <c r="O16" t="str">
        <f ca="1"/>
        <v>VTRS</v>
      </c>
      <c r="P16" s="558">
        <f ca="1"/>
        <v>7580.239999999998</v>
      </c>
      <c r="Q16" t="str">
        <f ca="1"/>
        <v>GS</v>
      </c>
      <c r="R16" s="645">
        <f ca="1"/>
        <v>9.5907170833333354E-3</v>
      </c>
      <c r="S16" t="str">
        <f ca="1"/>
        <v>MA</v>
      </c>
      <c r="T16" s="85">
        <f ca="1"/>
        <v>3958.0000000000146</v>
      </c>
      <c r="U16" t="str">
        <f ca="1"/>
        <v>BLDP</v>
      </c>
      <c r="V16" s="308">
        <f ca="1"/>
        <v>1.4717799999999998E-2</v>
      </c>
      <c r="W16" t="str">
        <f ca="1"/>
        <v>EPIX</v>
      </c>
      <c r="X16">
        <f ca="1"/>
        <v>0</v>
      </c>
      <c r="Y16" t="str">
        <f ca="1"/>
        <v>X</v>
      </c>
      <c r="Z16">
        <f ca="1"/>
        <v>1</v>
      </c>
      <c r="AA16" t="str">
        <f ca="1"/>
        <v>UN0</v>
      </c>
      <c r="AB16">
        <f ca="1"/>
        <v>76</v>
      </c>
      <c r="AC16" t="str">
        <f ca="1"/>
        <v>SSYS</v>
      </c>
      <c r="AD16">
        <f ca="1"/>
        <v>84</v>
      </c>
      <c r="AE16" t="str">
        <f ca="1"/>
        <v>NEE</v>
      </c>
      <c r="AF16" s="85">
        <f ca="1"/>
        <v>0</v>
      </c>
      <c r="AG16" t="str">
        <f ca="1"/>
        <v>ENI</v>
      </c>
      <c r="AH16" s="85">
        <f ca="1"/>
        <v>10312</v>
      </c>
      <c r="AI16" t="str">
        <f ca="1"/>
        <v>OXY</v>
      </c>
      <c r="AJ16" s="85">
        <f ca="1"/>
        <v>10659.999999999996</v>
      </c>
      <c r="AK16" s="88" t="str">
        <f ca="1"/>
        <v>GS</v>
      </c>
      <c r="AL16" s="308">
        <f ca="1"/>
        <v>9.5907170833333354E-3</v>
      </c>
      <c r="AM16" t="str">
        <f ca="1"/>
        <v>SAFASML</v>
      </c>
      <c r="AN16" s="308" t="str">
        <f ca="1"/>
        <v/>
      </c>
      <c r="AO16" t="str">
        <f ca="1"/>
        <v>PROF</v>
      </c>
      <c r="AP16" s="308">
        <f ca="1"/>
        <v>-0.30226433378196499</v>
      </c>
      <c r="AQ16" s="85" t="str">
        <f ca="1"/>
        <v>RIG</v>
      </c>
      <c r="AR16" s="88">
        <f ca="1"/>
        <v>1.2048816568047342</v>
      </c>
      <c r="AS16" s="92" t="str">
        <f ca="1"/>
        <v>UN0</v>
      </c>
      <c r="AT16" s="88" t="str">
        <f ca="1"/>
        <v>//56%</v>
      </c>
    </row>
    <row r="17" spans="1:46">
      <c r="A17" s="694" t="s">
        <v>2074</v>
      </c>
      <c r="B17" s="1" t="str" cm="1">
        <f t="array" aca="1" ref="B17" ca="1">INDIRECT("SORTING!" &amp; ADDRESS(ROW(), A$2+3))</f>
        <v>DIS</v>
      </c>
      <c r="C17" s="1" t="str">
        <f ca="1">_xlfn.XLOOKUP(D17,[1]!RTData[Ticker_Symbol],[1]!RTData[Currency])</f>
        <v>USD</v>
      </c>
      <c r="D17" s="151" t="str">
        <f ca="1">TabCalc[[#This Row],[Ticker]]</f>
        <v>DIS</v>
      </c>
      <c r="E17" t="str">
        <f ca="1"/>
        <v>SAFDDD</v>
      </c>
      <c r="F17" s="557">
        <f ca="1"/>
        <v>1.5342978323128995</v>
      </c>
      <c r="G17" s="151" t="str">
        <f ca="1"/>
        <v>SAFIAG</v>
      </c>
      <c r="H17" s="558">
        <f ca="1"/>
        <v>177976.53899999999</v>
      </c>
      <c r="I17" t="str">
        <f ca="1"/>
        <v>DIS</v>
      </c>
      <c r="J17" s="559">
        <f ca="1"/>
        <v>2.435E-2</v>
      </c>
      <c r="K17" s="151" t="str">
        <f ca="1"/>
        <v>DIS</v>
      </c>
      <c r="L17" s="559">
        <f ca="1"/>
        <v>2.435E-2</v>
      </c>
      <c r="M17" s="1" t="str">
        <f ca="1"/>
        <v>RIG</v>
      </c>
      <c r="N17" s="558">
        <f ca="1"/>
        <v>29588.648000000012</v>
      </c>
      <c r="O17" t="str">
        <f ca="1"/>
        <v>MVEEOAN</v>
      </c>
      <c r="P17" s="558">
        <f ca="1"/>
        <v>7381.0093499999984</v>
      </c>
      <c r="Q17" t="str">
        <f ca="1"/>
        <v>DVA</v>
      </c>
      <c r="R17" s="645">
        <f ca="1"/>
        <v>8.4307738095238116E-3</v>
      </c>
      <c r="S17" t="str">
        <f ca="1"/>
        <v>UNIT</v>
      </c>
      <c r="T17" s="85">
        <f ca="1"/>
        <v>3328.0999999999985</v>
      </c>
      <c r="U17" t="str">
        <f ca="1"/>
        <v>GS</v>
      </c>
      <c r="V17" s="308">
        <f ca="1"/>
        <v>1.4439038000000001E-2</v>
      </c>
      <c r="W17" t="str">
        <f ca="1"/>
        <v>GM</v>
      </c>
      <c r="X17">
        <f ca="1"/>
        <v>0</v>
      </c>
      <c r="Y17" t="str">
        <f ca="1"/>
        <v>AZN</v>
      </c>
      <c r="Z17">
        <f ca="1"/>
        <v>2</v>
      </c>
      <c r="AA17" t="str">
        <f ca="1"/>
        <v>NEE</v>
      </c>
      <c r="AB17">
        <f ca="1"/>
        <v>73</v>
      </c>
      <c r="AC17" t="str">
        <f ca="1"/>
        <v>ADEA</v>
      </c>
      <c r="AD17">
        <f ca="1"/>
        <v>83</v>
      </c>
      <c r="AE17" t="str">
        <f ca="1"/>
        <v>NEM</v>
      </c>
      <c r="AF17" s="85">
        <f ca="1"/>
        <v>0</v>
      </c>
      <c r="AG17" t="str">
        <f ca="1"/>
        <v>AZN</v>
      </c>
      <c r="AH17" s="85">
        <f ca="1"/>
        <v>10197</v>
      </c>
      <c r="AI17" t="str">
        <f ca="1"/>
        <v>SSYS</v>
      </c>
      <c r="AJ17" s="85">
        <f ca="1"/>
        <v>9982.5999000000029</v>
      </c>
      <c r="AK17" s="88" t="str">
        <f ca="1"/>
        <v>DVA</v>
      </c>
      <c r="AL17" s="308">
        <f ca="1"/>
        <v>8.4307738095238116E-3</v>
      </c>
      <c r="AM17" t="str">
        <f ca="1"/>
        <v>SAFGM</v>
      </c>
      <c r="AN17" s="308" t="str">
        <f ca="1"/>
        <v/>
      </c>
      <c r="AO17" t="str">
        <f ca="1"/>
        <v>ASML</v>
      </c>
      <c r="AP17" s="308">
        <f ca="1"/>
        <v>-0.29841061673473723</v>
      </c>
      <c r="AQ17" s="85" t="str">
        <f ca="1"/>
        <v>IAG</v>
      </c>
      <c r="AR17" s="88">
        <f ca="1"/>
        <v>1.0746268656716436</v>
      </c>
      <c r="AS17" s="92" t="str">
        <f ca="1"/>
        <v>MVESAP</v>
      </c>
      <c r="AT17" s="88" t="str">
        <f ca="1"/>
        <v>//56%</v>
      </c>
    </row>
    <row r="18" spans="1:46">
      <c r="A18" s="707" t="s">
        <v>1878</v>
      </c>
      <c r="B18" s="1" t="str" cm="1">
        <f t="array" aca="1" ref="B18" ca="1">INDIRECT("SORTING!" &amp; ADDRESS(ROW(), A$2+3))</f>
        <v>DSY</v>
      </c>
      <c r="C18" s="1" t="str">
        <f ca="1">_xlfn.XLOOKUP(D18,[1]!RTData[Ticker_Symbol],[1]!RTData[Currency])</f>
        <v>EUR</v>
      </c>
      <c r="D18" s="151" t="str">
        <f ca="1">TabCalc[[#This Row],[Ticker]]</f>
        <v>DSY</v>
      </c>
      <c r="E18" t="str">
        <f ca="1"/>
        <v>CVS</v>
      </c>
      <c r="F18" s="557">
        <f ca="1"/>
        <v>1.4470384600516701</v>
      </c>
      <c r="G18" s="151" t="str">
        <f ca="1"/>
        <v>SAFAMZN</v>
      </c>
      <c r="H18" s="558">
        <f ca="1"/>
        <v>171494.246835</v>
      </c>
      <c r="I18" t="str">
        <f ca="1"/>
        <v>SAFDIS</v>
      </c>
      <c r="J18" s="559">
        <f ca="1"/>
        <v>2.435E-2</v>
      </c>
      <c r="K18" s="151" t="str">
        <f ca="1"/>
        <v>SAFDIS</v>
      </c>
      <c r="L18" s="559">
        <f ca="1"/>
        <v>2.435E-2</v>
      </c>
      <c r="M18" s="1" t="str">
        <f ca="1"/>
        <v>VONN</v>
      </c>
      <c r="N18" s="558">
        <f ca="1"/>
        <v>28770.216000000008</v>
      </c>
      <c r="O18" t="str">
        <f ca="1"/>
        <v>PAAS</v>
      </c>
      <c r="P18" s="558">
        <f ca="1"/>
        <v>4877.286000000001</v>
      </c>
      <c r="Q18" t="str">
        <f ca="1"/>
        <v>SSYS</v>
      </c>
      <c r="R18" s="645">
        <f ca="1"/>
        <v>8.3645238095238078E-3</v>
      </c>
      <c r="S18" t="str">
        <f ca="1"/>
        <v>VONN</v>
      </c>
      <c r="T18" s="85">
        <f ca="1"/>
        <v>3300</v>
      </c>
      <c r="U18" t="str">
        <f ca="1"/>
        <v>HPE</v>
      </c>
      <c r="V18" s="308">
        <f ca="1"/>
        <v>1.2980400000000003E-2</v>
      </c>
      <c r="W18" t="str">
        <f ca="1"/>
        <v>HPE</v>
      </c>
      <c r="X18">
        <f ca="1"/>
        <v>0</v>
      </c>
      <c r="Y18" t="str">
        <f ca="1"/>
        <v>BLDP</v>
      </c>
      <c r="Z18">
        <f ca="1"/>
        <v>2</v>
      </c>
      <c r="AA18" t="str">
        <f ca="1"/>
        <v>VLVLY</v>
      </c>
      <c r="AB18">
        <f ca="1"/>
        <v>73</v>
      </c>
      <c r="AC18" t="str">
        <f ca="1"/>
        <v>XOM</v>
      </c>
      <c r="AD18">
        <f ca="1"/>
        <v>82</v>
      </c>
      <c r="AE18" t="str">
        <f ca="1"/>
        <v>PAAS</v>
      </c>
      <c r="AF18" s="85">
        <f ca="1"/>
        <v>0</v>
      </c>
      <c r="AG18" t="str">
        <f ca="1"/>
        <v>PROF</v>
      </c>
      <c r="AH18" s="85">
        <f ca="1"/>
        <v>8935</v>
      </c>
      <c r="AI18" t="str">
        <f ca="1"/>
        <v>PFE</v>
      </c>
      <c r="AJ18" s="85">
        <f ca="1"/>
        <v>8225.3220000000038</v>
      </c>
      <c r="AK18" s="88" t="str">
        <f ca="1"/>
        <v>SSYS</v>
      </c>
      <c r="AL18" s="308">
        <f ca="1"/>
        <v>8.3645238095238078E-3</v>
      </c>
      <c r="AM18" t="str">
        <f ca="1"/>
        <v>SAFIAG</v>
      </c>
      <c r="AN18" s="308" t="str">
        <f ca="1"/>
        <v/>
      </c>
      <c r="AO18" t="str">
        <f ca="1"/>
        <v>PAAS</v>
      </c>
      <c r="AP18" s="308">
        <f ca="1"/>
        <v>-0.29118021454112042</v>
      </c>
      <c r="AQ18" s="85" t="str">
        <f ca="1"/>
        <v>VTRS</v>
      </c>
      <c r="AR18" s="88">
        <f ca="1"/>
        <v>1.052689382499107</v>
      </c>
      <c r="AS18" s="92" t="str">
        <f ca="1"/>
        <v>AMZN</v>
      </c>
      <c r="AT18" s="88" t="str">
        <f ca="1"/>
        <v>//%</v>
      </c>
    </row>
    <row r="19" spans="1:46">
      <c r="A19" s="693" t="s">
        <v>2074</v>
      </c>
      <c r="B19" s="1" t="str" cm="1">
        <f t="array" aca="1" ref="B19" ca="1">INDIRECT("SORTING!" &amp; ADDRESS(ROW(), A$2+3))</f>
        <v>DVA</v>
      </c>
      <c r="C19" s="1" t="str">
        <f ca="1">_xlfn.XLOOKUP(D19,[1]!RTData[Ticker_Symbol],[1]!RTData[Currency])</f>
        <v>USD</v>
      </c>
      <c r="D19" s="151" t="str">
        <f ca="1">TabCalc[[#This Row],[Ticker]]</f>
        <v>DVA</v>
      </c>
      <c r="E19" t="str">
        <f ca="1"/>
        <v>AVGO</v>
      </c>
      <c r="F19" s="557">
        <f ca="1"/>
        <v>1.3828780081752725</v>
      </c>
      <c r="G19" s="151" t="str">
        <f ca="1"/>
        <v>VONN</v>
      </c>
      <c r="H19" s="558">
        <f ca="1"/>
        <v>169416.97941899998</v>
      </c>
      <c r="I19" t="str">
        <f ca="1"/>
        <v>CVS</v>
      </c>
      <c r="J19" s="559">
        <f ca="1"/>
        <v>2.3553000000000001E-2</v>
      </c>
      <c r="K19" s="151" t="str">
        <f ca="1"/>
        <v>CVS</v>
      </c>
      <c r="L19" s="559">
        <f ca="1"/>
        <v>2.3553000000000001E-2</v>
      </c>
      <c r="M19" s="1" t="str">
        <f ca="1"/>
        <v>SAFAAPL</v>
      </c>
      <c r="N19" s="558">
        <f ca="1"/>
        <v>27179.673506080006</v>
      </c>
      <c r="O19" t="str">
        <f ca="1"/>
        <v>TSM</v>
      </c>
      <c r="P19" s="558">
        <f ca="1"/>
        <v>4808.4653999999982</v>
      </c>
      <c r="Q19" t="str">
        <f ca="1"/>
        <v>SHECY</v>
      </c>
      <c r="R19" s="645">
        <f ca="1"/>
        <v>8.2216666666666671E-3</v>
      </c>
      <c r="S19" t="str">
        <f ca="1"/>
        <v>SAFMRNA</v>
      </c>
      <c r="T19" s="85">
        <f ca="1"/>
        <v>3150</v>
      </c>
      <c r="U19" t="str">
        <f ca="1"/>
        <v>GNRC</v>
      </c>
      <c r="V19" s="308">
        <f ca="1"/>
        <v>1.2339600000000001E-2</v>
      </c>
      <c r="W19" t="str">
        <f ca="1"/>
        <v>HPQ</v>
      </c>
      <c r="X19">
        <f ca="1"/>
        <v>0</v>
      </c>
      <c r="Y19" t="str">
        <f ca="1"/>
        <v>CSCO</v>
      </c>
      <c r="Z19">
        <f ca="1"/>
        <v>2</v>
      </c>
      <c r="AA19" t="str">
        <f ca="1"/>
        <v>GNRC</v>
      </c>
      <c r="AB19">
        <f ca="1"/>
        <v>72</v>
      </c>
      <c r="AC19" t="str">
        <f ca="1"/>
        <v>TSM</v>
      </c>
      <c r="AD19">
        <f ca="1"/>
        <v>81</v>
      </c>
      <c r="AE19" t="str">
        <f ca="1"/>
        <v>PROF</v>
      </c>
      <c r="AF19" s="85">
        <f ca="1"/>
        <v>0</v>
      </c>
      <c r="AG19" t="str">
        <f ca="1"/>
        <v>SAFAMZN</v>
      </c>
      <c r="AH19" s="85">
        <f ca="1"/>
        <v>8492</v>
      </c>
      <c r="AI19" t="str">
        <f ca="1"/>
        <v>MVEDDD</v>
      </c>
      <c r="AJ19" s="85">
        <f ca="1"/>
        <v>7775</v>
      </c>
      <c r="AK19" s="88" t="str">
        <f ca="1"/>
        <v>SHECY</v>
      </c>
      <c r="AL19" s="308">
        <f ca="1"/>
        <v>8.2216666666666671E-3</v>
      </c>
      <c r="AM19" t="str">
        <f ca="1"/>
        <v>F</v>
      </c>
      <c r="AN19" s="308" t="str">
        <f ca="1"/>
        <v/>
      </c>
      <c r="AO19" t="str">
        <f ca="1"/>
        <v>SAFAAPL</v>
      </c>
      <c r="AP19" s="308">
        <f ca="1"/>
        <v>-0.28190874372323654</v>
      </c>
      <c r="AQ19" s="85" t="str">
        <f ca="1"/>
        <v>C</v>
      </c>
      <c r="AR19" s="88">
        <f ca="1"/>
        <v>1.0430563328611473</v>
      </c>
      <c r="AS19" s="92" t="str">
        <f ca="1"/>
        <v>ALDNE</v>
      </c>
      <c r="AT19" s="88" t="str">
        <f ca="1"/>
        <v>//%</v>
      </c>
    </row>
    <row r="20" spans="1:46">
      <c r="A20" s="358" t="s">
        <v>2080</v>
      </c>
      <c r="B20" s="1" t="str" cm="1">
        <f t="array" aca="1" ref="B20" ca="1">INDIRECT("SORTING!" &amp; ADDRESS(ROW(), A$2+3))</f>
        <v>DXC</v>
      </c>
      <c r="C20" s="1" t="str">
        <f ca="1">_xlfn.XLOOKUP(D20,[1]!RTData[Ticker_Symbol],[1]!RTData[Currency])</f>
        <v>USD</v>
      </c>
      <c r="D20" s="151" t="str">
        <f ca="1">TabCalc[[#This Row],[Ticker]]</f>
        <v>DXC</v>
      </c>
      <c r="E20" t="str">
        <f ca="1"/>
        <v>RRC</v>
      </c>
      <c r="F20" s="557">
        <f ca="1"/>
        <v>1.3783333254019026</v>
      </c>
      <c r="G20" s="151" t="str">
        <f ca="1"/>
        <v>RIGL</v>
      </c>
      <c r="H20" s="558">
        <f ca="1"/>
        <v>158020.92792219113</v>
      </c>
      <c r="I20" t="str">
        <f ca="1"/>
        <v>LUV</v>
      </c>
      <c r="J20" s="559">
        <f ca="1"/>
        <v>2.2846999999999999E-2</v>
      </c>
      <c r="K20" s="151" t="str">
        <f ca="1"/>
        <v>LUV</v>
      </c>
      <c r="L20" s="559">
        <f ca="1"/>
        <v>2.2846999999999999E-2</v>
      </c>
      <c r="M20" s="1" t="str">
        <f ca="1"/>
        <v>MVEGLE</v>
      </c>
      <c r="N20" s="558">
        <f ca="1"/>
        <v>15315.914000000006</v>
      </c>
      <c r="O20" t="str">
        <f ca="1"/>
        <v>F</v>
      </c>
      <c r="P20" s="558">
        <f ca="1"/>
        <v>4802.4810000000007</v>
      </c>
      <c r="Q20" t="str">
        <f ca="1"/>
        <v>MA</v>
      </c>
      <c r="R20" s="645">
        <f ca="1"/>
        <v>7.8078273809523797E-3</v>
      </c>
      <c r="S20" t="str">
        <f ca="1"/>
        <v>BLDP</v>
      </c>
      <c r="T20" s="85">
        <f ca="1"/>
        <v>2999.9999999999927</v>
      </c>
      <c r="U20" t="str">
        <f ca="1"/>
        <v>UN0</v>
      </c>
      <c r="V20" s="308">
        <f ca="1"/>
        <v>1.17532E-2</v>
      </c>
      <c r="W20" t="str">
        <f ca="1"/>
        <v>IAG</v>
      </c>
      <c r="X20">
        <f ca="1"/>
        <v>0</v>
      </c>
      <c r="Y20" t="str">
        <f ca="1"/>
        <v>GS</v>
      </c>
      <c r="Z20">
        <f ca="1"/>
        <v>2</v>
      </c>
      <c r="AA20" t="str">
        <f ca="1"/>
        <v>PROF</v>
      </c>
      <c r="AB20">
        <f ca="1"/>
        <v>71</v>
      </c>
      <c r="AC20" t="str">
        <f ca="1"/>
        <v>VTRS</v>
      </c>
      <c r="AD20">
        <f ca="1"/>
        <v>81</v>
      </c>
      <c r="AE20" t="str">
        <f ca="1"/>
        <v>POET</v>
      </c>
      <c r="AF20" s="85">
        <f ca="1"/>
        <v>0</v>
      </c>
      <c r="AG20" t="str">
        <f ca="1"/>
        <v>EZJ</v>
      </c>
      <c r="AH20" s="85">
        <f ca="1"/>
        <v>6799</v>
      </c>
      <c r="AI20" t="str">
        <f ca="1"/>
        <v>THC</v>
      </c>
      <c r="AJ20" s="85">
        <f ca="1"/>
        <v>6944.9999999999927</v>
      </c>
      <c r="AK20" s="88" t="str">
        <f ca="1"/>
        <v>MA</v>
      </c>
      <c r="AL20" s="308">
        <f ca="1"/>
        <v>7.8078273809523797E-3</v>
      </c>
      <c r="AM20" t="str">
        <f ca="1"/>
        <v>GLE</v>
      </c>
      <c r="AN20" s="308" t="str">
        <f ca="1"/>
        <v/>
      </c>
      <c r="AO20" t="str">
        <f ca="1"/>
        <v>LNSR</v>
      </c>
      <c r="AP20" s="308">
        <f ca="1"/>
        <v>-0.26694782608695644</v>
      </c>
      <c r="AQ20" s="85" t="str">
        <f ca="1"/>
        <v>CSCO</v>
      </c>
      <c r="AR20" s="88">
        <f ca="1"/>
        <v>0.85079887218045058</v>
      </c>
      <c r="AS20" s="92" t="str">
        <f ca="1"/>
        <v>GS</v>
      </c>
      <c r="AT20" s="88">
        <f ca="1"/>
        <v>0.5714285714285714</v>
      </c>
    </row>
    <row r="21" spans="1:46">
      <c r="A21" s="694" t="s">
        <v>2074</v>
      </c>
      <c r="B21" s="1" t="str" cm="1">
        <f t="array" aca="1" ref="B21" ca="1">INDIRECT("SORTING!" &amp; ADDRESS(ROW(), A$2+3))</f>
        <v>EOAN</v>
      </c>
      <c r="C21" s="1" t="str">
        <f ca="1">_xlfn.XLOOKUP(D21,[1]!RTData[Ticker_Symbol],[1]!RTData[Currency])</f>
        <v>EUR</v>
      </c>
      <c r="D21" s="151" t="str">
        <f ca="1">TabCalc[[#This Row],[Ticker]]</f>
        <v>EOAN</v>
      </c>
      <c r="E21" t="str">
        <f ca="1"/>
        <v>GS</v>
      </c>
      <c r="F21" s="557">
        <f ca="1"/>
        <v>1.2888796962689482</v>
      </c>
      <c r="G21" s="151" t="str">
        <f ca="1"/>
        <v>AZN</v>
      </c>
      <c r="H21" s="558">
        <f ca="1"/>
        <v>153522.11785789995</v>
      </c>
      <c r="I21" t="str">
        <f ca="1"/>
        <v>VLVLY</v>
      </c>
      <c r="J21" s="559">
        <f ca="1"/>
        <v>2.1842999999999998E-2</v>
      </c>
      <c r="K21" s="151" t="str">
        <f ca="1"/>
        <v>VLVLY</v>
      </c>
      <c r="L21" s="559">
        <f ca="1"/>
        <v>2.1842999999999998E-2</v>
      </c>
      <c r="M21" s="1" t="str">
        <f ca="1"/>
        <v>BLDP</v>
      </c>
      <c r="N21" s="558">
        <f ca="1"/>
        <v>14808.51200000001</v>
      </c>
      <c r="O21" t="str">
        <f ca="1"/>
        <v>XYZ</v>
      </c>
      <c r="P21" s="558">
        <f ca="1"/>
        <v>4667.8320000000067</v>
      </c>
      <c r="Q21" t="str">
        <f ca="1"/>
        <v>AET</v>
      </c>
      <c r="R21" s="645">
        <f ca="1"/>
        <v>7.7756547619047614E-3</v>
      </c>
      <c r="S21" t="str">
        <f ca="1"/>
        <v>SAFDIS</v>
      </c>
      <c r="T21" s="85">
        <f ca="1"/>
        <v>2832</v>
      </c>
      <c r="U21" t="str">
        <f ca="1"/>
        <v>MVEUN0</v>
      </c>
      <c r="V21" s="308">
        <f ca="1"/>
        <v>1.17532E-2</v>
      </c>
      <c r="W21" t="str">
        <f ca="1"/>
        <v>KR</v>
      </c>
      <c r="X21">
        <f ca="1"/>
        <v>0</v>
      </c>
      <c r="Y21" t="str">
        <f ca="1"/>
        <v>EZJ</v>
      </c>
      <c r="Z21">
        <f ca="1"/>
        <v>3</v>
      </c>
      <c r="AA21" t="str">
        <f ca="1"/>
        <v>F</v>
      </c>
      <c r="AB21">
        <f ca="1"/>
        <v>71</v>
      </c>
      <c r="AC21" t="str">
        <f ca="1"/>
        <v>MVEUN0</v>
      </c>
      <c r="AD21">
        <f ca="1"/>
        <v>81</v>
      </c>
      <c r="AE21" t="str">
        <f ca="1"/>
        <v>RIGL</v>
      </c>
      <c r="AF21" s="85">
        <f ca="1"/>
        <v>0</v>
      </c>
      <c r="AG21" t="str">
        <f ca="1"/>
        <v>VLVLY</v>
      </c>
      <c r="AH21" s="85">
        <f ca="1"/>
        <v>6051</v>
      </c>
      <c r="AI21" t="str">
        <f ca="1"/>
        <v>DVA</v>
      </c>
      <c r="AJ21" s="85">
        <f ca="1"/>
        <v>6375.9999999999991</v>
      </c>
      <c r="AK21" s="88" t="str">
        <f ca="1"/>
        <v>AET</v>
      </c>
      <c r="AL21" s="308">
        <f ca="1"/>
        <v>7.7756547619047614E-3</v>
      </c>
      <c r="AM21" t="str">
        <f ca="1"/>
        <v>GS</v>
      </c>
      <c r="AN21" s="308" t="str">
        <f ca="1"/>
        <v/>
      </c>
      <c r="AO21" t="str">
        <f ca="1"/>
        <v>MVEEOAN</v>
      </c>
      <c r="AP21" s="308">
        <f ca="1"/>
        <v>-0.26507050216162287</v>
      </c>
      <c r="AQ21" s="85" t="str">
        <f ca="1"/>
        <v>SAFIAG</v>
      </c>
      <c r="AR21" s="88">
        <f ca="1"/>
        <v>0.85052909300778445</v>
      </c>
      <c r="AS21" s="92" t="str">
        <f ca="1"/>
        <v>SAFGM</v>
      </c>
      <c r="AT21" s="88">
        <f ca="1"/>
        <v>0.55555555555555558</v>
      </c>
    </row>
    <row r="22" spans="1:46">
      <c r="A22" s="707" t="s">
        <v>2083</v>
      </c>
      <c r="B22" s="1" t="str" cm="1">
        <f t="array" aca="1" ref="B22" ca="1">INDIRECT("SORTING!" &amp; ADDRESS(ROW(), A$2+3))</f>
        <v>EPIX</v>
      </c>
      <c r="C22" s="1" t="str">
        <f ca="1">_xlfn.XLOOKUP(D22,[1]!RTData[Ticker_Symbol],[1]!RTData[Currency])</f>
        <v>USD</v>
      </c>
      <c r="D22" s="151" t="str">
        <f ca="1">TabCalc[[#This Row],[Ticker]]</f>
        <v>EPIX</v>
      </c>
      <c r="E22" t="str">
        <f ca="1"/>
        <v>PAAS</v>
      </c>
      <c r="F22" s="557">
        <f ca="1"/>
        <v>1.2852166012257569</v>
      </c>
      <c r="G22" s="151" t="str">
        <f ca="1"/>
        <v>CSCO</v>
      </c>
      <c r="H22" s="558">
        <f ca="1"/>
        <v>139646.93648539996</v>
      </c>
      <c r="I22" t="str">
        <f ca="1"/>
        <v>MRNA</v>
      </c>
      <c r="J22" s="559">
        <f ca="1"/>
        <v>2.0668000000000002E-2</v>
      </c>
      <c r="K22" s="151" t="str">
        <f ca="1"/>
        <v>MRNA</v>
      </c>
      <c r="L22" s="559">
        <f ca="1"/>
        <v>2.0668000000000002E-2</v>
      </c>
      <c r="M22" s="1" t="str">
        <f ca="1"/>
        <v>AVGO</v>
      </c>
      <c r="N22" s="558">
        <f ca="1"/>
        <v>14775.552400000004</v>
      </c>
      <c r="O22" t="str">
        <f ca="1"/>
        <v>SAFAMZN</v>
      </c>
      <c r="P22" s="558">
        <f ca="1"/>
        <v>4303.7809999999981</v>
      </c>
      <c r="Q22" t="str">
        <f ca="1"/>
        <v>VTRS</v>
      </c>
      <c r="R22" s="645">
        <f ca="1"/>
        <v>7.5487047619047613E-3</v>
      </c>
      <c r="S22" t="str">
        <f ca="1"/>
        <v>MVEDSY</v>
      </c>
      <c r="T22" s="85">
        <f ca="1"/>
        <v>2760</v>
      </c>
      <c r="U22" t="str">
        <f ca="1"/>
        <v>VTRS</v>
      </c>
      <c r="V22" s="308">
        <f ca="1"/>
        <v>1.0993180000000002E-2</v>
      </c>
      <c r="W22" t="str">
        <f ca="1"/>
        <v>LNSR</v>
      </c>
      <c r="X22">
        <f ca="1"/>
        <v>0</v>
      </c>
      <c r="Y22" t="str">
        <f ca="1"/>
        <v>LAZR</v>
      </c>
      <c r="Z22">
        <f ca="1"/>
        <v>3</v>
      </c>
      <c r="AA22" t="str">
        <f ca="1"/>
        <v>OXY</v>
      </c>
      <c r="AB22">
        <f ca="1"/>
        <v>71</v>
      </c>
      <c r="AC22" t="str">
        <f ca="1"/>
        <v>GNRC</v>
      </c>
      <c r="AD22">
        <f ca="1"/>
        <v>81</v>
      </c>
      <c r="AE22" t="str">
        <f ca="1"/>
        <v>RWE</v>
      </c>
      <c r="AF22" s="85">
        <f ca="1"/>
        <v>0</v>
      </c>
      <c r="AG22" t="str">
        <f ca="1"/>
        <v>AAPL</v>
      </c>
      <c r="AH22" s="85">
        <f ca="1"/>
        <v>5886</v>
      </c>
      <c r="AI22" t="str">
        <f ca="1"/>
        <v>DIS</v>
      </c>
      <c r="AJ22" s="85">
        <f ca="1"/>
        <v>6319.9999999999927</v>
      </c>
      <c r="AK22" s="88" t="str">
        <f ca="1"/>
        <v>VTRS</v>
      </c>
      <c r="AL22" s="308">
        <f ca="1"/>
        <v>7.5487047619047613E-3</v>
      </c>
      <c r="AM22" t="str">
        <f ca="1"/>
        <v>LUV</v>
      </c>
      <c r="AN22" s="308" t="str">
        <f ca="1"/>
        <v/>
      </c>
      <c r="AO22" t="str">
        <f ca="1"/>
        <v>IAG</v>
      </c>
      <c r="AP22" s="308">
        <f ca="1"/>
        <v>-0.26151827477867201</v>
      </c>
      <c r="AQ22" s="85" t="str">
        <f ca="1"/>
        <v>ASML</v>
      </c>
      <c r="AR22" s="88">
        <f ca="1"/>
        <v>0.81500695462576489</v>
      </c>
      <c r="AS22" s="92" t="str">
        <f ca="1"/>
        <v>RRC</v>
      </c>
      <c r="AT22" s="88">
        <f ca="1"/>
        <v>0.5</v>
      </c>
    </row>
    <row r="23" spans="1:46">
      <c r="A23" s="693" t="s">
        <v>2074</v>
      </c>
      <c r="B23" s="1" t="str" cm="1">
        <f t="array" aca="1" ref="B23" ca="1">INDIRECT("SORTING!" &amp; ADDRESS(ROW(), A$2+3))</f>
        <v>GM</v>
      </c>
      <c r="C23" s="1" t="str">
        <f ca="1">_xlfn.XLOOKUP(D23,[1]!RTData[Ticker_Symbol],[1]!RTData[Currency])</f>
        <v>USD</v>
      </c>
      <c r="D23" s="151" t="str">
        <f ca="1">TabCalc[[#This Row],[Ticker]]</f>
        <v>GM</v>
      </c>
      <c r="E23" t="str">
        <f ca="1"/>
        <v>TSM</v>
      </c>
      <c r="F23" s="557">
        <f ca="1"/>
        <v>1.2628860762769001</v>
      </c>
      <c r="G23" s="151" t="str">
        <f ca="1"/>
        <v>SAFAAPL</v>
      </c>
      <c r="H23" s="558">
        <f ca="1"/>
        <v>129434.92005370995</v>
      </c>
      <c r="I23" t="str">
        <f ca="1"/>
        <v>SAFMRNA</v>
      </c>
      <c r="J23" s="559">
        <f ca="1"/>
        <v>2.0668000000000002E-2</v>
      </c>
      <c r="K23" s="151" t="str">
        <f ca="1"/>
        <v>SAFMRNA</v>
      </c>
      <c r="L23" s="559">
        <f ca="1"/>
        <v>2.0668000000000002E-2</v>
      </c>
      <c r="M23" s="1" t="str">
        <f ca="1"/>
        <v>VLVLY</v>
      </c>
      <c r="N23" s="558">
        <f ca="1"/>
        <v>14573.731000000007</v>
      </c>
      <c r="O23" t="str">
        <f ca="1"/>
        <v>AAPL</v>
      </c>
      <c r="P23" s="558">
        <f ca="1"/>
        <v>3984.6129999999762</v>
      </c>
      <c r="Q23" t="str">
        <f ca="1"/>
        <v>NEE</v>
      </c>
      <c r="R23" s="645">
        <f ca="1"/>
        <v>6.1684702380952368E-3</v>
      </c>
      <c r="S23" t="str">
        <f ca="1"/>
        <v>HPQ</v>
      </c>
      <c r="T23" s="85">
        <f ca="1"/>
        <v>2655</v>
      </c>
      <c r="U23" t="str">
        <f ca="1"/>
        <v>SSYS</v>
      </c>
      <c r="V23" s="308">
        <f ca="1"/>
        <v>9.8619999999999992E-3</v>
      </c>
      <c r="W23" t="str">
        <f ca="1"/>
        <v>LUMN</v>
      </c>
      <c r="X23">
        <f ca="1"/>
        <v>0</v>
      </c>
      <c r="Y23" t="str">
        <f ca="1"/>
        <v>DSY</v>
      </c>
      <c r="Z23">
        <f ca="1"/>
        <v>4</v>
      </c>
      <c r="AA23" t="str">
        <f ca="1"/>
        <v>RIG</v>
      </c>
      <c r="AB23">
        <f ca="1"/>
        <v>71</v>
      </c>
      <c r="AC23" t="str">
        <f ca="1"/>
        <v>MA</v>
      </c>
      <c r="AD23">
        <f ca="1"/>
        <v>81</v>
      </c>
      <c r="AE23" t="str">
        <f ca="1"/>
        <v>SSYS</v>
      </c>
      <c r="AF23" s="85">
        <f ca="1"/>
        <v>0</v>
      </c>
      <c r="AG23" t="str">
        <f ca="1"/>
        <v>WBA</v>
      </c>
      <c r="AH23" s="85">
        <f ca="1"/>
        <v>5744</v>
      </c>
      <c r="AI23" t="str">
        <f ca="1"/>
        <v>MSFT</v>
      </c>
      <c r="AJ23" s="85">
        <f ca="1"/>
        <v>6067.49999999999</v>
      </c>
      <c r="AK23" s="88" t="str">
        <f ca="1"/>
        <v>NEE</v>
      </c>
      <c r="AL23" s="308">
        <f ca="1"/>
        <v>6.1684702380952368E-3</v>
      </c>
      <c r="AM23" t="str">
        <f ca="1"/>
        <v>NVS</v>
      </c>
      <c r="AN23" s="308" t="str">
        <f ca="1"/>
        <v/>
      </c>
      <c r="AO23" t="str">
        <f ca="1"/>
        <v>BLDP</v>
      </c>
      <c r="AP23" s="308">
        <f ca="1"/>
        <v>-0.25880262975778562</v>
      </c>
      <c r="AQ23" s="85" t="str">
        <f ca="1"/>
        <v>X</v>
      </c>
      <c r="AR23" s="88">
        <f ca="1"/>
        <v>0.81208178664104047</v>
      </c>
      <c r="AS23" s="92" t="str">
        <f ca="1"/>
        <v>SAFIAG</v>
      </c>
      <c r="AT23" s="88">
        <f ca="1"/>
        <v>0.42857142857142855</v>
      </c>
    </row>
    <row r="24" spans="1:46">
      <c r="A24" s="358" t="s">
        <v>1881</v>
      </c>
      <c r="B24" s="1" t="str" cm="1">
        <f t="array" aca="1" ref="B24" ca="1">INDIRECT("SORTING!" &amp; ADDRESS(ROW(), A$2+3))</f>
        <v>HPE</v>
      </c>
      <c r="C24" s="1" t="str">
        <f ca="1">_xlfn.XLOOKUP(D24,[1]!RTData[Ticker_Symbol],[1]!RTData[Currency])</f>
        <v>USD</v>
      </c>
      <c r="D24" s="151" t="str">
        <f ca="1">TabCalc[[#This Row],[Ticker]]</f>
        <v>HPE</v>
      </c>
      <c r="E24" t="str">
        <f ca="1"/>
        <v>MA</v>
      </c>
      <c r="F24" s="557">
        <f ca="1"/>
        <v>1.2355910357032382</v>
      </c>
      <c r="G24" s="151" t="str">
        <f ca="1"/>
        <v>MVEGLE</v>
      </c>
      <c r="H24" s="558">
        <f ca="1"/>
        <v>110742.88514439999</v>
      </c>
      <c r="I24" t="str">
        <f ca="1"/>
        <v>RIGL</v>
      </c>
      <c r="J24" s="559">
        <f ca="1"/>
        <v>2.0135999999999998E-2</v>
      </c>
      <c r="K24" s="151" t="str">
        <f ca="1"/>
        <v>RIGL</v>
      </c>
      <c r="L24" s="559">
        <f ca="1"/>
        <v>2.0135999999999998E-2</v>
      </c>
      <c r="M24" s="1" t="str">
        <f ca="1"/>
        <v>PAAS</v>
      </c>
      <c r="N24" s="558">
        <f ca="1"/>
        <v>14527.128000000004</v>
      </c>
      <c r="O24" t="str">
        <f ca="1"/>
        <v>PROF</v>
      </c>
      <c r="P24" s="558">
        <f ca="1"/>
        <v>3630.5359999999987</v>
      </c>
      <c r="Q24" t="str">
        <f ca="1"/>
        <v>NVAX</v>
      </c>
      <c r="R24" s="645">
        <f ca="1"/>
        <v>6.1303809523809531E-3</v>
      </c>
      <c r="S24" t="str">
        <f ca="1"/>
        <v>EZJ</v>
      </c>
      <c r="T24" s="85">
        <f ca="1"/>
        <v>2640</v>
      </c>
      <c r="U24" t="str">
        <f ca="1"/>
        <v>BMRA</v>
      </c>
      <c r="V24" s="308">
        <f ca="1"/>
        <v>9.5188000000000009E-3</v>
      </c>
      <c r="W24" t="str">
        <f ca="1"/>
        <v>MRNA</v>
      </c>
      <c r="X24">
        <f ca="1"/>
        <v>0</v>
      </c>
      <c r="Y24" t="str">
        <f ca="1"/>
        <v>NEM</v>
      </c>
      <c r="Z24">
        <f ca="1"/>
        <v>4</v>
      </c>
      <c r="AA24" t="str">
        <f ca="1"/>
        <v>LUMN</v>
      </c>
      <c r="AB24">
        <f ca="1"/>
        <v>70</v>
      </c>
      <c r="AC24" t="str">
        <f ca="1"/>
        <v>HPE</v>
      </c>
      <c r="AD24">
        <f ca="1"/>
        <v>80</v>
      </c>
      <c r="AE24" t="str">
        <f ca="1"/>
        <v>TSLA</v>
      </c>
      <c r="AF24" s="85">
        <f ca="1"/>
        <v>0</v>
      </c>
      <c r="AG24" t="str">
        <f ca="1"/>
        <v>POET</v>
      </c>
      <c r="AH24" s="85">
        <f ca="1"/>
        <v>5587</v>
      </c>
      <c r="AI24" t="str">
        <f ca="1"/>
        <v>SAP</v>
      </c>
      <c r="AJ24" s="85">
        <f ca="1"/>
        <v>5700</v>
      </c>
      <c r="AK24" s="88" t="str">
        <f ca="1"/>
        <v>NVAX</v>
      </c>
      <c r="AL24" s="308">
        <f ca="1"/>
        <v>6.1303809523809531E-3</v>
      </c>
      <c r="AM24" t="str">
        <f ca="1"/>
        <v>PFE</v>
      </c>
      <c r="AN24" s="308" t="str">
        <f ca="1"/>
        <v/>
      </c>
      <c r="AO24" t="str">
        <f ca="1"/>
        <v>RIG</v>
      </c>
      <c r="AP24" s="308">
        <f ca="1"/>
        <v>-0.25369704465895837</v>
      </c>
      <c r="AQ24" s="85" t="str">
        <f ca="1"/>
        <v>LUMN</v>
      </c>
      <c r="AR24" s="88">
        <f ca="1"/>
        <v>0.80002263421287867</v>
      </c>
      <c r="AS24" s="92" t="str">
        <f ca="1"/>
        <v>GLE</v>
      </c>
      <c r="AT24" s="88">
        <f ca="1"/>
        <v>0.38095238095238093</v>
      </c>
    </row>
    <row r="25" spans="1:46">
      <c r="A25" s="694" t="s">
        <v>2074</v>
      </c>
      <c r="B25" s="1" t="str" cm="1">
        <f t="array" aca="1" ref="B25" ca="1">INDIRECT("SORTING!" &amp; ADDRESS(ROW(), A$2+3))</f>
        <v>HPQ</v>
      </c>
      <c r="C25" s="1" t="str">
        <f ca="1">_xlfn.XLOOKUP(D25,[1]!RTData[Ticker_Symbol],[1]!RTData[Currency])</f>
        <v>USD</v>
      </c>
      <c r="D25" s="151" t="str">
        <f ca="1">TabCalc[[#This Row],[Ticker]]</f>
        <v>HPQ</v>
      </c>
      <c r="E25" t="str">
        <f ca="1"/>
        <v>NEM</v>
      </c>
      <c r="F25" s="557">
        <f ca="1"/>
        <v>1.2314631296255434</v>
      </c>
      <c r="G25" s="151" t="str">
        <f ca="1"/>
        <v>VLVLY</v>
      </c>
      <c r="H25" s="558">
        <f ca="1"/>
        <v>107444.08614733999</v>
      </c>
      <c r="I25" t="str">
        <f ca="1"/>
        <v>EZJ</v>
      </c>
      <c r="J25" s="559">
        <f ca="1"/>
        <v>1.8262E-2</v>
      </c>
      <c r="K25" s="151" t="str">
        <f ca="1"/>
        <v>EZJ</v>
      </c>
      <c r="L25" s="559">
        <f ca="1"/>
        <v>1.8262E-2</v>
      </c>
      <c r="M25" s="1" t="str">
        <f ca="1"/>
        <v>LUV</v>
      </c>
      <c r="N25" s="558">
        <f ca="1"/>
        <v>14503.868711999992</v>
      </c>
      <c r="O25" t="str">
        <f ca="1"/>
        <v>ORA</v>
      </c>
      <c r="P25" s="558">
        <f ca="1"/>
        <v>3401.134</v>
      </c>
      <c r="Q25" t="str">
        <f ca="1"/>
        <v>PFE</v>
      </c>
      <c r="R25" s="645">
        <f ca="1"/>
        <v>6.0189166666666672E-3</v>
      </c>
      <c r="S25" t="str">
        <f ca="1"/>
        <v>SSYS</v>
      </c>
      <c r="T25" s="85">
        <f ca="1"/>
        <v>2400</v>
      </c>
      <c r="U25" t="str">
        <f ca="1"/>
        <v>C</v>
      </c>
      <c r="V25" s="308">
        <f ca="1"/>
        <v>9.3510399999999997E-3</v>
      </c>
      <c r="W25" t="str">
        <f ca="1"/>
        <v>MSFT</v>
      </c>
      <c r="X25">
        <f ca="1"/>
        <v>0</v>
      </c>
      <c r="Y25" t="str">
        <f ca="1"/>
        <v>DIS</v>
      </c>
      <c r="Z25">
        <f ca="1"/>
        <v>5</v>
      </c>
      <c r="AA25" t="str">
        <f ca="1"/>
        <v>SAFMRNA</v>
      </c>
      <c r="AB25">
        <f ca="1"/>
        <v>70</v>
      </c>
      <c r="AC25" t="str">
        <f ca="1"/>
        <v>NOTE</v>
      </c>
      <c r="AD25">
        <f ca="1"/>
        <v>80</v>
      </c>
      <c r="AE25" t="str">
        <f ca="1"/>
        <v>VLVLY</v>
      </c>
      <c r="AF25" s="85">
        <f ca="1"/>
        <v>0</v>
      </c>
      <c r="AG25" t="str">
        <f ca="1"/>
        <v>ASML</v>
      </c>
      <c r="AH25" s="85">
        <f ca="1"/>
        <v>5405</v>
      </c>
      <c r="AI25" t="str">
        <f ca="1"/>
        <v>SAFASML</v>
      </c>
      <c r="AJ25" s="85">
        <f ca="1"/>
        <v>5534.9999999999964</v>
      </c>
      <c r="AK25" s="88" t="str">
        <f ca="1"/>
        <v>PFE</v>
      </c>
      <c r="AL25" s="308">
        <f ca="1"/>
        <v>6.0189166666666672E-3</v>
      </c>
      <c r="AM25" t="str">
        <f ca="1"/>
        <v>RRC</v>
      </c>
      <c r="AN25" s="308" t="str">
        <f ca="1"/>
        <v/>
      </c>
      <c r="AO25" t="str">
        <f ca="1"/>
        <v>TSLA</v>
      </c>
      <c r="AP25" s="308">
        <f ca="1"/>
        <v>-0.24759737840815343</v>
      </c>
      <c r="AQ25" s="85" t="str">
        <f ca="1"/>
        <v>SAFAAPL</v>
      </c>
      <c r="AR25" s="88">
        <f ca="1"/>
        <v>0.78401556882277235</v>
      </c>
      <c r="AS25" s="92" t="str">
        <f ca="1"/>
        <v>F</v>
      </c>
      <c r="AT25" s="88">
        <f ca="1"/>
        <v>0.25</v>
      </c>
    </row>
    <row r="26" spans="1:46">
      <c r="A26" s="707" t="s">
        <v>661</v>
      </c>
      <c r="B26" s="1" t="str" cm="1">
        <f t="array" aca="1" ref="B26" ca="1">INDIRECT("SORTING!" &amp; ADDRESS(ROW(), A$2+3))</f>
        <v>IAG</v>
      </c>
      <c r="C26" s="1" t="str">
        <f ca="1">_xlfn.XLOOKUP(D26,[1]!RTData[Ticker_Symbol],[1]!RTData[Currency])</f>
        <v>GBp</v>
      </c>
      <c r="D26" s="151" t="str">
        <f ca="1">TabCalc[[#This Row],[Ticker]]</f>
        <v>IAG</v>
      </c>
      <c r="E26" t="str">
        <f ca="1"/>
        <v>NVS</v>
      </c>
      <c r="F26" s="557">
        <f ca="1"/>
        <v>1.2135400759484285</v>
      </c>
      <c r="G26" s="151" t="str">
        <f ca="1"/>
        <v>PAAS</v>
      </c>
      <c r="H26" s="558">
        <f ca="1"/>
        <v>106132.47661679998</v>
      </c>
      <c r="I26" t="str">
        <f ca="1"/>
        <v>SSYS</v>
      </c>
      <c r="J26" s="559">
        <f ca="1"/>
        <v>1.6146000000000001E-2</v>
      </c>
      <c r="K26" s="151" t="str">
        <f ca="1"/>
        <v>SSYS</v>
      </c>
      <c r="L26" s="559">
        <f ca="1"/>
        <v>1.6146000000000001E-2</v>
      </c>
      <c r="M26" s="1" t="str">
        <f ca="1"/>
        <v>CSCO</v>
      </c>
      <c r="N26" s="558">
        <f ca="1"/>
        <v>11895.279999999999</v>
      </c>
      <c r="O26" t="str">
        <f ca="1"/>
        <v>WBA</v>
      </c>
      <c r="P26" s="558">
        <f ca="1"/>
        <v>2908.0194400000046</v>
      </c>
      <c r="Q26" t="str">
        <f ca="1"/>
        <v>BMRA</v>
      </c>
      <c r="R26" s="645">
        <f ca="1"/>
        <v>5.7363071428571449E-3</v>
      </c>
      <c r="S26" t="str">
        <f ca="1"/>
        <v>DIS</v>
      </c>
      <c r="T26" s="85">
        <f ca="1"/>
        <v>2360</v>
      </c>
      <c r="U26" t="str">
        <f ca="1"/>
        <v>CVS</v>
      </c>
      <c r="V26" s="308">
        <f ca="1"/>
        <v>8.9932000000000015E-3</v>
      </c>
      <c r="W26" t="str">
        <f ca="1"/>
        <v>NEE</v>
      </c>
      <c r="X26">
        <f ca="1"/>
        <v>0</v>
      </c>
      <c r="Y26" t="str">
        <f ca="1"/>
        <v>IAG</v>
      </c>
      <c r="Z26">
        <f ca="1"/>
        <v>5</v>
      </c>
      <c r="AA26" t="str">
        <f ca="1"/>
        <v>RRC</v>
      </c>
      <c r="AB26">
        <f ca="1"/>
        <v>69</v>
      </c>
      <c r="AC26" t="str">
        <f ca="1"/>
        <v>SHECY</v>
      </c>
      <c r="AD26">
        <f ca="1"/>
        <v>80</v>
      </c>
      <c r="AE26" t="str">
        <f ca="1"/>
        <v>VONN</v>
      </c>
      <c r="AF26" s="85">
        <f ca="1"/>
        <v>0</v>
      </c>
      <c r="AG26" t="str">
        <f ca="1"/>
        <v>VONN</v>
      </c>
      <c r="AH26" s="85">
        <f ca="1"/>
        <v>5285</v>
      </c>
      <c r="AI26" t="str">
        <f ca="1"/>
        <v>KR</v>
      </c>
      <c r="AJ26" s="85">
        <f ca="1"/>
        <v>5134.9999999999909</v>
      </c>
      <c r="AK26" s="88" t="str">
        <f ca="1"/>
        <v>BMRA</v>
      </c>
      <c r="AL26" s="308">
        <f ca="1"/>
        <v>5.7363071428571449E-3</v>
      </c>
      <c r="AM26" t="str">
        <f ca="1"/>
        <v>LOCK</v>
      </c>
      <c r="AN26" s="308" t="str">
        <f ca="1"/>
        <v/>
      </c>
      <c r="AO26" t="str">
        <f ca="1"/>
        <v>SAFIAG</v>
      </c>
      <c r="AP26" s="308">
        <f ca="1"/>
        <v>-0.24324386317907445</v>
      </c>
      <c r="AQ26" s="85" t="str">
        <f ca="1"/>
        <v>AAPL</v>
      </c>
      <c r="AR26" s="88">
        <f ca="1"/>
        <v>0.7245333049619842</v>
      </c>
      <c r="AS26" s="92" t="str">
        <f ca="1"/>
        <v>ASML</v>
      </c>
      <c r="AT26" s="88">
        <f ca="1"/>
        <v>0</v>
      </c>
    </row>
    <row r="27" spans="1:46">
      <c r="A27" s="693" t="s">
        <v>2074</v>
      </c>
      <c r="B27" s="1" t="str" cm="1">
        <f t="array" aca="1" ref="B27" ca="1">INDIRECT("SORTING!" &amp; ADDRESS(ROW(), A$2+3))</f>
        <v>KR</v>
      </c>
      <c r="C27" s="1" t="str">
        <f ca="1">_xlfn.XLOOKUP(D27,[1]!RTData[Ticker_Symbol],[1]!RTData[Currency])</f>
        <v>USD</v>
      </c>
      <c r="D27" s="151" t="str">
        <f ca="1">TabCalc[[#This Row],[Ticker]]</f>
        <v>KR</v>
      </c>
      <c r="E27" t="str">
        <f ca="1"/>
        <v>DXC</v>
      </c>
      <c r="F27" s="557">
        <f ca="1"/>
        <v>1.144784804822979</v>
      </c>
      <c r="G27" s="151" t="str">
        <f ca="1"/>
        <v>MVEORA</v>
      </c>
      <c r="H27" s="558">
        <f ca="1"/>
        <v>91676.838540060009</v>
      </c>
      <c r="I27" t="str">
        <f ca="1"/>
        <v>F</v>
      </c>
      <c r="J27" s="559">
        <f ca="1"/>
        <v>1.6032999999999999E-2</v>
      </c>
      <c r="K27" s="151" t="str">
        <f ca="1"/>
        <v>F</v>
      </c>
      <c r="L27" s="559">
        <f ca="1"/>
        <v>1.6032999999999999E-2</v>
      </c>
      <c r="M27" s="1" t="str">
        <f ca="1"/>
        <v>JBEOAN</v>
      </c>
      <c r="N27" s="558">
        <f ca="1"/>
        <v>11428.315398600009</v>
      </c>
      <c r="O27" t="str">
        <f ca="1"/>
        <v>SAFAAPL</v>
      </c>
      <c r="P27" s="558">
        <f ca="1"/>
        <v>2697.4682999999959</v>
      </c>
      <c r="Q27" t="str">
        <f ca="1"/>
        <v>NFLX</v>
      </c>
      <c r="R27" s="645">
        <f ca="1"/>
        <v>5.7217499999999942E-3</v>
      </c>
      <c r="S27" t="str">
        <f ca="1"/>
        <v>MVEGLE</v>
      </c>
      <c r="T27" s="85">
        <f ca="1"/>
        <v>2120</v>
      </c>
      <c r="U27" t="str">
        <f ca="1"/>
        <v>MVEGLE</v>
      </c>
      <c r="V27" s="308">
        <f ca="1"/>
        <v>8.9821999999999992E-3</v>
      </c>
      <c r="W27" t="str">
        <f ca="1"/>
        <v>NFLX</v>
      </c>
      <c r="X27">
        <f ca="1"/>
        <v>0</v>
      </c>
      <c r="Y27" t="str">
        <f ca="1"/>
        <v>MRNA</v>
      </c>
      <c r="Z27">
        <f ca="1"/>
        <v>5</v>
      </c>
      <c r="AA27" t="str">
        <f ca="1"/>
        <v>HPE</v>
      </c>
      <c r="AB27">
        <f ca="1"/>
        <v>68</v>
      </c>
      <c r="AC27" t="str">
        <f ca="1"/>
        <v>NVS</v>
      </c>
      <c r="AD27">
        <f ca="1"/>
        <v>75</v>
      </c>
      <c r="AE27" t="str">
        <f ca="1"/>
        <v>VTRS</v>
      </c>
      <c r="AF27" s="85">
        <f ca="1"/>
        <v>0</v>
      </c>
      <c r="AG27" t="str">
        <f ca="1"/>
        <v>DXC</v>
      </c>
      <c r="AH27" s="85">
        <f ca="1"/>
        <v>3031</v>
      </c>
      <c r="AI27" t="str">
        <f ca="1"/>
        <v>GNRC</v>
      </c>
      <c r="AJ27" s="85">
        <f ca="1"/>
        <v>4856</v>
      </c>
      <c r="AK27" s="88" t="str">
        <f ca="1"/>
        <v>NFLX</v>
      </c>
      <c r="AL27" s="308">
        <f ca="1"/>
        <v>5.7217499999999942E-3</v>
      </c>
      <c r="AM27" t="str">
        <f ca="1"/>
        <v>JBASML</v>
      </c>
      <c r="AN27" s="308" t="str">
        <f ca="1"/>
        <v/>
      </c>
      <c r="AO27" t="str">
        <f ca="1"/>
        <v>AAPL</v>
      </c>
      <c r="AP27" s="308">
        <f ca="1"/>
        <v>-0.2380424184493532</v>
      </c>
      <c r="AQ27" s="85" t="str">
        <f ca="1"/>
        <v>RWE</v>
      </c>
      <c r="AR27" s="88">
        <f ca="1"/>
        <v>0.63746381687869158</v>
      </c>
      <c r="AS27" s="92" t="str">
        <f ca="1"/>
        <v>AVGO</v>
      </c>
      <c r="AT27" s="88">
        <f ca="1"/>
        <v>0</v>
      </c>
    </row>
    <row r="28" spans="1:46">
      <c r="A28" s="358" t="s">
        <v>1900</v>
      </c>
      <c r="B28" s="1" t="str" cm="1">
        <f t="array" aca="1" ref="B28" ca="1">INDIRECT("SORTING!" &amp; ADDRESS(ROW(), A$2+3))</f>
        <v>LNSR</v>
      </c>
      <c r="C28" s="1" t="str">
        <f ca="1">_xlfn.XLOOKUP(D28,[1]!RTData[Ticker_Symbol],[1]!RTData[Currency])</f>
        <v>USD</v>
      </c>
      <c r="D28" s="151" t="str">
        <f ca="1">TabCalc[[#This Row],[Ticker]]</f>
        <v>LNSR</v>
      </c>
      <c r="E28" t="str">
        <f ca="1"/>
        <v>AZN</v>
      </c>
      <c r="F28" s="557">
        <f ca="1"/>
        <v>1.1425060719524345</v>
      </c>
      <c r="G28" s="151" t="str">
        <f ca="1"/>
        <v>TSLA</v>
      </c>
      <c r="H28" s="558">
        <f ca="1"/>
        <v>87897.047623728606</v>
      </c>
      <c r="I28" t="str">
        <f ca="1"/>
        <v>KR</v>
      </c>
      <c r="J28" s="559">
        <f ca="1"/>
        <v>1.5921000000000001E-2</v>
      </c>
      <c r="K28" s="151" t="str">
        <f ca="1"/>
        <v>KR</v>
      </c>
      <c r="L28" s="559">
        <f ca="1"/>
        <v>1.5921000000000001E-2</v>
      </c>
      <c r="M28" s="1" t="str">
        <f ca="1"/>
        <v>VTRS</v>
      </c>
      <c r="N28" s="558">
        <f ca="1"/>
        <v>10527.02</v>
      </c>
      <c r="O28" t="str">
        <f ca="1"/>
        <v>MVEGLE</v>
      </c>
      <c r="P28" s="558">
        <f ca="1"/>
        <v>2633.1360000000004</v>
      </c>
      <c r="Q28" t="str">
        <f ca="1"/>
        <v>AZN</v>
      </c>
      <c r="R28" s="645">
        <f ca="1"/>
        <v>5.4465297619047618E-3</v>
      </c>
      <c r="S28" t="str">
        <f ca="1"/>
        <v>LUV</v>
      </c>
      <c r="T28" s="85">
        <f ca="1"/>
        <v>1911</v>
      </c>
      <c r="U28" t="str">
        <f ca="1"/>
        <v>GLE</v>
      </c>
      <c r="V28" s="308">
        <f ca="1"/>
        <v>8.9821999999999992E-3</v>
      </c>
      <c r="W28" t="str">
        <f ca="1"/>
        <v>NOTE</v>
      </c>
      <c r="X28">
        <f ca="1"/>
        <v>0</v>
      </c>
      <c r="Y28" t="str">
        <f ca="1"/>
        <v>NOTE</v>
      </c>
      <c r="Z28">
        <f ca="1"/>
        <v>5</v>
      </c>
      <c r="AA28" t="str">
        <f ca="1"/>
        <v>PW</v>
      </c>
      <c r="AB28">
        <f ca="1"/>
        <v>68</v>
      </c>
      <c r="AC28" t="str">
        <f ca="1"/>
        <v>GM</v>
      </c>
      <c r="AD28">
        <f ca="1"/>
        <v>74</v>
      </c>
      <c r="AE28" t="str">
        <f ca="1"/>
        <v>MVEDDD</v>
      </c>
      <c r="AF28" s="85">
        <f ca="1"/>
        <v>0</v>
      </c>
      <c r="AG28" t="str">
        <f ca="1"/>
        <v>LUV</v>
      </c>
      <c r="AH28" s="85">
        <f ca="1"/>
        <v>2629</v>
      </c>
      <c r="AI28" t="str">
        <f ca="1"/>
        <v>POET</v>
      </c>
      <c r="AJ28" s="85">
        <f ca="1"/>
        <v>4625.0000000000009</v>
      </c>
      <c r="AK28" s="88" t="str">
        <f ca="1"/>
        <v>AZN</v>
      </c>
      <c r="AL28" s="308">
        <f ca="1"/>
        <v>5.4465297619047618E-3</v>
      </c>
      <c r="AM28" t="str">
        <f ca="1"/>
        <v>X</v>
      </c>
      <c r="AN28" s="308">
        <f ca="1"/>
        <v>0.76488990155195036</v>
      </c>
      <c r="AO28" t="str">
        <f ca="1"/>
        <v>MVERWE</v>
      </c>
      <c r="AP28" s="308">
        <f ca="1"/>
        <v>-0.23611704781704781</v>
      </c>
      <c r="AQ28" s="85" t="str">
        <f ca="1"/>
        <v>MVESAP</v>
      </c>
      <c r="AR28" s="88">
        <f ca="1"/>
        <v>0.62563580874872937</v>
      </c>
      <c r="AS28" s="92" t="str">
        <f ca="1"/>
        <v>AZN</v>
      </c>
      <c r="AT28" s="88">
        <f ca="1"/>
        <v>0</v>
      </c>
    </row>
    <row r="29" spans="1:46">
      <c r="A29" s="694" t="s">
        <v>2074</v>
      </c>
      <c r="B29" s="1" t="str" cm="1">
        <f t="array" aca="1" ref="B29" ca="1">INDIRECT("SORTING!" &amp; ADDRESS(ROW(), A$2+3))</f>
        <v>LUMN</v>
      </c>
      <c r="C29" s="1" t="str">
        <f ca="1">_xlfn.XLOOKUP(D29,[1]!RTData[Ticker_Symbol],[1]!RTData[Currency])</f>
        <v>USD</v>
      </c>
      <c r="D29" s="151" t="str">
        <f ca="1">TabCalc[[#This Row],[Ticker]]</f>
        <v>LUMN</v>
      </c>
      <c r="E29" t="str">
        <f ca="1"/>
        <v>DSY</v>
      </c>
      <c r="F29" s="557">
        <f ca="1"/>
        <v>1.1231597996094751</v>
      </c>
      <c r="G29" s="151" t="str">
        <f ca="1"/>
        <v>KR</v>
      </c>
      <c r="H29" s="558">
        <f ca="1"/>
        <v>86980.033519099932</v>
      </c>
      <c r="I29" t="str">
        <f ca="1"/>
        <v>NFLX</v>
      </c>
      <c r="J29" s="559">
        <f ca="1"/>
        <v>1.4884999999999999E-2</v>
      </c>
      <c r="K29" s="151" t="str">
        <f ca="1"/>
        <v>NFLX</v>
      </c>
      <c r="L29" s="559">
        <f ca="1"/>
        <v>1.4884999999999999E-2</v>
      </c>
      <c r="M29" s="1" t="str">
        <f ca="1"/>
        <v>AZN</v>
      </c>
      <c r="N29" s="558">
        <f ca="1"/>
        <v>10134.208000000001</v>
      </c>
      <c r="O29" t="str">
        <f ca="1"/>
        <v>RRC</v>
      </c>
      <c r="P29" s="558">
        <f ca="1"/>
        <v>2199.2669999999766</v>
      </c>
      <c r="Q29" t="str">
        <f ca="1"/>
        <v>LUV</v>
      </c>
      <c r="R29" s="645">
        <f ca="1"/>
        <v>5.0861488095238078E-3</v>
      </c>
      <c r="S29" t="str">
        <f ca="1"/>
        <v>MVEORA</v>
      </c>
      <c r="T29" s="85">
        <f ca="1"/>
        <v>1782</v>
      </c>
      <c r="U29" t="str">
        <f ca="1"/>
        <v>PROF</v>
      </c>
      <c r="V29" s="308">
        <f ca="1"/>
        <v>8.9703999999999999E-3</v>
      </c>
      <c r="W29" t="str">
        <f ca="1"/>
        <v>PAAS</v>
      </c>
      <c r="X29">
        <f ca="1"/>
        <v>0</v>
      </c>
      <c r="Y29" t="str">
        <f ca="1"/>
        <v>PAAS</v>
      </c>
      <c r="Z29">
        <f ca="1"/>
        <v>5</v>
      </c>
      <c r="AA29" t="str">
        <f ca="1"/>
        <v>DVA</v>
      </c>
      <c r="AB29">
        <f ca="1"/>
        <v>66</v>
      </c>
      <c r="AC29" t="str">
        <f ca="1"/>
        <v>LUMN</v>
      </c>
      <c r="AD29">
        <f ca="1"/>
        <v>74</v>
      </c>
      <c r="AE29" t="str">
        <f ca="1"/>
        <v>MVEEOAN</v>
      </c>
      <c r="AF29" s="85">
        <f ca="1"/>
        <v>0</v>
      </c>
      <c r="AG29" t="str">
        <f ca="1"/>
        <v>IAG</v>
      </c>
      <c r="AH29" s="85">
        <f ca="1"/>
        <v>2233</v>
      </c>
      <c r="AI29" t="str">
        <f ca="1"/>
        <v>JBASML</v>
      </c>
      <c r="AJ29" s="85">
        <f ca="1"/>
        <v>4379.9999999999955</v>
      </c>
      <c r="AK29" s="88" t="str">
        <f ca="1"/>
        <v>LUV</v>
      </c>
      <c r="AL29" s="308">
        <f ca="1"/>
        <v>5.0861488095238078E-3</v>
      </c>
      <c r="AM29" t="str">
        <f ca="1"/>
        <v>GM</v>
      </c>
      <c r="AN29" s="308">
        <f ca="1"/>
        <v>0.72566316286541788</v>
      </c>
      <c r="AO29" t="str">
        <f ca="1"/>
        <v>AZN</v>
      </c>
      <c r="AP29" s="308">
        <f ca="1"/>
        <v>-0.22708129360948057</v>
      </c>
      <c r="AQ29" s="85" t="str">
        <f ca="1"/>
        <v>AZN</v>
      </c>
      <c r="AR29" s="88">
        <f ca="1"/>
        <v>0.6058182249081645</v>
      </c>
      <c r="AS29" s="92" t="str">
        <f ca="1"/>
        <v>BLDP</v>
      </c>
      <c r="AT29" s="88">
        <f ca="1"/>
        <v>0</v>
      </c>
    </row>
    <row r="30" spans="1:46">
      <c r="A30" s="707" t="s">
        <v>1883</v>
      </c>
      <c r="B30" s="1" t="str" cm="1">
        <f t="array" aca="1" ref="B30" ca="1">INDIRECT("SORTING!" &amp; ADDRESS(ROW(), A$2+3))</f>
        <v>MRNA</v>
      </c>
      <c r="C30" s="1" t="str">
        <f ca="1">_xlfn.XLOOKUP(D30,[1]!RTData[Ticker_Symbol],[1]!RTData[Currency])</f>
        <v>USD</v>
      </c>
      <c r="D30" s="151" t="str">
        <f ca="1">TabCalc[[#This Row],[Ticker]]</f>
        <v>MRNA</v>
      </c>
      <c r="E30" t="str">
        <f ca="1"/>
        <v>MVEDSY</v>
      </c>
      <c r="F30" s="557">
        <f ca="1"/>
        <v>1.1231597996094751</v>
      </c>
      <c r="G30" s="151" t="str">
        <f ca="1"/>
        <v>AVGO</v>
      </c>
      <c r="H30" s="558">
        <f ca="1"/>
        <v>81869.854327020759</v>
      </c>
      <c r="I30" t="str">
        <f ca="1"/>
        <v>DVA</v>
      </c>
      <c r="J30" s="559">
        <f ca="1"/>
        <v>1.4029E-2</v>
      </c>
      <c r="K30" s="151" t="str">
        <f ca="1"/>
        <v>DVA</v>
      </c>
      <c r="L30" s="559">
        <f ca="1"/>
        <v>1.4029E-2</v>
      </c>
      <c r="M30" s="1" t="str">
        <f ca="1"/>
        <v>ENI</v>
      </c>
      <c r="N30" s="558">
        <f ca="1"/>
        <v>9953.3800000000028</v>
      </c>
      <c r="O30" t="str">
        <f ca="1"/>
        <v>AZN</v>
      </c>
      <c r="P30" s="558">
        <f ca="1"/>
        <v>2029.7090000000035</v>
      </c>
      <c r="Q30" t="str">
        <f ca="1"/>
        <v>TSM</v>
      </c>
      <c r="R30" s="645">
        <f ca="1"/>
        <v>4.9561309523809532E-3</v>
      </c>
      <c r="S30" t="str">
        <f ca="1"/>
        <v>MVEDDD</v>
      </c>
      <c r="T30" s="85">
        <f ca="1"/>
        <v>1750</v>
      </c>
      <c r="U30" t="str">
        <f ca="1"/>
        <v>HPQ</v>
      </c>
      <c r="V30" s="308">
        <f ca="1"/>
        <v>8.0907599999999989E-3</v>
      </c>
      <c r="W30" t="str">
        <f ca="1"/>
        <v>PROF</v>
      </c>
      <c r="X30">
        <f ca="1"/>
        <v>0</v>
      </c>
      <c r="Y30" t="str">
        <f ca="1"/>
        <v>UNIT</v>
      </c>
      <c r="Z30">
        <f ca="1"/>
        <v>5</v>
      </c>
      <c r="AA30" t="str">
        <f ca="1"/>
        <v>GM</v>
      </c>
      <c r="AB30">
        <f ca="1"/>
        <v>65</v>
      </c>
      <c r="AC30" t="str">
        <f ca="1"/>
        <v>NEE</v>
      </c>
      <c r="AD30">
        <f ca="1"/>
        <v>74</v>
      </c>
      <c r="AE30" t="str">
        <f ca="1"/>
        <v>MVEGLE</v>
      </c>
      <c r="AF30" s="85">
        <f ca="1"/>
        <v>0</v>
      </c>
      <c r="AG30" t="str">
        <f ca="1"/>
        <v>NFLX</v>
      </c>
      <c r="AH30" s="85">
        <f ca="1"/>
        <v>1605</v>
      </c>
      <c r="AI30" t="str">
        <f ca="1"/>
        <v>MVEUN0</v>
      </c>
      <c r="AJ30" s="85">
        <f ca="1"/>
        <v>3991.8399999999997</v>
      </c>
      <c r="AK30" s="88" t="str">
        <f ca="1"/>
        <v>TSM</v>
      </c>
      <c r="AL30" s="308">
        <f ca="1"/>
        <v>4.9561309523809532E-3</v>
      </c>
      <c r="AM30" t="str">
        <f ca="1"/>
        <v>LUMN</v>
      </c>
      <c r="AN30" s="308">
        <f ca="1"/>
        <v>0.70043490415400012</v>
      </c>
      <c r="AO30" t="str">
        <f ca="1"/>
        <v>NVS</v>
      </c>
      <c r="AP30" s="308">
        <f ca="1"/>
        <v>-0.22433995164702339</v>
      </c>
      <c r="AQ30" s="85" t="str">
        <f ca="1"/>
        <v>SAFGM</v>
      </c>
      <c r="AR30" s="88">
        <f ca="1"/>
        <v>0.58570749746916517</v>
      </c>
      <c r="AS30" s="92" t="str">
        <f ca="1"/>
        <v>BMRA</v>
      </c>
      <c r="AT30" s="88">
        <f ca="1"/>
        <v>0</v>
      </c>
    </row>
    <row r="31" spans="1:46">
      <c r="A31" s="693" t="s">
        <v>2074</v>
      </c>
      <c r="B31" s="1" t="str" cm="1">
        <f t="array" aca="1" ref="B31" ca="1">INDIRECT("SORTING!" &amp; ADDRESS(ROW(), A$2+3))</f>
        <v>MSFT</v>
      </c>
      <c r="C31" s="1" t="str">
        <f ca="1">_xlfn.XLOOKUP(D31,[1]!RTData[Ticker_Symbol],[1]!RTData[Currency])</f>
        <v>USD</v>
      </c>
      <c r="D31" s="151" t="str">
        <f ca="1">TabCalc[[#This Row],[Ticker]]</f>
        <v>MSFT</v>
      </c>
      <c r="E31" t="str">
        <f ca="1"/>
        <v>MVEENI</v>
      </c>
      <c r="F31" s="557">
        <f ca="1"/>
        <v>1.121580663028575</v>
      </c>
      <c r="G31" s="151" t="str">
        <f ca="1"/>
        <v>JBASML</v>
      </c>
      <c r="H31" s="558">
        <f ca="1"/>
        <v>79355.789999999994</v>
      </c>
      <c r="I31" t="str">
        <f ca="1"/>
        <v>MVEGLE</v>
      </c>
      <c r="J31" s="559">
        <f ca="1"/>
        <v>1.3863E-2</v>
      </c>
      <c r="K31" s="151" t="str">
        <f ca="1"/>
        <v>MVEGLE</v>
      </c>
      <c r="L31" s="559">
        <f ca="1"/>
        <v>1.3863E-2</v>
      </c>
      <c r="M31" s="1" t="str">
        <f ca="1"/>
        <v>PROF</v>
      </c>
      <c r="N31" s="558">
        <f ca="1"/>
        <v>8906.0239999999994</v>
      </c>
      <c r="O31" t="str">
        <f ca="1"/>
        <v>LUMN</v>
      </c>
      <c r="P31" s="558">
        <f ca="1"/>
        <v>1826.7381000000003</v>
      </c>
      <c r="Q31" t="str">
        <f ca="1"/>
        <v>MVEUN0</v>
      </c>
      <c r="R31" s="645">
        <f ca="1"/>
        <v>4.9561309523809532E-3</v>
      </c>
      <c r="S31" t="str">
        <f ca="1"/>
        <v>LAZR</v>
      </c>
      <c r="T31" s="85">
        <f ca="1"/>
        <v>1492.8315999999995</v>
      </c>
      <c r="U31" t="str">
        <f ca="1"/>
        <v>AVGO</v>
      </c>
      <c r="V31" s="308">
        <f ca="1"/>
        <v>7.7380000000000001E-3</v>
      </c>
      <c r="W31" t="str">
        <f ca="1"/>
        <v>PW</v>
      </c>
      <c r="X31">
        <f ca="1"/>
        <v>0</v>
      </c>
      <c r="Y31" t="str">
        <f ca="1"/>
        <v>VLVLY</v>
      </c>
      <c r="Z31">
        <f ca="1"/>
        <v>5</v>
      </c>
      <c r="AA31" t="str">
        <f ca="1"/>
        <v>SSYS</v>
      </c>
      <c r="AB31">
        <f ca="1"/>
        <v>63</v>
      </c>
      <c r="AC31" t="str">
        <f ca="1"/>
        <v>VLVLY</v>
      </c>
      <c r="AD31">
        <f ca="1"/>
        <v>74</v>
      </c>
      <c r="AE31" t="str">
        <f ca="1"/>
        <v>MVERWE</v>
      </c>
      <c r="AF31" s="85">
        <f ca="1"/>
        <v>0</v>
      </c>
      <c r="AG31" t="str">
        <f ca="1"/>
        <v>MVESAP</v>
      </c>
      <c r="AH31" s="85">
        <f ca="1"/>
        <v>1428</v>
      </c>
      <c r="AI31" t="str">
        <f ca="1"/>
        <v>SAFDIS</v>
      </c>
      <c r="AJ31" s="85">
        <f ca="1"/>
        <v>3791.6999999999985</v>
      </c>
      <c r="AK31" s="88" t="str">
        <f ca="1"/>
        <v>MVEUN0</v>
      </c>
      <c r="AL31" s="308">
        <f ca="1"/>
        <v>4.9561309523809532E-3</v>
      </c>
      <c r="AM31" t="str">
        <f ca="1"/>
        <v>RWE</v>
      </c>
      <c r="AN31" s="308">
        <f ca="1"/>
        <v>0.52059350592231801</v>
      </c>
      <c r="AO31" t="str">
        <f ca="1"/>
        <v>POET</v>
      </c>
      <c r="AP31" s="308">
        <f ca="1"/>
        <v>-0.21302872741215928</v>
      </c>
      <c r="AQ31" s="85" t="str">
        <f ca="1"/>
        <v>F</v>
      </c>
      <c r="AR31" s="88">
        <f ca="1"/>
        <v>0.57814717803889448</v>
      </c>
      <c r="AS31" s="92" t="str">
        <f ca="1"/>
        <v>C</v>
      </c>
      <c r="AT31" s="88">
        <f ca="1"/>
        <v>0</v>
      </c>
    </row>
    <row r="32" spans="1:46">
      <c r="A32" s="358" t="s">
        <v>2079</v>
      </c>
      <c r="B32" s="1" t="str" cm="1">
        <f t="array" aca="1" ref="B32" ca="1">INDIRECT("SORTING!" &amp; ADDRESS(ROW(), A$2+3))</f>
        <v>NEE</v>
      </c>
      <c r="C32" s="1" t="str">
        <f ca="1">_xlfn.XLOOKUP(D32,[1]!RTData[Ticker_Symbol],[1]!RTData[Currency])</f>
        <v>USD</v>
      </c>
      <c r="D32" s="151" t="str">
        <f ca="1">TabCalc[[#This Row],[Ticker]]</f>
        <v>NEE</v>
      </c>
      <c r="E32" t="str">
        <f ca="1"/>
        <v>ENI</v>
      </c>
      <c r="F32" s="557">
        <f ca="1"/>
        <v>1.121580663028575</v>
      </c>
      <c r="G32" s="151" t="str">
        <f ca="1"/>
        <v>POET</v>
      </c>
      <c r="H32" s="558">
        <f ca="1"/>
        <v>72708.915133000002</v>
      </c>
      <c r="I32" t="str">
        <f ca="1"/>
        <v>GLE</v>
      </c>
      <c r="J32" s="559">
        <f ca="1"/>
        <v>1.3863E-2</v>
      </c>
      <c r="K32" s="151" t="str">
        <f ca="1"/>
        <v>GLE</v>
      </c>
      <c r="L32" s="559">
        <f ca="1"/>
        <v>1.3863E-2</v>
      </c>
      <c r="M32" s="1" t="str">
        <f ca="1"/>
        <v>EZJ</v>
      </c>
      <c r="N32" s="558">
        <f ca="1"/>
        <v>6878.4408000000158</v>
      </c>
      <c r="O32" t="str">
        <f ca="1"/>
        <v>AMZN</v>
      </c>
      <c r="P32" s="558">
        <f ca="1"/>
        <v>1748.4422000000029</v>
      </c>
      <c r="Q32" t="str">
        <f ca="1"/>
        <v>DDD</v>
      </c>
      <c r="R32" s="645">
        <f ca="1"/>
        <v>4.8209702380952379E-3</v>
      </c>
      <c r="S32" t="str">
        <f ca="1"/>
        <v>DVA</v>
      </c>
      <c r="T32" s="85">
        <f ca="1"/>
        <v>1169</v>
      </c>
      <c r="U32" t="str">
        <f ca="1"/>
        <v>TSLA</v>
      </c>
      <c r="V32" s="308">
        <f ca="1"/>
        <v>7.0773999999999993E-3</v>
      </c>
      <c r="W32" t="str">
        <f ca="1"/>
        <v>RIGL</v>
      </c>
      <c r="X32">
        <f ca="1"/>
        <v>0</v>
      </c>
      <c r="Y32" t="str">
        <f ca="1"/>
        <v>MVEDSY</v>
      </c>
      <c r="Z32">
        <f ca="1"/>
        <v>5</v>
      </c>
      <c r="AA32" t="str">
        <f ca="1"/>
        <v>MA</v>
      </c>
      <c r="AB32">
        <f ca="1"/>
        <v>63</v>
      </c>
      <c r="AC32" t="str">
        <f ca="1"/>
        <v>SAFMRNA</v>
      </c>
      <c r="AD32">
        <f ca="1"/>
        <v>74</v>
      </c>
      <c r="AE32" t="str">
        <f ca="1"/>
        <v>MVESAP</v>
      </c>
      <c r="AF32" s="85">
        <f ca="1"/>
        <v>0</v>
      </c>
      <c r="AG32" t="str">
        <f ca="1"/>
        <v>DDD</v>
      </c>
      <c r="AH32" s="85">
        <f ca="1"/>
        <v>1097</v>
      </c>
      <c r="AI32" t="str">
        <f ca="1"/>
        <v>HPQ</v>
      </c>
      <c r="AJ32" s="85">
        <f ca="1"/>
        <v>3535</v>
      </c>
      <c r="AK32" s="88" t="str">
        <f ca="1"/>
        <v>DDD</v>
      </c>
      <c r="AL32" s="308">
        <f ca="1"/>
        <v>4.8209702380952379E-3</v>
      </c>
      <c r="AM32" t="str">
        <f ca="1"/>
        <v>NEM</v>
      </c>
      <c r="AN32" s="308">
        <f ca="1"/>
        <v>0.48255536795204229</v>
      </c>
      <c r="AO32" t="str">
        <f ca="1"/>
        <v>THC</v>
      </c>
      <c r="AP32" s="308">
        <f ca="1"/>
        <v>-0.18831569152053451</v>
      </c>
      <c r="AQ32" s="85" t="str">
        <f ca="1"/>
        <v>LNSR</v>
      </c>
      <c r="AR32" s="88">
        <f ca="1"/>
        <v>0.55139688713031865</v>
      </c>
      <c r="AS32" s="92" t="str">
        <f ca="1"/>
        <v>CSCO</v>
      </c>
      <c r="AT32" s="88">
        <f ca="1"/>
        <v>0</v>
      </c>
    </row>
    <row r="33" spans="1:46">
      <c r="A33" s="694" t="s">
        <v>2074</v>
      </c>
      <c r="B33" s="1" t="str" cm="1">
        <f t="array" aca="1" ref="B33" ca="1">INDIRECT("SORTING!" &amp; ADDRESS(ROW(), A$2+3))</f>
        <v>NEM</v>
      </c>
      <c r="C33" s="1" t="str">
        <f ca="1">_xlfn.XLOOKUP(D33,[1]!RTData[Ticker_Symbol],[1]!RTData[Currency])</f>
        <v>USD</v>
      </c>
      <c r="D33" s="151" t="str">
        <f ca="1">TabCalc[[#This Row],[Ticker]]</f>
        <v>NEM</v>
      </c>
      <c r="E33" t="str">
        <f ca="1"/>
        <v>DVA</v>
      </c>
      <c r="F33" s="557">
        <f ca="1"/>
        <v>1.0797941516982796</v>
      </c>
      <c r="G33" s="151" t="str">
        <f ca="1"/>
        <v>MVEENI</v>
      </c>
      <c r="H33" s="558">
        <f ca="1"/>
        <v>70234.372297359922</v>
      </c>
      <c r="I33" t="str">
        <f ca="1"/>
        <v>MSFT</v>
      </c>
      <c r="J33" s="559">
        <f ca="1"/>
        <v>1.026E-2</v>
      </c>
      <c r="K33" s="151" t="str">
        <f ca="1"/>
        <v>MSFT</v>
      </c>
      <c r="L33" s="559">
        <f ca="1"/>
        <v>1.026E-2</v>
      </c>
      <c r="M33" s="1" t="str">
        <f ca="1"/>
        <v>WBA</v>
      </c>
      <c r="N33" s="558">
        <f ca="1"/>
        <v>5681.8327800000043</v>
      </c>
      <c r="O33" t="str">
        <f ca="1"/>
        <v>CVS</v>
      </c>
      <c r="P33" s="558">
        <f ca="1"/>
        <v>1526.1267269999989</v>
      </c>
      <c r="Q33" t="str">
        <f ca="1"/>
        <v>SAFDIS</v>
      </c>
      <c r="R33" s="645">
        <f ca="1"/>
        <v>4.8209702380952379E-3</v>
      </c>
      <c r="S33" t="str">
        <f ca="1"/>
        <v>GNRC</v>
      </c>
      <c r="T33" s="85">
        <f ca="1"/>
        <v>1062</v>
      </c>
      <c r="U33" t="str">
        <f ca="1"/>
        <v>F</v>
      </c>
      <c r="V33" s="308">
        <f ca="1"/>
        <v>6.7296200000000004E-3</v>
      </c>
      <c r="W33" t="str">
        <f ca="1"/>
        <v>RWE</v>
      </c>
      <c r="X33">
        <f ca="1"/>
        <v>0</v>
      </c>
      <c r="Y33" t="str">
        <f ca="1"/>
        <v>MVEGLE</v>
      </c>
      <c r="Z33">
        <f ca="1"/>
        <v>5</v>
      </c>
      <c r="AA33" t="str">
        <f ca="1"/>
        <v>POET</v>
      </c>
      <c r="AB33">
        <f ca="1"/>
        <v>62</v>
      </c>
      <c r="AC33" t="str">
        <f ca="1"/>
        <v>LAZR</v>
      </c>
      <c r="AD33">
        <f ca="1"/>
        <v>74</v>
      </c>
      <c r="AE33" t="str">
        <f ca="1"/>
        <v>SAFAAPL</v>
      </c>
      <c r="AF33" s="85">
        <f ca="1"/>
        <v>0</v>
      </c>
      <c r="AG33" t="str">
        <f ca="1"/>
        <v>C</v>
      </c>
      <c r="AH33" s="85">
        <f ca="1"/>
        <v>1079</v>
      </c>
      <c r="AI33" t="str">
        <f ca="1"/>
        <v>EOAN</v>
      </c>
      <c r="AJ33" s="85">
        <f ca="1"/>
        <v>3472.0000000000027</v>
      </c>
      <c r="AK33" s="88" t="str">
        <f ca="1"/>
        <v>SAFDIS</v>
      </c>
      <c r="AL33" s="308">
        <f ca="1"/>
        <v>4.8209702380952379E-3</v>
      </c>
      <c r="AM33" t="str">
        <f ca="1"/>
        <v>RIGL</v>
      </c>
      <c r="AN33" s="308">
        <f ca="1"/>
        <v>0.47919396546740567</v>
      </c>
      <c r="AO33" t="str">
        <f ca="1"/>
        <v>AVGO</v>
      </c>
      <c r="AP33" s="308">
        <f ca="1"/>
        <v>-0.18439925191328105</v>
      </c>
      <c r="AQ33" s="85" t="str">
        <f ca="1"/>
        <v>GM</v>
      </c>
      <c r="AR33" s="88">
        <f ca="1"/>
        <v>0.53673466645047474</v>
      </c>
      <c r="AS33" s="92" t="str">
        <f ca="1"/>
        <v>CVS</v>
      </c>
      <c r="AT33" s="88">
        <f ca="1"/>
        <v>0</v>
      </c>
    </row>
    <row r="34" spans="1:46">
      <c r="A34" s="707" t="s">
        <v>1904</v>
      </c>
      <c r="B34" s="1" t="str" cm="1">
        <f t="array" aca="1" ref="B34" ca="1">INDIRECT("SORTING!" &amp; ADDRESS(ROW(), A$2+3))</f>
        <v>NFLX</v>
      </c>
      <c r="C34" s="1" t="str">
        <f ca="1">_xlfn.XLOOKUP(D34,[1]!RTData[Ticker_Symbol],[1]!RTData[Currency])</f>
        <v>USD</v>
      </c>
      <c r="D34" s="151" t="str">
        <f ca="1">TabCalc[[#This Row],[Ticker]]</f>
        <v>NFLX</v>
      </c>
      <c r="E34" t="str">
        <f ca="1"/>
        <v>GM</v>
      </c>
      <c r="F34" s="557">
        <f ca="1"/>
        <v>1.0689103082554057</v>
      </c>
      <c r="G34" s="151" t="str">
        <f ca="1"/>
        <v>SHECY</v>
      </c>
      <c r="H34" s="558">
        <f ca="1"/>
        <v>63624.73667699995</v>
      </c>
      <c r="I34" t="str">
        <f ca="1"/>
        <v>POET</v>
      </c>
      <c r="J34" s="559">
        <f ca="1"/>
        <v>9.7900000000000001E-3</v>
      </c>
      <c r="K34" s="151" t="str">
        <f ca="1"/>
        <v>POET</v>
      </c>
      <c r="L34" s="559">
        <f ca="1"/>
        <v>9.7900000000000001E-3</v>
      </c>
      <c r="M34" s="1" t="str">
        <f ca="1"/>
        <v>XOM</v>
      </c>
      <c r="N34" s="558">
        <f ca="1"/>
        <v>3163.1910000000048</v>
      </c>
      <c r="O34" t="str">
        <f ca="1"/>
        <v>C</v>
      </c>
      <c r="P34" s="558">
        <f ca="1"/>
        <v>1362.0743749999999</v>
      </c>
      <c r="Q34" t="str">
        <f ca="1"/>
        <v>GNRC</v>
      </c>
      <c r="R34" s="645">
        <f ca="1"/>
        <v>4.7368035714285724E-3</v>
      </c>
      <c r="S34" t="str">
        <f ca="1"/>
        <v>PAAS</v>
      </c>
      <c r="T34" s="85">
        <f ca="1"/>
        <v>960</v>
      </c>
      <c r="U34" t="str">
        <f ca="1"/>
        <v>MA</v>
      </c>
      <c r="V34" s="308">
        <f ca="1"/>
        <v>6.3364000000000007E-3</v>
      </c>
      <c r="W34" t="str">
        <f ca="1"/>
        <v>SAP</v>
      </c>
      <c r="X34">
        <f ca="1"/>
        <v>0</v>
      </c>
      <c r="Y34" t="str">
        <f ca="1"/>
        <v>F</v>
      </c>
      <c r="Z34">
        <f ca="1"/>
        <v>5</v>
      </c>
      <c r="AA34" t="str">
        <f ca="1"/>
        <v>MSFT</v>
      </c>
      <c r="AB34">
        <f ca="1"/>
        <v>61</v>
      </c>
      <c r="AC34" t="str">
        <f ca="1"/>
        <v>TSLA</v>
      </c>
      <c r="AD34">
        <f ca="1"/>
        <v>73</v>
      </c>
      <c r="AE34" t="str">
        <f ca="1"/>
        <v>SAFAMZN</v>
      </c>
      <c r="AF34" s="85">
        <f ca="1"/>
        <v>0</v>
      </c>
      <c r="AG34" t="str">
        <f ca="1"/>
        <v>MSFT</v>
      </c>
      <c r="AH34" s="85">
        <f ca="1"/>
        <v>915</v>
      </c>
      <c r="AI34" t="str">
        <f ca="1"/>
        <v>ADEA</v>
      </c>
      <c r="AJ34" s="85">
        <f ca="1"/>
        <v>3299.9999999999991</v>
      </c>
      <c r="AK34" s="88" t="str">
        <f ca="1"/>
        <v>GNRC</v>
      </c>
      <c r="AL34" s="308">
        <f ca="1"/>
        <v>4.7368035714285724E-3</v>
      </c>
      <c r="AM34" t="str">
        <f ca="1"/>
        <v>TSM</v>
      </c>
      <c r="AN34" s="308">
        <f ca="1"/>
        <v>0.47618694632070174</v>
      </c>
      <c r="AO34" t="str">
        <f ca="1"/>
        <v>VTRS</v>
      </c>
      <c r="AP34" s="308">
        <f ca="1"/>
        <v>-0.18425694564279552</v>
      </c>
      <c r="AQ34" s="85" t="str">
        <f ca="1"/>
        <v>GS</v>
      </c>
      <c r="AR34" s="88">
        <f ca="1"/>
        <v>0.51361086647297605</v>
      </c>
      <c r="AS34" s="92" t="str">
        <f ca="1"/>
        <v>DDD</v>
      </c>
      <c r="AT34" s="88">
        <f ca="1"/>
        <v>0</v>
      </c>
    </row>
    <row r="35" spans="1:46">
      <c r="A35" s="693" t="s">
        <v>2074</v>
      </c>
      <c r="B35" s="1" t="str" cm="1">
        <f t="array" aca="1" ref="B35" ca="1">INDIRECT("SORTING!" &amp; ADDRESS(ROW(), A$2+3))</f>
        <v>NOTE</v>
      </c>
      <c r="C35" s="1" t="str">
        <f ca="1">_xlfn.XLOOKUP(D35,[1]!RTData[Ticker_Symbol],[1]!RTData[Currency])</f>
        <v>USD</v>
      </c>
      <c r="D35" s="151" t="str">
        <f ca="1">TabCalc[[#This Row],[Ticker]]</f>
        <v>NOTE</v>
      </c>
      <c r="E35" t="str">
        <f ca="1"/>
        <v>SAFGM</v>
      </c>
      <c r="F35" s="557">
        <f ca="1"/>
        <v>1.0689103082554057</v>
      </c>
      <c r="G35" s="151" t="str">
        <f ca="1"/>
        <v>SAFGM</v>
      </c>
      <c r="H35" s="558">
        <f ca="1"/>
        <v>62504.174421000003</v>
      </c>
      <c r="I35" t="str">
        <f ca="1"/>
        <v>LOCK</v>
      </c>
      <c r="J35" s="559">
        <f ca="1"/>
        <v>8.9880000000000012E-3</v>
      </c>
      <c r="K35" s="151" t="str">
        <f ca="1"/>
        <v>LOCK</v>
      </c>
      <c r="L35" s="559">
        <f ca="1"/>
        <v>8.9880000000000012E-3</v>
      </c>
      <c r="M35" s="1" t="str">
        <f ca="1"/>
        <v>ADEA</v>
      </c>
      <c r="N35" s="558">
        <f ca="1"/>
        <v>2256.1278600000101</v>
      </c>
      <c r="O35" t="str">
        <f ca="1"/>
        <v>HPE</v>
      </c>
      <c r="P35" s="558">
        <f ca="1"/>
        <v>754.03439999999671</v>
      </c>
      <c r="Q35" t="str">
        <f ca="1"/>
        <v>UN0</v>
      </c>
      <c r="R35" s="645">
        <f ca="1"/>
        <v>4.624874999999997E-3</v>
      </c>
      <c r="S35" t="str">
        <f ca="1"/>
        <v>DSY</v>
      </c>
      <c r="T35" s="85">
        <f ca="1"/>
        <v>920</v>
      </c>
      <c r="U35" t="str">
        <f ca="1"/>
        <v>LOCK</v>
      </c>
      <c r="V35" s="308">
        <f ca="1"/>
        <v>6.3308000000000001E-3</v>
      </c>
      <c r="W35" t="str">
        <f ca="1"/>
        <v>SHECY</v>
      </c>
      <c r="X35">
        <f ca="1"/>
        <v>0</v>
      </c>
      <c r="Y35" t="str">
        <f ca="1"/>
        <v>GLE</v>
      </c>
      <c r="Z35">
        <f ca="1"/>
        <v>5</v>
      </c>
      <c r="AA35" t="str">
        <f ca="1"/>
        <v>TSLA</v>
      </c>
      <c r="AB35">
        <f ca="1"/>
        <v>61</v>
      </c>
      <c r="AC35" t="str">
        <f ca="1"/>
        <v>OXY</v>
      </c>
      <c r="AD35">
        <f ca="1"/>
        <v>72</v>
      </c>
      <c r="AE35" t="str">
        <f ca="1"/>
        <v>SAFASML</v>
      </c>
      <c r="AF35" s="85">
        <f ca="1"/>
        <v>0</v>
      </c>
      <c r="AG35" t="str">
        <f ca="1"/>
        <v>SAFDDD</v>
      </c>
      <c r="AH35" s="85">
        <f ca="1"/>
        <v>753</v>
      </c>
      <c r="AI35" t="str">
        <f ca="1"/>
        <v>JBEOAN</v>
      </c>
      <c r="AJ35" s="85">
        <f ca="1"/>
        <v>3255.0000000000027</v>
      </c>
      <c r="AK35" s="88" t="str">
        <f ca="1"/>
        <v>UN0</v>
      </c>
      <c r="AL35" s="308">
        <f ca="1"/>
        <v>4.624874999999997E-3</v>
      </c>
      <c r="AM35" t="str">
        <f ca="1"/>
        <v>CVS</v>
      </c>
      <c r="AN35" s="308">
        <f ca="1"/>
        <v>0.43706734406373604</v>
      </c>
      <c r="AO35" t="str">
        <f ca="1"/>
        <v>VLVLY</v>
      </c>
      <c r="AP35" s="308">
        <f ca="1"/>
        <v>-0.17751905613500255</v>
      </c>
      <c r="AQ35" s="85" t="str">
        <f ca="1"/>
        <v>CVS</v>
      </c>
      <c r="AR35" s="88">
        <f ca="1"/>
        <v>0.50031624770626459</v>
      </c>
      <c r="AS35" s="92" t="str">
        <f ca="1"/>
        <v>DIS</v>
      </c>
      <c r="AT35" s="88">
        <f ca="1"/>
        <v>0</v>
      </c>
    </row>
    <row r="36" spans="1:46">
      <c r="A36" s="654" t="s">
        <v>2085</v>
      </c>
      <c r="B36" s="1" t="str" cm="1">
        <f t="array" aca="1" ref="B36" ca="1">INDIRECT("SORTING!" &amp; ADDRESS(ROW(), A$2+3))</f>
        <v>PAAS</v>
      </c>
      <c r="C36" s="1" t="str">
        <f ca="1">_xlfn.XLOOKUP(D36,[1]!RTData[Ticker_Symbol],[1]!RTData[Currency])</f>
        <v>USD</v>
      </c>
      <c r="D36" s="151" t="str">
        <f ca="1">TabCalc[[#This Row],[Ticker]]</f>
        <v>PAAS</v>
      </c>
      <c r="E36" t="str">
        <f ca="1"/>
        <v>MVEGLE</v>
      </c>
      <c r="F36" s="557">
        <f ca="1"/>
        <v>1.0644112472996281</v>
      </c>
      <c r="G36" s="151" t="str">
        <f ca="1"/>
        <v>X</v>
      </c>
      <c r="H36" s="558">
        <f ca="1"/>
        <v>60360.321773687909</v>
      </c>
      <c r="I36" t="str">
        <f ca="1"/>
        <v>NVS</v>
      </c>
      <c r="J36" s="559">
        <f ca="1"/>
        <v>8.9180000000000006E-3</v>
      </c>
      <c r="K36" s="151" t="str">
        <f ca="1"/>
        <v>NVS</v>
      </c>
      <c r="L36" s="559">
        <f ca="1"/>
        <v>8.9180000000000006E-3</v>
      </c>
      <c r="M36" s="1" t="str">
        <f ca="1"/>
        <v>C</v>
      </c>
      <c r="N36" s="558">
        <f ca="1"/>
        <v>1299.9424500000007</v>
      </c>
      <c r="O36" t="str">
        <f ca="1"/>
        <v>VLVLY</v>
      </c>
      <c r="P36" s="558">
        <f ca="1"/>
        <v>209.45400000000083</v>
      </c>
      <c r="Q36" t="str">
        <f ca="1"/>
        <v>GM</v>
      </c>
      <c r="R36" s="645">
        <f ca="1"/>
        <v>4.1019452380952398E-3</v>
      </c>
      <c r="S36" t="str">
        <f ca="1"/>
        <v>PROF</v>
      </c>
      <c r="T36" s="85">
        <f ca="1"/>
        <v>600</v>
      </c>
      <c r="U36" t="str">
        <f ca="1"/>
        <v>XOM</v>
      </c>
      <c r="V36" s="308">
        <f ca="1"/>
        <v>6.237330000000001E-3</v>
      </c>
      <c r="W36" t="str">
        <f ca="1"/>
        <v>SSYS</v>
      </c>
      <c r="X36">
        <f ca="1"/>
        <v>0</v>
      </c>
      <c r="Y36" t="str">
        <f ca="1"/>
        <v>SHECY</v>
      </c>
      <c r="Z36">
        <f ca="1"/>
        <v>6</v>
      </c>
      <c r="AA36" t="str">
        <f ca="1"/>
        <v>MVEGLE</v>
      </c>
      <c r="AB36">
        <f ca="1"/>
        <v>61</v>
      </c>
      <c r="AC36" t="str">
        <f ca="1"/>
        <v>KR</v>
      </c>
      <c r="AD36">
        <f ca="1"/>
        <v>71</v>
      </c>
      <c r="AE36" t="str">
        <f ca="1"/>
        <v>SAFDIS</v>
      </c>
      <c r="AF36" s="85">
        <f ca="1"/>
        <v>0</v>
      </c>
      <c r="AG36" t="str">
        <f ca="1"/>
        <v>RWE</v>
      </c>
      <c r="AH36" s="85">
        <f ca="1"/>
        <v>743</v>
      </c>
      <c r="AI36" t="str">
        <f ca="1"/>
        <v>RIGL</v>
      </c>
      <c r="AJ36" s="85">
        <f ca="1"/>
        <v>3115.0000000000018</v>
      </c>
      <c r="AK36" s="88" t="str">
        <f ca="1"/>
        <v>GM</v>
      </c>
      <c r="AL36" s="308">
        <f ca="1"/>
        <v>4.1019452380952398E-3</v>
      </c>
      <c r="AM36" t="str">
        <f ca="1"/>
        <v>PROF</v>
      </c>
      <c r="AN36" s="308">
        <f ca="1"/>
        <v>0.42677421832330348</v>
      </c>
      <c r="AO36" t="str">
        <f ca="1"/>
        <v>LUV</v>
      </c>
      <c r="AP36" s="308">
        <f ca="1"/>
        <v>-0.17212882053439924</v>
      </c>
      <c r="AQ36" s="85" t="str">
        <f ca="1"/>
        <v>MVERWE</v>
      </c>
      <c r="AR36" s="88">
        <f ca="1"/>
        <v>0.49730460686283612</v>
      </c>
      <c r="AS36" s="92" t="str">
        <f ca="1"/>
        <v>DSY</v>
      </c>
      <c r="AT36" s="88">
        <f ca="1"/>
        <v>0</v>
      </c>
    </row>
    <row r="37" spans="1:46">
      <c r="A37" s="694" t="s">
        <v>2074</v>
      </c>
      <c r="B37" s="1" t="str" cm="1">
        <f t="array" aca="1" ref="B37" ca="1">INDIRECT("SORTING!" &amp; ADDRESS(ROW(), A$2+3))</f>
        <v>PROF</v>
      </c>
      <c r="C37" s="1" t="str">
        <f ca="1">_xlfn.XLOOKUP(D37,[1]!RTData[Ticker_Symbol],[1]!RTData[Currency])</f>
        <v>USD</v>
      </c>
      <c r="D37" s="151" t="str">
        <f ca="1">TabCalc[[#This Row],[Ticker]]</f>
        <v>PROF</v>
      </c>
      <c r="E37" t="str">
        <f ca="1"/>
        <v>GLE</v>
      </c>
      <c r="F37" s="557">
        <f ca="1"/>
        <v>1.0644112472996281</v>
      </c>
      <c r="G37" s="151" t="str">
        <f ca="1"/>
        <v>NEE</v>
      </c>
      <c r="H37" s="558">
        <f ca="1"/>
        <v>57265.019392564369</v>
      </c>
      <c r="I37" t="str">
        <f ca="1"/>
        <v>HPQ</v>
      </c>
      <c r="J37" s="559">
        <f ca="1"/>
        <v>8.5350000000000009E-3</v>
      </c>
      <c r="K37" s="151" t="str">
        <f ca="1"/>
        <v>HPQ</v>
      </c>
      <c r="L37" s="559">
        <f ca="1"/>
        <v>8.5350000000000009E-3</v>
      </c>
      <c r="M37" s="1" t="str">
        <f ca="1"/>
        <v>MA</v>
      </c>
      <c r="N37" s="558">
        <f ca="1"/>
        <v>1154.6980000000076</v>
      </c>
      <c r="O37" t="str">
        <f ca="1"/>
        <v>TSLA</v>
      </c>
      <c r="P37" s="558">
        <f ca="1"/>
        <v>173.4808739399999</v>
      </c>
      <c r="Q37" t="str">
        <f ca="1"/>
        <v>NVS</v>
      </c>
      <c r="R37" s="645">
        <f ca="1"/>
        <v>4.0394309523809529E-3</v>
      </c>
      <c r="S37" t="str">
        <f ca="1"/>
        <v>RIG</v>
      </c>
      <c r="T37" s="85">
        <f ca="1"/>
        <v>550.00000000001455</v>
      </c>
      <c r="U37" t="str">
        <f ca="1"/>
        <v>SAP</v>
      </c>
      <c r="V37" s="308">
        <f ca="1"/>
        <v>5.7305999999999998E-3</v>
      </c>
      <c r="W37" t="str">
        <f ca="1"/>
        <v>TSLA</v>
      </c>
      <c r="X37">
        <f ca="1"/>
        <v>0</v>
      </c>
      <c r="Y37" t="str">
        <f ca="1"/>
        <v>VONN</v>
      </c>
      <c r="Z37">
        <f ca="1"/>
        <v>6</v>
      </c>
      <c r="AA37" t="str">
        <f ca="1"/>
        <v>GLE</v>
      </c>
      <c r="AB37">
        <f ca="1"/>
        <v>61</v>
      </c>
      <c r="AC37" t="str">
        <f ca="1"/>
        <v>NVAX</v>
      </c>
      <c r="AD37">
        <f ca="1"/>
        <v>71</v>
      </c>
      <c r="AE37" t="str">
        <f ca="1"/>
        <v>SAFGM</v>
      </c>
      <c r="AF37" s="85">
        <f ca="1"/>
        <v>0</v>
      </c>
      <c r="AG37" t="str">
        <f ca="1"/>
        <v>XOM</v>
      </c>
      <c r="AH37" s="85">
        <f ca="1"/>
        <v>616</v>
      </c>
      <c r="AI37" t="str">
        <f ca="1"/>
        <v>MA</v>
      </c>
      <c r="AJ37" s="85">
        <f ca="1"/>
        <v>2910.99999999999</v>
      </c>
      <c r="AK37" s="88" t="str">
        <f ca="1"/>
        <v>NVS</v>
      </c>
      <c r="AL37" s="308">
        <f ca="1"/>
        <v>4.0394309523809529E-3</v>
      </c>
      <c r="AM37" t="str">
        <f ca="1"/>
        <v>ASML</v>
      </c>
      <c r="AN37" s="308">
        <f ca="1"/>
        <v>0.41898034270716489</v>
      </c>
      <c r="AO37" t="str">
        <f ca="1"/>
        <v>MVEENI</v>
      </c>
      <c r="AP37" s="308">
        <f ca="1"/>
        <v>-0.16241975006287734</v>
      </c>
      <c r="AQ37" s="85" t="str">
        <f ca="1"/>
        <v>VONN</v>
      </c>
      <c r="AR37" s="88">
        <f ca="1"/>
        <v>0.48004830674784854</v>
      </c>
      <c r="AS37" s="92" t="str">
        <f ca="1"/>
        <v>DVA</v>
      </c>
      <c r="AT37" s="88">
        <f ca="1"/>
        <v>0</v>
      </c>
    </row>
    <row r="38" spans="1:46">
      <c r="A38" s="707" t="s">
        <v>2121</v>
      </c>
      <c r="B38" s="1" t="str" cm="1">
        <f t="array" aca="1" ref="B38" ca="1">INDIRECT("SORTING!" &amp; ADDRESS(ROW(), A$2+3))</f>
        <v>POET</v>
      </c>
      <c r="C38" s="1" t="str">
        <f ca="1">_xlfn.XLOOKUP(D38,[1]!RTData[Ticker_Symbol],[1]!RTData[Currency])</f>
        <v>USD</v>
      </c>
      <c r="D38" s="151" t="str">
        <f ca="1">TabCalc[[#This Row],[Ticker]]</f>
        <v>POET</v>
      </c>
      <c r="E38" t="str">
        <f ca="1"/>
        <v>KR</v>
      </c>
      <c r="F38" s="557">
        <f ca="1"/>
        <v>1.053096110163761</v>
      </c>
      <c r="G38" s="151" t="str">
        <f ca="1"/>
        <v>MA</v>
      </c>
      <c r="H38" s="558">
        <f ca="1"/>
        <v>49304.275425679996</v>
      </c>
      <c r="I38" t="str">
        <f ca="1"/>
        <v>DXC</v>
      </c>
      <c r="J38" s="559">
        <f ca="1"/>
        <v>7.9369999999999996E-3</v>
      </c>
      <c r="K38" s="151" t="str">
        <f ca="1"/>
        <v>DXC</v>
      </c>
      <c r="L38" s="559">
        <f ca="1"/>
        <v>7.9369999999999996E-3</v>
      </c>
      <c r="M38" s="1" t="str">
        <f ca="1"/>
        <v>SAFDIS</v>
      </c>
      <c r="N38" s="558">
        <f ca="1"/>
        <v>783.01494000000389</v>
      </c>
      <c r="O38" t="str">
        <f ca="1"/>
        <v>NEM</v>
      </c>
      <c r="P38" s="558">
        <f ca="1"/>
        <v>79.792000000012465</v>
      </c>
      <c r="Q38" t="str">
        <f ca="1"/>
        <v>RWE</v>
      </c>
      <c r="R38" s="645">
        <f ca="1"/>
        <v>3.988339285714286E-3</v>
      </c>
      <c r="S38" t="str">
        <f ca="1"/>
        <v>DXC</v>
      </c>
      <c r="T38" s="85">
        <f ca="1"/>
        <v>540</v>
      </c>
      <c r="U38" t="str">
        <f ca="1"/>
        <v>MVESAP</v>
      </c>
      <c r="V38" s="308">
        <f ca="1"/>
        <v>5.7305999999999998E-3</v>
      </c>
      <c r="W38" t="str">
        <f ca="1"/>
        <v>VLVLY</v>
      </c>
      <c r="X38">
        <f ca="1"/>
        <v>0</v>
      </c>
      <c r="Y38" t="str">
        <f ca="1"/>
        <v>LUV</v>
      </c>
      <c r="Z38">
        <f ca="1"/>
        <v>6</v>
      </c>
      <c r="AA38" t="str">
        <f ca="1"/>
        <v>DSY</v>
      </c>
      <c r="AB38">
        <f ca="1"/>
        <v>60</v>
      </c>
      <c r="AC38" t="str">
        <f ca="1"/>
        <v>RIG</v>
      </c>
      <c r="AD38">
        <f ca="1"/>
        <v>71</v>
      </c>
      <c r="AE38" t="str">
        <f ca="1"/>
        <v>SAFIAG</v>
      </c>
      <c r="AF38" s="85">
        <f ca="1"/>
        <v>0</v>
      </c>
      <c r="AG38" t="str">
        <f ca="1"/>
        <v>SSYS</v>
      </c>
      <c r="AH38" s="85">
        <f ca="1"/>
        <v>568</v>
      </c>
      <c r="AI38" t="str">
        <f ca="1"/>
        <v>BLDP</v>
      </c>
      <c r="AJ38" s="85">
        <f ca="1"/>
        <v>2760.5999999999985</v>
      </c>
      <c r="AK38" s="88" t="str">
        <f ca="1"/>
        <v>RWE</v>
      </c>
      <c r="AL38" s="308">
        <f ca="1"/>
        <v>3.988339285714286E-3</v>
      </c>
      <c r="AM38" t="str">
        <f ca="1"/>
        <v>PAAS</v>
      </c>
      <c r="AN38" s="308">
        <f ca="1"/>
        <v>0.40458518566173651</v>
      </c>
      <c r="AO38" t="str">
        <f ca="1"/>
        <v>WBA</v>
      </c>
      <c r="AP38" s="308">
        <f ca="1"/>
        <v>-0.16069217529215368</v>
      </c>
      <c r="AQ38" s="85" t="str">
        <f ca="1"/>
        <v>TSM</v>
      </c>
      <c r="AR38" s="88">
        <f ca="1"/>
        <v>0.46551967947207279</v>
      </c>
      <c r="AS38" s="92" t="str">
        <f ca="1"/>
        <v>EOAN</v>
      </c>
      <c r="AT38" s="88">
        <f ca="1"/>
        <v>0</v>
      </c>
    </row>
    <row r="39" spans="1:46">
      <c r="A39" s="693" t="s">
        <v>2074</v>
      </c>
      <c r="B39" s="1" t="str" cm="1">
        <f t="array" aca="1" ref="B39" ca="1">INDIRECT("SORTING!" &amp; ADDRESS(ROW(), A$2+3))</f>
        <v>PW</v>
      </c>
      <c r="C39" s="1" t="str">
        <f ca="1">_xlfn.XLOOKUP(D39,[1]!RTData[Ticker_Symbol],[1]!RTData[Currency])</f>
        <v>USD</v>
      </c>
      <c r="D39" s="151" t="str">
        <f ca="1">TabCalc[[#This Row],[Ticker]]</f>
        <v>PW</v>
      </c>
      <c r="E39" t="str">
        <f ca="1"/>
        <v>LOCK</v>
      </c>
      <c r="F39" s="557">
        <f ca="1"/>
        <v>1</v>
      </c>
      <c r="G39" s="151" t="str">
        <f ca="1"/>
        <v>MVESAP</v>
      </c>
      <c r="H39" s="558">
        <f ca="1"/>
        <v>47795.5682315999</v>
      </c>
      <c r="I39" t="str">
        <f ca="1"/>
        <v>GNRC</v>
      </c>
      <c r="J39" s="559">
        <f ca="1"/>
        <v>6.9640000000000006E-3</v>
      </c>
      <c r="K39" s="151" t="str">
        <f ca="1"/>
        <v>GNRC</v>
      </c>
      <c r="L39" s="559">
        <f ca="1"/>
        <v>6.9640000000000006E-3</v>
      </c>
      <c r="M39" s="1" t="str">
        <f ca="1"/>
        <v>RWE</v>
      </c>
      <c r="N39" s="558">
        <f ca="1"/>
        <v>742.31190000000015</v>
      </c>
      <c r="O39" t="str">
        <f ca="1"/>
        <v>GM</v>
      </c>
      <c r="P39" s="558">
        <f ca="1"/>
        <v>34.874091000000043</v>
      </c>
      <c r="Q39" t="str">
        <f ca="1"/>
        <v>MVESAP</v>
      </c>
      <c r="R39" s="645">
        <f ca="1"/>
        <v>3.988339285714286E-3</v>
      </c>
      <c r="S39" t="str">
        <f ca="1"/>
        <v>OXY</v>
      </c>
      <c r="T39" s="85">
        <f ca="1"/>
        <v>480</v>
      </c>
      <c r="U39" t="str">
        <f ca="1"/>
        <v>PFE</v>
      </c>
      <c r="V39" s="308">
        <f ca="1"/>
        <v>5.0360000000000005E-3</v>
      </c>
      <c r="W39" t="str">
        <f ca="1"/>
        <v>VONN</v>
      </c>
      <c r="X39">
        <f ca="1"/>
        <v>0</v>
      </c>
      <c r="Y39" t="str">
        <f ca="1"/>
        <v>LOCK</v>
      </c>
      <c r="Z39">
        <f ca="1"/>
        <v>6</v>
      </c>
      <c r="AA39" t="str">
        <f ca="1"/>
        <v>PAAS</v>
      </c>
      <c r="AB39">
        <f ca="1"/>
        <v>60</v>
      </c>
      <c r="AC39" t="str">
        <f ca="1"/>
        <v>XPER</v>
      </c>
      <c r="AD39">
        <f ca="1"/>
        <v>70</v>
      </c>
      <c r="AE39" t="str">
        <f ca="1"/>
        <v>F</v>
      </c>
      <c r="AF39" s="85">
        <f ca="1"/>
        <v>0</v>
      </c>
      <c r="AG39" t="str">
        <f ca="1"/>
        <v>HPQ</v>
      </c>
      <c r="AH39" s="85">
        <f ca="1"/>
        <v>498</v>
      </c>
      <c r="AI39" t="str">
        <f ca="1"/>
        <v>AET</v>
      </c>
      <c r="AJ39" s="85">
        <f ca="1"/>
        <v>2601.9999999999995</v>
      </c>
      <c r="AK39" s="88" t="str">
        <f ca="1"/>
        <v>MVESAP</v>
      </c>
      <c r="AL39" s="308">
        <f ca="1"/>
        <v>3.988339285714286E-3</v>
      </c>
      <c r="AM39" t="str">
        <f ca="1"/>
        <v>SAFAAPL</v>
      </c>
      <c r="AN39" s="308">
        <f ca="1"/>
        <v>0.38654907848996223</v>
      </c>
      <c r="AO39" t="str">
        <f ca="1"/>
        <v>CSCO</v>
      </c>
      <c r="AP39" s="308">
        <f ca="1"/>
        <v>-0.15266030023968713</v>
      </c>
      <c r="AQ39" s="85" t="str">
        <f ca="1"/>
        <v>MSFT</v>
      </c>
      <c r="AR39" s="88">
        <f ca="1"/>
        <v>0.43131891079185064</v>
      </c>
      <c r="AS39" s="92" t="str">
        <f ca="1"/>
        <v>EPIX</v>
      </c>
      <c r="AT39" s="88">
        <f ca="1"/>
        <v>0</v>
      </c>
    </row>
    <row r="40" spans="1:46">
      <c r="A40" s="654" t="s">
        <v>2122</v>
      </c>
      <c r="B40" s="1" t="str" cm="1">
        <f t="array" aca="1" ref="B40" ca="1">INDIRECT("SORTING!" &amp; ADDRESS(ROW(), A$2+3))</f>
        <v>RIGL</v>
      </c>
      <c r="C40" s="1" t="str">
        <f ca="1">_xlfn.XLOOKUP(D40,[1]!RTData[Ticker_Symbol],[1]!RTData[Currency])</f>
        <v>USD</v>
      </c>
      <c r="D40" s="151" t="str">
        <f ca="1">TabCalc[[#This Row],[Ticker]]</f>
        <v>RIGL</v>
      </c>
      <c r="E40" t="str">
        <f ca="1"/>
        <v>POET</v>
      </c>
      <c r="F40" s="557">
        <f ca="1"/>
        <v>0.99686525095229539</v>
      </c>
      <c r="G40" s="151" t="str">
        <f ca="1"/>
        <v>GS</v>
      </c>
      <c r="H40" s="558">
        <f ca="1"/>
        <v>46037.125121400022</v>
      </c>
      <c r="I40" t="str">
        <f ca="1"/>
        <v>C</v>
      </c>
      <c r="J40" s="559">
        <f ca="1"/>
        <v>5.9409999999999992E-3</v>
      </c>
      <c r="K40" s="151" t="str">
        <f ca="1"/>
        <v>C</v>
      </c>
      <c r="L40" s="559">
        <f ca="1"/>
        <v>5.9409999999999992E-3</v>
      </c>
      <c r="M40" s="1" t="str">
        <f ca="1"/>
        <v>X</v>
      </c>
      <c r="N40" s="558">
        <f ca="1"/>
        <v>238.02305264400007</v>
      </c>
      <c r="O40" t="str">
        <f ca="1"/>
        <v>ALDNE</v>
      </c>
      <c r="P40" s="558">
        <f ca="1"/>
        <v>0</v>
      </c>
      <c r="Q40" t="str">
        <f ca="1"/>
        <v>LOCK</v>
      </c>
      <c r="R40" s="645">
        <f ca="1"/>
        <v>3.8659166666666672E-3</v>
      </c>
      <c r="S40" t="str">
        <f ca="1"/>
        <v>AVGO</v>
      </c>
      <c r="T40" s="85">
        <f ca="1"/>
        <v>332</v>
      </c>
      <c r="U40" t="str">
        <f ca="1"/>
        <v>XYZ</v>
      </c>
      <c r="V40" s="308">
        <f ca="1"/>
        <v>4.9987999999999994E-3</v>
      </c>
      <c r="W40" t="str">
        <f ca="1"/>
        <v>VTRS</v>
      </c>
      <c r="X40">
        <f ca="1"/>
        <v>0</v>
      </c>
      <c r="Y40" t="str">
        <f ca="1"/>
        <v>HPE</v>
      </c>
      <c r="Z40">
        <f ca="1"/>
        <v>7</v>
      </c>
      <c r="AA40" t="str">
        <f ca="1"/>
        <v>TSM</v>
      </c>
      <c r="AB40">
        <f ca="1"/>
        <v>60</v>
      </c>
      <c r="AC40" t="str">
        <f ca="1"/>
        <v>MVEGLE</v>
      </c>
      <c r="AD40">
        <f ca="1"/>
        <v>70</v>
      </c>
      <c r="AE40" t="str">
        <f ca="1"/>
        <v>GLE</v>
      </c>
      <c r="AF40" s="85">
        <f ca="1"/>
        <v>0</v>
      </c>
      <c r="AG40" t="str">
        <f ca="1"/>
        <v>KR</v>
      </c>
      <c r="AH40" s="85">
        <f ca="1"/>
        <v>468</v>
      </c>
      <c r="AI40" t="str">
        <f ca="1"/>
        <v>UN0</v>
      </c>
      <c r="AJ40" s="85">
        <f ca="1"/>
        <v>2292.0694999999992</v>
      </c>
      <c r="AK40" s="88" t="str">
        <f ca="1"/>
        <v>LOCK</v>
      </c>
      <c r="AL40" s="308">
        <f ca="1"/>
        <v>3.8659166666666672E-3</v>
      </c>
      <c r="AM40" t="str">
        <f ca="1"/>
        <v>MVEEOAN</v>
      </c>
      <c r="AN40" s="308">
        <f ca="1"/>
        <v>0.35495268951720105</v>
      </c>
      <c r="AO40" t="str">
        <f ca="1"/>
        <v>HPE</v>
      </c>
      <c r="AP40" s="308">
        <f ca="1"/>
        <v>-0.14706965929956259</v>
      </c>
      <c r="AQ40" s="85" t="str">
        <f ca="1"/>
        <v>MVEENI</v>
      </c>
      <c r="AR40" s="88">
        <f ca="1"/>
        <v>0.4193732193732192</v>
      </c>
      <c r="AS40" s="92" t="str">
        <f ca="1"/>
        <v>GM</v>
      </c>
      <c r="AT40" s="88">
        <f ca="1"/>
        <v>0</v>
      </c>
    </row>
    <row r="41" spans="1:46">
      <c r="A41" s="694" t="s">
        <v>2074</v>
      </c>
      <c r="B41" s="1" t="str" cm="1">
        <f t="array" aca="1" ref="B41" ca="1">INDIRECT("SORTING!" &amp; ADDRESS(ROW(), A$2+3))</f>
        <v>RWE</v>
      </c>
      <c r="C41" s="1" t="str">
        <f ca="1">_xlfn.XLOOKUP(D41,[1]!RTData[Ticker_Symbol],[1]!RTData[Currency])</f>
        <v>EUR</v>
      </c>
      <c r="D41" s="151" t="str">
        <f ca="1">TabCalc[[#This Row],[Ticker]]</f>
        <v>RWE</v>
      </c>
      <c r="E41" t="str">
        <f ca="1"/>
        <v>ASML</v>
      </c>
      <c r="F41" s="557">
        <f ca="1"/>
        <v>0.96938852069526071</v>
      </c>
      <c r="G41" s="151" t="str">
        <f ca="1"/>
        <v>PFE</v>
      </c>
      <c r="H41" s="558">
        <f ca="1"/>
        <v>45798.008989599992</v>
      </c>
      <c r="I41" t="str">
        <f ca="1"/>
        <v>MVEORA</v>
      </c>
      <c r="J41" s="559">
        <f ca="1"/>
        <v>5.1229999999999999E-3</v>
      </c>
      <c r="K41" s="151" t="str">
        <f ca="1"/>
        <v>MVEORA</v>
      </c>
      <c r="L41" s="559">
        <f ca="1"/>
        <v>5.1229999999999999E-3</v>
      </c>
      <c r="M41" s="1" t="str">
        <f ca="1"/>
        <v>TSLA</v>
      </c>
      <c r="N41" s="558">
        <f ca="1"/>
        <v>109.48097400000006</v>
      </c>
      <c r="O41" t="str">
        <f ca="1"/>
        <v>BMRA</v>
      </c>
      <c r="P41" s="558">
        <f ca="1"/>
        <v>0</v>
      </c>
      <c r="Q41" t="str">
        <f ca="1"/>
        <v>EPIX</v>
      </c>
      <c r="R41" s="645">
        <f ca="1"/>
        <v>3.6605666666666668E-3</v>
      </c>
      <c r="S41" t="str">
        <f ca="1"/>
        <v>ADEA</v>
      </c>
      <c r="T41" s="85">
        <f ca="1"/>
        <v>300</v>
      </c>
      <c r="U41" t="str">
        <f ca="1"/>
        <v>XPER</v>
      </c>
      <c r="V41" s="308">
        <f ca="1"/>
        <v>4.9546E-3</v>
      </c>
      <c r="W41" t="str">
        <f ca="1"/>
        <v>WBA</v>
      </c>
      <c r="X41">
        <f ca="1"/>
        <v>0</v>
      </c>
      <c r="Y41" t="str">
        <f ca="1"/>
        <v>NFLX</v>
      </c>
      <c r="Z41">
        <f ca="1"/>
        <v>7</v>
      </c>
      <c r="AA41" t="str">
        <f ca="1"/>
        <v>MVEUN0</v>
      </c>
      <c r="AB41">
        <f ca="1"/>
        <v>60</v>
      </c>
      <c r="AC41" t="str">
        <f ca="1"/>
        <v>GLE</v>
      </c>
      <c r="AD41">
        <f ca="1"/>
        <v>70</v>
      </c>
      <c r="AE41" t="str">
        <f ca="1"/>
        <v>GS</v>
      </c>
      <c r="AF41" s="85">
        <f ca="1"/>
        <v>0</v>
      </c>
      <c r="AG41" t="str">
        <f ca="1"/>
        <v>DVA</v>
      </c>
      <c r="AH41" s="85">
        <f ca="1"/>
        <v>286</v>
      </c>
      <c r="AI41" t="str">
        <f ca="1"/>
        <v>ENI</v>
      </c>
      <c r="AJ41" s="85">
        <f ca="1"/>
        <v>2230.0000000000077</v>
      </c>
      <c r="AK41" s="88" t="str">
        <f ca="1"/>
        <v>EPIX</v>
      </c>
      <c r="AL41" s="308">
        <f ca="1"/>
        <v>3.6605666666666668E-3</v>
      </c>
      <c r="AM41" t="str">
        <f ca="1"/>
        <v>IAG</v>
      </c>
      <c r="AN41" s="308">
        <f ca="1"/>
        <v>0.34847045673285387</v>
      </c>
      <c r="AO41" t="str">
        <f ca="1"/>
        <v>MVEGLE</v>
      </c>
      <c r="AP41" s="308">
        <f ca="1"/>
        <v>-0.121586280298322</v>
      </c>
      <c r="AQ41" s="85" t="str">
        <f ca="1"/>
        <v>MVEEOAN</v>
      </c>
      <c r="AR41" s="88">
        <f ca="1"/>
        <v>0.39933694996986135</v>
      </c>
      <c r="AS41" s="92" t="str">
        <f ca="1"/>
        <v>HPE</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SAFASML</v>
      </c>
      <c r="F42" s="557">
        <f ca="1"/>
        <v>0.96938852069526071</v>
      </c>
      <c r="G42" s="151" t="str">
        <f ca="1"/>
        <v>GLE</v>
      </c>
      <c r="H42" s="558">
        <f ca="1"/>
        <v>43586.110007999989</v>
      </c>
      <c r="I42" t="str">
        <f ca="1"/>
        <v>ORA</v>
      </c>
      <c r="J42" s="559">
        <f ca="1"/>
        <v>5.1229999999999999E-3</v>
      </c>
      <c r="K42" s="151" t="str">
        <f ca="1"/>
        <v>ORA</v>
      </c>
      <c r="L42" s="559">
        <f ca="1"/>
        <v>5.1229999999999999E-3</v>
      </c>
      <c r="M42" s="1" t="str">
        <f ca="1"/>
        <v>MVEEOAN</v>
      </c>
      <c r="N42" s="558">
        <f ca="1"/>
        <v>39.462440000000001</v>
      </c>
      <c r="O42" t="str">
        <f ca="1"/>
        <v>NOTE</v>
      </c>
      <c r="P42" s="558">
        <f ca="1"/>
        <v>0</v>
      </c>
      <c r="Q42" t="str">
        <f ca="1"/>
        <v>SAFGM</v>
      </c>
      <c r="R42" s="645">
        <f ca="1"/>
        <v>3.6605666666666668E-3</v>
      </c>
      <c r="S42" t="str">
        <f ca="1"/>
        <v>VLVLY</v>
      </c>
      <c r="T42" s="85">
        <f ca="1"/>
        <v>273</v>
      </c>
      <c r="U42" t="str">
        <f ca="1"/>
        <v>DIS</v>
      </c>
      <c r="V42" s="308">
        <f ca="1"/>
        <v>4.6130000000000008E-3</v>
      </c>
      <c r="W42" t="str">
        <f ca="1"/>
        <v>XOM</v>
      </c>
      <c r="X42">
        <f ca="1"/>
        <v>0</v>
      </c>
      <c r="Y42" t="str">
        <f ca="1"/>
        <v>MVEORA</v>
      </c>
      <c r="Z42">
        <f ca="1"/>
        <v>7</v>
      </c>
      <c r="AA42" t="str">
        <f ca="1"/>
        <v>LAZR</v>
      </c>
      <c r="AB42">
        <f ca="1"/>
        <v>60</v>
      </c>
      <c r="AC42" t="str">
        <f ca="1"/>
        <v>PW</v>
      </c>
      <c r="AD42">
        <f ca="1"/>
        <v>67</v>
      </c>
      <c r="AE42" t="str">
        <f ca="1"/>
        <v>LUV</v>
      </c>
      <c r="AF42" s="85">
        <f ca="1"/>
        <v>0</v>
      </c>
      <c r="AG42" t="str">
        <f ca="1"/>
        <v>BLDP</v>
      </c>
      <c r="AH42" s="85">
        <f ca="1"/>
        <v>239</v>
      </c>
      <c r="AI42" t="str">
        <f ca="1"/>
        <v>ASML</v>
      </c>
      <c r="AJ42" s="85">
        <f ca="1"/>
        <v>2014.9999999999977</v>
      </c>
      <c r="AK42" s="88" t="str">
        <f ca="1"/>
        <v>SAFGM</v>
      </c>
      <c r="AL42" s="308">
        <f ca="1"/>
        <v>3.6605666666666668E-3</v>
      </c>
      <c r="AM42" t="str">
        <f ca="1"/>
        <v>BLDP</v>
      </c>
      <c r="AN42" s="308">
        <f ca="1"/>
        <v>0.34355660982936925</v>
      </c>
      <c r="AO42" t="str">
        <f ca="1"/>
        <v>F</v>
      </c>
      <c r="AP42" s="308">
        <f ca="1"/>
        <v>-0.12039816513761471</v>
      </c>
      <c r="AQ42" s="85" t="str">
        <f ca="1"/>
        <v>TSLA</v>
      </c>
      <c r="AR42" s="88">
        <f ca="1"/>
        <v>0.39092472577397019</v>
      </c>
      <c r="AS42" s="92" t="str">
        <f ca="1"/>
        <v>HPQ</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JBASML</v>
      </c>
      <c r="F43" s="557">
        <f ca="1"/>
        <v>0.96938852069526071</v>
      </c>
      <c r="G43" s="151" t="str">
        <f ca="1"/>
        <v>RIG</v>
      </c>
      <c r="H43" s="558">
        <f ca="1"/>
        <v>42815.95572925001</v>
      </c>
      <c r="I43" t="str">
        <f ca="1"/>
        <v>VONN</v>
      </c>
      <c r="J43" s="559">
        <f ca="1"/>
        <v>4.934E-3</v>
      </c>
      <c r="K43" s="151" t="str">
        <f ca="1"/>
        <v>VONN</v>
      </c>
      <c r="L43" s="559">
        <f ca="1"/>
        <v>4.934E-3</v>
      </c>
      <c r="M43" s="1" t="str">
        <f ca="1"/>
        <v>LUMN</v>
      </c>
      <c r="N43" s="558">
        <f ca="1"/>
        <v>35.685224200000007</v>
      </c>
      <c r="O43" t="str">
        <f ca="1"/>
        <v>UNIT</v>
      </c>
      <c r="P43" s="558">
        <f ca="1"/>
        <v>0</v>
      </c>
      <c r="Q43" t="str">
        <f ca="1"/>
        <v>VLVLY</v>
      </c>
      <c r="R43" s="645">
        <f ca="1"/>
        <v>3.5917261904761886E-3</v>
      </c>
      <c r="S43" t="str">
        <f ca="1"/>
        <v>XYZ</v>
      </c>
      <c r="T43" s="85">
        <f ca="1"/>
        <v>264</v>
      </c>
      <c r="U43" t="str">
        <f ca="1"/>
        <v>SAFDIS</v>
      </c>
      <c r="V43" s="308">
        <f ca="1"/>
        <v>4.6130000000000008E-3</v>
      </c>
      <c r="W43" t="str">
        <f ca="1"/>
        <v>XPER</v>
      </c>
      <c r="X43">
        <f ca="1"/>
        <v>0</v>
      </c>
      <c r="Y43" t="str">
        <f ca="1"/>
        <v>NVS</v>
      </c>
      <c r="Z43">
        <f ca="1"/>
        <v>7</v>
      </c>
      <c r="AA43" t="str">
        <f ca="1"/>
        <v>AAPL</v>
      </c>
      <c r="AB43">
        <f ca="1"/>
        <v>59</v>
      </c>
      <c r="AC43" t="str">
        <f ca="1"/>
        <v>PFE</v>
      </c>
      <c r="AD43">
        <f ca="1"/>
        <v>67</v>
      </c>
      <c r="AE43" t="str">
        <f ca="1"/>
        <v>MA</v>
      </c>
      <c r="AF43" s="85">
        <f ca="1"/>
        <v>0</v>
      </c>
      <c r="AG43" t="str">
        <f ca="1"/>
        <v>X</v>
      </c>
      <c r="AH43" s="85">
        <f ca="1"/>
        <v>238</v>
      </c>
      <c r="AI43" t="str">
        <f ca="1"/>
        <v>PW</v>
      </c>
      <c r="AJ43" s="85">
        <f ca="1"/>
        <v>1672.5383999999999</v>
      </c>
      <c r="AK43" s="88" t="str">
        <f ca="1"/>
        <v>VLVLY</v>
      </c>
      <c r="AL43" s="308">
        <f ca="1"/>
        <v>3.5917261904761886E-3</v>
      </c>
      <c r="AM43" t="str">
        <f ca="1"/>
        <v>RIG</v>
      </c>
      <c r="AN43" s="308">
        <f ca="1"/>
        <v>0.33441474700656743</v>
      </c>
      <c r="AO43" t="str">
        <f ca="1"/>
        <v>MVEORA</v>
      </c>
      <c r="AP43" s="308">
        <f ca="1"/>
        <v>-0.11826457292252705</v>
      </c>
      <c r="AQ43" s="85" t="str">
        <f ca="1"/>
        <v>NVS</v>
      </c>
      <c r="AR43" s="88">
        <f ca="1"/>
        <v>0.37180490316542575</v>
      </c>
      <c r="AS43" s="92" t="str">
        <f ca="1"/>
        <v>IAG</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ALDNE</v>
      </c>
      <c r="F44" s="557">
        <f ca="1"/>
        <v>0.95520716685330342</v>
      </c>
      <c r="G44" s="151" t="str">
        <f ca="1"/>
        <v>HPQ</v>
      </c>
      <c r="H44" s="558">
        <f ca="1"/>
        <v>41877.79752870003</v>
      </c>
      <c r="I44" t="str">
        <f ca="1"/>
        <v>XYZ</v>
      </c>
      <c r="J44" s="559">
        <f ca="1"/>
        <v>4.8980000000000004E-3</v>
      </c>
      <c r="K44" s="151" t="str">
        <f ca="1"/>
        <v>XYZ</v>
      </c>
      <c r="L44" s="559">
        <f ca="1"/>
        <v>4.8980000000000004E-3</v>
      </c>
      <c r="M44" s="1" t="str">
        <f ca="1"/>
        <v>GM</v>
      </c>
      <c r="N44" s="558">
        <f ca="1"/>
        <v>34.047642400000001</v>
      </c>
      <c r="O44" t="str">
        <f ca="1"/>
        <v>MVEALDNE</v>
      </c>
      <c r="P44" s="558">
        <f ca="1"/>
        <v>0</v>
      </c>
      <c r="Q44" t="str">
        <f ca="1"/>
        <v>NOTE</v>
      </c>
      <c r="R44" s="645">
        <f ca="1"/>
        <v>3.4696392857142891E-3</v>
      </c>
      <c r="S44" t="str">
        <f ca="1"/>
        <v>WBA</v>
      </c>
      <c r="T44" s="85">
        <f ca="1"/>
        <v>195</v>
      </c>
      <c r="U44" t="str">
        <f ca="1"/>
        <v>AET</v>
      </c>
      <c r="V44" s="308">
        <f ca="1"/>
        <v>4.3849999999999991E-3</v>
      </c>
      <c r="W44" t="str">
        <f ca="1"/>
        <v>MVEALDNE</v>
      </c>
      <c r="X44">
        <f ca="1"/>
        <v>0</v>
      </c>
      <c r="Y44" t="str">
        <f ca="1"/>
        <v>ORA</v>
      </c>
      <c r="Z44">
        <f ca="1"/>
        <v>7</v>
      </c>
      <c r="AA44" t="str">
        <f ca="1"/>
        <v>VTRS</v>
      </c>
      <c r="AB44">
        <f ca="1"/>
        <v>59</v>
      </c>
      <c r="AC44" t="str">
        <f ca="1"/>
        <v>RWE</v>
      </c>
      <c r="AD44">
        <f ca="1"/>
        <v>66</v>
      </c>
      <c r="AE44" t="str">
        <f ca="1"/>
        <v>NVAX</v>
      </c>
      <c r="AF44" s="85">
        <f ca="1"/>
        <v>0</v>
      </c>
      <c r="AG44" t="str">
        <f ca="1"/>
        <v>UN0</v>
      </c>
      <c r="AH44" s="85">
        <f ca="1"/>
        <v>177</v>
      </c>
      <c r="AI44" t="str">
        <f ca="1"/>
        <v>RIG</v>
      </c>
      <c r="AJ44" s="85">
        <f ca="1"/>
        <v>1387.499999999997</v>
      </c>
      <c r="AK44" s="88" t="str">
        <f ca="1"/>
        <v>NOTE</v>
      </c>
      <c r="AL44" s="308">
        <f ca="1"/>
        <v>3.4696392857142891E-3</v>
      </c>
      <c r="AM44" t="str">
        <f ca="1"/>
        <v>TSLA</v>
      </c>
      <c r="AN44" s="308">
        <f ca="1"/>
        <v>0.32365501554032106</v>
      </c>
      <c r="AO44" t="str">
        <f ca="1"/>
        <v>AMZN</v>
      </c>
      <c r="AP44" s="308">
        <f ca="1"/>
        <v>-0.11808212059666492</v>
      </c>
      <c r="AQ44" s="85" t="str">
        <f ca="1"/>
        <v>EZJ</v>
      </c>
      <c r="AR44" s="88">
        <f ca="1"/>
        <v>0.32784248899992363</v>
      </c>
      <c r="AS44" s="92" t="str">
        <f ca="1"/>
        <v>KR</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MVEALDNE</v>
      </c>
      <c r="F45" s="557">
        <f ca="1"/>
        <v>0.95520716685330342</v>
      </c>
      <c r="G45" s="151" t="str">
        <f ca="1"/>
        <v>C</v>
      </c>
      <c r="H45" s="558">
        <f ca="1"/>
        <v>41655.765044925</v>
      </c>
      <c r="I45" t="str">
        <f ca="1"/>
        <v>DSY</v>
      </c>
      <c r="J45" s="559">
        <f ca="1"/>
        <v>4.7780000000000001E-3</v>
      </c>
      <c r="K45" s="151" t="str">
        <f ca="1"/>
        <v>DSY</v>
      </c>
      <c r="L45" s="559">
        <f ca="1"/>
        <v>4.7780000000000001E-3</v>
      </c>
      <c r="M45" s="1" t="str">
        <f ca="1"/>
        <v>PFE</v>
      </c>
      <c r="N45" s="558">
        <f ca="1"/>
        <v>26.203999999999894</v>
      </c>
      <c r="O45" t="str">
        <f ca="1"/>
        <v>MVEEPIX</v>
      </c>
      <c r="P45" s="558">
        <f ca="1"/>
        <v>0</v>
      </c>
      <c r="Q45" t="str">
        <f ca="1"/>
        <v>KR</v>
      </c>
      <c r="R45" s="645">
        <f ca="1"/>
        <v>3.1931964285714294E-3</v>
      </c>
      <c r="S45" t="str">
        <f ca="1"/>
        <v>XOM</v>
      </c>
      <c r="T45" s="85">
        <f ca="1"/>
        <v>150</v>
      </c>
      <c r="U45" t="str">
        <f ca="1"/>
        <v>RIGL</v>
      </c>
      <c r="V45" s="308">
        <f ca="1"/>
        <v>3.832400000000001E-3</v>
      </c>
      <c r="W45" t="str">
        <f ca="1"/>
        <v>MVEDDD</v>
      </c>
      <c r="X45">
        <f ca="1"/>
        <v>0</v>
      </c>
      <c r="Y45" t="str">
        <f ca="1"/>
        <v>LUMN</v>
      </c>
      <c r="Z45">
        <f ca="1"/>
        <v>8</v>
      </c>
      <c r="AA45" t="str">
        <f ca="1"/>
        <v>SAFAAPL</v>
      </c>
      <c r="AB45">
        <f ca="1"/>
        <v>59</v>
      </c>
      <c r="AC45" t="str">
        <f ca="1"/>
        <v>MVESAP</v>
      </c>
      <c r="AD45">
        <f ca="1"/>
        <v>66</v>
      </c>
      <c r="AE45" t="str">
        <f ca="1"/>
        <v>NVS</v>
      </c>
      <c r="AF45" s="85">
        <f ca="1"/>
        <v>0</v>
      </c>
      <c r="AG45" t="str">
        <f ca="1"/>
        <v>PFE</v>
      </c>
      <c r="AH45" s="85">
        <f ca="1"/>
        <v>159</v>
      </c>
      <c r="AI45" t="str">
        <f ca="1"/>
        <v>EZJ</v>
      </c>
      <c r="AJ45" s="85">
        <f ca="1"/>
        <v>1050</v>
      </c>
      <c r="AK45" s="88" t="str">
        <f ca="1"/>
        <v>KR</v>
      </c>
      <c r="AL45" s="308">
        <f ca="1"/>
        <v>3.1931964285714294E-3</v>
      </c>
      <c r="AM45" t="str">
        <f ca="1"/>
        <v>AAPL</v>
      </c>
      <c r="AN45" s="308">
        <f ca="1"/>
        <v>0.30714530053460598</v>
      </c>
      <c r="AO45" t="str">
        <f ca="1"/>
        <v>C</v>
      </c>
      <c r="AP45" s="308">
        <f ca="1"/>
        <v>-0.11338661553211894</v>
      </c>
      <c r="AQ45" s="85" t="str">
        <f ca="1"/>
        <v>JBASML</v>
      </c>
      <c r="AR45" s="88">
        <f ca="1"/>
        <v>0.32634109309839615</v>
      </c>
      <c r="AS45" s="92" t="str">
        <f ca="1"/>
        <v>LNSR</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DIS</v>
      </c>
      <c r="F46" s="557">
        <f ca="1"/>
        <v>0.95490146509038409</v>
      </c>
      <c r="G46" s="151" t="str">
        <f ca="1"/>
        <v>DVA</v>
      </c>
      <c r="H46" s="558">
        <f ca="1"/>
        <v>37859.986344659934</v>
      </c>
      <c r="I46" t="str">
        <f ca="1"/>
        <v>MVEDSY</v>
      </c>
      <c r="J46" s="559">
        <f ca="1"/>
        <v>4.7780000000000001E-3</v>
      </c>
      <c r="K46" s="151" t="str">
        <f ca="1"/>
        <v>MVEDSY</v>
      </c>
      <c r="L46" s="559">
        <f ca="1"/>
        <v>4.7780000000000001E-3</v>
      </c>
      <c r="M46" s="1" t="str">
        <f ca="1"/>
        <v>CVS</v>
      </c>
      <c r="N46" s="558">
        <f ca="1"/>
        <v>24.628063906000001</v>
      </c>
      <c r="O46" t="str">
        <f ca="1"/>
        <v>LAZR</v>
      </c>
      <c r="P46" s="558">
        <f ca="1"/>
        <v>0</v>
      </c>
      <c r="Q46" t="str">
        <f ca="1"/>
        <v>DIS</v>
      </c>
      <c r="R46" s="645">
        <f ca="1"/>
        <v>2.5896940476190481E-3</v>
      </c>
      <c r="S46" t="str">
        <f ca="1"/>
        <v>BMRA</v>
      </c>
      <c r="T46" s="85">
        <f ca="1"/>
        <v>125</v>
      </c>
      <c r="U46" t="str">
        <f ca="1"/>
        <v>LNSR</v>
      </c>
      <c r="V46" s="308">
        <f ca="1"/>
        <v>3.7760000000000007E-3</v>
      </c>
      <c r="W46" t="str">
        <f ca="1"/>
        <v>MVEDSY</v>
      </c>
      <c r="X46">
        <f ca="1"/>
        <v>0</v>
      </c>
      <c r="Y46" t="str">
        <f ca="1"/>
        <v>SAFMRNA</v>
      </c>
      <c r="Z46">
        <f ca="1"/>
        <v>8</v>
      </c>
      <c r="AA46" t="str">
        <f ca="1"/>
        <v>NVS</v>
      </c>
      <c r="AB46">
        <f ca="1"/>
        <v>59</v>
      </c>
      <c r="AC46" t="str">
        <f ca="1"/>
        <v>XYZ</v>
      </c>
      <c r="AD46">
        <f ca="1"/>
        <v>66</v>
      </c>
      <c r="AE46" t="str">
        <f ca="1"/>
        <v>ORA</v>
      </c>
      <c r="AF46" s="85">
        <f ca="1"/>
        <v>0</v>
      </c>
      <c r="AG46" t="str">
        <f ca="1"/>
        <v>TSLA</v>
      </c>
      <c r="AH46" s="85">
        <f ca="1"/>
        <v>110</v>
      </c>
      <c r="AI46" t="str">
        <f ca="1"/>
        <v>SHECY</v>
      </c>
      <c r="AJ46" s="85">
        <f ca="1"/>
        <v>1030.1599999999994</v>
      </c>
      <c r="AK46" s="88" t="str">
        <f ca="1"/>
        <v>DIS</v>
      </c>
      <c r="AL46" s="308">
        <f ca="1"/>
        <v>2.5896940476190481E-3</v>
      </c>
      <c r="AM46" t="str">
        <f ca="1"/>
        <v>MVERWE</v>
      </c>
      <c r="AN46" s="308">
        <f ca="1"/>
        <v>0.30386834153244169</v>
      </c>
      <c r="AO46" t="str">
        <f ca="1"/>
        <v>SAFAMZN</v>
      </c>
      <c r="AP46" s="308">
        <f ca="1"/>
        <v>-0.11137097446586772</v>
      </c>
      <c r="AQ46" s="85" t="str">
        <f ca="1"/>
        <v>ENI</v>
      </c>
      <c r="AR46" s="88">
        <f ca="1"/>
        <v>0.30160183437178462</v>
      </c>
      <c r="AS46" s="92" t="str">
        <f ca="1"/>
        <v>LUMN</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SAFDIS</v>
      </c>
      <c r="F47" s="557">
        <f ca="1"/>
        <v>0.95490146509038409</v>
      </c>
      <c r="G47" s="151" t="str">
        <f ca="1"/>
        <v>ADEA</v>
      </c>
      <c r="H47" s="558">
        <f ca="1"/>
        <v>37780.31278495321</v>
      </c>
      <c r="I47" t="str">
        <f ca="1"/>
        <v>ADEA</v>
      </c>
      <c r="J47" s="559">
        <f ca="1"/>
        <v>2.9589999999999998E-3</v>
      </c>
      <c r="K47" s="151" t="str">
        <f ca="1"/>
        <v>ADEA</v>
      </c>
      <c r="L47" s="559">
        <f ca="1"/>
        <v>2.9589999999999998E-3</v>
      </c>
      <c r="M47" s="1" t="str">
        <f ca="1"/>
        <v>RIGL</v>
      </c>
      <c r="N47" s="558">
        <f ca="1"/>
        <v>13.646342000000001</v>
      </c>
      <c r="O47" t="str">
        <f ca="1"/>
        <v>LOCK</v>
      </c>
      <c r="P47" s="558">
        <f ca="1"/>
        <v>0</v>
      </c>
      <c r="Q47" t="str">
        <f ca="1"/>
        <v>MVEDSY</v>
      </c>
      <c r="R47" s="645">
        <f ca="1"/>
        <v>2.5896940476190481E-3</v>
      </c>
      <c r="S47" t="str">
        <f ca="1"/>
        <v>ORA</v>
      </c>
      <c r="T47" s="85">
        <f ca="1"/>
        <v>108</v>
      </c>
      <c r="U47" t="str">
        <f ca="1"/>
        <v>DVA</v>
      </c>
      <c r="V47" s="308">
        <f ca="1"/>
        <v>3.6531800000000002E-3</v>
      </c>
      <c r="W47" t="str">
        <f ca="1"/>
        <v>MVEEOAN</v>
      </c>
      <c r="X47">
        <f ca="1"/>
        <v>0</v>
      </c>
      <c r="Y47" t="str">
        <f ca="1"/>
        <v>ASML</v>
      </c>
      <c r="Z47">
        <f ca="1"/>
        <v>9</v>
      </c>
      <c r="AA47" t="str">
        <f ca="1"/>
        <v>PFE</v>
      </c>
      <c r="AB47">
        <f ca="1"/>
        <v>59</v>
      </c>
      <c r="AC47" t="str">
        <f ca="1"/>
        <v>DDD</v>
      </c>
      <c r="AD47">
        <f ca="1"/>
        <v>65</v>
      </c>
      <c r="AE47" t="str">
        <f ca="1"/>
        <v>PFE</v>
      </c>
      <c r="AF47" s="85">
        <f ca="1"/>
        <v>0</v>
      </c>
      <c r="AG47" t="str">
        <f ca="1"/>
        <v>MVEEOAN</v>
      </c>
      <c r="AH47" s="85">
        <f ca="1"/>
        <v>39</v>
      </c>
      <c r="AI47" t="str">
        <f ca="1"/>
        <v>VONN</v>
      </c>
      <c r="AJ47" s="85">
        <f ca="1"/>
        <v>706.99999999999568</v>
      </c>
      <c r="AK47" s="88" t="str">
        <f ca="1"/>
        <v>MVEDSY</v>
      </c>
      <c r="AL47" s="308">
        <f ca="1"/>
        <v>2.5896940476190481E-3</v>
      </c>
      <c r="AM47" t="str">
        <f ca="1"/>
        <v>AZN</v>
      </c>
      <c r="AN47" s="308">
        <f ca="1"/>
        <v>0.28870695239342203</v>
      </c>
      <c r="AO47" t="str">
        <f ca="1"/>
        <v>ENI</v>
      </c>
      <c r="AP47" s="308">
        <f ca="1"/>
        <v>-6.5184129778672051E-2</v>
      </c>
      <c r="AQ47" s="85" t="str">
        <f ca="1"/>
        <v>LOCK</v>
      </c>
      <c r="AR47" s="88">
        <f ca="1"/>
        <v>0.25946733250104037</v>
      </c>
      <c r="AS47" s="92" t="str">
        <f ca="1"/>
        <v>MRNA</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F</v>
      </c>
      <c r="F48" s="557">
        <f ca="1"/>
        <v>0.95151912282576889</v>
      </c>
      <c r="G48" s="151" t="str">
        <f ca="1"/>
        <v>MVERWE</v>
      </c>
      <c r="H48" s="558">
        <f ca="1"/>
        <v>37655.740230895783</v>
      </c>
      <c r="I48" t="str">
        <f ca="1"/>
        <v>PFE</v>
      </c>
      <c r="J48" s="559">
        <f ca="1"/>
        <v>1.1640000000000001E-3</v>
      </c>
      <c r="K48" s="151" t="str">
        <f ca="1"/>
        <v>PFE</v>
      </c>
      <c r="L48" s="559">
        <f ca="1"/>
        <v>1.1640000000000001E-3</v>
      </c>
      <c r="M48" s="1" t="str">
        <f ca="1"/>
        <v>MVERWE</v>
      </c>
      <c r="N48" s="558">
        <f ca="1"/>
        <v>10.108953</v>
      </c>
      <c r="O48" t="str">
        <f ca="1"/>
        <v>MVEORA</v>
      </c>
      <c r="P48" s="558">
        <f ca="1"/>
        <v>-11.968799999999744</v>
      </c>
      <c r="Q48" t="str">
        <f ca="1"/>
        <v>F</v>
      </c>
      <c r="R48" s="645">
        <f ca="1"/>
        <v>2.4373886904761896E-3</v>
      </c>
      <c r="S48" t="str">
        <f ca="1"/>
        <v>PW</v>
      </c>
      <c r="T48" s="85">
        <f ca="1"/>
        <v>58</v>
      </c>
      <c r="U48" t="str">
        <f ca="1"/>
        <v>NVS</v>
      </c>
      <c r="V48" s="308">
        <f ca="1"/>
        <v>3.5423999999999998E-3</v>
      </c>
      <c r="W48" t="str">
        <f ca="1"/>
        <v>MVEENI</v>
      </c>
      <c r="X48">
        <f ca="1"/>
        <v>0</v>
      </c>
      <c r="Y48" t="str">
        <f ca="1"/>
        <v>SAFASML</v>
      </c>
      <c r="Z48">
        <f ca="1"/>
        <v>9</v>
      </c>
      <c r="AA48" t="str">
        <f ca="1"/>
        <v>AVGO</v>
      </c>
      <c r="AB48">
        <f ca="1"/>
        <v>58</v>
      </c>
      <c r="AC48" t="str">
        <f ca="1"/>
        <v>POET</v>
      </c>
      <c r="AD48">
        <f ca="1"/>
        <v>65</v>
      </c>
      <c r="AE48" t="str">
        <f ca="1"/>
        <v>RRC</v>
      </c>
      <c r="AF48" s="85">
        <f ca="1"/>
        <v>0</v>
      </c>
      <c r="AG48" t="str">
        <f ca="1"/>
        <v>LUMN</v>
      </c>
      <c r="AH48" s="85">
        <f ca="1"/>
        <v>35</v>
      </c>
      <c r="AI48" t="str">
        <f ca="1"/>
        <v>MVEENI</v>
      </c>
      <c r="AJ48" s="85">
        <f ca="1"/>
        <v>384.00000000000034</v>
      </c>
      <c r="AK48" s="88" t="str">
        <f ca="1"/>
        <v>F</v>
      </c>
      <c r="AL48" s="308">
        <f ca="1"/>
        <v>2.4373886904761896E-3</v>
      </c>
      <c r="AM48" t="str">
        <f ca="1"/>
        <v>THC</v>
      </c>
      <c r="AN48" s="308">
        <f ca="1"/>
        <v>0.22747930764927948</v>
      </c>
      <c r="AO48" t="str">
        <f ca="1"/>
        <v>XOM</v>
      </c>
      <c r="AP48" s="308">
        <f ca="1"/>
        <v>-5.551829360100384E-2</v>
      </c>
      <c r="AQ48" s="85" t="str">
        <f ca="1"/>
        <v>WBA</v>
      </c>
      <c r="AR48" s="88">
        <f ca="1"/>
        <v>0.2230909578895145</v>
      </c>
      <c r="AS48" s="92" t="str">
        <f ca="1"/>
        <v>MSFT</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NFLX</v>
      </c>
      <c r="F49" s="557">
        <f ca="1"/>
        <v>0.93949121229058552</v>
      </c>
      <c r="G49" s="151" t="str">
        <f ca="1"/>
        <v>EZJ</v>
      </c>
      <c r="H49" s="558">
        <f ca="1"/>
        <v>36528.444068400029</v>
      </c>
      <c r="I49" t="str">
        <f ca="1"/>
        <v>THC</v>
      </c>
      <c r="J49" s="559">
        <f ca="1"/>
        <v>6.3299999999999999E-4</v>
      </c>
      <c r="K49" s="151" t="str">
        <f ca="1"/>
        <v>THC</v>
      </c>
      <c r="L49" s="559">
        <f ca="1"/>
        <v>6.3299999999999999E-4</v>
      </c>
      <c r="M49" s="1" t="str">
        <f ca="1"/>
        <v>LNSR</v>
      </c>
      <c r="N49" s="558">
        <f ca="1"/>
        <v>0</v>
      </c>
      <c r="O49" t="str">
        <f ca="1"/>
        <v>IAG</v>
      </c>
      <c r="P49" s="558">
        <f ca="1"/>
        <v>-40.893399999996824</v>
      </c>
      <c r="Q49" t="str">
        <f ca="1"/>
        <v>MVEGLE</v>
      </c>
      <c r="R49" s="645">
        <f ca="1"/>
        <v>2.1753190476190465E-3</v>
      </c>
      <c r="S49" t="str">
        <f ca="1"/>
        <v>C</v>
      </c>
      <c r="T49" s="85">
        <f ca="1"/>
        <v>50.924999999999272</v>
      </c>
      <c r="U49" t="str">
        <f ca="1"/>
        <v>NVAX</v>
      </c>
      <c r="V49" s="308">
        <f ca="1"/>
        <v>2.5279999999999999E-3</v>
      </c>
      <c r="W49" t="str">
        <f ca="1"/>
        <v>MVEEPIX</v>
      </c>
      <c r="X49">
        <f ca="1"/>
        <v>0</v>
      </c>
      <c r="Y49" t="str">
        <f ca="1"/>
        <v>THC</v>
      </c>
      <c r="Z49">
        <f ca="1"/>
        <v>9</v>
      </c>
      <c r="AA49" t="str">
        <f ca="1"/>
        <v>XPER</v>
      </c>
      <c r="AB49">
        <f ca="1"/>
        <v>58</v>
      </c>
      <c r="AC49" t="str">
        <f ca="1"/>
        <v>SAFDIS</v>
      </c>
      <c r="AD49">
        <f ca="1"/>
        <v>65</v>
      </c>
      <c r="AE49" t="str">
        <f ca="1"/>
        <v>THC</v>
      </c>
      <c r="AF49" s="85">
        <f ca="1"/>
        <v>0</v>
      </c>
      <c r="AG49" t="str">
        <f ca="1"/>
        <v>GM</v>
      </c>
      <c r="AH49" s="85">
        <f ca="1"/>
        <v>34</v>
      </c>
      <c r="AI49" t="str">
        <f ca="1"/>
        <v>NEE</v>
      </c>
      <c r="AJ49" s="85">
        <f ca="1"/>
        <v>259.3500000000023</v>
      </c>
      <c r="AK49" s="88" t="str">
        <f ca="1"/>
        <v>MVEGLE</v>
      </c>
      <c r="AL49" s="308">
        <f ca="1"/>
        <v>2.1753190476190465E-3</v>
      </c>
      <c r="AM49" t="str">
        <f ca="1"/>
        <v>AVGO</v>
      </c>
      <c r="AN49" s="308">
        <f ca="1"/>
        <v>0.22161624061371327</v>
      </c>
      <c r="AO49" t="str">
        <f ca="1"/>
        <v>EZJ</v>
      </c>
      <c r="AP49" s="308">
        <f ca="1"/>
        <v>-4.9864761904762009E-2</v>
      </c>
      <c r="AQ49" s="85" t="str">
        <f ca="1"/>
        <v>HPQ</v>
      </c>
      <c r="AR49" s="88">
        <f ca="1"/>
        <v>0.22250791139240503</v>
      </c>
      <c r="AS49" s="92" t="str">
        <f ca="1"/>
        <v>NEE</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AET</v>
      </c>
      <c r="F50" s="557">
        <f ca="1"/>
        <v>0.93109744244814086</v>
      </c>
      <c r="G50" s="151" t="str">
        <f ca="1"/>
        <v>RWE</v>
      </c>
      <c r="H50" s="558">
        <f ca="1"/>
        <v>36375.142561289918</v>
      </c>
      <c r="I50" t="str">
        <f ca="1"/>
        <v>GM</v>
      </c>
      <c r="J50" s="559">
        <f ca="1"/>
        <v>5.5690000000000004E-4</v>
      </c>
      <c r="K50" s="151" t="str">
        <f ca="1"/>
        <v>GM</v>
      </c>
      <c r="L50" s="559">
        <f ca="1"/>
        <v>5.5690000000000004E-4</v>
      </c>
      <c r="M50" s="1" t="str">
        <f ca="1"/>
        <v>SAFASML</v>
      </c>
      <c r="N50" s="558">
        <f ca="1"/>
        <v>0</v>
      </c>
      <c r="O50" t="str">
        <f ca="1"/>
        <v>NEE</v>
      </c>
      <c r="P50" s="558">
        <f ca="1"/>
        <v>-258.67569000000231</v>
      </c>
      <c r="Q50" t="str">
        <f ca="1"/>
        <v>GLE</v>
      </c>
      <c r="R50" s="645">
        <f ca="1"/>
        <v>2.1753190476190465E-3</v>
      </c>
      <c r="S50" t="str">
        <f ca="1"/>
        <v>EPIX</v>
      </c>
      <c r="T50" s="85">
        <f ca="1"/>
        <v>36</v>
      </c>
      <c r="U50" t="str">
        <f ca="1"/>
        <v>EZJ</v>
      </c>
      <c r="V50" s="308">
        <f ca="1"/>
        <v>1.9865999999999998E-3</v>
      </c>
      <c r="W50" t="str">
        <f ca="1"/>
        <v>MVEORA</v>
      </c>
      <c r="X50">
        <f ca="1"/>
        <v>0</v>
      </c>
      <c r="Y50" t="str">
        <f ca="1"/>
        <v>JBASML</v>
      </c>
      <c r="Z50">
        <f ca="1"/>
        <v>9</v>
      </c>
      <c r="AA50" t="str">
        <f ca="1"/>
        <v>DXC</v>
      </c>
      <c r="AB50">
        <f ca="1"/>
        <v>57</v>
      </c>
      <c r="AC50" t="str">
        <f ca="1"/>
        <v>DSY</v>
      </c>
      <c r="AD50">
        <f ca="1"/>
        <v>64</v>
      </c>
      <c r="AE50" t="str">
        <f ca="1"/>
        <v>X</v>
      </c>
      <c r="AF50" s="85">
        <f ca="1"/>
        <v>0</v>
      </c>
      <c r="AG50" t="str">
        <f ca="1"/>
        <v>CVS</v>
      </c>
      <c r="AH50" s="85">
        <f ca="1"/>
        <v>24</v>
      </c>
      <c r="AI50" t="str">
        <f ca="1"/>
        <v>IAG</v>
      </c>
      <c r="AJ50" s="85">
        <f ca="1"/>
        <v>40.999999999996817</v>
      </c>
      <c r="AK50" s="88" t="str">
        <f ca="1"/>
        <v>GLE</v>
      </c>
      <c r="AL50" s="308">
        <f ca="1"/>
        <v>2.1753190476190465E-3</v>
      </c>
      <c r="AM50" t="str">
        <f ca="1"/>
        <v>VTRS</v>
      </c>
      <c r="AN50" s="308">
        <f ca="1"/>
        <v>0.22140425903222447</v>
      </c>
      <c r="AO50" t="str">
        <f ca="1"/>
        <v>JBEOAN</v>
      </c>
      <c r="AP50" s="308">
        <f ca="1"/>
        <v>-3.879590922324104E-2</v>
      </c>
      <c r="AQ50" s="85" t="str">
        <f ca="1"/>
        <v>KR</v>
      </c>
      <c r="AR50" s="88">
        <f ca="1"/>
        <v>0.19499377679436306</v>
      </c>
      <c r="AS50" s="92" t="str">
        <f ca="1"/>
        <v>NFLX</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NEE</v>
      </c>
      <c r="F51" s="557">
        <f ca="1"/>
        <v>0.90268026031108495</v>
      </c>
      <c r="G51" s="151" t="str">
        <f ca="1"/>
        <v>SAFDIS</v>
      </c>
      <c r="H51" s="558">
        <f ca="1"/>
        <v>36046.444619519971</v>
      </c>
      <c r="I51" t="str">
        <f ca="1"/>
        <v>SAFGM</v>
      </c>
      <c r="J51" s="559">
        <f ca="1"/>
        <v>5.5690000000000004E-4</v>
      </c>
      <c r="K51" s="151" t="str">
        <f ca="1"/>
        <v>SAFGM</v>
      </c>
      <c r="L51" s="559">
        <f ca="1"/>
        <v>5.5690000000000004E-4</v>
      </c>
      <c r="M51" s="1" t="str">
        <f ca="1"/>
        <v>SAFGM</v>
      </c>
      <c r="N51" s="558">
        <f ca="1"/>
        <v>0</v>
      </c>
      <c r="O51" t="str">
        <f ca="1"/>
        <v>MVEENI</v>
      </c>
      <c r="P51" s="558">
        <f ca="1"/>
        <v>-383.00160000000034</v>
      </c>
      <c r="Q51" t="str">
        <f ca="1"/>
        <v>CSCO</v>
      </c>
      <c r="R51" s="645">
        <f ca="1"/>
        <v>2.141839285714286E-3</v>
      </c>
      <c r="S51" t="str">
        <f ca="1"/>
        <v>MVEEPIX</v>
      </c>
      <c r="T51" s="85">
        <f ca="1"/>
        <v>14.400000000000091</v>
      </c>
      <c r="U51" t="str">
        <f ca="1"/>
        <v>VONN</v>
      </c>
      <c r="V51" s="308">
        <f ca="1"/>
        <v>1.6662000000000003E-3</v>
      </c>
      <c r="W51" t="str">
        <f ca="1"/>
        <v>MVERWE</v>
      </c>
      <c r="X51">
        <f ca="1"/>
        <v>0</v>
      </c>
      <c r="Y51" t="str">
        <f ca="1"/>
        <v>DVA</v>
      </c>
      <c r="Z51">
        <f ca="1"/>
        <v>10</v>
      </c>
      <c r="AA51" t="str">
        <f ca="1"/>
        <v>MVEEOAN</v>
      </c>
      <c r="AB51">
        <f ca="1"/>
        <v>57</v>
      </c>
      <c r="AC51" t="str">
        <f ca="1"/>
        <v>F</v>
      </c>
      <c r="AD51">
        <f ca="1"/>
        <v>64</v>
      </c>
      <c r="AE51" t="str">
        <f ca="1"/>
        <v>LOCK</v>
      </c>
      <c r="AF51" s="85">
        <f ca="1"/>
        <v>0</v>
      </c>
      <c r="AG51" t="str">
        <f ca="1"/>
        <v>RIGL</v>
      </c>
      <c r="AH51" s="85">
        <f ca="1"/>
        <v>13</v>
      </c>
      <c r="AI51" t="str">
        <f ca="1"/>
        <v>MVEORA</v>
      </c>
      <c r="AJ51" s="85">
        <f ca="1"/>
        <v>11.999999999999744</v>
      </c>
      <c r="AK51" s="88" t="str">
        <f ca="1"/>
        <v>CSCO</v>
      </c>
      <c r="AL51" s="308">
        <f ca="1"/>
        <v>2.141839285714286E-3</v>
      </c>
      <c r="AM51" t="str">
        <f ca="1"/>
        <v>VLVLY</v>
      </c>
      <c r="AN51" s="308">
        <f ca="1"/>
        <v>0.21145109202473347</v>
      </c>
      <c r="AO51" t="str">
        <f ca="1"/>
        <v>ADEA</v>
      </c>
      <c r="AP51" s="308">
        <f ca="1"/>
        <v>-3.587622212389395E-2</v>
      </c>
      <c r="AQ51" s="85" t="str">
        <f ca="1"/>
        <v>AMZN</v>
      </c>
      <c r="AR51" s="88">
        <f ca="1"/>
        <v>0.19355493357911729</v>
      </c>
      <c r="AS51" s="92" t="str">
        <f ca="1"/>
        <v>NOTE</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XOM</v>
      </c>
      <c r="F52" s="557">
        <f ca="1"/>
        <v>0.89778480211282241</v>
      </c>
      <c r="G52" s="151" t="str">
        <f ca="1"/>
        <v>ENI</v>
      </c>
      <c r="H52" s="558">
        <f ca="1"/>
        <v>34424.764054400075</v>
      </c>
      <c r="I52" t="str">
        <f ca="1"/>
        <v>XOM</v>
      </c>
      <c r="J52" s="559">
        <f ca="1"/>
        <v>8.3649999999999987E-5</v>
      </c>
      <c r="K52" s="151" t="str">
        <f ca="1"/>
        <v>XOM</v>
      </c>
      <c r="L52" s="559">
        <f ca="1"/>
        <v>8.3649999999999987E-5</v>
      </c>
      <c r="M52" s="1" t="str">
        <f ca="1"/>
        <v>SAFIAG</v>
      </c>
      <c r="N52" s="558">
        <f ca="1"/>
        <v>0</v>
      </c>
      <c r="O52" t="str">
        <f ca="1"/>
        <v>VONN</v>
      </c>
      <c r="P52" s="558">
        <f ca="1"/>
        <v>-705.16179999999565</v>
      </c>
      <c r="Q52" t="str">
        <f ca="1"/>
        <v>XOM</v>
      </c>
      <c r="R52" s="645">
        <f ca="1"/>
        <v>2.0621970238095273E-3</v>
      </c>
      <c r="S52" t="str">
        <f ca="1"/>
        <v>CVS</v>
      </c>
      <c r="T52" s="85">
        <f ca="1"/>
        <v>1.789999999999992</v>
      </c>
      <c r="U52" t="str">
        <f ca="1"/>
        <v>CSCO</v>
      </c>
      <c r="V52" s="308">
        <f ca="1"/>
        <v>1.3983999999999997E-3</v>
      </c>
      <c r="W52" t="str">
        <f ca="1"/>
        <v>MVEUN0</v>
      </c>
      <c r="X52">
        <f ca="1"/>
        <v>0</v>
      </c>
      <c r="Y52" t="str">
        <f ca="1"/>
        <v>PFE</v>
      </c>
      <c r="Z52">
        <f ca="1"/>
        <v>10</v>
      </c>
      <c r="AA52" t="str">
        <f ca="1"/>
        <v>JBEOAN</v>
      </c>
      <c r="AB52">
        <f ca="1"/>
        <v>57</v>
      </c>
      <c r="AC52" t="str">
        <f ca="1"/>
        <v>RRC</v>
      </c>
      <c r="AD52">
        <f ca="1"/>
        <v>64</v>
      </c>
      <c r="AE52" t="str">
        <f ca="1"/>
        <v>JBASML</v>
      </c>
      <c r="AF52" s="85">
        <f ca="1"/>
        <v>0</v>
      </c>
      <c r="AG52" t="str">
        <f ca="1"/>
        <v>MVEUN0</v>
      </c>
      <c r="AH52" s="85">
        <f ca="1"/>
        <v>12</v>
      </c>
      <c r="AI52" t="str">
        <f ca="1"/>
        <v>ALDNE</v>
      </c>
      <c r="AJ52" s="85">
        <f ca="1"/>
        <v>0</v>
      </c>
      <c r="AK52" s="88" t="str">
        <f ca="1"/>
        <v>XOM</v>
      </c>
      <c r="AL52" s="308">
        <f ca="1"/>
        <v>2.0621970238095273E-3</v>
      </c>
      <c r="AM52" t="str">
        <f ca="1"/>
        <v>MVEENI</v>
      </c>
      <c r="AN52" s="308">
        <f ca="1"/>
        <v>0.18972621496951797</v>
      </c>
      <c r="AO52" t="str">
        <f ca="1"/>
        <v>VONN</v>
      </c>
      <c r="AP52" s="308">
        <f ca="1"/>
        <v>-3.1137634280613009E-2</v>
      </c>
      <c r="AQ52" s="85" t="str">
        <f ca="1"/>
        <v>SAFAMZN</v>
      </c>
      <c r="AR52" s="88">
        <f ca="1"/>
        <v>0.15710030173159342</v>
      </c>
      <c r="AS52" s="92" t="str">
        <f ca="1"/>
        <v>PAAS</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HPE</v>
      </c>
      <c r="F53" s="557">
        <f ca="1"/>
        <v>0.88895401902287108</v>
      </c>
      <c r="G53" s="151" t="str">
        <f ca="1"/>
        <v>GNRC</v>
      </c>
      <c r="H53" s="558">
        <f ca="1"/>
        <v>28794.109828140034</v>
      </c>
      <c r="I53" t="str">
        <f ca="1"/>
        <v>EPIX</v>
      </c>
      <c r="J53" s="559">
        <f ca="1"/>
        <v>0</v>
      </c>
      <c r="K53" s="151" t="str">
        <f ca="1"/>
        <v>EPIX</v>
      </c>
      <c r="L53" s="559">
        <f ca="1"/>
        <v>0</v>
      </c>
      <c r="M53" s="1" t="str">
        <f ca="1"/>
        <v>F</v>
      </c>
      <c r="N53" s="558">
        <f ca="1"/>
        <v>0</v>
      </c>
      <c r="O53" t="str">
        <f ca="1"/>
        <v>SHECY</v>
      </c>
      <c r="P53" s="558">
        <f ca="1"/>
        <v>-1027.4815839999994</v>
      </c>
      <c r="Q53" t="str">
        <f ca="1"/>
        <v>HPE</v>
      </c>
      <c r="R53" s="645">
        <f ca="1"/>
        <v>1.8279488095238093E-3</v>
      </c>
      <c r="S53" t="str">
        <f ca="1"/>
        <v>RIGL</v>
      </c>
      <c r="T53" s="85">
        <f ca="1"/>
        <v>1.0999999999999943</v>
      </c>
      <c r="U53" t="str">
        <f ca="1"/>
        <v>TSM</v>
      </c>
      <c r="V53" s="308">
        <f ca="1"/>
        <v>1.2102000000000011E-3</v>
      </c>
      <c r="W53" t="str">
        <f ca="1"/>
        <v>SAFAAPL</v>
      </c>
      <c r="X53">
        <f ca="1"/>
        <v>0</v>
      </c>
      <c r="Y53" t="str">
        <f ca="1"/>
        <v>XYZ</v>
      </c>
      <c r="Z53">
        <f ca="1"/>
        <v>10</v>
      </c>
      <c r="AA53" t="str">
        <f ca="1"/>
        <v>NVAX</v>
      </c>
      <c r="AB53">
        <f ca="1"/>
        <v>56</v>
      </c>
      <c r="AC53" t="str">
        <f ca="1"/>
        <v>PAAS</v>
      </c>
      <c r="AD53">
        <f ca="1"/>
        <v>63</v>
      </c>
      <c r="AE53" t="str">
        <f ca="1"/>
        <v>JBEOAN</v>
      </c>
      <c r="AF53" s="85">
        <f ca="1"/>
        <v>0</v>
      </c>
      <c r="AG53" t="str">
        <f ca="1"/>
        <v>MVERWE</v>
      </c>
      <c r="AH53" s="85">
        <f ca="1"/>
        <v>10</v>
      </c>
      <c r="AI53" t="str">
        <f ca="1"/>
        <v>BMRA</v>
      </c>
      <c r="AJ53" s="85">
        <f ca="1"/>
        <v>0</v>
      </c>
      <c r="AK53" s="88" t="str">
        <f ca="1"/>
        <v>HPE</v>
      </c>
      <c r="AL53" s="308">
        <f ca="1"/>
        <v>1.8279488095238093E-3</v>
      </c>
      <c r="AM53" t="str">
        <f ca="1"/>
        <v>WBA</v>
      </c>
      <c r="AN53" s="308">
        <f ca="1"/>
        <v>0.18729026029792706</v>
      </c>
      <c r="AO53" t="str">
        <f ca="1"/>
        <v>RRC</v>
      </c>
      <c r="AP53" s="308">
        <f ca="1"/>
        <v>-1.4748760330578387E-2</v>
      </c>
      <c r="AQ53" s="85" t="str">
        <f ca="1"/>
        <v>DXC</v>
      </c>
      <c r="AR53" s="88">
        <f ca="1"/>
        <v>0.13213306030985586</v>
      </c>
      <c r="AS53" s="92" t="str">
        <f ca="1"/>
        <v>PROF</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OXY</v>
      </c>
      <c r="F54" s="557">
        <f ca="1"/>
        <v>0.87848413970723505</v>
      </c>
      <c r="G54" s="151" t="str">
        <f ca="1"/>
        <v>BLDP</v>
      </c>
      <c r="H54" s="558">
        <f ca="1"/>
        <v>25727.872836999981</v>
      </c>
      <c r="I54" t="str">
        <f ca="1"/>
        <v>NOTE</v>
      </c>
      <c r="J54" s="559">
        <f ca="1"/>
        <v>0</v>
      </c>
      <c r="K54" s="151" t="str">
        <f ca="1"/>
        <v>NOTE</v>
      </c>
      <c r="L54" s="559">
        <f ca="1"/>
        <v>0</v>
      </c>
      <c r="M54" s="1" t="str">
        <f ca="1"/>
        <v>GLE</v>
      </c>
      <c r="N54" s="558">
        <f ca="1"/>
        <v>0</v>
      </c>
      <c r="O54" t="str">
        <f ca="1"/>
        <v>EZJ</v>
      </c>
      <c r="P54" s="558">
        <f ca="1"/>
        <v>-1047.27</v>
      </c>
      <c r="Q54" t="str">
        <f ca="1"/>
        <v>RIGL</v>
      </c>
      <c r="R54" s="645">
        <f ca="1"/>
        <v>1.4885595238095242E-3</v>
      </c>
      <c r="S54" t="str">
        <f ca="1"/>
        <v>GM</v>
      </c>
      <c r="T54" s="85">
        <f ca="1"/>
        <v>0.40500000000000114</v>
      </c>
      <c r="U54" t="str">
        <f ca="1"/>
        <v>SHECY</v>
      </c>
      <c r="V54" s="308">
        <f ca="1"/>
        <v>1.2004000000000001E-3</v>
      </c>
      <c r="W54" t="str">
        <f ca="1"/>
        <v>SAFAMZN</v>
      </c>
      <c r="X54">
        <f ca="1"/>
        <v>0</v>
      </c>
      <c r="Y54" t="str">
        <f ca="1"/>
        <v>PW</v>
      </c>
      <c r="Z54">
        <f ca="1"/>
        <v>11</v>
      </c>
      <c r="AA54" t="str">
        <f ca="1"/>
        <v>C</v>
      </c>
      <c r="AB54">
        <f ca="1"/>
        <v>55</v>
      </c>
      <c r="AC54" t="str">
        <f ca="1"/>
        <v>SAP</v>
      </c>
      <c r="AD54">
        <f ca="1"/>
        <v>63</v>
      </c>
      <c r="AE54" t="str">
        <f ca="1"/>
        <v>BLDP</v>
      </c>
      <c r="AF54" s="85">
        <f ca="1"/>
        <v>-4796.2529190000096</v>
      </c>
      <c r="AG54" t="str">
        <f ca="1"/>
        <v>LNSR</v>
      </c>
      <c r="AH54" s="85">
        <f ca="1"/>
        <v>0</v>
      </c>
      <c r="AI54" t="str">
        <f ca="1"/>
        <v>NOTE</v>
      </c>
      <c r="AJ54" s="85">
        <f ca="1"/>
        <v>0</v>
      </c>
      <c r="AK54" s="88" t="str">
        <f ca="1"/>
        <v>RIGL</v>
      </c>
      <c r="AL54" s="308">
        <f ca="1"/>
        <v>1.4885595238095242E-3</v>
      </c>
      <c r="AM54" t="str">
        <f ca="1"/>
        <v>CSCO</v>
      </c>
      <c r="AN54" s="308">
        <f ca="1"/>
        <v>0.17609501415367665</v>
      </c>
      <c r="AO54" t="str">
        <f ca="1"/>
        <v>MA</v>
      </c>
      <c r="AP54" s="308">
        <f ca="1"/>
        <v>-1.284449491633699E-2</v>
      </c>
      <c r="AQ54" s="85" t="str">
        <f ca="1"/>
        <v>XOM</v>
      </c>
      <c r="AR54" s="88">
        <f ca="1"/>
        <v>8.3052980992783354E-2</v>
      </c>
      <c r="AS54" s="92" t="str">
        <f ca="1"/>
        <v>PW</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RIG</v>
      </c>
      <c r="F55" s="557">
        <f ca="1"/>
        <v>0.86607859404355392</v>
      </c>
      <c r="G55" s="151" t="str">
        <f ca="1"/>
        <v>DIS</v>
      </c>
      <c r="H55" s="558">
        <f ca="1"/>
        <v>18954.013058399956</v>
      </c>
      <c r="I55" t="str">
        <f ca="1"/>
        <v>WBA</v>
      </c>
      <c r="J55" s="559">
        <f ca="1"/>
        <v>0</v>
      </c>
      <c r="K55" s="151" t="str">
        <f ca="1"/>
        <v>WBA</v>
      </c>
      <c r="L55" s="559">
        <f ca="1"/>
        <v>0</v>
      </c>
      <c r="M55" s="1" t="str">
        <f ca="1"/>
        <v>GS</v>
      </c>
      <c r="N55" s="558">
        <f ca="1"/>
        <v>0</v>
      </c>
      <c r="O55" t="str">
        <f ca="1"/>
        <v>RIG</v>
      </c>
      <c r="P55" s="558">
        <f ca="1"/>
        <v>-1383.892499999997</v>
      </c>
      <c r="Q55" t="str">
        <f ca="1"/>
        <v>MVERWE</v>
      </c>
      <c r="R55" s="645">
        <f ca="1"/>
        <v>1.4885595238095242E-3</v>
      </c>
      <c r="S55" t="str">
        <f ca="1"/>
        <v>LUMN</v>
      </c>
      <c r="T55" s="85">
        <f ca="1"/>
        <v>0.40000000000000568</v>
      </c>
      <c r="U55" t="str">
        <f ca="1"/>
        <v>OXY</v>
      </c>
      <c r="V55" s="308">
        <f ca="1"/>
        <v>1.1236000000000002E-3</v>
      </c>
      <c r="W55" t="str">
        <f ca="1"/>
        <v>SAFASML</v>
      </c>
      <c r="X55">
        <f ca="1"/>
        <v>0</v>
      </c>
      <c r="Y55" t="str">
        <f ca="1"/>
        <v>ADEA</v>
      </c>
      <c r="Z55">
        <f ca="1"/>
        <v>12</v>
      </c>
      <c r="AA55" t="str">
        <f ca="1"/>
        <v>SAP</v>
      </c>
      <c r="AB55">
        <f ca="1"/>
        <v>55</v>
      </c>
      <c r="AC55" t="str">
        <f ca="1"/>
        <v>LNSR</v>
      </c>
      <c r="AD55">
        <f ca="1"/>
        <v>62</v>
      </c>
      <c r="AE55" t="str">
        <f ca="1"/>
        <v>PW</v>
      </c>
      <c r="AF55" s="85">
        <f ca="1"/>
        <v>-5022.317161799996</v>
      </c>
      <c r="AG55" t="str">
        <f ca="1"/>
        <v>SAFASML</v>
      </c>
      <c r="AH55" s="85">
        <f ca="1"/>
        <v>0</v>
      </c>
      <c r="AI55" t="str">
        <f ca="1"/>
        <v>UNIT</v>
      </c>
      <c r="AJ55" s="85">
        <f ca="1"/>
        <v>0</v>
      </c>
      <c r="AK55" s="88" t="str">
        <f ca="1"/>
        <v>MVERWE</v>
      </c>
      <c r="AL55" s="308">
        <f ca="1"/>
        <v>1.4885595238095242E-3</v>
      </c>
      <c r="AM55" t="str">
        <f ca="1"/>
        <v>MVEGLE</v>
      </c>
      <c r="AN55" s="308">
        <f ca="1"/>
        <v>0.13470495784076075</v>
      </c>
      <c r="AO55" t="str">
        <f ca="1"/>
        <v>SAFDIS</v>
      </c>
      <c r="AP55" s="308">
        <f ca="1"/>
        <v>-8.4531794940796851E-3</v>
      </c>
      <c r="AQ55" s="85" t="str">
        <f ca="1"/>
        <v>PFE</v>
      </c>
      <c r="AR55" s="88">
        <f ca="1"/>
        <v>7.4621064904778822E-2</v>
      </c>
      <c r="AS55" s="92" t="str">
        <f ca="1"/>
        <v>RIGL</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MSFT</v>
      </c>
      <c r="F56" s="557">
        <f ca="1"/>
        <v>0.86604808882101203</v>
      </c>
      <c r="G56" s="151" t="str">
        <f ca="1"/>
        <v>MVEEOAN</v>
      </c>
      <c r="H56" s="558">
        <f ca="1"/>
        <v>18156.134901457019</v>
      </c>
      <c r="I56" t="str">
        <f ca="1"/>
        <v>MVEEPIX</v>
      </c>
      <c r="J56" s="559">
        <f ca="1"/>
        <v>0</v>
      </c>
      <c r="K56" s="151" t="str">
        <f ca="1"/>
        <v>MVEEPIX</v>
      </c>
      <c r="L56" s="559">
        <f ca="1"/>
        <v>0</v>
      </c>
      <c r="M56" s="1" t="str">
        <f ca="1"/>
        <v>NVS</v>
      </c>
      <c r="N56" s="558">
        <f ca="1"/>
        <v>0</v>
      </c>
      <c r="O56" t="str">
        <f ca="1"/>
        <v>PW</v>
      </c>
      <c r="P56" s="558">
        <f ca="1"/>
        <v>-1668.1898001599998</v>
      </c>
      <c r="Q56" t="str">
        <f ca="1"/>
        <v>XPER</v>
      </c>
      <c r="R56" s="645">
        <f ca="1"/>
        <v>1.4336928571428583E-3</v>
      </c>
      <c r="S56" t="str">
        <f ca="1"/>
        <v>X</v>
      </c>
      <c r="T56" s="85">
        <f ca="1"/>
        <v>0.10000000000013642</v>
      </c>
      <c r="U56" t="str">
        <f ca="1"/>
        <v>IAG</v>
      </c>
      <c r="V56" s="308">
        <f ca="1"/>
        <v>7.9779999999999988E-4</v>
      </c>
      <c r="W56" t="str">
        <f ca="1"/>
        <v>SAFDDD</v>
      </c>
      <c r="X56">
        <f ca="1"/>
        <v>0</v>
      </c>
      <c r="Y56" t="str">
        <f ca="1"/>
        <v>BMRA</v>
      </c>
      <c r="Z56">
        <f ca="1"/>
        <v>12</v>
      </c>
      <c r="AA56" t="str">
        <f ca="1"/>
        <v>SHECY</v>
      </c>
      <c r="AB56">
        <f ca="1"/>
        <v>55</v>
      </c>
      <c r="AC56" t="str">
        <f ca="1"/>
        <v>EZJ</v>
      </c>
      <c r="AD56">
        <f ca="1"/>
        <v>60</v>
      </c>
      <c r="AE56" t="str">
        <f ca="1"/>
        <v>UNIT</v>
      </c>
      <c r="AF56" s="85">
        <f ca="1"/>
        <v>-6662.7782999999981</v>
      </c>
      <c r="AG56" t="str">
        <f ca="1"/>
        <v>SAFGM</v>
      </c>
      <c r="AH56" s="85">
        <f ca="1"/>
        <v>0</v>
      </c>
      <c r="AI56" t="str">
        <f ca="1"/>
        <v>MVEALDNE</v>
      </c>
      <c r="AJ56" s="85">
        <f ca="1"/>
        <v>0</v>
      </c>
      <c r="AK56" s="88" t="str">
        <f ca="1"/>
        <v>XPER</v>
      </c>
      <c r="AL56" s="308">
        <f ca="1"/>
        <v>1.4336928571428583E-3</v>
      </c>
      <c r="AM56" t="str">
        <f ca="1"/>
        <v>MVEORA</v>
      </c>
      <c r="AN56" s="308">
        <f ca="1"/>
        <v>0.13045258789889227</v>
      </c>
      <c r="AO56" t="str">
        <f ca="1"/>
        <v>PFE</v>
      </c>
      <c r="AP56" s="308">
        <f ca="1"/>
        <v>-3.1076327005036784E-3</v>
      </c>
      <c r="AQ56" s="85" t="str">
        <f ca="1"/>
        <v>DDD</v>
      </c>
      <c r="AR56" s="88">
        <f ca="1"/>
        <v>4.8898547861306083E-2</v>
      </c>
      <c r="AS56" s="92" t="str">
        <f ca="1"/>
        <v>RWE</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C</v>
      </c>
      <c r="F57" s="557">
        <f ca="1"/>
        <v>0.84561413582090583</v>
      </c>
      <c r="G57" s="151" t="str">
        <f ca="1"/>
        <v>LUMN</v>
      </c>
      <c r="H57" s="558">
        <f ca="1"/>
        <v>14815.138497229998</v>
      </c>
      <c r="I57" t="str">
        <f ca="1"/>
        <v>X</v>
      </c>
      <c r="J57" s="559">
        <f ca="1"/>
        <v>0</v>
      </c>
      <c r="K57" s="151" t="str">
        <f ca="1"/>
        <v>X</v>
      </c>
      <c r="L57" s="559">
        <f ca="1"/>
        <v>0</v>
      </c>
      <c r="M57" s="1" t="str">
        <f ca="1"/>
        <v>RRC</v>
      </c>
      <c r="N57" s="558">
        <f ca="1"/>
        <v>0</v>
      </c>
      <c r="O57" t="str">
        <f ca="1"/>
        <v>ASML</v>
      </c>
      <c r="P57" s="558">
        <f ca="1"/>
        <v>-2009.7609999999977</v>
      </c>
      <c r="Q57" t="str">
        <f ca="1"/>
        <v>DSY</v>
      </c>
      <c r="R57" s="645">
        <f ca="1"/>
        <v>1.1093791666666672E-3</v>
      </c>
      <c r="S57" t="str">
        <f ca="1"/>
        <v>LNSR</v>
      </c>
      <c r="T57" s="85">
        <f ca="1"/>
        <v>0</v>
      </c>
      <c r="U57" t="str">
        <f ca="1"/>
        <v>SAFIAG</v>
      </c>
      <c r="V57" s="308">
        <f ca="1"/>
        <v>7.9779999999999988E-4</v>
      </c>
      <c r="W57" t="str">
        <f ca="1"/>
        <v>SAFDIS</v>
      </c>
      <c r="X57">
        <f ca="1"/>
        <v>0</v>
      </c>
      <c r="Y57" t="str">
        <f ca="1"/>
        <v>PROF</v>
      </c>
      <c r="Z57">
        <f ca="1"/>
        <v>12</v>
      </c>
      <c r="AA57" t="str">
        <f ca="1"/>
        <v>MVEENI</v>
      </c>
      <c r="AB57">
        <f ca="1"/>
        <v>55</v>
      </c>
      <c r="AC57" t="str">
        <f ca="1"/>
        <v>AAPL</v>
      </c>
      <c r="AD57">
        <f ca="1"/>
        <v>59</v>
      </c>
      <c r="AE57" t="str">
        <f ca="1"/>
        <v>EZJ</v>
      </c>
      <c r="AF57" s="85">
        <f ca="1"/>
        <v>-8244.777832199994</v>
      </c>
      <c r="AG57" t="str">
        <f ca="1"/>
        <v>SAFIAG</v>
      </c>
      <c r="AH57" s="85">
        <f ca="1"/>
        <v>0</v>
      </c>
      <c r="AI57" t="str">
        <f ca="1"/>
        <v>MVEEPIX</v>
      </c>
      <c r="AJ57" s="85">
        <f ca="1"/>
        <v>0</v>
      </c>
      <c r="AK57" s="88" t="str">
        <f ca="1"/>
        <v>DSY</v>
      </c>
      <c r="AL57" s="308">
        <f ca="1"/>
        <v>1.1093791666666672E-3</v>
      </c>
      <c r="AM57" t="str">
        <f ca="1"/>
        <v>AMZN</v>
      </c>
      <c r="AN57" s="308">
        <f ca="1"/>
        <v>0.13021994214612287</v>
      </c>
      <c r="AO57" t="str">
        <f ca="1"/>
        <v>DVA</v>
      </c>
      <c r="AP57" s="308">
        <f ca="1"/>
        <v>-1.7078648884458032E-3</v>
      </c>
      <c r="AQ57" s="85" t="str">
        <f ca="1"/>
        <v>UN0</v>
      </c>
      <c r="AR57" s="88">
        <f ca="1"/>
        <v>3.372139135886517E-2</v>
      </c>
      <c r="AS57" s="92" t="str">
        <f ca="1"/>
        <v>SAP</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IAG</v>
      </c>
      <c r="F58" s="557">
        <f ca="1"/>
        <v>0.83897669667496144</v>
      </c>
      <c r="G58" s="151" t="str">
        <f ca="1"/>
        <v>GM</v>
      </c>
      <c r="H58" s="558">
        <f ca="1"/>
        <v>14518.428571031898</v>
      </c>
      <c r="I58" t="str">
        <f ca="1"/>
        <v>NEE</v>
      </c>
      <c r="J58" s="559">
        <f ca="1"/>
        <v>-6.1519999999999999E-4</v>
      </c>
      <c r="K58" s="151" t="str">
        <f ca="1"/>
        <v>NEE</v>
      </c>
      <c r="L58" s="559">
        <f ca="1"/>
        <v>-6.1519999999999999E-4</v>
      </c>
      <c r="M58" s="1" t="str">
        <f ca="1"/>
        <v>JBASML</v>
      </c>
      <c r="N58" s="558">
        <f ca="1"/>
        <v>0</v>
      </c>
      <c r="O58" t="str">
        <f ca="1"/>
        <v>ENI</v>
      </c>
      <c r="P58" s="558">
        <f ca="1"/>
        <v>-2224.2020000000075</v>
      </c>
      <c r="Q58" t="str">
        <f ca="1"/>
        <v>C</v>
      </c>
      <c r="R58" s="645">
        <f ca="1"/>
        <v>1.0884571428571429E-3</v>
      </c>
      <c r="S58" t="str">
        <f ca="1"/>
        <v>SAFASML</v>
      </c>
      <c r="T58" s="85">
        <f ca="1"/>
        <v>0</v>
      </c>
      <c r="U58" t="str">
        <f ca="1"/>
        <v>EPIX</v>
      </c>
      <c r="V58" s="308">
        <f ca="1"/>
        <v>0</v>
      </c>
      <c r="W58" t="str">
        <f ca="1"/>
        <v>SAFMRNA</v>
      </c>
      <c r="X58">
        <f ca="1"/>
        <v>0</v>
      </c>
      <c r="Y58" t="str">
        <f ca="1"/>
        <v>GNRC</v>
      </c>
      <c r="Z58">
        <f ca="1"/>
        <v>12</v>
      </c>
      <c r="AA58" t="str">
        <f ca="1"/>
        <v>ENI</v>
      </c>
      <c r="AB58">
        <f ca="1"/>
        <v>55</v>
      </c>
      <c r="AC58" t="str">
        <f ca="1"/>
        <v>RIGL</v>
      </c>
      <c r="AD58">
        <f ca="1"/>
        <v>59</v>
      </c>
      <c r="AE58" t="str">
        <f ca="1"/>
        <v>HPE</v>
      </c>
      <c r="AF58" s="85">
        <f ca="1"/>
        <v>-12201.642000000022</v>
      </c>
      <c r="AG58" t="str">
        <f ca="1"/>
        <v>F</v>
      </c>
      <c r="AH58" s="85">
        <f ca="1"/>
        <v>0</v>
      </c>
      <c r="AI58" t="str">
        <f ca="1"/>
        <v>LAZR</v>
      </c>
      <c r="AJ58" s="85">
        <f ca="1"/>
        <v>0</v>
      </c>
      <c r="AK58" s="88" t="str">
        <f ca="1"/>
        <v>C</v>
      </c>
      <c r="AL58" s="308">
        <f ca="1"/>
        <v>1.0884571428571429E-3</v>
      </c>
      <c r="AM58" t="str">
        <f ca="1"/>
        <v>SAFAMZN</v>
      </c>
      <c r="AN58" s="308">
        <f ca="1"/>
        <v>0.1217287216013159</v>
      </c>
      <c r="AO58" t="str">
        <f ca="1"/>
        <v>ORA</v>
      </c>
      <c r="AP58" s="308">
        <f ca="1"/>
        <v>7.2995995631591065E-4</v>
      </c>
      <c r="AQ58" s="85" t="str">
        <f ca="1"/>
        <v>SAFDDD</v>
      </c>
      <c r="AR58" s="88">
        <f ca="1"/>
        <v>3.169107074738111E-2</v>
      </c>
      <c r="AS58" s="92" t="str">
        <f ca="1"/>
        <v>SHECY</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SAFIAG</v>
      </c>
      <c r="F59" s="557">
        <f ca="1"/>
        <v>0.83897669667496144</v>
      </c>
      <c r="G59" s="151" t="str">
        <f ca="1"/>
        <v>NVS</v>
      </c>
      <c r="H59" s="558">
        <f ca="1"/>
        <v>13598.057164139989</v>
      </c>
      <c r="I59" t="str">
        <f ca="1"/>
        <v>VTRS</v>
      </c>
      <c r="J59" s="559">
        <f ca="1"/>
        <v>-8.6209999999999998E-4</v>
      </c>
      <c r="K59" s="151" t="str">
        <f ca="1"/>
        <v>VTRS</v>
      </c>
      <c r="L59" s="559">
        <f ca="1"/>
        <v>-8.6209999999999998E-4</v>
      </c>
      <c r="M59" s="1" t="str">
        <f ca="1"/>
        <v>ORA</v>
      </c>
      <c r="N59" s="558">
        <f ca="1"/>
        <v>-54.884399999998834</v>
      </c>
      <c r="O59" t="str">
        <f ca="1"/>
        <v>UN0</v>
      </c>
      <c r="P59" s="558">
        <f ca="1"/>
        <v>-2286.110119299999</v>
      </c>
      <c r="Q59" t="str">
        <f ca="1"/>
        <v>ASML</v>
      </c>
      <c r="R59" s="645">
        <f ca="1"/>
        <v>8.6164285714285748E-4</v>
      </c>
      <c r="S59" t="str">
        <f ca="1"/>
        <v>SAFGM</v>
      </c>
      <c r="T59" s="85">
        <f ca="1"/>
        <v>0</v>
      </c>
      <c r="U59" t="str">
        <f ca="1"/>
        <v>WBA</v>
      </c>
      <c r="V59" s="308">
        <f ca="1"/>
        <v>0</v>
      </c>
      <c r="W59" t="str">
        <f ca="1"/>
        <v>ENI</v>
      </c>
      <c r="X59">
        <f ca="1"/>
        <v>0</v>
      </c>
      <c r="Y59" t="str">
        <f ca="1"/>
        <v>AMZN</v>
      </c>
      <c r="Z59">
        <f ca="1"/>
        <v>13</v>
      </c>
      <c r="AA59" t="str">
        <f ca="1"/>
        <v>DDD</v>
      </c>
      <c r="AB59">
        <f ca="1"/>
        <v>54</v>
      </c>
      <c r="AC59" t="str">
        <f ca="1"/>
        <v>VONN</v>
      </c>
      <c r="AD59">
        <f ca="1"/>
        <v>59</v>
      </c>
      <c r="AE59" t="str">
        <f ca="1"/>
        <v>MVEUN0</v>
      </c>
      <c r="AF59" s="85">
        <f ca="1"/>
        <v>-13410.948042</v>
      </c>
      <c r="AG59" t="str">
        <f ca="1"/>
        <v>GLE</v>
      </c>
      <c r="AH59" s="85">
        <f ca="1"/>
        <v>0</v>
      </c>
      <c r="AI59" t="str">
        <f ca="1"/>
        <v>LOCK</v>
      </c>
      <c r="AJ59" s="85">
        <f ca="1"/>
        <v>0</v>
      </c>
      <c r="AK59" s="88" t="str">
        <f ca="1"/>
        <v>ASML</v>
      </c>
      <c r="AL59" s="308">
        <f ca="1"/>
        <v>8.6164285714285748E-4</v>
      </c>
      <c r="AM59" t="str">
        <f ca="1"/>
        <v>ENI</v>
      </c>
      <c r="AN59" s="308">
        <f ca="1"/>
        <v>6.6588814019661879E-2</v>
      </c>
      <c r="AO59" t="str">
        <f ca="1"/>
        <v>HPQ</v>
      </c>
      <c r="AP59" s="308">
        <f ca="1"/>
        <v>1.3001417043888949E-2</v>
      </c>
      <c r="AQ59" s="85" t="str">
        <f ca="1"/>
        <v>SSYS</v>
      </c>
      <c r="AR59" s="88">
        <f ca="1"/>
        <v>2.1877498800575667E-2</v>
      </c>
      <c r="AS59" s="92" t="str">
        <f ca="1"/>
        <v>SSYS</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CSCO</v>
      </c>
      <c r="F60" s="557">
        <f ca="1"/>
        <v>0.80056440169289977</v>
      </c>
      <c r="G60" s="151" t="str">
        <f ca="1"/>
        <v>XOM</v>
      </c>
      <c r="H60" s="558">
        <f ca="1"/>
        <v>11062.207780500001</v>
      </c>
      <c r="I60" t="str">
        <f ca="1"/>
        <v>AAPL</v>
      </c>
      <c r="J60" s="559">
        <f ca="1"/>
        <v>-2.6900000000000001E-3</v>
      </c>
      <c r="K60" s="151" t="str">
        <f ca="1"/>
        <v>AAPL</v>
      </c>
      <c r="L60" s="559">
        <f ca="1"/>
        <v>-2.6900000000000001E-3</v>
      </c>
      <c r="M60" s="1" t="str">
        <f ca="1"/>
        <v>DVA</v>
      </c>
      <c r="N60" s="558">
        <f ca="1"/>
        <v>-150.30959999998572</v>
      </c>
      <c r="O60" t="str">
        <f ca="1"/>
        <v>AET</v>
      </c>
      <c r="P60" s="558">
        <f ca="1"/>
        <v>-2595.2347999999997</v>
      </c>
      <c r="Q60" t="str">
        <f ca="1"/>
        <v>SAFASML</v>
      </c>
      <c r="R60" s="645">
        <f ca="1"/>
        <v>8.6164285714285748E-4</v>
      </c>
      <c r="S60" t="str">
        <f ca="1"/>
        <v>SAFIAG</v>
      </c>
      <c r="T60" s="85">
        <f ca="1"/>
        <v>0</v>
      </c>
      <c r="U60" t="str">
        <f ca="1"/>
        <v>MVEEPIX</v>
      </c>
      <c r="V60" s="308">
        <f ca="1"/>
        <v>0</v>
      </c>
      <c r="W60" t="str">
        <f ca="1"/>
        <v>EZJ</v>
      </c>
      <c r="X60">
        <f ca="1"/>
        <v>0</v>
      </c>
      <c r="Y60" t="str">
        <f ca="1"/>
        <v>KR</v>
      </c>
      <c r="Z60">
        <f ca="1"/>
        <v>13</v>
      </c>
      <c r="AA60" t="str">
        <f ca="1"/>
        <v>SAFDIS</v>
      </c>
      <c r="AB60">
        <f ca="1"/>
        <v>54</v>
      </c>
      <c r="AC60" t="str">
        <f ca="1"/>
        <v>MVEORA</v>
      </c>
      <c r="AD60">
        <f ca="1"/>
        <v>59</v>
      </c>
      <c r="AE60" t="str">
        <f ca="1"/>
        <v>GNRC</v>
      </c>
      <c r="AF60" s="85">
        <f ca="1"/>
        <v>-16614.234989999983</v>
      </c>
      <c r="AG60" t="str">
        <f ca="1"/>
        <v>GS</v>
      </c>
      <c r="AH60" s="85">
        <f ca="1"/>
        <v>0</v>
      </c>
      <c r="AI60" t="str">
        <f ca="1"/>
        <v>GM</v>
      </c>
      <c r="AJ60" s="85">
        <f ca="1"/>
        <v>-34.965000000000046</v>
      </c>
      <c r="AK60" s="88" t="str">
        <f ca="1"/>
        <v>SAFASML</v>
      </c>
      <c r="AL60" s="308">
        <f ca="1"/>
        <v>8.6164285714285748E-4</v>
      </c>
      <c r="AM60" t="str">
        <f ca="1"/>
        <v>EZJ</v>
      </c>
      <c r="AN60" s="308">
        <f ca="1"/>
        <v>4.9480560431519591E-2</v>
      </c>
      <c r="AO60" t="str">
        <f ca="1"/>
        <v>DIS</v>
      </c>
      <c r="AP60" s="308">
        <f ca="1"/>
        <v>2.7826017222820139E-2</v>
      </c>
      <c r="AQ60" s="85" t="str">
        <f ca="1"/>
        <v>MVEUN0</v>
      </c>
      <c r="AR60" s="88">
        <f ca="1"/>
        <v>2.141268839047978E-2</v>
      </c>
      <c r="AS60" s="92" t="str">
        <f ca="1"/>
        <v>TSLA</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THC</v>
      </c>
      <c r="F61" s="557">
        <f ca="1"/>
        <v>0.79188085697408961</v>
      </c>
      <c r="G61" s="151" t="str">
        <f ca="1"/>
        <v>PROF</v>
      </c>
      <c r="H61" s="558">
        <f ca="1"/>
        <v>10039.443822400022</v>
      </c>
      <c r="I61" t="str">
        <f ca="1"/>
        <v>SAFAAPL</v>
      </c>
      <c r="J61" s="559">
        <f ca="1"/>
        <v>-2.6900000000000001E-3</v>
      </c>
      <c r="K61" s="151" t="str">
        <f ca="1"/>
        <v>SAFAAPL</v>
      </c>
      <c r="L61" s="559">
        <f ca="1"/>
        <v>-2.6900000000000001E-3</v>
      </c>
      <c r="M61" s="1" t="str">
        <f ca="1"/>
        <v>PW</v>
      </c>
      <c r="N61" s="558">
        <f ca="1"/>
        <v>-855.12504051999952</v>
      </c>
      <c r="O61" t="str">
        <f ca="1"/>
        <v>BLDP</v>
      </c>
      <c r="P61" s="558">
        <f ca="1"/>
        <v>-2753.4224399999985</v>
      </c>
      <c r="Q61" t="str">
        <f ca="1"/>
        <v>JBASML</v>
      </c>
      <c r="R61" s="645">
        <f ca="1"/>
        <v>8.6164285714285748E-4</v>
      </c>
      <c r="S61" t="str">
        <f ca="1"/>
        <v>F</v>
      </c>
      <c r="T61" s="85">
        <f ca="1"/>
        <v>0</v>
      </c>
      <c r="U61" t="str">
        <f ca="1"/>
        <v>X</v>
      </c>
      <c r="V61" s="308">
        <f ca="1"/>
        <v>0</v>
      </c>
      <c r="W61" t="str">
        <f ca="1"/>
        <v>GNRC</v>
      </c>
      <c r="X61">
        <f ca="1"/>
        <v>0</v>
      </c>
      <c r="Y61" t="str">
        <f ca="1"/>
        <v>LNSR</v>
      </c>
      <c r="Z61">
        <f ca="1"/>
        <v>13</v>
      </c>
      <c r="AA61" t="str">
        <f ca="1"/>
        <v>AZN</v>
      </c>
      <c r="AB61">
        <f ca="1"/>
        <v>51</v>
      </c>
      <c r="AC61" t="str">
        <f ca="1"/>
        <v>MVERWE</v>
      </c>
      <c r="AD61">
        <f ca="1"/>
        <v>59</v>
      </c>
      <c r="AE61" t="str">
        <f ca="1"/>
        <v>MVEEPIX</v>
      </c>
      <c r="AF61" s="85">
        <f ca="1"/>
        <v>-17244.72</v>
      </c>
      <c r="AG61" t="str">
        <f ca="1"/>
        <v>NVS</v>
      </c>
      <c r="AH61" s="85">
        <f ca="1"/>
        <v>0</v>
      </c>
      <c r="AI61" t="str">
        <f ca="1"/>
        <v>NEM</v>
      </c>
      <c r="AJ61" s="85">
        <f ca="1"/>
        <v>-80.000000000012506</v>
      </c>
      <c r="AK61" s="88" t="str">
        <f ca="1"/>
        <v>JBASML</v>
      </c>
      <c r="AL61" s="308">
        <f ca="1"/>
        <v>8.6164285714285748E-4</v>
      </c>
      <c r="AM61" t="str">
        <f ca="1"/>
        <v>JBEOAN</v>
      </c>
      <c r="AN61" s="308">
        <f ca="1"/>
        <v>3.7457612189802057E-2</v>
      </c>
      <c r="AO61" t="str">
        <f ca="1"/>
        <v>NEE</v>
      </c>
      <c r="AP61" s="308">
        <f ca="1"/>
        <v>3.1548713312224211E-2</v>
      </c>
      <c r="AQ61" s="85" t="str">
        <f ca="1"/>
        <v>DVA</v>
      </c>
      <c r="AR61" s="88">
        <f ca="1"/>
        <v>1.9815591487350615E-2</v>
      </c>
      <c r="AS61" s="92" t="str">
        <f ca="1"/>
        <v>VLVLY</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MRNA</v>
      </c>
      <c r="F62" s="557">
        <f ca="1"/>
        <v>0.78849697446149747</v>
      </c>
      <c r="G62" s="151" t="str">
        <f ca="1"/>
        <v>RRC</v>
      </c>
      <c r="H62" s="558">
        <f ca="1"/>
        <v>9828.9590219999718</v>
      </c>
      <c r="I62" t="str">
        <f ca="1"/>
        <v>RIG</v>
      </c>
      <c r="J62" s="559">
        <f ca="1"/>
        <v>-3.4879999999999998E-3</v>
      </c>
      <c r="K62" s="151" t="str">
        <f ca="1"/>
        <v>RIG</v>
      </c>
      <c r="L62" s="559">
        <f ca="1"/>
        <v>-3.4879999999999998E-3</v>
      </c>
      <c r="M62" s="1" t="str">
        <f ca="1"/>
        <v>MVEUN0</v>
      </c>
      <c r="N62" s="558">
        <f ca="1"/>
        <v>-2407.8205629999998</v>
      </c>
      <c r="O62" t="str">
        <f ca="1"/>
        <v>MA</v>
      </c>
      <c r="P62" s="558">
        <f ca="1"/>
        <v>-2903.4313999999899</v>
      </c>
      <c r="Q62" t="str">
        <f ca="1"/>
        <v>ADEA</v>
      </c>
      <c r="R62" s="645">
        <f ca="1"/>
        <v>8.5752380952381149E-4</v>
      </c>
      <c r="S62" t="str">
        <f ca="1"/>
        <v>GLE</v>
      </c>
      <c r="T62" s="85">
        <f ca="1"/>
        <v>0</v>
      </c>
      <c r="U62" t="str">
        <f ca="1"/>
        <v>DSY</v>
      </c>
      <c r="V62" s="308">
        <f ca="1"/>
        <v>-7.3639999999999993E-5</v>
      </c>
      <c r="W62" t="str">
        <f ca="1"/>
        <v>LAZR</v>
      </c>
      <c r="X62">
        <f ca="1"/>
        <v>0</v>
      </c>
      <c r="Y62" t="str">
        <f ca="1"/>
        <v>MSFT</v>
      </c>
      <c r="Z62">
        <f ca="1"/>
        <v>13</v>
      </c>
      <c r="AA62" t="str">
        <f ca="1"/>
        <v>RIGL</v>
      </c>
      <c r="AB62">
        <f ca="1"/>
        <v>51</v>
      </c>
      <c r="AC62" t="str">
        <f ca="1"/>
        <v>SAFAAPL</v>
      </c>
      <c r="AD62">
        <f ca="1"/>
        <v>59</v>
      </c>
      <c r="AE62" t="str">
        <f ca="1"/>
        <v>WBA</v>
      </c>
      <c r="AF62" s="85">
        <f ca="1"/>
        <v>-20647.368945000002</v>
      </c>
      <c r="AG62" t="str">
        <f ca="1"/>
        <v>RRC</v>
      </c>
      <c r="AH62" s="85">
        <f ca="1"/>
        <v>0</v>
      </c>
      <c r="AI62" t="str">
        <f ca="1"/>
        <v>TSLA</v>
      </c>
      <c r="AJ62" s="85">
        <f ca="1"/>
        <v>-173.93309999999991</v>
      </c>
      <c r="AK62" s="88" t="str">
        <f ca="1"/>
        <v>ADEA</v>
      </c>
      <c r="AL62" s="308">
        <f ca="1"/>
        <v>8.5752380952381149E-4</v>
      </c>
      <c r="AM62" t="str">
        <f ca="1"/>
        <v>ADEA</v>
      </c>
      <c r="AN62" s="308">
        <f ca="1"/>
        <v>3.4332148133657862E-2</v>
      </c>
      <c r="AO62" t="str">
        <f ca="1"/>
        <v>DXC</v>
      </c>
      <c r="AP62" s="308">
        <f ca="1"/>
        <v>3.9636909448818897E-2</v>
      </c>
      <c r="AQ62" s="85" t="str">
        <f ca="1"/>
        <v>BLDP</v>
      </c>
      <c r="AR62" s="88">
        <f ca="1"/>
        <v>1.4948614138897552E-2</v>
      </c>
      <c r="AS62" s="92" t="str">
        <f ca="1"/>
        <v>VONN</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SAFMRNA</v>
      </c>
      <c r="F63" s="557">
        <f ca="1"/>
        <v>0.78849697446149747</v>
      </c>
      <c r="G63" s="151" t="str">
        <f ca="1"/>
        <v>MVEDDD</v>
      </c>
      <c r="H63" s="558">
        <f ca="1"/>
        <v>6522.6350219999949</v>
      </c>
      <c r="I63" t="str">
        <f ca="1"/>
        <v>LNSR</v>
      </c>
      <c r="J63" s="559">
        <f ca="1"/>
        <v>-4.3290000000000004E-3</v>
      </c>
      <c r="K63" s="151" t="str">
        <f ca="1"/>
        <v>LNSR</v>
      </c>
      <c r="L63" s="559">
        <f ca="1"/>
        <v>-4.3290000000000004E-3</v>
      </c>
      <c r="M63" s="1" t="str">
        <f ca="1"/>
        <v>DIS</v>
      </c>
      <c r="N63" s="558">
        <f ca="1"/>
        <v>-3391.8923999999888</v>
      </c>
      <c r="O63" t="str">
        <f ca="1"/>
        <v>RIGL</v>
      </c>
      <c r="P63" s="558">
        <f ca="1"/>
        <v>-3106.9010000000017</v>
      </c>
      <c r="Q63" t="str">
        <f ca="1"/>
        <v>MSFT</v>
      </c>
      <c r="R63" s="645">
        <f ca="1"/>
        <v>3.365202380952385E-4</v>
      </c>
      <c r="S63" t="str">
        <f ca="1"/>
        <v>GS</v>
      </c>
      <c r="T63" s="85">
        <f ca="1"/>
        <v>0</v>
      </c>
      <c r="U63" t="str">
        <f ca="1"/>
        <v>MVEDSY</v>
      </c>
      <c r="V63" s="308">
        <f ca="1"/>
        <v>-7.3639999999999993E-5</v>
      </c>
      <c r="W63" t="str">
        <f ca="1"/>
        <v>MA</v>
      </c>
      <c r="X63">
        <f ca="1"/>
        <v>0</v>
      </c>
      <c r="Y63" t="str">
        <f ca="1"/>
        <v>SAFAMZN</v>
      </c>
      <c r="Z63">
        <f ca="1"/>
        <v>13</v>
      </c>
      <c r="AA63" t="str">
        <f ca="1"/>
        <v>MVERWE</v>
      </c>
      <c r="AB63">
        <f ca="1"/>
        <v>51</v>
      </c>
      <c r="AC63" t="str">
        <f ca="1"/>
        <v>ORA</v>
      </c>
      <c r="AD63">
        <f ca="1"/>
        <v>59</v>
      </c>
      <c r="AE63" t="str">
        <f ca="1"/>
        <v>ENI</v>
      </c>
      <c r="AF63" s="85">
        <f ca="1"/>
        <v>-23649.794006399912</v>
      </c>
      <c r="AG63" t="str">
        <f ca="1"/>
        <v>JBASML</v>
      </c>
      <c r="AH63" s="85">
        <f ca="1"/>
        <v>0</v>
      </c>
      <c r="AI63" t="str">
        <f ca="1"/>
        <v>VLVLY</v>
      </c>
      <c r="AJ63" s="85">
        <f ca="1"/>
        <v>-210.00000000000085</v>
      </c>
      <c r="AK63" s="88" t="str">
        <f ca="1"/>
        <v>MSFT</v>
      </c>
      <c r="AL63" s="308">
        <f ca="1"/>
        <v>3.365202380952385E-4</v>
      </c>
      <c r="AM63" t="str">
        <f ca="1"/>
        <v>VONN</v>
      </c>
      <c r="AN63" s="308">
        <f ca="1"/>
        <v>2.9299577045792898E-2</v>
      </c>
      <c r="AO63" t="str">
        <f ca="1"/>
        <v>KR</v>
      </c>
      <c r="AP63" s="308">
        <f ca="1"/>
        <v>4.5126841712494481E-2</v>
      </c>
      <c r="AQ63" s="85" t="str">
        <f ca="1"/>
        <v>ORA</v>
      </c>
      <c r="AR63" s="88">
        <f ca="1"/>
        <v>-3.1555834103967036E-3</v>
      </c>
      <c r="AS63" s="92" t="str">
        <f ca="1"/>
        <v>VTRS</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ADEA</v>
      </c>
      <c r="F64" s="557">
        <f ca="1"/>
        <v>0.7583713347621871</v>
      </c>
      <c r="G64" s="151" t="str">
        <f ca="1"/>
        <v>ORA</v>
      </c>
      <c r="H64" s="558">
        <f ca="1"/>
        <v>5838.5862236400098</v>
      </c>
      <c r="I64" t="str">
        <f ca="1"/>
        <v>RWE</v>
      </c>
      <c r="J64" s="559">
        <f ca="1"/>
        <v>-4.5989999999999998E-3</v>
      </c>
      <c r="K64" s="151" t="str">
        <f ca="1"/>
        <v>RWE</v>
      </c>
      <c r="L64" s="559">
        <f ca="1"/>
        <v>-4.5989999999999998E-3</v>
      </c>
      <c r="M64" s="1" t="str">
        <f ca="1"/>
        <v>HPQ</v>
      </c>
      <c r="N64" s="558">
        <f ca="1"/>
        <v>-3567.1859999999888</v>
      </c>
      <c r="O64" t="str">
        <f ca="1"/>
        <v>JBEOAN</v>
      </c>
      <c r="P64" s="558">
        <f ca="1"/>
        <v>-3246.5370000000025</v>
      </c>
      <c r="Q64" t="str">
        <f ca="1"/>
        <v>EOAN</v>
      </c>
      <c r="R64" s="645">
        <f ca="1"/>
        <v>0</v>
      </c>
      <c r="S64" t="str">
        <f ca="1"/>
        <v>NVS</v>
      </c>
      <c r="T64" s="85">
        <f ca="1"/>
        <v>0</v>
      </c>
      <c r="U64" t="str">
        <f ca="1"/>
        <v>NEE</v>
      </c>
      <c r="V64" s="308">
        <f ca="1"/>
        <v>-5.8923999999999988E-4</v>
      </c>
      <c r="W64" t="str">
        <f ca="1"/>
        <v>NVAX</v>
      </c>
      <c r="X64">
        <f ca="1"/>
        <v>0</v>
      </c>
      <c r="Y64" t="str">
        <f ca="1"/>
        <v>NVAX</v>
      </c>
      <c r="Z64">
        <f ca="1"/>
        <v>13</v>
      </c>
      <c r="AA64" t="str">
        <f ca="1"/>
        <v>EZJ</v>
      </c>
      <c r="AB64">
        <f ca="1"/>
        <v>51</v>
      </c>
      <c r="AC64" t="str">
        <f ca="1"/>
        <v>AZN</v>
      </c>
      <c r="AD64">
        <f ca="1"/>
        <v>58</v>
      </c>
      <c r="AE64" t="str">
        <f ca="1"/>
        <v>XOM</v>
      </c>
      <c r="AF64" s="85">
        <f ca="1"/>
        <v>-28442.659139999996</v>
      </c>
      <c r="AG64" t="str">
        <f ca="1"/>
        <v>ORA</v>
      </c>
      <c r="AH64" s="85">
        <f ca="1"/>
        <v>-12</v>
      </c>
      <c r="AI64" t="str">
        <f ca="1"/>
        <v>HPE</v>
      </c>
      <c r="AJ64" s="85">
        <f ca="1"/>
        <v>-755.9999999999967</v>
      </c>
      <c r="AK64" s="88" t="str">
        <f ca="1"/>
        <v>EOAN</v>
      </c>
      <c r="AL64" s="308">
        <f ca="1"/>
        <v>0</v>
      </c>
      <c r="AM64" t="str">
        <f ca="1"/>
        <v>MA</v>
      </c>
      <c r="AN64" s="308">
        <f ca="1"/>
        <v>1.0323619497009828E-2</v>
      </c>
      <c r="AO64" t="str">
        <f ca="1"/>
        <v>EOAN</v>
      </c>
      <c r="AP64" s="308">
        <f ca="1"/>
        <v>6.3937005653475057E-2</v>
      </c>
      <c r="AQ64" s="85" t="str">
        <f ca="1"/>
        <v>RRC</v>
      </c>
      <c r="AR64" s="88">
        <f ca="1"/>
        <v>-1.3832634487128124E-2</v>
      </c>
      <c r="AS64" s="92" t="str">
        <f ca="1"/>
        <v>WBA</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HPQ</v>
      </c>
      <c r="F65" s="557">
        <f ca="1"/>
        <v>0.75804832493027485</v>
      </c>
      <c r="G65" s="151" t="str">
        <f ca="1"/>
        <v>MVEUN0</v>
      </c>
      <c r="H65" s="558">
        <f ca="1"/>
        <v>4064.5239648999959</v>
      </c>
      <c r="I65" t="str">
        <f ca="1"/>
        <v>MVERWE</v>
      </c>
      <c r="J65" s="559">
        <f ca="1"/>
        <v>-4.5989999999999998E-3</v>
      </c>
      <c r="K65" s="151" t="str">
        <f ca="1"/>
        <v>MVERWE</v>
      </c>
      <c r="L65" s="559">
        <f ca="1"/>
        <v>-4.5989999999999998E-3</v>
      </c>
      <c r="M65" s="1" t="str">
        <f ca="1"/>
        <v>DXC</v>
      </c>
      <c r="N65" s="558">
        <f ca="1"/>
        <v>-3862.1429999999996</v>
      </c>
      <c r="O65" t="str">
        <f ca="1"/>
        <v>ADEA</v>
      </c>
      <c r="P65" s="558">
        <f ca="1"/>
        <v>-3291.4199999999992</v>
      </c>
      <c r="Q65" t="str">
        <f ca="1"/>
        <v>WBA</v>
      </c>
      <c r="R65" s="645">
        <f ca="1"/>
        <v>0</v>
      </c>
      <c r="S65" t="str">
        <f ca="1"/>
        <v>RRC</v>
      </c>
      <c r="T65" s="85">
        <f ca="1"/>
        <v>0</v>
      </c>
      <c r="U65" t="str">
        <f ca="1"/>
        <v>AMZN</v>
      </c>
      <c r="V65" s="308">
        <f ca="1"/>
        <v>-1.1522000000000001E-3</v>
      </c>
      <c r="W65" t="str">
        <f ca="1"/>
        <v>NVS</v>
      </c>
      <c r="X65">
        <f ca="1"/>
        <v>0</v>
      </c>
      <c r="Y65" t="str">
        <f ca="1"/>
        <v>RIGL</v>
      </c>
      <c r="Z65">
        <f ca="1"/>
        <v>14</v>
      </c>
      <c r="AA65" t="str">
        <f ca="1"/>
        <v>CSCO</v>
      </c>
      <c r="AB65">
        <f ca="1"/>
        <v>50</v>
      </c>
      <c r="AC65" t="str">
        <f ca="1"/>
        <v>CSCO</v>
      </c>
      <c r="AD65">
        <f ca="1"/>
        <v>58</v>
      </c>
      <c r="AE65" t="str">
        <f ca="1"/>
        <v>DIS</v>
      </c>
      <c r="AF65" s="85">
        <f ca="1"/>
        <v>-32030.585557200044</v>
      </c>
      <c r="AG65" t="str">
        <f ca="1"/>
        <v>ADEA</v>
      </c>
      <c r="AH65" s="85">
        <f ca="1"/>
        <v>-131</v>
      </c>
      <c r="AI65" t="str">
        <f ca="1"/>
        <v>C</v>
      </c>
      <c r="AJ65" s="85">
        <f ca="1"/>
        <v>-1365.625</v>
      </c>
      <c r="AK65" s="88" t="str">
        <f ca="1"/>
        <v>WBA</v>
      </c>
      <c r="AL65" s="308">
        <f ca="1"/>
        <v>0</v>
      </c>
      <c r="AM65" t="str">
        <f ca="1"/>
        <v>SAFDIS</v>
      </c>
      <c r="AN65" s="308">
        <f ca="1"/>
        <v>5.8723330467668191E-3</v>
      </c>
      <c r="AO65" t="str">
        <f ca="1"/>
        <v>GNRC</v>
      </c>
      <c r="AP65" s="308">
        <f ca="1"/>
        <v>7.8949013295176729E-2</v>
      </c>
      <c r="AQ65" s="85" t="str">
        <f ca="1"/>
        <v>MA</v>
      </c>
      <c r="AR65" s="88">
        <f ca="1"/>
        <v>-1.8921861682821776E-2</v>
      </c>
      <c r="AS65" s="92" t="str">
        <f ca="1"/>
        <v>XOM</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PROF</v>
      </c>
      <c r="F66" s="557">
        <f ca="1"/>
        <v>0.70562494111242557</v>
      </c>
      <c r="G66" s="151" t="str">
        <f ca="1"/>
        <v>EPIX</v>
      </c>
      <c r="H66" s="558">
        <f ca="1"/>
        <v>-380.74143983999238</v>
      </c>
      <c r="I66" t="str">
        <f ca="1"/>
        <v>LUMN</v>
      </c>
      <c r="J66" s="559">
        <f ca="1"/>
        <v>-4.6029999999999995E-3</v>
      </c>
      <c r="K66" s="151" t="str">
        <f ca="1"/>
        <v>LUMN</v>
      </c>
      <c r="L66" s="559">
        <f ca="1"/>
        <v>-4.6029999999999995E-3</v>
      </c>
      <c r="M66" s="1" t="str">
        <f ca="1"/>
        <v>MVEDDD</v>
      </c>
      <c r="N66" s="558">
        <f ca="1"/>
        <v>-4913.6999999999962</v>
      </c>
      <c r="O66" t="str">
        <f ca="1"/>
        <v>EOAN</v>
      </c>
      <c r="P66" s="558">
        <f ca="1"/>
        <v>-3462.9728000000027</v>
      </c>
      <c r="Q66" t="str">
        <f ca="1"/>
        <v>MVEEPIX</v>
      </c>
      <c r="R66" s="645">
        <f ca="1"/>
        <v>0</v>
      </c>
      <c r="S66" t="str">
        <f ca="1"/>
        <v>JBASML</v>
      </c>
      <c r="T66" s="85">
        <f ca="1"/>
        <v>0</v>
      </c>
      <c r="U66" t="str">
        <f ca="1"/>
        <v>SAFAMZN</v>
      </c>
      <c r="V66" s="308">
        <f ca="1"/>
        <v>-1.1522000000000001E-3</v>
      </c>
      <c r="W66" t="str">
        <f ca="1"/>
        <v>ORA</v>
      </c>
      <c r="X66">
        <f ca="1"/>
        <v>0</v>
      </c>
      <c r="Y66" t="str">
        <f ca="1"/>
        <v>VTRS</v>
      </c>
      <c r="Z66">
        <f ca="1"/>
        <v>14</v>
      </c>
      <c r="AA66" t="str">
        <f ca="1"/>
        <v>VONN</v>
      </c>
      <c r="AB66">
        <f ca="1"/>
        <v>50</v>
      </c>
      <c r="AC66" t="str">
        <f ca="1"/>
        <v>MSFT</v>
      </c>
      <c r="AD66">
        <f ca="1"/>
        <v>58</v>
      </c>
      <c r="AE66" t="str">
        <f ca="1"/>
        <v>DXC</v>
      </c>
      <c r="AF66" s="85">
        <f ca="1"/>
        <v>-39622.217614199966</v>
      </c>
      <c r="AG66" t="str">
        <f ca="1"/>
        <v>MA</v>
      </c>
      <c r="AH66" s="85">
        <f ca="1"/>
        <v>-232</v>
      </c>
      <c r="AI66" t="str">
        <f ca="1"/>
        <v>CVS</v>
      </c>
      <c r="AJ66" s="85">
        <f ca="1"/>
        <v>-1530.1049999999991</v>
      </c>
      <c r="AK66" s="88" t="str">
        <f ca="1"/>
        <v>MVEEPIX</v>
      </c>
      <c r="AL66" s="308">
        <f ca="1"/>
        <v>0</v>
      </c>
      <c r="AM66" t="str">
        <f ca="1"/>
        <v>DVA</v>
      </c>
      <c r="AN66" s="308">
        <f ca="1"/>
        <v>-8.8902243213748655E-4</v>
      </c>
      <c r="AO66" t="str">
        <f ca="1"/>
        <v>PW</v>
      </c>
      <c r="AP66" s="308">
        <f ca="1"/>
        <v>8.4338292041480217E-2</v>
      </c>
      <c r="AQ66" s="85" t="str">
        <f ca="1"/>
        <v>BMRA</v>
      </c>
      <c r="AR66" s="88">
        <f ca="1"/>
        <v>-5.2527630642044354E-2</v>
      </c>
      <c r="AS66" s="92" t="str">
        <f ca="1"/>
        <v>XPER</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VTRS</v>
      </c>
      <c r="F67" s="557">
        <f ca="1"/>
        <v>0.70274789932397963</v>
      </c>
      <c r="G67" s="151" t="str">
        <f ca="1"/>
        <v>PW</v>
      </c>
      <c r="H67" s="558">
        <f ca="1"/>
        <v>-4763.9311230799976</v>
      </c>
      <c r="I67" t="str">
        <f ca="1"/>
        <v>ASML</v>
      </c>
      <c r="J67" s="559">
        <f ca="1"/>
        <v>-5.391E-3</v>
      </c>
      <c r="K67" s="151" t="str">
        <f ca="1"/>
        <v>ASML</v>
      </c>
      <c r="L67" s="559">
        <f ca="1"/>
        <v>-5.391E-3</v>
      </c>
      <c r="M67" s="1" t="str">
        <f ca="1"/>
        <v>XYZ</v>
      </c>
      <c r="N67" s="558">
        <f ca="1"/>
        <v>-8124.0263999999925</v>
      </c>
      <c r="O67" t="str">
        <f ca="1"/>
        <v>HPQ</v>
      </c>
      <c r="P67" s="558">
        <f ca="1"/>
        <v>-3525.8089999999997</v>
      </c>
      <c r="Q67" t="str">
        <f ca="1"/>
        <v>X</v>
      </c>
      <c r="R67" s="645">
        <f ca="1"/>
        <v>0</v>
      </c>
      <c r="S67" t="str">
        <f ca="1"/>
        <v>MVERWE</v>
      </c>
      <c r="T67" s="85">
        <f ca="1"/>
        <v>-0.10000000000000142</v>
      </c>
      <c r="U67" t="str">
        <f ca="1"/>
        <v>RWE</v>
      </c>
      <c r="V67" s="308">
        <f ca="1"/>
        <v>-1.3654000000000003E-3</v>
      </c>
      <c r="W67" t="str">
        <f ca="1"/>
        <v>OXY</v>
      </c>
      <c r="X67">
        <f ca="1"/>
        <v>0</v>
      </c>
      <c r="Y67" t="str">
        <f ca="1"/>
        <v>XOM</v>
      </c>
      <c r="Z67">
        <f ca="1"/>
        <v>14</v>
      </c>
      <c r="AA67" t="str">
        <f ca="1"/>
        <v>ASML</v>
      </c>
      <c r="AB67">
        <f ca="1"/>
        <v>49</v>
      </c>
      <c r="AC67" t="str">
        <f ca="1"/>
        <v>ASML</v>
      </c>
      <c r="AD67">
        <f ca="1"/>
        <v>57</v>
      </c>
      <c r="AE67" t="str">
        <f ca="1"/>
        <v>DVA</v>
      </c>
      <c r="AF67" s="85">
        <f ca="1"/>
        <v>-49322.716506000055</v>
      </c>
      <c r="AG67" t="str">
        <f ca="1"/>
        <v>NOTE</v>
      </c>
      <c r="AH67" s="85">
        <f ca="1"/>
        <v>-300</v>
      </c>
      <c r="AI67" t="str">
        <f ca="1"/>
        <v>AMZN</v>
      </c>
      <c r="AJ67" s="85">
        <f ca="1"/>
        <v>-1753.000000000003</v>
      </c>
      <c r="AK67" s="88" t="str">
        <f ca="1"/>
        <v>X</v>
      </c>
      <c r="AL67" s="308">
        <f ca="1"/>
        <v>0</v>
      </c>
      <c r="AM67" t="str">
        <f ca="1"/>
        <v>ORA</v>
      </c>
      <c r="AN67" s="308">
        <f ca="1"/>
        <v>-3.3102789640350174E-3</v>
      </c>
      <c r="AO67" t="str">
        <f ca="1"/>
        <v>MVESAP</v>
      </c>
      <c r="AP67" s="308">
        <f ca="1"/>
        <v>9.0490278547539257E-2</v>
      </c>
      <c r="AQ67" s="85" t="str">
        <f ca="1"/>
        <v>SAFDIS</v>
      </c>
      <c r="AR67" s="88">
        <f ca="1"/>
        <v>-7.2418288031670927E-2</v>
      </c>
      <c r="AS67" s="92" t="str">
        <f ca="1"/>
        <v>MVEALDNE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AAPL</v>
      </c>
      <c r="F68" s="557">
        <f ca="1"/>
        <v>0.70047433150034832</v>
      </c>
      <c r="G68" s="151" t="str">
        <f ca="1"/>
        <v>LUV</v>
      </c>
      <c r="H68" s="558">
        <f ca="1"/>
        <v>-6967.0421809200197</v>
      </c>
      <c r="I68" t="str">
        <f ca="1"/>
        <v>SAFASML</v>
      </c>
      <c r="J68" s="559">
        <f ca="1"/>
        <v>-5.391E-3</v>
      </c>
      <c r="K68" s="151" t="str">
        <f ca="1"/>
        <v>SAFASML</v>
      </c>
      <c r="L68" s="559">
        <f ca="1"/>
        <v>-5.391E-3</v>
      </c>
      <c r="M68" s="1" t="str">
        <f ca="1"/>
        <v>NEE</v>
      </c>
      <c r="N68" s="558">
        <f ca="1"/>
        <v>-8323.4490441517701</v>
      </c>
      <c r="O68" t="str">
        <f ca="1"/>
        <v>SAFDIS</v>
      </c>
      <c r="P68" s="558">
        <f ca="1"/>
        <v>-3781.8415799999984</v>
      </c>
      <c r="Q68" t="str">
        <f ca="1"/>
        <v>AMZN</v>
      </c>
      <c r="R68" s="645">
        <f ca="1"/>
        <v>-7.0408333333330658E-5</v>
      </c>
      <c r="S68" t="str">
        <f ca="1"/>
        <v>TSLA</v>
      </c>
      <c r="T68" s="85">
        <f ca="1"/>
        <v>-1.9341000000000008</v>
      </c>
      <c r="U68" t="str">
        <f ca="1"/>
        <v>MVERWE</v>
      </c>
      <c r="V68" s="308">
        <f ca="1"/>
        <v>-1.3654000000000003E-3</v>
      </c>
      <c r="W68" t="str">
        <f ca="1"/>
        <v>PFE</v>
      </c>
      <c r="X68">
        <f ca="1"/>
        <v>0</v>
      </c>
      <c r="Y68" t="str">
        <f ca="1"/>
        <v>XPER</v>
      </c>
      <c r="Z68">
        <f ca="1"/>
        <v>14</v>
      </c>
      <c r="AA68" t="str">
        <f ca="1"/>
        <v>LNSR</v>
      </c>
      <c r="AB68">
        <f ca="1"/>
        <v>49</v>
      </c>
      <c r="AC68" t="str">
        <f ca="1"/>
        <v>BLDP</v>
      </c>
      <c r="AD68">
        <f ca="1"/>
        <v>57</v>
      </c>
      <c r="AE68" t="str">
        <f ca="1"/>
        <v>RIG</v>
      </c>
      <c r="AF68" s="85">
        <f ca="1"/>
        <v>-54255.598739999987</v>
      </c>
      <c r="AG68" t="str">
        <f ca="1"/>
        <v>JBEOAN</v>
      </c>
      <c r="AH68" s="85">
        <f ca="1"/>
        <v>-345</v>
      </c>
      <c r="AI68" t="str">
        <f ca="1"/>
        <v>LUMN</v>
      </c>
      <c r="AJ68" s="85">
        <f ca="1"/>
        <v>-1831.5000000000005</v>
      </c>
      <c r="AK68" s="88" t="str">
        <f ca="1"/>
        <v>AMZN</v>
      </c>
      <c r="AL68" s="308">
        <f ca="1"/>
        <v>-7.0408333333330658E-5</v>
      </c>
      <c r="AM68" t="str">
        <f ca="1"/>
        <v>DIS</v>
      </c>
      <c r="AN68" s="308">
        <f ca="1"/>
        <v>-2.9450837877551924E-2</v>
      </c>
      <c r="AO68" t="str">
        <f ca="1"/>
        <v>UN0</v>
      </c>
      <c r="AP68" s="308">
        <f ca="1"/>
        <v>0.10223465721854308</v>
      </c>
      <c r="AQ68" s="85" t="str">
        <f ca="1"/>
        <v>JBEOAN</v>
      </c>
      <c r="AR68" s="88">
        <f ca="1"/>
        <v>-9.7595473833097773E-2</v>
      </c>
      <c r="AS68" s="92" t="str">
        <f ca="1"/>
        <v>MVEDDD</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SAFAAPL</v>
      </c>
      <c r="F69" s="557">
        <f ca="1"/>
        <v>0.70047433150034832</v>
      </c>
      <c r="G69" s="151" t="str">
        <f ca="1"/>
        <v>F</v>
      </c>
      <c r="H69" s="558">
        <f ca="1"/>
        <v>-12652.812</v>
      </c>
      <c r="I69" t="str">
        <f ca="1"/>
        <v>JBASML</v>
      </c>
      <c r="J69" s="559">
        <f ca="1"/>
        <v>-5.391E-3</v>
      </c>
      <c r="K69" s="151" t="str">
        <f ca="1"/>
        <v>JBASML</v>
      </c>
      <c r="L69" s="559">
        <f ca="1"/>
        <v>-5.391E-3</v>
      </c>
      <c r="M69" s="1" t="str">
        <f ca="1"/>
        <v>UN0</v>
      </c>
      <c r="N69" s="558">
        <f ca="1"/>
        <v>-11872.524930000005</v>
      </c>
      <c r="O69" t="str">
        <f ca="1"/>
        <v>MVEUN0</v>
      </c>
      <c r="P69" s="558">
        <f ca="1"/>
        <v>-3981.4612159999997</v>
      </c>
      <c r="Q69" t="str">
        <f ca="1"/>
        <v>SAFAMZN</v>
      </c>
      <c r="R69" s="645">
        <f ca="1"/>
        <v>-7.0408333333330658E-5</v>
      </c>
      <c r="S69" t="str">
        <f ca="1"/>
        <v>MVEEOAN</v>
      </c>
      <c r="T69" s="85">
        <f ca="1"/>
        <v>-4.2500000000000284</v>
      </c>
      <c r="U69" t="str">
        <f ca="1"/>
        <v>RIG</v>
      </c>
      <c r="V69" s="308">
        <f ca="1"/>
        <v>-2.2596000000000001E-3</v>
      </c>
      <c r="W69" t="str">
        <f ca="1"/>
        <v>RIG</v>
      </c>
      <c r="X69">
        <f ca="1"/>
        <v>0</v>
      </c>
      <c r="Y69" t="str">
        <f ca="1"/>
        <v>MVERWE</v>
      </c>
      <c r="Z69">
        <f ca="1"/>
        <v>14</v>
      </c>
      <c r="AA69" t="str">
        <f ca="1"/>
        <v>SAFASML</v>
      </c>
      <c r="AB69">
        <f ca="1"/>
        <v>49</v>
      </c>
      <c r="AC69" t="str">
        <f ca="1"/>
        <v>C</v>
      </c>
      <c r="AD69">
        <f ca="1"/>
        <v>57</v>
      </c>
      <c r="AE69" t="str">
        <f ca="1"/>
        <v>BMRA</v>
      </c>
      <c r="AF69" s="85">
        <f ca="1"/>
        <v>-55591.162199999992</v>
      </c>
      <c r="AG69" t="str">
        <f ca="1"/>
        <v>AET</v>
      </c>
      <c r="AH69" s="85">
        <f ca="1"/>
        <v>-659</v>
      </c>
      <c r="AI69" t="str">
        <f ca="1"/>
        <v>AZN</v>
      </c>
      <c r="AJ69" s="85">
        <f ca="1"/>
        <v>-2035.0000000000036</v>
      </c>
      <c r="AK69" s="88" t="str">
        <f ca="1"/>
        <v>SAFAMZN</v>
      </c>
      <c r="AL69" s="308">
        <f ca="1"/>
        <v>-7.0408333333330658E-5</v>
      </c>
      <c r="AM69" t="str">
        <f ca="1"/>
        <v>NEE</v>
      </c>
      <c r="AN69" s="308">
        <f ca="1"/>
        <v>-3.2935230899745122E-2</v>
      </c>
      <c r="AO69" t="str">
        <f ca="1"/>
        <v>MVEUN0</v>
      </c>
      <c r="AP69" s="308">
        <f ca="1"/>
        <v>0.1112987967360454</v>
      </c>
      <c r="AQ69" s="85" t="str">
        <f ca="1"/>
        <v>THC</v>
      </c>
      <c r="AR69" s="88">
        <f ca="1"/>
        <v>-0.10188394454382854</v>
      </c>
      <c r="AS69" s="92" t="str">
        <f ca="1"/>
        <v>MVEDSY</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TSLA</v>
      </c>
      <c r="F70" s="557">
        <f ca="1"/>
        <v>0.68520716946974203</v>
      </c>
      <c r="G70" s="151" t="str">
        <f ca="1"/>
        <v>DSY</v>
      </c>
      <c r="H70" s="558">
        <f ca="1"/>
        <v>-14092.502248800069</v>
      </c>
      <c r="I70" t="str">
        <f ca="1"/>
        <v>AMZN</v>
      </c>
      <c r="J70" s="559">
        <f ca="1"/>
        <v>-6.4720000000000003E-3</v>
      </c>
      <c r="K70" s="151" t="str">
        <f ca="1"/>
        <v>AMZN</v>
      </c>
      <c r="L70" s="559">
        <f ca="1"/>
        <v>-6.4720000000000003E-3</v>
      </c>
      <c r="M70" s="1" t="str">
        <f ca="1"/>
        <v>GNRC</v>
      </c>
      <c r="N70" s="558">
        <f ca="1"/>
        <v>-12310.394399999992</v>
      </c>
      <c r="O70" t="str">
        <f ca="1"/>
        <v>JBASML</v>
      </c>
      <c r="P70" s="558">
        <f ca="1"/>
        <v>-4368.6119999999955</v>
      </c>
      <c r="Q70" t="str">
        <f ca="1"/>
        <v>TSLA</v>
      </c>
      <c r="R70" s="645">
        <f ca="1"/>
        <v>-4.3363809523809548E-4</v>
      </c>
      <c r="S70" t="str">
        <f ca="1"/>
        <v>RWE</v>
      </c>
      <c r="T70" s="85">
        <f ca="1"/>
        <v>-5</v>
      </c>
      <c r="U70" t="str">
        <f ca="1"/>
        <v>MSFT</v>
      </c>
      <c r="V70" s="308">
        <f ca="1"/>
        <v>-2.2924000000000004E-3</v>
      </c>
      <c r="W70" t="str">
        <f ca="1"/>
        <v>XYZ</v>
      </c>
      <c r="X70">
        <f ca="1"/>
        <v>0</v>
      </c>
      <c r="Y70" t="str">
        <f ca="1"/>
        <v>AAPL</v>
      </c>
      <c r="Z70">
        <f ca="1"/>
        <v>15</v>
      </c>
      <c r="AA70" t="str">
        <f ca="1"/>
        <v>JBASML</v>
      </c>
      <c r="AB70">
        <f ca="1"/>
        <v>49</v>
      </c>
      <c r="AC70" t="str">
        <f ca="1"/>
        <v>MVEENI</v>
      </c>
      <c r="AD70">
        <f ca="1"/>
        <v>57</v>
      </c>
      <c r="AE70" t="str">
        <f ca="1"/>
        <v>XPER</v>
      </c>
      <c r="AF70" s="85">
        <f ca="1"/>
        <v>-67298.923439999984</v>
      </c>
      <c r="AG70" t="str">
        <f ca="1"/>
        <v>SHECY</v>
      </c>
      <c r="AH70" s="85">
        <f ca="1"/>
        <v>-762</v>
      </c>
      <c r="AI70" t="str">
        <f ca="1"/>
        <v>RRC</v>
      </c>
      <c r="AJ70" s="85">
        <f ca="1"/>
        <v>-2204.9999999999768</v>
      </c>
      <c r="AK70" s="88" t="str">
        <f ca="1"/>
        <v>TSLA</v>
      </c>
      <c r="AL70" s="308">
        <f ca="1"/>
        <v>-4.3363809523809548E-4</v>
      </c>
      <c r="AM70" t="str">
        <f ca="1"/>
        <v>EOAN</v>
      </c>
      <c r="AN70" s="308">
        <f ca="1"/>
        <v>-6.2223822602493109E-2</v>
      </c>
      <c r="AO70" t="str">
        <f ca="1"/>
        <v>SHECY</v>
      </c>
      <c r="AP70" s="308">
        <f ca="1"/>
        <v>0.12809438158551317</v>
      </c>
      <c r="AQ70" s="85" t="str">
        <f ca="1"/>
        <v>ADEA</v>
      </c>
      <c r="AR70" s="88">
        <f ca="1"/>
        <v>-0.11858216970998918</v>
      </c>
      <c r="AS70" s="92" t="str">
        <f ca="1"/>
        <v>MVEEOAN</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MVEORA</v>
      </c>
      <c r="F71" s="557">
        <f ca="1"/>
        <v>0.67743021645652646</v>
      </c>
      <c r="G71" s="151" t="str">
        <f ca="1"/>
        <v>UNIT</v>
      </c>
      <c r="H71" s="558">
        <f ca="1"/>
        <v>-15356.296002571995</v>
      </c>
      <c r="I71" t="str">
        <f ca="1"/>
        <v>SAFAMZN</v>
      </c>
      <c r="J71" s="559">
        <f ca="1"/>
        <v>-6.4720000000000003E-3</v>
      </c>
      <c r="K71" s="151" t="str">
        <f ca="1"/>
        <v>SAFAMZN</v>
      </c>
      <c r="L71" s="559">
        <f ca="1"/>
        <v>-6.4720000000000003E-3</v>
      </c>
      <c r="M71" s="1" t="str">
        <f ca="1"/>
        <v>NVAX</v>
      </c>
      <c r="N71" s="558">
        <f ca="1"/>
        <v>-13878.66095999999</v>
      </c>
      <c r="O71" t="str">
        <f ca="1"/>
        <v>POET</v>
      </c>
      <c r="P71" s="558">
        <f ca="1"/>
        <v>-4612.9750000000004</v>
      </c>
      <c r="Q71" t="str">
        <f ca="1"/>
        <v>EZJ</v>
      </c>
      <c r="R71" s="645">
        <f ca="1"/>
        <v>-4.4326785714285692E-4</v>
      </c>
      <c r="S71" t="str">
        <f ca="1"/>
        <v>VTRS</v>
      </c>
      <c r="T71" s="85">
        <f ca="1"/>
        <v>-50</v>
      </c>
      <c r="U71" t="str">
        <f ca="1"/>
        <v>AZN</v>
      </c>
      <c r="V71" s="308">
        <f ca="1"/>
        <v>-2.5088000000000007E-3</v>
      </c>
      <c r="W71" t="str">
        <f ca="1"/>
        <v>THC</v>
      </c>
      <c r="X71">
        <f ca="1"/>
        <v>0</v>
      </c>
      <c r="Y71" t="str">
        <f ca="1"/>
        <v>SAFAAPL</v>
      </c>
      <c r="Z71">
        <f ca="1"/>
        <v>15</v>
      </c>
      <c r="AA71" t="str">
        <f ca="1"/>
        <v>MVEORA</v>
      </c>
      <c r="AB71">
        <f ca="1"/>
        <v>48</v>
      </c>
      <c r="AC71" t="str">
        <f ca="1"/>
        <v>SAFASML</v>
      </c>
      <c r="AD71">
        <f ca="1"/>
        <v>57</v>
      </c>
      <c r="AE71" t="str">
        <f ca="1"/>
        <v>LAZR</v>
      </c>
      <c r="AF71" s="85">
        <f ca="1"/>
        <v>-84588.960959999968</v>
      </c>
      <c r="AG71" t="str">
        <f ca="1"/>
        <v>SAFDIS</v>
      </c>
      <c r="AH71" s="85">
        <f ca="1"/>
        <v>-793</v>
      </c>
      <c r="AI71" t="str">
        <f ca="1"/>
        <v>MVEGLE</v>
      </c>
      <c r="AJ71" s="85">
        <f ca="1"/>
        <v>-2640.0000000000005</v>
      </c>
      <c r="AK71" s="88" t="str">
        <f ca="1"/>
        <v>EZJ</v>
      </c>
      <c r="AL71" s="308">
        <f ca="1"/>
        <v>-4.4326785714285692E-4</v>
      </c>
      <c r="AM71" t="str">
        <f ca="1"/>
        <v>GNRC</v>
      </c>
      <c r="AN71" s="308">
        <f ca="1"/>
        <v>-7.5204160755320992E-2</v>
      </c>
      <c r="AO71" t="str">
        <f ca="1"/>
        <v>SAP</v>
      </c>
      <c r="AP71" s="308">
        <f ca="1"/>
        <v>0.14961404200719164</v>
      </c>
      <c r="AQ71" s="85" t="str">
        <f ca="1"/>
        <v>MVEORA</v>
      </c>
      <c r="AR71" s="88">
        <f ca="1"/>
        <v>-0.13075060532687657</v>
      </c>
      <c r="AS71" s="92" t="str">
        <f ca="1"/>
        <v>MVEENI</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ORA</v>
      </c>
      <c r="F72" s="557">
        <f ca="1"/>
        <v>0.67743021645652646</v>
      </c>
      <c r="G72" s="151" t="str">
        <f ca="1"/>
        <v>LNSR</v>
      </c>
      <c r="H72" s="558">
        <f ca="1"/>
        <v>-16070.660160479994</v>
      </c>
      <c r="I72" t="str">
        <f ca="1"/>
        <v>MVEENI</v>
      </c>
      <c r="J72" s="559">
        <f ca="1"/>
        <v>-6.8689999999999992E-3</v>
      </c>
      <c r="K72" s="151" t="str">
        <f ca="1"/>
        <v>MVEENI</v>
      </c>
      <c r="L72" s="559">
        <f ca="1"/>
        <v>-6.8689999999999992E-3</v>
      </c>
      <c r="M72" s="1" t="str">
        <f ca="1"/>
        <v>UNIT</v>
      </c>
      <c r="N72" s="558">
        <f ca="1"/>
        <v>-15079.042299999999</v>
      </c>
      <c r="O72" t="str">
        <f ca="1"/>
        <v>GNRC</v>
      </c>
      <c r="P72" s="558">
        <f ca="1"/>
        <v>-4843.3743999999997</v>
      </c>
      <c r="Q72" t="str">
        <f ca="1"/>
        <v>ALDNE</v>
      </c>
      <c r="R72" s="645">
        <f ca="1"/>
        <v>-6.157023809523765E-4</v>
      </c>
      <c r="S72" t="str">
        <f ca="1"/>
        <v>THC</v>
      </c>
      <c r="T72" s="85">
        <f ca="1"/>
        <v>-112.5</v>
      </c>
      <c r="U72" t="str">
        <f ca="1"/>
        <v>RRC</v>
      </c>
      <c r="V72" s="308">
        <f ca="1"/>
        <v>-3.5828000000000006E-3</v>
      </c>
      <c r="W72" t="str">
        <f ca="1"/>
        <v>X</v>
      </c>
      <c r="X72">
        <f ca="1"/>
        <v>0</v>
      </c>
      <c r="Y72" t="str">
        <f ca="1"/>
        <v>EPIX</v>
      </c>
      <c r="Z72">
        <f ca="1"/>
        <v>16</v>
      </c>
      <c r="AA72" t="str">
        <f ca="1"/>
        <v>ORA</v>
      </c>
      <c r="AB72">
        <f ca="1"/>
        <v>48</v>
      </c>
      <c r="AC72" t="str">
        <f ca="1"/>
        <v>ENI</v>
      </c>
      <c r="AD72">
        <f ca="1"/>
        <v>57</v>
      </c>
      <c r="AE72" t="str">
        <f ca="1"/>
        <v>XYZ</v>
      </c>
      <c r="AF72" s="85">
        <f ca="1"/>
        <v>-89578.700640000025</v>
      </c>
      <c r="AG72" t="str">
        <f ca="1"/>
        <v>THC</v>
      </c>
      <c r="AH72" s="85">
        <f ca="1"/>
        <v>-1091</v>
      </c>
      <c r="AI72" t="str">
        <f ca="1"/>
        <v>SAFAAPL</v>
      </c>
      <c r="AJ72" s="85">
        <f ca="1"/>
        <v>-2704.4999999999959</v>
      </c>
      <c r="AK72" s="88" t="str">
        <f ca="1"/>
        <v>ALDNE</v>
      </c>
      <c r="AL72" s="308">
        <f ca="1"/>
        <v>-6.157023809523765E-4</v>
      </c>
      <c r="AM72" t="str">
        <f ca="1"/>
        <v>PW</v>
      </c>
      <c r="AN72" s="308">
        <f ca="1"/>
        <v>-7.9776610242804122E-2</v>
      </c>
      <c r="AO72" t="str">
        <f ca="1"/>
        <v>NFLX</v>
      </c>
      <c r="AP72" s="308">
        <f ca="1"/>
        <v>0.18124861017566754</v>
      </c>
      <c r="AQ72" s="85" t="str">
        <f ca="1"/>
        <v>DIS</v>
      </c>
      <c r="AR72" s="88">
        <f ca="1"/>
        <v>-0.14914790711807721</v>
      </c>
      <c r="AS72" s="92" t="str">
        <f ca="1"/>
        <v>MVEEPIX</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XPER</v>
      </c>
      <c r="F73" s="557">
        <f ca="1"/>
        <v>0.65766770373662653</v>
      </c>
      <c r="G73" s="151" t="str">
        <f ca="1"/>
        <v>WBA</v>
      </c>
      <c r="H73" s="558">
        <f ca="1"/>
        <v>-22001.749264200007</v>
      </c>
      <c r="I73" t="str">
        <f ca="1"/>
        <v>ENI</v>
      </c>
      <c r="J73" s="559">
        <f ca="1"/>
        <v>-6.8689999999999992E-3</v>
      </c>
      <c r="K73" s="151" t="str">
        <f ca="1"/>
        <v>ENI</v>
      </c>
      <c r="L73" s="559">
        <f ca="1"/>
        <v>-6.8689999999999992E-3</v>
      </c>
      <c r="M73" s="1" t="str">
        <f ca="1"/>
        <v>MVESAP</v>
      </c>
      <c r="N73" s="558">
        <f ca="1"/>
        <v>-17535.415769999971</v>
      </c>
      <c r="O73" t="str">
        <f ca="1"/>
        <v>KR</v>
      </c>
      <c r="P73" s="558">
        <f ca="1"/>
        <v>-5121.6489999999903</v>
      </c>
      <c r="Q73" t="str">
        <f ca="1"/>
        <v>MVEALDNE</v>
      </c>
      <c r="R73" s="645">
        <f ca="1"/>
        <v>-6.157023809523765E-4</v>
      </c>
      <c r="S73" t="str">
        <f ca="1"/>
        <v>NVAX</v>
      </c>
      <c r="T73" s="85">
        <f ca="1"/>
        <v>-135</v>
      </c>
      <c r="U73" t="str">
        <f ca="1"/>
        <v>AAPL</v>
      </c>
      <c r="V73" s="308">
        <f ca="1"/>
        <v>-3.8184000000000004E-3</v>
      </c>
      <c r="W73" t="str">
        <f ca="1"/>
        <v>JBASML</v>
      </c>
      <c r="X73">
        <f ca="1"/>
        <v>0</v>
      </c>
      <c r="Y73" t="str">
        <f ca="1"/>
        <v>SSYS</v>
      </c>
      <c r="Z73">
        <f ca="1"/>
        <v>16</v>
      </c>
      <c r="AA73" t="str">
        <f ca="1"/>
        <v>BLDP</v>
      </c>
      <c r="AB73">
        <f ca="1"/>
        <v>47</v>
      </c>
      <c r="AC73" t="str">
        <f ca="1"/>
        <v>JBASML</v>
      </c>
      <c r="AD73">
        <f ca="1"/>
        <v>57</v>
      </c>
      <c r="AE73" t="str">
        <f ca="1"/>
        <v>ALDNE</v>
      </c>
      <c r="AF73" s="85">
        <f ca="1"/>
        <v>-93961.067746500019</v>
      </c>
      <c r="AG73" t="str">
        <f ca="1"/>
        <v>PW</v>
      </c>
      <c r="AH73" s="85">
        <f ca="1"/>
        <v>-1270</v>
      </c>
      <c r="AI73" t="str">
        <f ca="1"/>
        <v>WBA</v>
      </c>
      <c r="AJ73" s="85">
        <f ca="1"/>
        <v>-2915.6000000000049</v>
      </c>
      <c r="AK73" s="88" t="str">
        <f ca="1"/>
        <v>MVEALDNE</v>
      </c>
      <c r="AL73" s="308">
        <f ca="1"/>
        <v>-6.157023809523765E-4</v>
      </c>
      <c r="AM73" t="str">
        <f ca="1"/>
        <v>SHECY</v>
      </c>
      <c r="AN73" s="308">
        <f ca="1"/>
        <v>-0.11528718840063704</v>
      </c>
      <c r="AO73" t="str">
        <f ca="1"/>
        <v>XYZ</v>
      </c>
      <c r="AP73" s="308">
        <f ca="1"/>
        <v>0.21029377358490547</v>
      </c>
      <c r="AQ73" s="85" t="str">
        <f ca="1"/>
        <v>MVEDDD</v>
      </c>
      <c r="AR73" s="88">
        <f ca="1"/>
        <v>-0.1569720399172885</v>
      </c>
      <c r="AS73" s="92" t="str">
        <f ca="1"/>
        <v>MVEORA</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NVAX</v>
      </c>
      <c r="F74" s="557">
        <f ca="1"/>
        <v>0.6525138583606388</v>
      </c>
      <c r="G74" s="151" t="str">
        <f ca="1"/>
        <v>AET</v>
      </c>
      <c r="H74" s="558">
        <f ca="1"/>
        <v>-25544.909504098236</v>
      </c>
      <c r="I74" t="str">
        <f ca="1"/>
        <v>NVAX</v>
      </c>
      <c r="J74" s="559">
        <f ca="1"/>
        <v>-7.4180000000000001E-3</v>
      </c>
      <c r="K74" s="151" t="str">
        <f ca="1"/>
        <v>NVAX</v>
      </c>
      <c r="L74" s="559">
        <f ca="1"/>
        <v>-7.4180000000000001E-3</v>
      </c>
      <c r="M74" s="1" t="str">
        <f ca="1"/>
        <v>KR</v>
      </c>
      <c r="N74" s="558">
        <f ca="1"/>
        <v>-20785.27819999991</v>
      </c>
      <c r="O74" t="str">
        <f ca="1"/>
        <v>SAFASML</v>
      </c>
      <c r="P74" s="558">
        <f ca="1"/>
        <v>-5520.6089999999958</v>
      </c>
      <c r="Q74" t="str">
        <f ca="1"/>
        <v>RRC</v>
      </c>
      <c r="R74" s="645">
        <f ca="1"/>
        <v>-8.0851785714285791E-4</v>
      </c>
      <c r="S74" t="str">
        <f ca="1"/>
        <v>PFE</v>
      </c>
      <c r="T74" s="85">
        <f ca="1"/>
        <v>-140</v>
      </c>
      <c r="U74" t="str">
        <f ca="1"/>
        <v>SAFAAPL</v>
      </c>
      <c r="V74" s="308">
        <f ca="1"/>
        <v>-3.8184000000000004E-3</v>
      </c>
      <c r="W74" t="str">
        <f ca="1"/>
        <v>F</v>
      </c>
      <c r="X74">
        <f ca="1"/>
        <v>0.25</v>
      </c>
      <c r="Y74" t="str">
        <f ca="1"/>
        <v>SAFGM</v>
      </c>
      <c r="Z74">
        <f ca="1"/>
        <v>16</v>
      </c>
      <c r="AA74" t="str">
        <f ca="1"/>
        <v>IAG</v>
      </c>
      <c r="AB74">
        <f ca="1"/>
        <v>47</v>
      </c>
      <c r="AC74" t="str">
        <f ca="1"/>
        <v>LOCK</v>
      </c>
      <c r="AD74">
        <f ca="1"/>
        <v>56</v>
      </c>
      <c r="AE74" t="str">
        <f ca="1"/>
        <v>DDD</v>
      </c>
      <c r="AF74" s="85">
        <f ca="1"/>
        <v>-98474.870700000029</v>
      </c>
      <c r="AG74" t="str">
        <f ca="1"/>
        <v>MVEORA</v>
      </c>
      <c r="AH74" s="85">
        <f ca="1"/>
        <v>-1841</v>
      </c>
      <c r="AI74" t="str">
        <f ca="1"/>
        <v>ORA</v>
      </c>
      <c r="AJ74" s="85">
        <f ca="1"/>
        <v>-3410</v>
      </c>
      <c r="AK74" s="88" t="str">
        <f ca="1"/>
        <v>RRC</v>
      </c>
      <c r="AL74" s="308">
        <f ca="1"/>
        <v>-8.0851785714285791E-4</v>
      </c>
      <c r="AM74" t="str">
        <f ca="1"/>
        <v>SAP</v>
      </c>
      <c r="AN74" s="308">
        <f ca="1"/>
        <v>-0.13176222469351345</v>
      </c>
      <c r="AO74" t="str">
        <f ca="1"/>
        <v>MVEDDD</v>
      </c>
      <c r="AP74" s="308">
        <f ca="1"/>
        <v>0.2474610687022899</v>
      </c>
      <c r="AQ74" s="85" t="str">
        <f ca="1"/>
        <v>SHECY</v>
      </c>
      <c r="AR74" s="88">
        <f ca="1"/>
        <v>-0.15973072215422232</v>
      </c>
      <c r="AS74" s="92" t="str">
        <f ca="1"/>
        <v>MVERWE</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NOTE</v>
      </c>
      <c r="F75" s="557">
        <f ca="1"/>
        <v>0.63952972578909406</v>
      </c>
      <c r="G75" s="151" t="str">
        <f ca="1"/>
        <v>MVEEPIX</v>
      </c>
      <c r="H75" s="558">
        <f ca="1"/>
        <v>-28739.135370911998</v>
      </c>
      <c r="I75" t="str">
        <f ca="1"/>
        <v>SAP</v>
      </c>
      <c r="J75" s="559">
        <f ca="1"/>
        <v>-7.8220000000000008E-3</v>
      </c>
      <c r="K75" s="151" t="str">
        <f ca="1"/>
        <v>SAP</v>
      </c>
      <c r="L75" s="559">
        <f ca="1"/>
        <v>-7.8220000000000008E-3</v>
      </c>
      <c r="M75" s="1" t="str">
        <f ca="1"/>
        <v>XPER</v>
      </c>
      <c r="N75" s="558">
        <f ca="1"/>
        <v>-21282.936799999989</v>
      </c>
      <c r="O75" t="str">
        <f ca="1"/>
        <v>SAP</v>
      </c>
      <c r="P75" s="558">
        <f ca="1"/>
        <v>-5685.1799999999994</v>
      </c>
      <c r="Q75" t="str">
        <f ca="1"/>
        <v>VONN</v>
      </c>
      <c r="R75" s="645">
        <f ca="1"/>
        <v>-1.4593809523809525E-3</v>
      </c>
      <c r="S75" t="str">
        <f ca="1"/>
        <v>AZN</v>
      </c>
      <c r="T75" s="85">
        <f ca="1"/>
        <v>-170</v>
      </c>
      <c r="U75" t="str">
        <f ca="1"/>
        <v>MVEORA</v>
      </c>
      <c r="V75" s="308">
        <f ca="1"/>
        <v>-4.5466600000000001E-3</v>
      </c>
      <c r="W75" t="str">
        <f ca="1"/>
        <v>GLE</v>
      </c>
      <c r="X75">
        <f ca="1"/>
        <v>0.38095238095238093</v>
      </c>
      <c r="Y75" t="str">
        <f ca="1"/>
        <v>RIG</v>
      </c>
      <c r="Z75">
        <f ca="1"/>
        <v>16</v>
      </c>
      <c r="AA75" t="str">
        <f ca="1"/>
        <v>KR</v>
      </c>
      <c r="AB75">
        <f ca="1"/>
        <v>47</v>
      </c>
      <c r="AC75" t="str">
        <f ca="1"/>
        <v>HPQ</v>
      </c>
      <c r="AD75">
        <f ca="1"/>
        <v>55</v>
      </c>
      <c r="AE75" t="str">
        <f ca="1"/>
        <v>MVEORA</v>
      </c>
      <c r="AF75" s="85">
        <f ca="1"/>
        <v>-99908.83934999998</v>
      </c>
      <c r="AG75" t="str">
        <f ca="1"/>
        <v>XPER</v>
      </c>
      <c r="AH75" s="85">
        <f ca="1"/>
        <v>-2494</v>
      </c>
      <c r="AI75" t="str">
        <f ca="1"/>
        <v>PROF</v>
      </c>
      <c r="AJ75" s="85">
        <f ca="1"/>
        <v>-3639.9999999999986</v>
      </c>
      <c r="AK75" s="88" t="str">
        <f ca="1"/>
        <v>VONN</v>
      </c>
      <c r="AL75" s="308">
        <f ca="1"/>
        <v>-1.4593809523809525E-3</v>
      </c>
      <c r="AM75" t="str">
        <f ca="1"/>
        <v>XYZ</v>
      </c>
      <c r="AN75" s="308">
        <f ca="1"/>
        <v>-0.17506912344514591</v>
      </c>
      <c r="AO75" t="str">
        <f ca="1"/>
        <v>AET</v>
      </c>
      <c r="AP75" s="308">
        <f ca="1"/>
        <v>0.26317036348310874</v>
      </c>
      <c r="AQ75" s="85" t="str">
        <f ca="1"/>
        <v>OXY</v>
      </c>
      <c r="AR75" s="88">
        <f ca="1"/>
        <v>-0.17111074037816856</v>
      </c>
      <c r="AS75" s="92" t="str">
        <f ca="1"/>
        <v>MVEUN0</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LNSR</v>
      </c>
      <c r="F76" s="557">
        <f ca="1"/>
        <v>0.63306340549771389</v>
      </c>
      <c r="G76" s="151" t="str">
        <f ca="1"/>
        <v>DXC</v>
      </c>
      <c r="H76" s="558">
        <f ca="1"/>
        <v>-36960.357173399971</v>
      </c>
      <c r="I76" t="str">
        <f ca="1"/>
        <v>MVESAP</v>
      </c>
      <c r="J76" s="559">
        <f ca="1"/>
        <v>-7.8220000000000008E-3</v>
      </c>
      <c r="K76" s="151" t="str">
        <f ca="1"/>
        <v>MVESAP</v>
      </c>
      <c r="L76" s="559">
        <f ca="1"/>
        <v>-7.8220000000000008E-3</v>
      </c>
      <c r="M76" s="1" t="str">
        <f ca="1"/>
        <v>EOAN</v>
      </c>
      <c r="N76" s="558">
        <f ca="1"/>
        <v>-25009.59699999994</v>
      </c>
      <c r="O76" t="str">
        <f ca="1"/>
        <v>MSFT</v>
      </c>
      <c r="P76" s="558">
        <f ca="1"/>
        <v>-6051.7244999999893</v>
      </c>
      <c r="Q76" t="str">
        <f ca="1"/>
        <v>MRNA</v>
      </c>
      <c r="R76" s="645">
        <f ca="1"/>
        <v>-1.5189642857142862E-3</v>
      </c>
      <c r="S76" t="str">
        <f ca="1"/>
        <v>NEE</v>
      </c>
      <c r="T76" s="85">
        <f ca="1"/>
        <v>-180.05999999999767</v>
      </c>
      <c r="U76" t="str">
        <f ca="1"/>
        <v>ORA</v>
      </c>
      <c r="V76" s="308">
        <f ca="1"/>
        <v>-4.5466600000000001E-3</v>
      </c>
      <c r="W76" t="str">
        <f ca="1"/>
        <v>SAFIAG</v>
      </c>
      <c r="X76">
        <f ca="1"/>
        <v>0.42857142857142855</v>
      </c>
      <c r="Y76" t="str">
        <f ca="1"/>
        <v>AET</v>
      </c>
      <c r="Z76">
        <f ca="1"/>
        <v>17</v>
      </c>
      <c r="AA76" t="str">
        <f ca="1"/>
        <v>LOCK</v>
      </c>
      <c r="AB76">
        <f ca="1"/>
        <v>47</v>
      </c>
      <c r="AC76" t="str">
        <f ca="1"/>
        <v>SAFIAG</v>
      </c>
      <c r="AD76">
        <f ca="1"/>
        <v>55</v>
      </c>
      <c r="AE76" t="str">
        <f ca="1"/>
        <v>UN0</v>
      </c>
      <c r="AF76" s="85">
        <f ca="1"/>
        <v>-105060.64430700001</v>
      </c>
      <c r="AG76" t="str">
        <f ca="1"/>
        <v>DIS</v>
      </c>
      <c r="AH76" s="85">
        <f ca="1"/>
        <v>-3525</v>
      </c>
      <c r="AI76" t="str">
        <f ca="1"/>
        <v>AAPL</v>
      </c>
      <c r="AJ76" s="85">
        <f ca="1"/>
        <v>-3994.9999999999764</v>
      </c>
      <c r="AK76" s="88" t="str">
        <f ca="1"/>
        <v>MRNA</v>
      </c>
      <c r="AL76" s="308">
        <f ca="1"/>
        <v>-1.5189642857142862E-3</v>
      </c>
      <c r="AM76" t="str">
        <f ca="1"/>
        <v>MVEDDD</v>
      </c>
      <c r="AN76" s="308">
        <f ca="1"/>
        <v>-0.19951898044675667</v>
      </c>
      <c r="AO76" t="str">
        <f ca="1"/>
        <v>UNIT</v>
      </c>
      <c r="AP76" s="308">
        <f ca="1"/>
        <v>0.28527016574585634</v>
      </c>
      <c r="AQ76" s="85" t="str">
        <f ca="1"/>
        <v>PW</v>
      </c>
      <c r="AR76" s="88">
        <f ca="1"/>
        <v>-0.19755196538101472</v>
      </c>
      <c r="AS76" s="92" t="str">
        <f ca="1"/>
        <v>SAFAAPL</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AMZN</v>
      </c>
      <c r="F77" s="557">
        <f ca="1"/>
        <v>0.6326482224746578</v>
      </c>
      <c r="G77" s="151" t="str">
        <f ca="1"/>
        <v>SAP</v>
      </c>
      <c r="H77" s="558">
        <f ca="1"/>
        <v>-39389.495378200198</v>
      </c>
      <c r="I77" t="str">
        <f ca="1"/>
        <v>UN0</v>
      </c>
      <c r="J77" s="559">
        <f ca="1"/>
        <v>-7.8840000000000004E-3</v>
      </c>
      <c r="K77" s="151" t="str">
        <f ca="1"/>
        <v>UN0</v>
      </c>
      <c r="L77" s="559">
        <f ca="1"/>
        <v>-7.8840000000000004E-3</v>
      </c>
      <c r="M77" s="1" t="str">
        <f ca="1"/>
        <v>DSY</v>
      </c>
      <c r="N77" s="558">
        <f ca="1"/>
        <v>-28082.753999999994</v>
      </c>
      <c r="O77" t="str">
        <f ca="1"/>
        <v>DIS</v>
      </c>
      <c r="P77" s="558">
        <f ca="1"/>
        <v>-6303.567999999992</v>
      </c>
      <c r="Q77" t="str">
        <f ca="1"/>
        <v>RIG</v>
      </c>
      <c r="R77" s="645">
        <f ca="1"/>
        <v>-2.0867380952380981E-3</v>
      </c>
      <c r="S77" t="str">
        <f ca="1"/>
        <v>SAFAAPL</v>
      </c>
      <c r="T77" s="85">
        <f ca="1"/>
        <v>-336.00000000001455</v>
      </c>
      <c r="U77" t="str">
        <f ca="1"/>
        <v>MVEENI</v>
      </c>
      <c r="V77" s="308">
        <f ca="1"/>
        <v>-5.1012599999999998E-3</v>
      </c>
      <c r="W77" t="str">
        <f ca="1"/>
        <v>RRC</v>
      </c>
      <c r="X77">
        <f ca="1"/>
        <v>0.5</v>
      </c>
      <c r="Y77" t="str">
        <f ca="1"/>
        <v>RWE</v>
      </c>
      <c r="Z77">
        <f ca="1"/>
        <v>17</v>
      </c>
      <c r="AA77" t="str">
        <f ca="1"/>
        <v>XYZ</v>
      </c>
      <c r="AB77">
        <f ca="1"/>
        <v>43</v>
      </c>
      <c r="AC77" t="str">
        <f ca="1"/>
        <v>DXC</v>
      </c>
      <c r="AD77">
        <f ca="1"/>
        <v>54</v>
      </c>
      <c r="AE77" t="str">
        <f ca="1"/>
        <v>DSY</v>
      </c>
      <c r="AF77" s="85">
        <f ca="1"/>
        <v>-105872.14573920006</v>
      </c>
      <c r="AG77" t="str">
        <f ca="1"/>
        <v>GNRC</v>
      </c>
      <c r="AH77" s="85">
        <f ca="1"/>
        <v>-4617</v>
      </c>
      <c r="AI77" t="str">
        <f ca="1"/>
        <v>SAFAMZN</v>
      </c>
      <c r="AJ77" s="85">
        <f ca="1"/>
        <v>-4314.9999999999982</v>
      </c>
      <c r="AK77" s="88" t="str">
        <f ca="1"/>
        <v>RIG</v>
      </c>
      <c r="AL77" s="308">
        <f ca="1"/>
        <v>-2.0867380952380981E-3</v>
      </c>
      <c r="AM77" t="str">
        <f ca="1"/>
        <v>AET</v>
      </c>
      <c r="AN77" s="308">
        <f ca="1"/>
        <v>-0.20942136756039637</v>
      </c>
      <c r="AO77" t="str">
        <f ca="1"/>
        <v>DSY</v>
      </c>
      <c r="AP77" s="308">
        <f ca="1"/>
        <v>0.30093171206225677</v>
      </c>
      <c r="AQ77" s="85" t="str">
        <f ca="1"/>
        <v>SAFMRNA</v>
      </c>
      <c r="AR77" s="88">
        <f ca="1"/>
        <v>-0.26368954360660612</v>
      </c>
      <c r="AS77" s="92" t="str">
        <f ca="1"/>
        <v>SAFAMZN</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SAFAMZN</v>
      </c>
      <c r="F78" s="557">
        <f ca="1"/>
        <v>0.6326482224746578</v>
      </c>
      <c r="G78" s="151" t="str">
        <f ca="1"/>
        <v>CVS</v>
      </c>
      <c r="H78" s="558">
        <f ca="1"/>
        <v>-44559.9267005734</v>
      </c>
      <c r="I78" t="str">
        <f ca="1"/>
        <v>MVEUN0</v>
      </c>
      <c r="J78" s="559">
        <f ca="1"/>
        <v>-7.8840000000000004E-3</v>
      </c>
      <c r="K78" s="151" t="str">
        <f ca="1"/>
        <v>MVEUN0</v>
      </c>
      <c r="L78" s="559">
        <f ca="1"/>
        <v>-7.8840000000000004E-3</v>
      </c>
      <c r="M78" s="1" t="str">
        <f ca="1"/>
        <v>MVEEPIX</v>
      </c>
      <c r="N78" s="558">
        <f ca="1"/>
        <v>-28726.355999999996</v>
      </c>
      <c r="O78" t="str">
        <f ca="1"/>
        <v>DVA</v>
      </c>
      <c r="P78" s="558">
        <f ca="1"/>
        <v>-6359.4223999999986</v>
      </c>
      <c r="Q78" t="str">
        <f ca="1"/>
        <v>MVEENI</v>
      </c>
      <c r="R78" s="645">
        <f ca="1"/>
        <v>-2.1970553571428568E-3</v>
      </c>
      <c r="S78" t="str">
        <f ca="1"/>
        <v>NOTE</v>
      </c>
      <c r="T78" s="85">
        <f ca="1"/>
        <v>-500</v>
      </c>
      <c r="U78" t="str">
        <f ca="1"/>
        <v>ENI</v>
      </c>
      <c r="V78" s="308">
        <f ca="1"/>
        <v>-5.1012599999999998E-3</v>
      </c>
      <c r="W78" t="str">
        <f ca="1"/>
        <v>SAFGM</v>
      </c>
      <c r="X78">
        <f ca="1"/>
        <v>0.55555555555555558</v>
      </c>
      <c r="Y78" t="str">
        <f ca="1"/>
        <v>TSM</v>
      </c>
      <c r="Z78">
        <f ca="1"/>
        <v>17</v>
      </c>
      <c r="AA78" t="str">
        <f ca="1"/>
        <v>AET</v>
      </c>
      <c r="AB78">
        <f ca="1"/>
        <v>39</v>
      </c>
      <c r="AC78" t="str">
        <f ca="1"/>
        <v>MVEEOAN</v>
      </c>
      <c r="AD78">
        <f ca="1"/>
        <v>54</v>
      </c>
      <c r="AE78" t="str">
        <f ca="1"/>
        <v>OXY</v>
      </c>
      <c r="AF78" s="85">
        <f ca="1"/>
        <v>-156106.65074759998</v>
      </c>
      <c r="AG78" t="str">
        <f ca="1"/>
        <v>EOAN</v>
      </c>
      <c r="AH78" s="85">
        <f ca="1"/>
        <v>-4638</v>
      </c>
      <c r="AI78" t="str">
        <f ca="1"/>
        <v>XYZ</v>
      </c>
      <c r="AJ78" s="85">
        <f ca="1"/>
        <v>-4680.0000000000073</v>
      </c>
      <c r="AK78" s="88" t="str">
        <f ca="1"/>
        <v>MVEENI</v>
      </c>
      <c r="AL78" s="308">
        <f ca="1"/>
        <v>-2.1970553571428568E-3</v>
      </c>
      <c r="AM78" t="str">
        <f ca="1"/>
        <v>UNIT</v>
      </c>
      <c r="AN78" s="308">
        <f ca="1"/>
        <v>-0.22294305043446178</v>
      </c>
      <c r="AO78" t="str">
        <f ca="1"/>
        <v>OXY</v>
      </c>
      <c r="AP78" s="308">
        <f ca="1"/>
        <v>0.31962681152912609</v>
      </c>
      <c r="AQ78" s="85" t="str">
        <f ca="1"/>
        <v>BLNK</v>
      </c>
      <c r="AR78" s="88">
        <f ca="1"/>
        <v>-0.26722190852625627</v>
      </c>
      <c r="AS78" s="92" t="str">
        <f ca="1"/>
        <v>SAFASML</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BLDP</v>
      </c>
      <c r="F79" s="557">
        <f ca="1"/>
        <v>0.63127383013593241</v>
      </c>
      <c r="G79" s="151" t="str">
        <f ca="1"/>
        <v>NVAX</v>
      </c>
      <c r="H79" s="558">
        <f ca="1"/>
        <v>-53626.790034899997</v>
      </c>
      <c r="I79" t="str">
        <f ca="1"/>
        <v>TSLA</v>
      </c>
      <c r="J79" s="559">
        <f ca="1"/>
        <v>-1.0154000000000002E-2</v>
      </c>
      <c r="K79" s="151" t="str">
        <f ca="1"/>
        <v>TSLA</v>
      </c>
      <c r="L79" s="559">
        <f ca="1"/>
        <v>-1.0154000000000002E-2</v>
      </c>
      <c r="M79" s="1" t="str">
        <f ca="1"/>
        <v>SHECY</v>
      </c>
      <c r="N79" s="558">
        <f ca="1"/>
        <v>-48716.330736000033</v>
      </c>
      <c r="O79" t="str">
        <f ca="1"/>
        <v>THC</v>
      </c>
      <c r="P79" s="558">
        <f ca="1"/>
        <v>-6926.942999999992</v>
      </c>
      <c r="Q79" t="str">
        <f ca="1"/>
        <v>ENI</v>
      </c>
      <c r="R79" s="645">
        <f ca="1"/>
        <v>-2.1970553571428568E-3</v>
      </c>
      <c r="S79" t="str">
        <f ca="1"/>
        <v>MVEUN0</v>
      </c>
      <c r="T79" s="85">
        <f ca="1"/>
        <v>-560</v>
      </c>
      <c r="U79" t="str">
        <f ca="1"/>
        <v>ASML</v>
      </c>
      <c r="V79" s="308">
        <f ca="1"/>
        <v>-7.122400000000001E-3</v>
      </c>
      <c r="W79" t="str">
        <f ca="1"/>
        <v>GS</v>
      </c>
      <c r="X79">
        <f ca="1"/>
        <v>0.5714285714285714</v>
      </c>
      <c r="Y79" t="str">
        <f ca="1"/>
        <v>MVESAP</v>
      </c>
      <c r="Z79">
        <f ca="1"/>
        <v>17</v>
      </c>
      <c r="AA79" t="str">
        <f ca="1"/>
        <v>BLNK</v>
      </c>
      <c r="AB79">
        <f ca="1"/>
        <v>38</v>
      </c>
      <c r="AC79" t="str">
        <f ca="1"/>
        <v>JBEOAN</v>
      </c>
      <c r="AD79">
        <f ca="1"/>
        <v>54</v>
      </c>
      <c r="AE79" t="str">
        <f ca="1"/>
        <v>SHECY</v>
      </c>
      <c r="AF79" s="85">
        <f ca="1"/>
        <v>-166616.39923200005</v>
      </c>
      <c r="AG79" t="str">
        <f ca="1"/>
        <v>MVEDDD</v>
      </c>
      <c r="AH79" s="85">
        <f ca="1"/>
        <v>-4837</v>
      </c>
      <c r="AI79" t="str">
        <f ca="1"/>
        <v>F</v>
      </c>
      <c r="AJ79" s="85">
        <f ca="1"/>
        <v>-4815.0000000000009</v>
      </c>
      <c r="AK79" s="88" t="str">
        <f ca="1"/>
        <v>ENI</v>
      </c>
      <c r="AL79" s="308">
        <f ca="1"/>
        <v>-2.1970553571428568E-3</v>
      </c>
      <c r="AM79" t="str">
        <f ca="1"/>
        <v>DSY</v>
      </c>
      <c r="AN79" s="308">
        <f ca="1"/>
        <v>-0.23224792063703617</v>
      </c>
      <c r="AO79" t="str">
        <f ca="1"/>
        <v>XPER</v>
      </c>
      <c r="AP79" s="308">
        <f ca="1"/>
        <v>0.34290222077922056</v>
      </c>
      <c r="AQ79" s="85" t="str">
        <f ca="1"/>
        <v>MRNA</v>
      </c>
      <c r="AR79" s="88">
        <f ca="1"/>
        <v>-0.3228996066306461</v>
      </c>
      <c r="AS79" s="92" t="str">
        <f ca="1"/>
        <v>SAFDDD</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XYZ</v>
      </c>
      <c r="F80" s="557">
        <f ca="1"/>
        <v>0.62150617808507302</v>
      </c>
      <c r="G80" s="151" t="str">
        <f ca="1"/>
        <v>XPER</v>
      </c>
      <c r="H80" s="558">
        <f ca="1"/>
        <v>-61535.153205999981</v>
      </c>
      <c r="I80" t="str">
        <f ca="1"/>
        <v>CSCO</v>
      </c>
      <c r="J80" s="559">
        <f ca="1"/>
        <v>-1.2212000000000001E-2</v>
      </c>
      <c r="K80" s="151" t="str">
        <f ca="1"/>
        <v>CSCO</v>
      </c>
      <c r="L80" s="559">
        <f ca="1"/>
        <v>-1.2212000000000001E-2</v>
      </c>
      <c r="M80" s="1" t="str">
        <f ca="1"/>
        <v>OXY</v>
      </c>
      <c r="N80" s="558">
        <f ca="1"/>
        <v>-53102.978539999982</v>
      </c>
      <c r="O80" t="str">
        <f ca="1"/>
        <v>MVEDDD</v>
      </c>
      <c r="P80" s="558">
        <f ca="1"/>
        <v>-7754.7849999999999</v>
      </c>
      <c r="Q80" t="str">
        <f ca="1"/>
        <v>MVEORA</v>
      </c>
      <c r="R80" s="645">
        <f ca="1"/>
        <v>-2.2062863095238102E-3</v>
      </c>
      <c r="S80" t="str">
        <f ca="1"/>
        <v>XPER</v>
      </c>
      <c r="T80" s="85">
        <f ca="1"/>
        <v>-950</v>
      </c>
      <c r="U80" t="str">
        <f ca="1"/>
        <v>SAFASML</v>
      </c>
      <c r="V80" s="308">
        <f ca="1"/>
        <v>-7.122400000000001E-3</v>
      </c>
      <c r="W80" t="str">
        <f ca="1"/>
        <v>AMZN</v>
      </c>
      <c r="X80" t="str">
        <f ca="1"/>
        <v>//%</v>
      </c>
      <c r="Y80" t="str">
        <f ca="1"/>
        <v>MVEUN0</v>
      </c>
      <c r="Z80">
        <f ca="1"/>
        <v>17</v>
      </c>
      <c r="AA80" t="str">
        <f ca="1"/>
        <v>CVS</v>
      </c>
      <c r="AB80">
        <f ca="1"/>
        <v>37</v>
      </c>
      <c r="AC80" t="str">
        <f ca="1"/>
        <v>AVGO</v>
      </c>
      <c r="AD80">
        <f ca="1"/>
        <v>52</v>
      </c>
      <c r="AE80" t="str">
        <f ca="1"/>
        <v>KR</v>
      </c>
      <c r="AF80" s="85">
        <f ca="1"/>
        <v>-168057.82722599999</v>
      </c>
      <c r="AG80" t="str">
        <f ca="1"/>
        <v>BLNK</v>
      </c>
      <c r="AH80" s="85">
        <f ca="1"/>
        <v>-5035</v>
      </c>
      <c r="AI80" t="str">
        <f ca="1"/>
        <v>TSM</v>
      </c>
      <c r="AJ80" s="85">
        <f ca="1"/>
        <v>-4820.9999999999982</v>
      </c>
      <c r="AK80" s="88" t="str">
        <f ca="1"/>
        <v>MVEORA</v>
      </c>
      <c r="AL80" s="308">
        <f ca="1"/>
        <v>-2.2062863095238102E-3</v>
      </c>
      <c r="AM80" t="str">
        <f ca="1"/>
        <v>OXY</v>
      </c>
      <c r="AN80" s="308">
        <f ca="1"/>
        <v>-0.24306648376572476</v>
      </c>
      <c r="AO80" t="str">
        <f ca="1"/>
        <v>MVEDSY</v>
      </c>
      <c r="AP80" s="308">
        <f ca="1"/>
        <v>0.45546128404669278</v>
      </c>
      <c r="AQ80" s="85" t="str">
        <f ca="1"/>
        <v>NVAX</v>
      </c>
      <c r="AR80" s="88">
        <f ca="1"/>
        <v>-0.33319825884628951</v>
      </c>
      <c r="AS80" s="92" t="str">
        <f ca="1"/>
        <v>SAFDIS</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LUMN</v>
      </c>
      <c r="F81" s="557">
        <f ca="1"/>
        <v>0.59192387880588593</v>
      </c>
      <c r="G81" s="151" t="str">
        <f ca="1"/>
        <v>OXY</v>
      </c>
      <c r="H81" s="558">
        <f ca="1"/>
        <v>-71000.338051599974</v>
      </c>
      <c r="I81" t="str">
        <f ca="1"/>
        <v>OXY</v>
      </c>
      <c r="J81" s="559">
        <f ca="1"/>
        <v>-1.3173999999999998E-2</v>
      </c>
      <c r="K81" s="151" t="str">
        <f ca="1"/>
        <v>OXY</v>
      </c>
      <c r="L81" s="559">
        <f ca="1"/>
        <v>-1.3173999999999998E-2</v>
      </c>
      <c r="M81" s="1" t="str">
        <f ca="1"/>
        <v>EPIX</v>
      </c>
      <c r="N81" s="558">
        <f ca="1"/>
        <v>-57936.296640000008</v>
      </c>
      <c r="O81" t="str">
        <f ca="1"/>
        <v>PFE</v>
      </c>
      <c r="P81" s="558">
        <f ca="1"/>
        <v>-8203.9361628000042</v>
      </c>
      <c r="Q81" t="str">
        <f ca="1"/>
        <v>ORA</v>
      </c>
      <c r="R81" s="645">
        <f ca="1"/>
        <v>-2.2062863095238102E-3</v>
      </c>
      <c r="S81" t="str">
        <f ca="1"/>
        <v>ENI</v>
      </c>
      <c r="T81" s="85">
        <f ca="1"/>
        <v>-960</v>
      </c>
      <c r="U81" t="str">
        <f ca="1"/>
        <v>JBASML</v>
      </c>
      <c r="V81" s="308">
        <f ca="1"/>
        <v>-7.122400000000001E-3</v>
      </c>
      <c r="W81" t="str">
        <f ca="1"/>
        <v>ALDNE</v>
      </c>
      <c r="X81" t="str">
        <f ca="1"/>
        <v>//%</v>
      </c>
      <c r="Y81" t="str">
        <f ca="1"/>
        <v>BLNK</v>
      </c>
      <c r="Z81">
        <f ca="1"/>
        <v>17</v>
      </c>
      <c r="AA81" t="str">
        <f ca="1"/>
        <v>MVEDDD</v>
      </c>
      <c r="AB81">
        <f ca="1"/>
        <v>37</v>
      </c>
      <c r="AC81" t="str">
        <f ca="1"/>
        <v>AMZN</v>
      </c>
      <c r="AD81">
        <f ca="1"/>
        <v>49</v>
      </c>
      <c r="AE81" t="str">
        <f ca="1"/>
        <v>HPQ</v>
      </c>
      <c r="AF81" s="85">
        <f ca="1"/>
        <v>-169816.16905919995</v>
      </c>
      <c r="AG81" t="str">
        <f ca="1"/>
        <v>ALDNE</v>
      </c>
      <c r="AH81" s="85">
        <f ca="1"/>
        <v>-5685</v>
      </c>
      <c r="AI81" t="str">
        <f ca="1"/>
        <v>PAAS</v>
      </c>
      <c r="AJ81" s="85">
        <f ca="1"/>
        <v>-4890.0000000000009</v>
      </c>
      <c r="AK81" s="88" t="str">
        <f ca="1"/>
        <v>ORA</v>
      </c>
      <c r="AL81" s="308">
        <f ca="1"/>
        <v>-2.2062863095238102E-3</v>
      </c>
      <c r="AM81" t="str">
        <f ca="1"/>
        <v>XPER</v>
      </c>
      <c r="AN81" s="308">
        <f ca="1"/>
        <v>-0.256115456134754</v>
      </c>
      <c r="AO81" t="str">
        <f ca="1"/>
        <v>NVAX</v>
      </c>
      <c r="AP81" s="308">
        <f ca="1"/>
        <v>0.45840850224215213</v>
      </c>
      <c r="AQ81" s="85" t="str">
        <f ca="1"/>
        <v>DSY</v>
      </c>
      <c r="AR81" s="88">
        <f ca="1"/>
        <v>-0.39859186918010464</v>
      </c>
      <c r="AS81" s="92" t="str">
        <f ca="1"/>
        <v>SAFMRNA</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EZJ</v>
      </c>
      <c r="F82" s="557">
        <f ca="1"/>
        <v>0.58216563357609563</v>
      </c>
      <c r="G82" s="151" t="str">
        <f ca="1"/>
        <v>VTRS</v>
      </c>
      <c r="H82" s="558">
        <f ca="1"/>
        <v>-75746.592460999935</v>
      </c>
      <c r="I82" t="str">
        <f ca="1"/>
        <v>AZN</v>
      </c>
      <c r="J82" s="559">
        <f ca="1"/>
        <v>-1.3332E-2</v>
      </c>
      <c r="K82" s="151" t="str">
        <f ca="1"/>
        <v>AZN</v>
      </c>
      <c r="L82" s="559">
        <f ca="1"/>
        <v>-1.3332E-2</v>
      </c>
      <c r="M82" s="1" t="str">
        <f ca="1"/>
        <v>AET</v>
      </c>
      <c r="N82" s="558">
        <f ca="1"/>
        <v>-84993.362241898183</v>
      </c>
      <c r="O82" t="str">
        <f ca="1"/>
        <v>SSYS</v>
      </c>
      <c r="P82" s="558">
        <f ca="1"/>
        <v>-9956.6451402600032</v>
      </c>
      <c r="Q82" t="str">
        <f ca="1"/>
        <v>OXY</v>
      </c>
      <c r="R82" s="645">
        <f ca="1"/>
        <v>-2.2167595238095227E-3</v>
      </c>
      <c r="S82" t="str">
        <f ca="1"/>
        <v>SAFAMZN</v>
      </c>
      <c r="T82" s="85">
        <f ca="1"/>
        <v>-1005</v>
      </c>
      <c r="U82" t="str">
        <f ca="1"/>
        <v>PW</v>
      </c>
      <c r="V82" s="308">
        <f ca="1"/>
        <v>-8.2172000000000009E-3</v>
      </c>
      <c r="W82" t="str">
        <f ca="1"/>
        <v>UN0</v>
      </c>
      <c r="X82" t="str">
        <f ca="1"/>
        <v>//56%</v>
      </c>
      <c r="Y82" t="str">
        <f ca="1"/>
        <v>AVGO</v>
      </c>
      <c r="Z82">
        <f ca="1"/>
        <v>18</v>
      </c>
      <c r="AA82" t="str">
        <f ca="1"/>
        <v>SAFDDD</v>
      </c>
      <c r="AB82">
        <f ca="1"/>
        <v>37</v>
      </c>
      <c r="AC82" t="str">
        <f ca="1"/>
        <v>CVS</v>
      </c>
      <c r="AD82">
        <f ca="1"/>
        <v>49</v>
      </c>
      <c r="AE82" t="str">
        <f ca="1"/>
        <v>MVEALDNE</v>
      </c>
      <c r="AF82" s="85">
        <f ca="1"/>
        <v>-176696.74724439246</v>
      </c>
      <c r="AG82" t="str">
        <f ca="1"/>
        <v>OXY</v>
      </c>
      <c r="AH82" s="85">
        <f ca="1"/>
        <v>-6024</v>
      </c>
      <c r="AI82" t="str">
        <f ca="1"/>
        <v>MVEEOAN</v>
      </c>
      <c r="AJ82" s="85">
        <f ca="1"/>
        <v>-7400.2499999999991</v>
      </c>
      <c r="AK82" s="88" t="str">
        <f ca="1"/>
        <v>OXY</v>
      </c>
      <c r="AL82" s="308">
        <f ca="1"/>
        <v>-2.2167595238095227E-3</v>
      </c>
      <c r="AM82" t="str">
        <f ca="1"/>
        <v>MVEDSY</v>
      </c>
      <c r="AN82" s="308">
        <f ca="1"/>
        <v>-0.31334096152678625</v>
      </c>
      <c r="AO82" t="str">
        <f ca="1"/>
        <v>DDD</v>
      </c>
      <c r="AP82" s="308">
        <f ca="1"/>
        <v>0.5214840592725638</v>
      </c>
      <c r="AQ82" s="85" t="str">
        <f ca="1"/>
        <v>XPER</v>
      </c>
      <c r="AR82" s="88">
        <f ca="1"/>
        <v>-0.42900042900042901</v>
      </c>
      <c r="AS82" s="92" t="str">
        <f ca="1"/>
        <v>ENI</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RIGL</v>
      </c>
      <c r="F83" s="557">
        <f ca="1"/>
        <v>0.55221265657287533</v>
      </c>
      <c r="G83" s="151" t="str">
        <f ca="1"/>
        <v>MVEDSY</v>
      </c>
      <c r="H83" s="558">
        <f ca="1"/>
        <v>-124495.3387584</v>
      </c>
      <c r="I83" t="str">
        <f ca="1"/>
        <v>TSM</v>
      </c>
      <c r="J83" s="559">
        <f ca="1"/>
        <v>-1.4296999999999999E-2</v>
      </c>
      <c r="K83" s="151" t="str">
        <f ca="1"/>
        <v>TSM</v>
      </c>
      <c r="L83" s="559">
        <f ca="1"/>
        <v>-1.4296999999999999E-2</v>
      </c>
      <c r="M83" s="1" t="str">
        <f ca="1"/>
        <v>DDD</v>
      </c>
      <c r="N83" s="558">
        <f ca="1"/>
        <v>-87535.13999999997</v>
      </c>
      <c r="O83" t="str">
        <f ca="1"/>
        <v>OXY</v>
      </c>
      <c r="P83" s="558">
        <f ca="1"/>
        <v>-10632.283999999996</v>
      </c>
      <c r="Q83" t="str">
        <f ca="1"/>
        <v>AVGO</v>
      </c>
      <c r="R83" s="645">
        <f ca="1"/>
        <v>-2.2968095238095248E-3</v>
      </c>
      <c r="S83" t="str">
        <f ca="1"/>
        <v>CSCO</v>
      </c>
      <c r="T83" s="85">
        <f ca="1"/>
        <v>-1060</v>
      </c>
      <c r="U83" t="str">
        <f ca="1"/>
        <v>THC</v>
      </c>
      <c r="V83" s="308">
        <f ca="1"/>
        <v>-1.0087999999999998E-2</v>
      </c>
      <c r="W83" t="str">
        <f ca="1"/>
        <v>MVESAP</v>
      </c>
      <c r="X83" t="str">
        <f ca="1"/>
        <v>//56%</v>
      </c>
      <c r="Y83" t="str">
        <f ca="1"/>
        <v>C</v>
      </c>
      <c r="Z83">
        <f ca="1"/>
        <v>18</v>
      </c>
      <c r="AA83" t="str">
        <f ca="1"/>
        <v>RWE</v>
      </c>
      <c r="AB83">
        <f ca="1"/>
        <v>36</v>
      </c>
      <c r="AC83" t="str">
        <f ca="1"/>
        <v>MVEDDD</v>
      </c>
      <c r="AD83">
        <f ca="1"/>
        <v>49</v>
      </c>
      <c r="AE83" t="str">
        <f ca="1"/>
        <v>AET</v>
      </c>
      <c r="AF83" s="85">
        <f ca="1"/>
        <v>-181465.31510189822</v>
      </c>
      <c r="AG83" t="str">
        <f ca="1"/>
        <v>DSY</v>
      </c>
      <c r="AH83" s="85">
        <f ca="1"/>
        <v>-7002</v>
      </c>
      <c r="AI83" t="str">
        <f ca="1"/>
        <v>VTRS</v>
      </c>
      <c r="AJ83" s="85">
        <f ca="1"/>
        <v>-7599.9999999999982</v>
      </c>
      <c r="AK83" s="88" t="str">
        <f ca="1"/>
        <v>AVGO</v>
      </c>
      <c r="AL83" s="308">
        <f ca="1"/>
        <v>-2.2968095238095248E-3</v>
      </c>
      <c r="AM83" t="str">
        <f ca="1"/>
        <v>NVAX</v>
      </c>
      <c r="AN83" s="308">
        <f ca="1"/>
        <v>-0.31472087905763069</v>
      </c>
      <c r="AO83" t="str">
        <f ca="1"/>
        <v>SAFDDD</v>
      </c>
      <c r="AP83" s="308">
        <f ca="1"/>
        <v>0.67258155863983338</v>
      </c>
      <c r="AQ83" s="85" t="str">
        <f ca="1"/>
        <v>MVEDSY</v>
      </c>
      <c r="AR83" s="88">
        <f ca="1"/>
        <v>-0.50274179824146736</v>
      </c>
      <c r="AS83" s="92" t="str">
        <f ca="1"/>
        <v>EZJ</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PFE</v>
      </c>
      <c r="F84" s="557">
        <f ca="1"/>
        <v>0.47391678552967959</v>
      </c>
      <c r="G84" s="151" t="str">
        <f ca="1"/>
        <v>BMRA</v>
      </c>
      <c r="H84" s="558">
        <f ca="1"/>
        <v>-127204.74722749999</v>
      </c>
      <c r="I84" t="str">
        <f ca="1"/>
        <v>XPER</v>
      </c>
      <c r="J84" s="559">
        <f ca="1"/>
        <v>-1.44E-2</v>
      </c>
      <c r="K84" s="151" t="str">
        <f ca="1"/>
        <v>XPER</v>
      </c>
      <c r="L84" s="559">
        <f ca="1"/>
        <v>-1.44E-2</v>
      </c>
      <c r="M84" s="1" t="str">
        <f ca="1"/>
        <v>SAP</v>
      </c>
      <c r="N84" s="558">
        <f ca="1"/>
        <v>-121061.91616999979</v>
      </c>
      <c r="O84" t="str">
        <f ca="1"/>
        <v>DDD</v>
      </c>
      <c r="P84" s="558">
        <f ca="1"/>
        <v>-11819.189999999997</v>
      </c>
      <c r="Q84" t="str">
        <f ca="1"/>
        <v>DXC</v>
      </c>
      <c r="R84" s="645">
        <f ca="1"/>
        <v>-3.0176035714285718E-3</v>
      </c>
      <c r="S84" t="str">
        <f ca="1"/>
        <v>BLNK</v>
      </c>
      <c r="T84" s="85">
        <f ca="1"/>
        <v>-1164</v>
      </c>
      <c r="U84" t="str">
        <f ca="1"/>
        <v>EOAN</v>
      </c>
      <c r="V84" s="308">
        <f ca="1"/>
        <v>-1.1756600000000001E-2</v>
      </c>
      <c r="W84" t="str">
        <f ca="1"/>
        <v>ADEA</v>
      </c>
      <c r="X84" t="str">
        <f ca="1"/>
        <v>/100/%</v>
      </c>
      <c r="Y84" t="str">
        <f ca="1"/>
        <v>POET</v>
      </c>
      <c r="Z84">
        <f ca="1"/>
        <v>18</v>
      </c>
      <c r="AA84" t="str">
        <f ca="1"/>
        <v>MVESAP</v>
      </c>
      <c r="AB84">
        <f ca="1"/>
        <v>36</v>
      </c>
      <c r="AC84" t="str">
        <f ca="1"/>
        <v>SAFAMZN</v>
      </c>
      <c r="AD84">
        <f ca="1"/>
        <v>49</v>
      </c>
      <c r="AE84" t="str">
        <f ca="1"/>
        <v>TSM</v>
      </c>
      <c r="AF84" s="85">
        <f ca="1"/>
        <v>-183371.60780279996</v>
      </c>
      <c r="AG84" t="str">
        <f ca="1"/>
        <v>NEE</v>
      </c>
      <c r="AH84" s="85">
        <f ca="1"/>
        <v>-7660</v>
      </c>
      <c r="AI84" t="str">
        <f ca="1"/>
        <v>LUV</v>
      </c>
      <c r="AJ84" s="85">
        <f ca="1"/>
        <v>-8512.1700000000055</v>
      </c>
      <c r="AK84" s="88" t="str">
        <f ca="1"/>
        <v>DXC</v>
      </c>
      <c r="AL84" s="308">
        <f ca="1"/>
        <v>-3.0176035714285718E-3</v>
      </c>
      <c r="AM84" t="str">
        <f ca="1"/>
        <v>DDD</v>
      </c>
      <c r="AN84" s="308">
        <f ca="1"/>
        <v>-0.34297415391113462</v>
      </c>
      <c r="AO84" t="str">
        <f ca="1"/>
        <v>SAFMRNA</v>
      </c>
      <c r="AP84" s="308">
        <f ca="1"/>
        <v>1.0863174417570034</v>
      </c>
      <c r="AQ84" s="85" t="str">
        <f ca="1"/>
        <v>SAP</v>
      </c>
      <c r="AR84" s="88">
        <f ca="1"/>
        <v>-0.51019090657567057</v>
      </c>
      <c r="AS84" s="92" t="str">
        <f ca="1"/>
        <v>GNRC</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GNRC</v>
      </c>
      <c r="F85" s="557">
        <f ca="1"/>
        <v>0.45658747132549016</v>
      </c>
      <c r="G85" s="151" t="str">
        <f ca="1"/>
        <v>SAFMRNA</v>
      </c>
      <c r="H85" s="558">
        <f ca="1"/>
        <v>-151827.03517660001</v>
      </c>
      <c r="I85" t="str">
        <f ca="1"/>
        <v>AVGO</v>
      </c>
      <c r="J85" s="559">
        <f ca="1"/>
        <v>-1.5982E-2</v>
      </c>
      <c r="K85" s="151" t="str">
        <f ca="1"/>
        <v>AVGO</v>
      </c>
      <c r="L85" s="559">
        <f ca="1"/>
        <v>-1.5982E-2</v>
      </c>
      <c r="M85" s="1" t="str">
        <f ca="1"/>
        <v>BMRA</v>
      </c>
      <c r="N85" s="558">
        <f ca="1"/>
        <v>-127033.387</v>
      </c>
      <c r="O85" t="str">
        <f ca="1"/>
        <v>DSY</v>
      </c>
      <c r="P85" s="558">
        <f ca="1"/>
        <v>-11988.748000000003</v>
      </c>
      <c r="Q85" t="str">
        <f ca="1"/>
        <v>MVEEOAN</v>
      </c>
      <c r="R85" s="645">
        <f ca="1"/>
        <v>-3.0176035714285718E-3</v>
      </c>
      <c r="S85" t="str">
        <f ca="1"/>
        <v>TSM</v>
      </c>
      <c r="T85" s="85">
        <f ca="1"/>
        <v>-1800</v>
      </c>
      <c r="U85" t="str">
        <f ca="1"/>
        <v>MVEEOAN</v>
      </c>
      <c r="V85" s="308">
        <f ca="1"/>
        <v>-1.1756600000000001E-2</v>
      </c>
      <c r="W85" t="str">
        <f ca="1"/>
        <v>UNIT</v>
      </c>
      <c r="X85" t="str">
        <f ca="1"/>
        <v>/100/%</v>
      </c>
      <c r="Y85" t="str">
        <f ca="1"/>
        <v>MVEENI</v>
      </c>
      <c r="Z85">
        <f ca="1"/>
        <v>18</v>
      </c>
      <c r="AA85" t="str">
        <f ca="1"/>
        <v>MRNA</v>
      </c>
      <c r="AB85">
        <f ca="1"/>
        <v>33</v>
      </c>
      <c r="AC85" t="str">
        <f ca="1"/>
        <v>SAFDDD</v>
      </c>
      <c r="AD85">
        <f ca="1"/>
        <v>49</v>
      </c>
      <c r="AE85" t="str">
        <f ca="1"/>
        <v>BLNK</v>
      </c>
      <c r="AF85" s="85">
        <f ca="1"/>
        <v>-233195.62631399999</v>
      </c>
      <c r="AG85" t="str">
        <f ca="1"/>
        <v>XYZ</v>
      </c>
      <c r="AH85" s="85">
        <f ca="1"/>
        <v>-7983</v>
      </c>
      <c r="AI85" t="str">
        <f ca="1"/>
        <v>LNSR</v>
      </c>
      <c r="AJ85" s="85">
        <f ca="1"/>
        <v>-9119.9999999999982</v>
      </c>
      <c r="AK85" s="88" t="str">
        <f ca="1"/>
        <v>MVEEOAN</v>
      </c>
      <c r="AL85" s="308">
        <f ca="1"/>
        <v>-3.0176035714285718E-3</v>
      </c>
      <c r="AM85" t="str">
        <f ca="1"/>
        <v>SAFDDD</v>
      </c>
      <c r="AN85" s="308">
        <f ca="1"/>
        <v>-0.40200185055413296</v>
      </c>
      <c r="AO85" t="str">
        <f ca="1"/>
        <v>ALDNE</v>
      </c>
      <c r="AP85" s="308">
        <f ca="1"/>
        <v>1.124670812771112</v>
      </c>
      <c r="AQ85" s="85" t="str">
        <f ca="1"/>
        <v>ALDNE</v>
      </c>
      <c r="AR85" s="88">
        <f ca="1"/>
        <v>-0.54886856042368792</v>
      </c>
      <c r="AS85" s="92" t="str">
        <f ca="1"/>
        <v>LAZR</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SHECY</v>
      </c>
      <c r="F86" s="557">
        <f ca="1"/>
        <v>0.10011308046387697</v>
      </c>
      <c r="G86" s="151" t="str">
        <f ca="1"/>
        <v>SAFDDD</v>
      </c>
      <c r="H86" s="558">
        <f ca="1"/>
        <v>-168065.40021899997</v>
      </c>
      <c r="I86" t="str">
        <f ca="1"/>
        <v>RRC</v>
      </c>
      <c r="J86" s="559">
        <f ca="1"/>
        <v>-2.6549E-2</v>
      </c>
      <c r="K86" s="151" t="str">
        <f ca="1"/>
        <v>RRC</v>
      </c>
      <c r="L86" s="559">
        <f ca="1"/>
        <v>-2.6549E-2</v>
      </c>
      <c r="M86" s="1" t="str">
        <f ca="1"/>
        <v>MVEDSY</v>
      </c>
      <c r="N86" s="558">
        <f ca="1"/>
        <v>-127139.49000000003</v>
      </c>
      <c r="O86" t="str">
        <f ca="1"/>
        <v>BLNK</v>
      </c>
      <c r="P86" s="558">
        <f ca="1"/>
        <v>-12258.444959999999</v>
      </c>
      <c r="Q86" t="str">
        <f ca="1"/>
        <v>JBEOAN</v>
      </c>
      <c r="R86" s="645">
        <f ca="1"/>
        <v>-3.0176035714285718E-3</v>
      </c>
      <c r="S86" t="str">
        <f ca="1"/>
        <v>HPE</v>
      </c>
      <c r="T86" s="85">
        <f ca="1"/>
        <v>-2272</v>
      </c>
      <c r="U86" t="str">
        <f ca="1"/>
        <v>JBEOAN</v>
      </c>
      <c r="V86" s="308">
        <f ca="1"/>
        <v>-1.1756600000000001E-2</v>
      </c>
      <c r="W86" t="str">
        <f ca="1"/>
        <v>NEM</v>
      </c>
      <c r="X86" t="str">
        <f ca="1"/>
        <v>/100/80%</v>
      </c>
      <c r="Y86" t="str">
        <f ca="1"/>
        <v>ENI</v>
      </c>
      <c r="Z86">
        <f ca="1"/>
        <v>18</v>
      </c>
      <c r="AA86" t="str">
        <f ca="1"/>
        <v>AMZN</v>
      </c>
      <c r="AB86">
        <f ca="1"/>
        <v>32</v>
      </c>
      <c r="AC86" t="str">
        <f ca="1"/>
        <v>MRNA</v>
      </c>
      <c r="AD86">
        <f ca="1"/>
        <v>43</v>
      </c>
      <c r="AE86" t="str">
        <f ca="1"/>
        <v>SAFMRNA</v>
      </c>
      <c r="AF86" s="85">
        <f ca="1"/>
        <v>-235853.62518959999</v>
      </c>
      <c r="AG86" t="str">
        <f ca="1"/>
        <v>MVEALDNE</v>
      </c>
      <c r="AH86" s="85">
        <f ca="1"/>
        <v>-8144</v>
      </c>
      <c r="AI86" t="str">
        <f ca="1"/>
        <v>CSCO</v>
      </c>
      <c r="AJ86" s="85">
        <f ca="1"/>
        <v>-9929.9999999999927</v>
      </c>
      <c r="AK86" s="88" t="str">
        <f ca="1"/>
        <v>JBEOAN</v>
      </c>
      <c r="AL86" s="308">
        <f ca="1"/>
        <v>-3.0176035714285718E-3</v>
      </c>
      <c r="AM86" t="str">
        <f ca="1"/>
        <v>SAFMRNA</v>
      </c>
      <c r="AN86" s="308">
        <f ca="1"/>
        <v>-0.51992780312797815</v>
      </c>
      <c r="AO86" t="str">
        <f ca="1"/>
        <v>MVEALDNE</v>
      </c>
      <c r="AP86" s="308">
        <f ca="1"/>
        <v>1.3019353791049231</v>
      </c>
      <c r="AQ86" s="85" t="str">
        <f ca="1"/>
        <v>GNRC</v>
      </c>
      <c r="AR86" s="88">
        <f ca="1"/>
        <v>-0.60655164883162294</v>
      </c>
      <c r="AS86" s="92" t="str">
        <f ca="1"/>
        <v>MA</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PW</v>
      </c>
      <c r="F87" s="557">
        <f ca="1"/>
        <v>3.28658017905301E-2</v>
      </c>
      <c r="G87" s="151" t="str">
        <f ca="1"/>
        <v>XYZ</v>
      </c>
      <c r="H87" s="558">
        <f ca="1"/>
        <v>-170228.76205680001</v>
      </c>
      <c r="I87" t="str">
        <f ca="1"/>
        <v>AET</v>
      </c>
      <c r="J87" s="559">
        <f ca="1"/>
        <v>-2.7431000000000001E-2</v>
      </c>
      <c r="K87" s="151" t="str">
        <f ca="1"/>
        <v>AET</v>
      </c>
      <c r="L87" s="559">
        <f ca="1"/>
        <v>-2.7431000000000001E-2</v>
      </c>
      <c r="M87" s="1" t="str">
        <f ca="1"/>
        <v>SAFDDD</v>
      </c>
      <c r="N87" s="558">
        <f ca="1"/>
        <v>-145940.4939</v>
      </c>
      <c r="O87" t="str">
        <f ca="1"/>
        <v>SAFDDD</v>
      </c>
      <c r="P87" s="558">
        <f ca="1"/>
        <v>-13110.822999999999</v>
      </c>
      <c r="Q87" t="str">
        <f ca="1"/>
        <v>AAPL</v>
      </c>
      <c r="R87" s="645">
        <f ca="1"/>
        <v>-4.1951140476190474E-3</v>
      </c>
      <c r="S87" t="str">
        <f ca="1"/>
        <v>UN0</v>
      </c>
      <c r="T87" s="85">
        <f ca="1"/>
        <v>-3000</v>
      </c>
      <c r="U87" t="str">
        <f ca="1"/>
        <v>ALDNE</v>
      </c>
      <c r="V87" s="308">
        <f ca="1"/>
        <v>-1.5258799999999998E-2</v>
      </c>
      <c r="W87" t="str">
        <f ca="1"/>
        <v>AET</v>
      </c>
      <c r="X87" t="str">
        <f ca="1"/>
        <v>/25/%</v>
      </c>
      <c r="Y87" t="str">
        <f ca="1"/>
        <v>TSLA</v>
      </c>
      <c r="Z87">
        <f ca="1"/>
        <v>19</v>
      </c>
      <c r="AA87" t="str">
        <f ca="1"/>
        <v>DIS</v>
      </c>
      <c r="AB87">
        <f ca="1"/>
        <v>32</v>
      </c>
      <c r="AC87" t="str">
        <f ca="1"/>
        <v>AET</v>
      </c>
      <c r="AD87">
        <f ca="1"/>
        <v>41</v>
      </c>
      <c r="AE87" t="str">
        <f ca="1"/>
        <v>NOTE</v>
      </c>
      <c r="AF87" s="85">
        <f ca="1"/>
        <v>-264228.77084975998</v>
      </c>
      <c r="AG87" t="str">
        <f ca="1"/>
        <v>MVEDSY</v>
      </c>
      <c r="AH87" s="85">
        <f ca="1"/>
        <v>-10607</v>
      </c>
      <c r="AI87" t="str">
        <f ca="1"/>
        <v>NVS</v>
      </c>
      <c r="AJ87" s="85">
        <f ca="1"/>
        <v>-11739.800000000008</v>
      </c>
      <c r="AK87" s="88" t="str">
        <f ca="1"/>
        <v>AAPL</v>
      </c>
      <c r="AL87" s="308">
        <f ca="1"/>
        <v>-4.1951140476190474E-3</v>
      </c>
      <c r="AM87" t="str">
        <f ca="1"/>
        <v>ALDNE</v>
      </c>
      <c r="AN87" s="308">
        <f ca="1"/>
        <v>-0.52853633016911161</v>
      </c>
      <c r="AO87" t="str">
        <f ca="1"/>
        <v>MRNA</v>
      </c>
      <c r="AP87" s="308">
        <f ca="1"/>
        <v>1.42168668720891</v>
      </c>
      <c r="AQ87" s="85" t="str">
        <f ca="1"/>
        <v>UNIT</v>
      </c>
      <c r="AR87" s="88">
        <f ca="1"/>
        <v>-0.6229838709677421</v>
      </c>
      <c r="AS87" s="92" t="str">
        <f ca="1"/>
        <v>NVAX</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VLVLY</v>
      </c>
      <c r="F88" s="557">
        <f ca="1"/>
        <v>1.4284331856694336E-2</v>
      </c>
      <c r="G88" s="151" t="str">
        <f ca="1"/>
        <v>UN0</v>
      </c>
      <c r="H88" s="558">
        <f ca="1"/>
        <v>-177283.49869199999</v>
      </c>
      <c r="I88" t="str">
        <f ca="1"/>
        <v>HPE</v>
      </c>
      <c r="J88" s="559">
        <f ca="1"/>
        <v>-2.8504000000000002E-2</v>
      </c>
      <c r="K88" s="151" t="str">
        <f ca="1"/>
        <v>HPE</v>
      </c>
      <c r="L88" s="559">
        <f ca="1"/>
        <v>-2.8504000000000002E-2</v>
      </c>
      <c r="M88" s="1" t="str">
        <f ca="1"/>
        <v>BLNK</v>
      </c>
      <c r="N88" s="558">
        <f ca="1"/>
        <v>-158003.39639999994</v>
      </c>
      <c r="O88" t="str">
        <f ca="1"/>
        <v>NVAX</v>
      </c>
      <c r="P88" s="558">
        <f ca="1"/>
        <v>-14128.170999999998</v>
      </c>
      <c r="Q88" t="str">
        <f ca="1"/>
        <v>SAFAAPL</v>
      </c>
      <c r="R88" s="645">
        <f ca="1"/>
        <v>-4.1951140476190474E-3</v>
      </c>
      <c r="S88" t="str">
        <f ca="1"/>
        <v>MVEENI</v>
      </c>
      <c r="T88" s="85">
        <f ca="1"/>
        <v>-3072</v>
      </c>
      <c r="U88" t="str">
        <f ca="1"/>
        <v>MVEALDNE</v>
      </c>
      <c r="V88" s="308">
        <f ca="1"/>
        <v>-1.5258799999999998E-2</v>
      </c>
      <c r="W88" t="str">
        <f ca="1"/>
        <v>MVEGLE</v>
      </c>
      <c r="X88" t="str">
        <f ca="1"/>
        <v>/25/%</v>
      </c>
      <c r="Y88" t="str">
        <f ca="1"/>
        <v>OXY</v>
      </c>
      <c r="Z88">
        <f ca="1"/>
        <v>19</v>
      </c>
      <c r="AA88" t="str">
        <f ca="1"/>
        <v>MVEDSY</v>
      </c>
      <c r="AB88">
        <f ca="1"/>
        <v>32</v>
      </c>
      <c r="AC88" t="str">
        <f ca="1"/>
        <v>DIS</v>
      </c>
      <c r="AD88">
        <f ca="1"/>
        <v>39</v>
      </c>
      <c r="AE88" t="str">
        <f ca="1"/>
        <v>MVEENI</v>
      </c>
      <c r="AF88" s="85">
        <f ca="1"/>
        <v>-279668.47437720007</v>
      </c>
      <c r="AG88" t="str">
        <f ca="1"/>
        <v>SAP</v>
      </c>
      <c r="AH88" s="85">
        <f ca="1"/>
        <v>-11494</v>
      </c>
      <c r="AI88" t="str">
        <f ca="1"/>
        <v>AVGO</v>
      </c>
      <c r="AJ88" s="85">
        <f ca="1"/>
        <v>-12810.000000000002</v>
      </c>
      <c r="AK88" s="88" t="str">
        <f ca="1"/>
        <v>SAFAAPL</v>
      </c>
      <c r="AL88" s="308">
        <f ca="1"/>
        <v>-4.1951140476190474E-3</v>
      </c>
      <c r="AM88" t="str">
        <f ca="1"/>
        <v>MVEALDNE</v>
      </c>
      <c r="AN88" s="308">
        <f ca="1"/>
        <v>-0.56460126362851137</v>
      </c>
      <c r="AO88" t="str">
        <f ca="1"/>
        <v>BLNK</v>
      </c>
      <c r="AP88" s="308">
        <f ca="1"/>
        <v>1.4838472454278613</v>
      </c>
      <c r="AQ88" s="85" t="str">
        <f ca="1"/>
        <v>XYZ</v>
      </c>
      <c r="AR88" s="88">
        <f ca="1"/>
        <v>-0.75201768863861973</v>
      </c>
      <c r="AS88" s="92" t="str">
        <f ca="1"/>
        <v>NVS</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UN0</v>
      </c>
      <c r="F89" s="557">
        <f ca="1"/>
        <v>9.2452830188679246E-3</v>
      </c>
      <c r="G89" s="151" t="str">
        <f ca="1"/>
        <v>NOTE</v>
      </c>
      <c r="H89" s="558">
        <f ca="1"/>
        <v>-208011.19149976</v>
      </c>
      <c r="I89" t="str">
        <f ca="1"/>
        <v>EOAN</v>
      </c>
      <c r="J89" s="559">
        <f ca="1"/>
        <v>-3.3119000000000003E-2</v>
      </c>
      <c r="K89" s="151" t="str">
        <f ca="1"/>
        <v>EOAN</v>
      </c>
      <c r="L89" s="559">
        <f ca="1"/>
        <v>-3.3119000000000003E-2</v>
      </c>
      <c r="M89" s="1" t="str">
        <f ca="1"/>
        <v>SAFMRNA</v>
      </c>
      <c r="N89" s="558">
        <f ca="1"/>
        <v>-161323.11899630004</v>
      </c>
      <c r="O89" t="str">
        <f ca="1"/>
        <v>MVEDSY</v>
      </c>
      <c r="P89" s="558">
        <f ca="1"/>
        <v>-16836.112000000001</v>
      </c>
      <c r="Q89" t="str">
        <f ca="1"/>
        <v>THC</v>
      </c>
      <c r="R89" s="645">
        <f ca="1"/>
        <v>-4.9509892857142858E-3</v>
      </c>
      <c r="S89" t="str">
        <f ca="1"/>
        <v>AMZN</v>
      </c>
      <c r="T89" s="85">
        <f ca="1"/>
        <v>-8040</v>
      </c>
      <c r="U89" t="str">
        <f ca="1"/>
        <v>KR</v>
      </c>
      <c r="V89" s="308">
        <f ca="1"/>
        <v>-1.5673599999999999E-2</v>
      </c>
      <c r="W89" t="str">
        <f ca="1"/>
        <v>BLNK</v>
      </c>
      <c r="X89" t="str">
        <f ca="1"/>
        <v>/29/94%</v>
      </c>
      <c r="Y89" t="str">
        <f ca="1"/>
        <v>RRC</v>
      </c>
      <c r="Z89">
        <f ca="1"/>
        <v>19</v>
      </c>
      <c r="AA89" t="str">
        <f ca="1"/>
        <v>SAFAMZN</v>
      </c>
      <c r="AB89">
        <f ca="1"/>
        <v>32</v>
      </c>
      <c r="AC89" t="str">
        <f ca="1"/>
        <v>MVEDSY</v>
      </c>
      <c r="AD89">
        <f ca="1"/>
        <v>39</v>
      </c>
      <c r="AE89" t="str">
        <f ca="1"/>
        <v>MVEDSY</v>
      </c>
      <c r="AF89" s="85">
        <f ca="1"/>
        <v>-312357.4192296</v>
      </c>
      <c r="AG89" t="str">
        <f ca="1"/>
        <v>NVAX</v>
      </c>
      <c r="AH89" s="85">
        <f ca="1"/>
        <v>-13728</v>
      </c>
      <c r="AI89" t="str">
        <f ca="1"/>
        <v>XOM</v>
      </c>
      <c r="AJ89" s="85">
        <f ca="1"/>
        <v>-21923.999999999985</v>
      </c>
      <c r="AK89" s="88" t="str">
        <f ca="1"/>
        <v>THC</v>
      </c>
      <c r="AL89" s="308">
        <f ca="1"/>
        <v>-4.9509892857142858E-3</v>
      </c>
      <c r="AM89" t="str">
        <f ca="1"/>
        <v>MRNA</v>
      </c>
      <c r="AN89" s="308">
        <f ca="1"/>
        <v>-0.58598001190102222</v>
      </c>
      <c r="AO89" t="str">
        <f ca="1"/>
        <v>SSYS</v>
      </c>
      <c r="AP89" s="308">
        <f ca="1"/>
        <v>2.0983035309454445</v>
      </c>
      <c r="AQ89" s="85" t="str">
        <f ca="1"/>
        <v>AET</v>
      </c>
      <c r="AR89" s="88">
        <f ca="1"/>
        <v>-0.85418464193270072</v>
      </c>
      <c r="AS89" s="92" t="str">
        <f ca="1"/>
        <v>ORA</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MVEUN0</v>
      </c>
      <c r="F90" s="557">
        <f ca="1"/>
        <v>9.2452830188679246E-3</v>
      </c>
      <c r="G90" s="151" t="str">
        <f ca="1"/>
        <v>LAZR</v>
      </c>
      <c r="H90" s="558">
        <f ca="1"/>
        <v>-322349.31963516888</v>
      </c>
      <c r="I90" t="str">
        <f ca="1"/>
        <v>MVEEOAN</v>
      </c>
      <c r="J90" s="559">
        <f ca="1"/>
        <v>-3.3119000000000003E-2</v>
      </c>
      <c r="K90" s="151" t="str">
        <f ca="1"/>
        <v>MVEEOAN</v>
      </c>
      <c r="L90" s="559">
        <f ca="1"/>
        <v>-3.3119000000000003E-2</v>
      </c>
      <c r="M90" s="1" t="str">
        <f ca="1"/>
        <v>NOTE</v>
      </c>
      <c r="N90" s="558">
        <f ca="1"/>
        <v>-207521.59084975999</v>
      </c>
      <c r="O90" t="str">
        <f ca="1"/>
        <v>SAFMRNA</v>
      </c>
      <c r="P90" s="558">
        <f ca="1"/>
        <v>-18844.875599999999</v>
      </c>
      <c r="Q90" t="str">
        <f ca="1"/>
        <v>SAP</v>
      </c>
      <c r="R90" s="645">
        <f ca="1"/>
        <v>-6.9356071428571427E-3</v>
      </c>
      <c r="S90" t="str">
        <f ca="1"/>
        <v>AET</v>
      </c>
      <c r="T90" s="85">
        <f ca="1"/>
        <v>-8200</v>
      </c>
      <c r="U90" t="str">
        <f ca="1"/>
        <v>NFLX</v>
      </c>
      <c r="V90" s="308">
        <f ca="1"/>
        <v>-1.5794599999999999E-2</v>
      </c>
      <c r="W90" t="str">
        <f ca="1"/>
        <v>TSM</v>
      </c>
      <c r="X90" t="str">
        <f ca="1"/>
        <v>/33/%</v>
      </c>
      <c r="Y90" t="str">
        <f ca="1"/>
        <v>ALDNE</v>
      </c>
      <c r="Z90">
        <f ca="1"/>
        <v>20</v>
      </c>
      <c r="AA90" t="str">
        <f ca="1"/>
        <v>THC</v>
      </c>
      <c r="AB90">
        <f ca="1"/>
        <v>30</v>
      </c>
      <c r="AC90" t="str">
        <f ca="1"/>
        <v>IAG</v>
      </c>
      <c r="AD90">
        <f ca="1"/>
        <v>33</v>
      </c>
      <c r="AE90" t="str">
        <f ca="1"/>
        <v>SAFDDD</v>
      </c>
      <c r="AF90" s="85">
        <f ca="1"/>
        <v>-340793.18449199997</v>
      </c>
      <c r="AG90" t="str">
        <f ca="1"/>
        <v>UNIT</v>
      </c>
      <c r="AH90" s="85">
        <f ca="1"/>
        <v>-14864</v>
      </c>
      <c r="AI90" t="str">
        <f ca="1"/>
        <v>GS</v>
      </c>
      <c r="AJ90" s="85">
        <f ca="1"/>
        <v>-27904.000000000007</v>
      </c>
      <c r="AK90" s="88" t="str">
        <f ca="1"/>
        <v>SAP</v>
      </c>
      <c r="AL90" s="308">
        <f ca="1"/>
        <v>-6.9356071428571427E-3</v>
      </c>
      <c r="AM90" t="str">
        <f ca="1"/>
        <v>BLNK</v>
      </c>
      <c r="AN90" s="308">
        <f ca="1"/>
        <v>-0.5962654085325787</v>
      </c>
      <c r="AO90" t="str">
        <f ca="1"/>
        <v>NOTE</v>
      </c>
      <c r="AP90" s="308">
        <f ca="1"/>
        <v>2.2408766578352428</v>
      </c>
      <c r="AQ90" s="85" t="str">
        <f ca="1"/>
        <v>LAZR</v>
      </c>
      <c r="AR90" s="88">
        <f ca="1"/>
        <v>-0.94733380766494257</v>
      </c>
      <c r="AS90" s="92" t="str">
        <f ca="1"/>
        <v>OXY</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8.077429734486519E-3</v>
      </c>
      <c r="G91" s="151" t="str">
        <f ca="1"/>
        <v>BLNK</v>
      </c>
      <c r="H91" s="558">
        <f ca="1"/>
        <v>-339211.36891607998</v>
      </c>
      <c r="I91" t="str">
        <f ca="1"/>
        <v>JBEOAN</v>
      </c>
      <c r="J91" s="559">
        <f ca="1"/>
        <v>-3.3119000000000003E-2</v>
      </c>
      <c r="K91" s="151" t="str">
        <f ca="1"/>
        <v>JBEOAN</v>
      </c>
      <c r="L91" s="559">
        <f ca="1"/>
        <v>-3.3119000000000003E-2</v>
      </c>
      <c r="M91" s="1" t="str">
        <f ca="1"/>
        <v>SSYS</v>
      </c>
      <c r="N91" s="558">
        <f ca="1"/>
        <v>-317320.46931399999</v>
      </c>
      <c r="O91" t="str">
        <f ca="1"/>
        <v>DXC</v>
      </c>
      <c r="P91" s="558">
        <f ca="1"/>
        <v>-20267.167999999998</v>
      </c>
      <c r="Q91" t="str">
        <f ca="1"/>
        <v>LNSR</v>
      </c>
      <c r="R91" s="645">
        <f ca="1"/>
        <v>-6.973113095238093E-3</v>
      </c>
      <c r="S91" t="str">
        <f ca="1"/>
        <v>JBEOAN</v>
      </c>
      <c r="T91" s="85">
        <f ca="1"/>
        <v>-8925</v>
      </c>
      <c r="U91" t="str">
        <f ca="1"/>
        <v>DDD</v>
      </c>
      <c r="V91" s="308">
        <f ca="1"/>
        <v>-1.8881199999999994E-2</v>
      </c>
      <c r="W91" t="str">
        <f ca="1"/>
        <v>AAPL</v>
      </c>
      <c r="X91" t="str">
        <f ca="1"/>
        <v>/50/%</v>
      </c>
      <c r="Y91" t="str">
        <f ca="1"/>
        <v>DXC</v>
      </c>
      <c r="Z91">
        <f ca="1"/>
        <v>20</v>
      </c>
      <c r="AA91" t="str">
        <f ca="1"/>
        <v>HPQ</v>
      </c>
      <c r="AB91">
        <f ca="1"/>
        <v>29</v>
      </c>
      <c r="AC91" t="str">
        <f ca="1"/>
        <v>THC</v>
      </c>
      <c r="AD91">
        <f ca="1"/>
        <v>31</v>
      </c>
      <c r="AE91" t="str">
        <f ca="1"/>
        <v>SAP</v>
      </c>
      <c r="AF91" s="85">
        <f ca="1"/>
        <v>-690583.83673500014</v>
      </c>
      <c r="AG91" t="str">
        <f ca="1"/>
        <v>MVEEPIX</v>
      </c>
      <c r="AH91" s="85">
        <f ca="1"/>
        <v>-15147</v>
      </c>
      <c r="AI91" t="str">
        <f ca="1"/>
        <v>X</v>
      </c>
      <c r="AJ91" s="85">
        <f ca="1"/>
        <v>-29828.400000000009</v>
      </c>
      <c r="AK91" s="88" t="str">
        <f ca="1"/>
        <v>LNSR</v>
      </c>
      <c r="AL91" s="308">
        <f ca="1"/>
        <v>-6.973113095238093E-3</v>
      </c>
      <c r="AM91" t="str">
        <f ca="1"/>
        <v>SSYS</v>
      </c>
      <c r="AN91" s="308">
        <f ca="1"/>
        <v>-0.67575181260995254</v>
      </c>
      <c r="AO91" t="str">
        <f ca="1"/>
        <v>BMRA</v>
      </c>
      <c r="AP91" s="308">
        <f ca="1"/>
        <v>3.9212111814671813</v>
      </c>
      <c r="AQ91" s="85" t="str">
        <f ca="1"/>
        <v>MVEEPIX</v>
      </c>
      <c r="AR91" s="88">
        <f ca="1"/>
        <v>-0.98723096923299147</v>
      </c>
      <c r="AS91" s="92" t="str">
        <f ca="1"/>
        <v>PFE</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8.077429734486519E-3</v>
      </c>
      <c r="G92" s="151" t="str">
        <f ca="1"/>
        <v>DDD</v>
      </c>
      <c r="H92" s="558">
        <f ca="1"/>
        <v>-347806.35768449999</v>
      </c>
      <c r="I92" t="str">
        <f ca="1"/>
        <v>SHECY</v>
      </c>
      <c r="J92" s="559">
        <f ca="1"/>
        <v>-3.5575999999999997E-2</v>
      </c>
      <c r="K92" s="151" t="str">
        <f ca="1"/>
        <v>SHECY</v>
      </c>
      <c r="L92" s="559">
        <f ca="1"/>
        <v>-3.5575999999999997E-2</v>
      </c>
      <c r="M92" s="1" t="str">
        <f ca="1"/>
        <v>LAZR</v>
      </c>
      <c r="N92" s="558">
        <f ca="1"/>
        <v>-322269.95938399993</v>
      </c>
      <c r="O92" t="str">
        <f ca="1"/>
        <v>MVESAP</v>
      </c>
      <c r="P92" s="558">
        <f ca="1"/>
        <v>-29014.366000000002</v>
      </c>
      <c r="Q92" t="str">
        <f ca="1"/>
        <v>PW</v>
      </c>
      <c r="R92" s="645">
        <f ca="1"/>
        <v>-9.1915059523809545E-3</v>
      </c>
      <c r="S92" t="str">
        <f ca="1"/>
        <v>AAPL</v>
      </c>
      <c r="T92" s="85">
        <f ca="1"/>
        <v>-9120.0000000004657</v>
      </c>
      <c r="U92" t="str">
        <f ca="1"/>
        <v>MVEDDD</v>
      </c>
      <c r="V92" s="308">
        <f ca="1"/>
        <v>-1.8881199999999994E-2</v>
      </c>
      <c r="W92" t="str">
        <f ca="1"/>
        <v>LUV</v>
      </c>
      <c r="X92" t="str">
        <f ca="1"/>
        <v>/50/%</v>
      </c>
      <c r="Y92" t="str">
        <f ca="1"/>
        <v>GM</v>
      </c>
      <c r="Z92">
        <f ca="1"/>
        <v>20</v>
      </c>
      <c r="AA92" t="str">
        <f ca="1"/>
        <v>SAFIAG</v>
      </c>
      <c r="AB92">
        <f ca="1"/>
        <v>29</v>
      </c>
      <c r="AC92" t="str">
        <f ca="1"/>
        <v>BLNK</v>
      </c>
      <c r="AD92">
        <f ca="1"/>
        <v>28</v>
      </c>
      <c r="AE92" t="str">
        <f ca="1"/>
        <v>MRNA</v>
      </c>
      <c r="AF92" s="85">
        <f ca="1"/>
        <v>-790220.14433999988</v>
      </c>
      <c r="AG92" t="str">
        <f ca="1"/>
        <v>EPIX</v>
      </c>
      <c r="AH92" s="85">
        <f ca="1"/>
        <v>-18177</v>
      </c>
      <c r="AI92" t="str">
        <f ca="1"/>
        <v>RWE</v>
      </c>
      <c r="AJ92" s="85">
        <f ca="1"/>
        <v>-31776</v>
      </c>
      <c r="AK92" s="88" t="str">
        <f ca="1"/>
        <v>PW</v>
      </c>
      <c r="AL92" s="308">
        <f ca="1"/>
        <v>-9.1915059523809545E-3</v>
      </c>
      <c r="AM92" t="str">
        <f ca="1"/>
        <v>NOTE</v>
      </c>
      <c r="AN92" s="308">
        <f ca="1"/>
        <v>-0.68989046464059234</v>
      </c>
      <c r="AO92" t="str">
        <f ca="1"/>
        <v>EPIX</v>
      </c>
      <c r="AP92" s="308">
        <f ca="1"/>
        <v>9.5958586878727647</v>
      </c>
      <c r="AQ92" s="85" t="str">
        <f ca="1"/>
        <v>EPIX</v>
      </c>
      <c r="AR92" s="88">
        <f ca="1"/>
        <v>-1.0059758610538709</v>
      </c>
      <c r="AS92" s="92" t="str">
        <f ca="1"/>
        <v>RIG</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8.077429734486519E-3</v>
      </c>
      <c r="G93" s="151" t="str">
        <f ca="1"/>
        <v>MVEALDNE</v>
      </c>
      <c r="H93" s="558">
        <f ca="1"/>
        <v>-363804.82674139243</v>
      </c>
      <c r="I93" t="str">
        <f ca="1"/>
        <v>PW</v>
      </c>
      <c r="J93" s="559">
        <f ca="1"/>
        <v>-3.5686000000000002E-2</v>
      </c>
      <c r="K93" s="151" t="str">
        <f ca="1"/>
        <v>PW</v>
      </c>
      <c r="L93" s="559">
        <f ca="1"/>
        <v>-3.5686000000000002E-2</v>
      </c>
      <c r="M93" s="1" t="str">
        <f ca="1"/>
        <v>MVEALDNE</v>
      </c>
      <c r="N93" s="558">
        <f ca="1"/>
        <v>-362334.70154639235</v>
      </c>
      <c r="O93" t="str">
        <f ca="1"/>
        <v>NFLX</v>
      </c>
      <c r="P93" s="558">
        <f ca="1"/>
        <v>-29189.908399999993</v>
      </c>
      <c r="Q93" t="str">
        <f ca="1"/>
        <v>IAG</v>
      </c>
      <c r="R93" s="645">
        <f ca="1"/>
        <v>-9.8662857142857129E-3</v>
      </c>
      <c r="S93" t="str">
        <f ca="1"/>
        <v>EOAN</v>
      </c>
      <c r="T93" s="85">
        <f ca="1"/>
        <v>-10625</v>
      </c>
      <c r="U93" t="str">
        <f ca="1"/>
        <v>SAFDDD</v>
      </c>
      <c r="V93" s="308">
        <f ca="1"/>
        <v>-1.8881199999999994E-2</v>
      </c>
      <c r="W93" t="str">
        <f ca="1"/>
        <v>JBEOAN</v>
      </c>
      <c r="X93" t="str">
        <f ca="1"/>
        <v>/50/50%</v>
      </c>
      <c r="Y93" t="str">
        <f ca="1"/>
        <v>SAP</v>
      </c>
      <c r="Z93">
        <f ca="1"/>
        <v>20</v>
      </c>
      <c r="AA93" t="str">
        <f ca="1"/>
        <v>NEM</v>
      </c>
      <c r="AB93">
        <f ca="1"/>
        <v>20</v>
      </c>
      <c r="AC93" t="str">
        <f ca="1"/>
        <v>NEM</v>
      </c>
      <c r="AD93">
        <f ca="1"/>
        <v>23</v>
      </c>
      <c r="AE93" t="str">
        <f ca="1"/>
        <v>NFLX</v>
      </c>
      <c r="AF93" s="85">
        <f ca="1"/>
        <v>-858854.24022599938</v>
      </c>
      <c r="AG93" t="str">
        <f ca="1"/>
        <v>SAFMRNA</v>
      </c>
      <c r="AH93" s="85">
        <f ca="1"/>
        <v>-27474</v>
      </c>
      <c r="AI93" t="str">
        <f ca="1"/>
        <v>MVERWE</v>
      </c>
      <c r="AJ93" s="85">
        <f ca="1"/>
        <v>-39710.07</v>
      </c>
      <c r="AK93" s="88" t="str">
        <f ca="1"/>
        <v>IAG</v>
      </c>
      <c r="AL93" s="308">
        <f ca="1"/>
        <v>-9.8662857142857129E-3</v>
      </c>
      <c r="AM93" t="str">
        <f ca="1"/>
        <v>BMRA</v>
      </c>
      <c r="AN93" s="308">
        <f ca="1"/>
        <v>-0.7948333370552203</v>
      </c>
      <c r="AO93" t="str">
        <f ca="1"/>
        <v>MVEEPIX</v>
      </c>
      <c r="AP93" s="308">
        <f ca="1"/>
        <v>11.895327435387673</v>
      </c>
      <c r="AQ93" s="85" t="str">
        <f ca="1"/>
        <v>MVEALDNE</v>
      </c>
      <c r="AR93" s="88">
        <f ca="1"/>
        <v>-1.0955800498374666</v>
      </c>
      <c r="AS93" s="92" t="str">
        <f ca="1"/>
        <v>XYZ</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3.1362675405888028E-3</v>
      </c>
      <c r="G94" s="151" t="str">
        <f ca="1"/>
        <v>MRNA</v>
      </c>
      <c r="H94" s="558">
        <f ca="1"/>
        <v>-461638.26709079993</v>
      </c>
      <c r="I94" t="str">
        <f ca="1"/>
        <v>BLNK</v>
      </c>
      <c r="J94" s="559">
        <f ca="1"/>
        <v>-6.1454000000000002E-2</v>
      </c>
      <c r="K94" s="151" t="str">
        <f ca="1"/>
        <v>BLNK</v>
      </c>
      <c r="L94" s="559">
        <f ca="1"/>
        <v>-6.1454000000000002E-2</v>
      </c>
      <c r="M94" s="1" t="str">
        <f ca="1"/>
        <v>MRNA</v>
      </c>
      <c r="N94" s="558">
        <f ca="1"/>
        <v>-506419.37450400001</v>
      </c>
      <c r="O94" t="str">
        <f ca="1"/>
        <v>XPER</v>
      </c>
      <c r="P94" s="558">
        <f ca="1"/>
        <v>-31525.819200000002</v>
      </c>
      <c r="Q94" t="str">
        <f ca="1"/>
        <v>NEM</v>
      </c>
      <c r="R94" s="645">
        <f ca="1"/>
        <v>-1.2856863095238097E-2</v>
      </c>
      <c r="S94" t="str">
        <f ca="1"/>
        <v>ASML</v>
      </c>
      <c r="T94" s="85">
        <f ca="1"/>
        <v>-11760</v>
      </c>
      <c r="U94" t="str">
        <f ca="1"/>
        <v>LUMN</v>
      </c>
      <c r="V94" s="308">
        <f ca="1"/>
        <v>-1.9099999999999999E-2</v>
      </c>
      <c r="W94" t="str">
        <f ca="1"/>
        <v>POET</v>
      </c>
      <c r="X94" t="str">
        <f ca="1"/>
        <v>/67/%</v>
      </c>
      <c r="Y94" t="str">
        <f ca="1"/>
        <v>MVEALDNE</v>
      </c>
      <c r="Z94">
        <f ca="1"/>
        <v>20</v>
      </c>
      <c r="AA94" t="str">
        <f ca="1"/>
        <v>ALDNE</v>
      </c>
      <c r="AB94">
        <f ca="1"/>
        <v>17</v>
      </c>
      <c r="AC94" t="str">
        <f ca="1"/>
        <v>NFLX</v>
      </c>
      <c r="AD94">
        <f ca="1"/>
        <v>21</v>
      </c>
      <c r="AE94" t="str">
        <f ca="1"/>
        <v>AAPL</v>
      </c>
      <c r="AF94" s="85">
        <f ca="1"/>
        <v>-877863.65152499964</v>
      </c>
      <c r="AG94" t="str">
        <f ca="1"/>
        <v>MRNA</v>
      </c>
      <c r="AH94" s="85">
        <f ca="1"/>
        <v>-35066</v>
      </c>
      <c r="AI94" t="str">
        <f ca="1"/>
        <v>SAFGM</v>
      </c>
      <c r="AJ94" s="85">
        <f ca="1"/>
        <v>-64423.199999999997</v>
      </c>
      <c r="AK94" s="88" t="str">
        <f ca="1"/>
        <v>NEM</v>
      </c>
      <c r="AL94" s="308">
        <f ca="1"/>
        <v>-1.2856863095238097E-2</v>
      </c>
      <c r="AM94" t="str">
        <f ca="1"/>
        <v>EPIX</v>
      </c>
      <c r="AN94" s="308">
        <f ca="1"/>
        <v>-0.9032919764303774</v>
      </c>
      <c r="AO94" t="str">
        <f ca="1"/>
        <v>LAZR</v>
      </c>
      <c r="AP94" s="308">
        <f ca="1"/>
        <v>21.491390057926193</v>
      </c>
      <c r="AQ94" s="85" t="str">
        <f ca="1"/>
        <v>NEE</v>
      </c>
      <c r="AR94" s="88">
        <f ca="1"/>
        <v>-1.5714626743511932</v>
      </c>
      <c r="AS94" s="92" t="str">
        <f ca="1"/>
        <v>THC</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3.1362675405888028E-3</v>
      </c>
      <c r="G95" s="151" t="str">
        <f ca="1"/>
        <v>SSYS</v>
      </c>
      <c r="H95" s="558">
        <f ca="1"/>
        <v>-708510.73503145995</v>
      </c>
      <c r="I95" t="str">
        <f ca="1"/>
        <v>ALDNE</v>
      </c>
      <c r="J95" s="559">
        <f ca="1"/>
        <v>-8.0267999999999992E-2</v>
      </c>
      <c r="K95" s="151" t="str">
        <f ca="1"/>
        <v>ALDNE</v>
      </c>
      <c r="L95" s="559">
        <f ca="1"/>
        <v>-8.0267999999999992E-2</v>
      </c>
      <c r="M95" s="1" t="str">
        <f ca="1"/>
        <v>NFLX</v>
      </c>
      <c r="N95" s="558">
        <f ca="1"/>
        <v>-622739.36633142817</v>
      </c>
      <c r="O95" t="str">
        <f ca="1"/>
        <v>EPIX</v>
      </c>
      <c r="P95" s="558">
        <f ca="1"/>
        <v>-55543.211199999991</v>
      </c>
      <c r="Q95" t="str">
        <f ca="1"/>
        <v>BLNK</v>
      </c>
      <c r="R95" s="645">
        <f ca="1"/>
        <v>-2.4301529761904764E-2</v>
      </c>
      <c r="S95" t="str">
        <f ca="1"/>
        <v>MVEALDNE</v>
      </c>
      <c r="T95" s="85">
        <f ca="1"/>
        <v>-18180</v>
      </c>
      <c r="U95" t="str">
        <f ca="1"/>
        <v>NOTE</v>
      </c>
      <c r="V95" s="308">
        <f ca="1"/>
        <v>-1.92166E-2</v>
      </c>
      <c r="W95" t="str">
        <f ca="1"/>
        <v>LOCK</v>
      </c>
      <c r="X95" t="str">
        <f ca="1"/>
        <v>/67/45%</v>
      </c>
      <c r="Y95" t="str">
        <f ca="1"/>
        <v>MVEEOAN</v>
      </c>
      <c r="Z95">
        <f ca="1"/>
        <v>20</v>
      </c>
      <c r="AA95" t="str">
        <f ca="1"/>
        <v>MVEALDNE</v>
      </c>
      <c r="AB95">
        <f ca="1"/>
        <v>17</v>
      </c>
      <c r="AC95" t="str">
        <f ca="1"/>
        <v>ALDNE</v>
      </c>
      <c r="AD95">
        <f ca="1"/>
        <v>20</v>
      </c>
      <c r="AE95" t="str">
        <f ca="1"/>
        <v>AMZN</v>
      </c>
      <c r="AF95" s="85">
        <f ca="1"/>
        <v>-904309.32697199984</v>
      </c>
      <c r="AG95" t="str">
        <f ca="1"/>
        <v>LAZR</v>
      </c>
      <c r="AH95" s="85">
        <f ca="1"/>
        <v>-52664</v>
      </c>
      <c r="AI95" t="str">
        <f ca="1"/>
        <v>GLE</v>
      </c>
      <c r="AJ95" s="85">
        <f ca="1"/>
        <v>-66520</v>
      </c>
      <c r="AK95" s="88" t="str">
        <f ca="1"/>
        <v>BLNK</v>
      </c>
      <c r="AL95" s="308">
        <f ca="1"/>
        <v>-2.4301529761904764E-2</v>
      </c>
      <c r="AM95" t="str">
        <f ca="1"/>
        <v>MVEEPIX</v>
      </c>
      <c r="AN95" s="308">
        <f ca="1"/>
        <v>-0.92006974636068561</v>
      </c>
      <c r="AO95" t="str">
        <f ca="1"/>
        <v>SAFASML</v>
      </c>
      <c r="AP95" s="308" t="e">
        <f ca="1"/>
        <v>#N/A</v>
      </c>
      <c r="AQ95" s="85" t="str">
        <f ca="1"/>
        <v>NOTE</v>
      </c>
      <c r="AR95" s="88">
        <f ca="1"/>
        <v>-1.9148936170212645</v>
      </c>
      <c r="AS95" s="92" t="str">
        <f ca="1"/>
        <v>X</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-1575962.5176410025</v>
      </c>
      <c r="I96" s="559" t="str">
        <f ca="1"/>
        <v>MVEALDNE</v>
      </c>
      <c r="J96" s="559">
        <f ca="1"/>
        <v>-8.0267999999999992E-2</v>
      </c>
      <c r="K96" t="str">
        <f ca="1"/>
        <v>MVEALDNE</v>
      </c>
      <c r="L96" s="559">
        <f ca="1"/>
        <v>-8.0267999999999992E-2</v>
      </c>
      <c r="M96" s="1" t="str">
        <f ca="1"/>
        <v>ALDNE</v>
      </c>
      <c r="N96" s="558">
        <f ca="1"/>
        <v>-1568597.3359710025</v>
      </c>
      <c r="O96" t="str">
        <f ca="1"/>
        <v>MRNA</v>
      </c>
      <c r="P96" s="558">
        <f ca="1"/>
        <v>-87686.421000000002</v>
      </c>
      <c r="Q96" t="str">
        <f ca="1"/>
        <v>POET</v>
      </c>
      <c r="R96" s="645">
        <f ca="1"/>
        <v>-2.7959785714285715E-2</v>
      </c>
      <c r="S96" t="str">
        <f ca="1"/>
        <v>ALDNE</v>
      </c>
      <c r="T96" s="85">
        <f ca="1"/>
        <v>-91080</v>
      </c>
      <c r="U96" t="str">
        <f ca="1"/>
        <v>BLNK</v>
      </c>
      <c r="V96" s="308">
        <f ca="1"/>
        <v>-6.276240000000001E-2</v>
      </c>
      <c r="W96" t="str">
        <f ca="1"/>
        <v>DXC</v>
      </c>
      <c r="X96" t="str">
        <f ca="1"/>
        <v>/89/%</v>
      </c>
      <c r="Y96" t="str">
        <f ca="1"/>
        <v>JBEOAN</v>
      </c>
      <c r="Z96">
        <f ca="1"/>
        <v>20</v>
      </c>
      <c r="AA96" t="str">
        <f ca="1"/>
        <v>NFLX</v>
      </c>
      <c r="AB96">
        <f ca="1"/>
        <v>13</v>
      </c>
      <c r="AC96" t="str">
        <f ca="1"/>
        <v>MVEALDNE</v>
      </c>
      <c r="AD96">
        <f ca="1"/>
        <v>20</v>
      </c>
      <c r="AE96" t="str">
        <f ca="1"/>
        <v>ASML</v>
      </c>
      <c r="AF96" s="85">
        <f ca="1"/>
        <v>-1171201.4168939998</v>
      </c>
      <c r="AG96" s="91" t="str">
        <f ca="1"/>
        <v>BMRA</v>
      </c>
      <c r="AH96" s="85">
        <f ca="1"/>
        <v>-126279</v>
      </c>
      <c r="AI96" s="85" t="str">
        <f ca="1"/>
        <v>SAFIAG</v>
      </c>
      <c r="AJ96" s="85">
        <f ca="1"/>
        <v>-95680</v>
      </c>
      <c r="AK96" s="88" t="str">
        <f ca="1"/>
        <v>POET</v>
      </c>
      <c r="AL96" s="308">
        <f ca="1"/>
        <v>-2.7959785714285715E-2</v>
      </c>
      <c r="AM96" t="str">
        <f ca="1"/>
        <v>LAZR</v>
      </c>
      <c r="AN96" s="308">
        <f ca="1"/>
        <v>-0.95305926732289337</v>
      </c>
      <c r="AO96" t="str">
        <f ca="1"/>
        <v>JBASML</v>
      </c>
      <c r="AP96" t="e">
        <f ca="1"/>
        <v>#N/A</v>
      </c>
      <c r="AQ96" s="85" t="str">
        <f ca="1"/>
        <v>EOAN</v>
      </c>
      <c r="AR96" s="88">
        <f ca="1"/>
        <v>-5.3999999999999986</v>
      </c>
      <c r="AS96" s="92" t="str">
        <f ca="1"/>
        <v>JBASML</v>
      </c>
      <c r="AT96" s="88">
        <f ca="1"/>
        <v>0</v>
      </c>
    </row>
    <row r="97" spans="2:45">
      <c r="D97" s="151"/>
      <c r="F97" s="897">
        <f ca="1">AVERAGE(F4:F96)</f>
        <v>0.97320420942513242</v>
      </c>
      <c r="J97" s="306"/>
      <c r="L97" s="306"/>
    </row>
    <row r="98" spans="2:45">
      <c r="D98" s="151"/>
      <c r="J98" s="306"/>
      <c r="L98" s="306"/>
    </row>
    <row r="99" spans="2:45" ht="23" thickBot="1">
      <c r="D99" s="151"/>
      <c r="J99" s="306"/>
      <c r="L99" s="306"/>
    </row>
    <row r="100" spans="2:45" ht="23" thickBot="1">
      <c r="B100" s="770" t="s">
        <v>1681</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0.93109744244814086</v>
      </c>
      <c r="G101" s="558">
        <f t="shared" ref="G101" ca="1" si="2">_xlfn.XLOOKUP(G100,G3:G96,H3:H96)</f>
        <v>-25544.909504098236</v>
      </c>
      <c r="I101" s="308">
        <f t="shared" ref="I101" ca="1" si="3">_xlfn.XLOOKUP(I100,I3:I96,J3:J96)</f>
        <v>-2.7431000000000001E-2</v>
      </c>
      <c r="K101" s="308">
        <f t="shared" ref="K101" ca="1" si="4">_xlfn.XLOOKUP(K100,K3:K96,L3:L96)</f>
        <v>-2.7431000000000001E-2</v>
      </c>
      <c r="M101" s="558">
        <f t="shared" ref="M101" ca="1" si="5">_xlfn.XLOOKUP(M100,M3:M96,N3:N96)</f>
        <v>-84993.362241898183</v>
      </c>
      <c r="O101" s="558">
        <f t="shared" ref="O101" ca="1" si="6">_xlfn.XLOOKUP(O100,O3:O96,P3:P96)</f>
        <v>-2595.2347999999997</v>
      </c>
      <c r="Q101" s="308">
        <f t="shared" ref="Q101" ca="1" si="7">_xlfn.XLOOKUP(Q100,Q3:Q96,R3:R96)</f>
        <v>7.7756547619047614E-3</v>
      </c>
      <c r="S101" s="558">
        <f t="shared" ref="S101" ca="1" si="8">_xlfn.XLOOKUP(S100,S3:S96,T3:T96)</f>
        <v>-8200</v>
      </c>
      <c r="U101" s="558">
        <f t="shared" ref="U101" ca="1" si="9">_xlfn.XLOOKUP(U100,U3:U96,V3:V96)</f>
        <v>4.3849999999999991E-3</v>
      </c>
      <c r="W101" s="558" t="str">
        <f t="shared" ref="W101" ca="1" si="10">_xlfn.XLOOKUP(W100,W3:W96,X3:X96)</f>
        <v>/25/%</v>
      </c>
      <c r="Y101" s="558">
        <f t="shared" ref="Y101" ca="1" si="11">_xlfn.XLOOKUP(Y100,Y3:Y96,Z3:Z96)</f>
        <v>17</v>
      </c>
      <c r="AA101" s="558">
        <f t="shared" ref="AA101" ca="1" si="12">_xlfn.XLOOKUP(AA100,AA3:AA96,AB3:AB96)</f>
        <v>39</v>
      </c>
      <c r="AC101" s="558">
        <f t="shared" ref="AC101" ca="1" si="13">_xlfn.XLOOKUP(AC100,AC3:AC96,AD3:AD96)</f>
        <v>41</v>
      </c>
      <c r="AE101" s="558">
        <f t="shared" ref="AE101" ca="1" si="14">_xlfn.XLOOKUP(AE100,AE3:AE96,AF3:AF96)</f>
        <v>-181465.31510189822</v>
      </c>
      <c r="AG101" s="558">
        <f t="shared" ref="AG101" ca="1" si="15">_xlfn.XLOOKUP(AG100,AG3:AG96,AH3:AH96)</f>
        <v>-659</v>
      </c>
      <c r="AI101" s="558">
        <f t="shared" ref="AI101" ca="1" si="16">_xlfn.XLOOKUP(AI100,AI3:AI96,AJ3:AJ96)</f>
        <v>2601.9999999999995</v>
      </c>
      <c r="AJ101"/>
      <c r="AK101" s="308">
        <f t="shared" ref="AK101" ca="1" si="17">_xlfn.XLOOKUP(AK100,AK3:AK96,AL3:AL96)</f>
        <v>7.7756547619047614E-3</v>
      </c>
      <c r="AM101" s="308">
        <f t="shared" ref="AM101" ca="1" si="18">_xlfn.XLOOKUP(AM100,AM3:AM96,AN3:AN96)</f>
        <v>-0.20942136756039637</v>
      </c>
      <c r="AO101" s="308">
        <f ca="1">_xlfn.XLOOKUP(AO100,AO3:AO96,AP3:AP96)</f>
        <v>0.26317036348310874</v>
      </c>
      <c r="AQ101" s="308">
        <f t="shared" ref="AQ101" ca="1" si="19">_xlfn.XLOOKUP(AQ100,AQ3:AQ96,AR3:AR96)</f>
        <v>-0.85418464193270072</v>
      </c>
      <c r="AS101" s="308" t="str">
        <f t="shared" ref="AS101" ca="1" si="20">_xlfn.XLOOKUP(AS100,AS3:AS96,AT3:AT96)</f>
        <v>/25/%</v>
      </c>
    </row>
    <row r="102" spans="2:45">
      <c r="D102" s="151"/>
      <c r="J102" s="306"/>
      <c r="L102" s="306"/>
    </row>
    <row r="103" spans="2:45" ht="23" thickBot="1">
      <c r="I103" t="str" cm="1">
        <f t="array" aca="1" ref="I103:J114" ca="1">_xlfn.LET(
  _xlpm.s, _xlfn._xlws.SORT(CHOOSE({1,2},D3:D96,Tab1ChangePercent[Change%19]),2,-1),
  _xlfn._xlws.FILTER(_xlpm.s, INDEX(_xlpm.s,,2) &gt; 3%)
)</f>
        <v>DDD</v>
      </c>
      <c r="J103" s="88">
        <f ca="1"/>
        <v>0.110169</v>
      </c>
      <c r="K103" t="str" cm="1">
        <f t="array" aca="1" ref="K103:L114" ca="1">_xlfn.LET(
  _xlpm.s, _xlfn._xlws.SORT(CHOOSE({1,2},D3:D96,Tab1ChangePercent[Change%20]),2,-1),
  _xlfn._xlws.FILTER(_xlpm.s, INDEX(_xlpm.s,,2) &gt; 3%)
)</f>
        <v>DDD</v>
      </c>
      <c r="L103" s="88">
        <f ca="1"/>
        <v>0.110169</v>
      </c>
    </row>
    <row r="104" spans="2:45" ht="23" thickBot="1">
      <c r="I104" t="str">
        <f ca="1"/>
        <v>MVEDDD</v>
      </c>
      <c r="J104" s="88">
        <f ca="1"/>
        <v>0.110169</v>
      </c>
      <c r="K104" t="str">
        <f ca="1"/>
        <v>MVEDDD</v>
      </c>
      <c r="L104" s="88">
        <f ca="1"/>
        <v>0.110169</v>
      </c>
      <c r="P104" s="771"/>
    </row>
    <row r="105" spans="2:45">
      <c r="I105" t="str">
        <f ca="1"/>
        <v>SAFDDD</v>
      </c>
      <c r="J105" s="88">
        <f ca="1"/>
        <v>0.110169</v>
      </c>
      <c r="K105" t="str">
        <f ca="1"/>
        <v>SAFDDD</v>
      </c>
      <c r="L105" s="88">
        <f ca="1"/>
        <v>0.110169</v>
      </c>
    </row>
    <row r="106" spans="2:45">
      <c r="I106" t="str">
        <f ca="1"/>
        <v>LAZR</v>
      </c>
      <c r="J106" s="88">
        <f ca="1"/>
        <v>0.10612500000000001</v>
      </c>
      <c r="K106" t="str">
        <f ca="1"/>
        <v>LAZR</v>
      </c>
      <c r="L106" s="88">
        <f ca="1"/>
        <v>0.10612500000000001</v>
      </c>
    </row>
    <row r="107" spans="2:45">
      <c r="I107" t="str">
        <f ca="1"/>
        <v>UNIT</v>
      </c>
      <c r="J107" s="88">
        <f ca="1"/>
        <v>7.2592999999999991E-2</v>
      </c>
      <c r="K107" t="str">
        <f ca="1"/>
        <v>UNIT</v>
      </c>
      <c r="L107" s="88">
        <f ca="1"/>
        <v>7.2592999999999991E-2</v>
      </c>
    </row>
    <row r="108" spans="2:45">
      <c r="I108" t="str">
        <f ca="1"/>
        <v>NEM</v>
      </c>
      <c r="J108" s="88">
        <f ca="1"/>
        <v>5.3284000000000005E-2</v>
      </c>
      <c r="K108" t="str">
        <f ca="1"/>
        <v>NEM</v>
      </c>
      <c r="L108" s="88">
        <f ca="1"/>
        <v>5.3284000000000005E-2</v>
      </c>
    </row>
    <row r="109" spans="2:45">
      <c r="I109" t="str">
        <f ca="1"/>
        <v>MA</v>
      </c>
      <c r="J109" s="88">
        <f ca="1"/>
        <v>4.5856000000000001E-2</v>
      </c>
      <c r="K109" t="str">
        <f ca="1"/>
        <v>MA</v>
      </c>
      <c r="L109" s="88">
        <f ca="1"/>
        <v>4.5856000000000001E-2</v>
      </c>
    </row>
    <row r="110" spans="2:45">
      <c r="I110" t="str">
        <f ca="1"/>
        <v>BLDP</v>
      </c>
      <c r="J110" s="88">
        <f ca="1"/>
        <v>3.9567999999999999E-2</v>
      </c>
      <c r="K110" t="str">
        <f ca="1"/>
        <v>BLDP</v>
      </c>
      <c r="L110" s="88">
        <f ca="1"/>
        <v>3.9567999999999999E-2</v>
      </c>
    </row>
    <row r="111" spans="2:45">
      <c r="I111" t="str">
        <f ca="1"/>
        <v>BMRA</v>
      </c>
      <c r="J111" s="88">
        <f ca="1"/>
        <v>3.6000000000000004E-2</v>
      </c>
      <c r="K111" t="str">
        <f ca="1"/>
        <v>BMRA</v>
      </c>
      <c r="L111" s="88">
        <f ca="1"/>
        <v>3.6000000000000004E-2</v>
      </c>
    </row>
    <row r="112" spans="2:45">
      <c r="I112" t="str">
        <f ca="1"/>
        <v>PAAS</v>
      </c>
      <c r="J112" s="88">
        <f ca="1"/>
        <v>3.4525E-2</v>
      </c>
      <c r="K112" t="str">
        <f ca="1"/>
        <v>PAAS</v>
      </c>
      <c r="L112" s="88">
        <f ca="1"/>
        <v>3.4525E-2</v>
      </c>
    </row>
    <row r="113" spans="9:12">
      <c r="I113" t="str">
        <f ca="1"/>
        <v>IAG</v>
      </c>
      <c r="J113" s="88">
        <f ca="1"/>
        <v>3.1120000000000002E-2</v>
      </c>
      <c r="K113" t="str">
        <f ca="1"/>
        <v>IAG</v>
      </c>
      <c r="L113" s="88">
        <f ca="1"/>
        <v>3.1120000000000002E-2</v>
      </c>
    </row>
    <row r="114" spans="9:12">
      <c r="I114" t="str">
        <f ca="1"/>
        <v>SAFIAG</v>
      </c>
      <c r="J114" s="88">
        <f ca="1"/>
        <v>3.1120000000000002E-2</v>
      </c>
      <c r="K114" t="str">
        <f ca="1"/>
        <v>SAFIAG</v>
      </c>
      <c r="L114" s="88">
        <f ca="1"/>
        <v>3.1120000000000002E-2</v>
      </c>
    </row>
    <row r="115" spans="9:12">
      <c r="I115" t="str" cm="1">
        <f t="array" aca="1" ref="I115:I208" ca="1">_xlfn.LET(
    _xlpm.s, _xlfn._xlws.SORT(CHOOSE({1,2},D3:D96,Tab1ChangePercent[Change%19]),2,-1),
    _xlfn.BYROW(_xlpm.s, _xlfn.LAMBDA(_xlpm.r, _xlfn.TEXTJOIN(" | ", TRUE, _xlpm.r)))
)</f>
        <v>DDD | 0.110169</v>
      </c>
      <c r="K115" t="str" cm="1">
        <f t="array" aca="1" ref="K115:K126" ca="1">_xlfn.LET(
    _xlpm.s, _xlfn._xlws.SORT(CHOOSE({1,2}, D3:D96, Tab1ChangePercent[Change%19]), 2, -1),
    _xlpm.f, _xlfn._xlws.FILTER(_xlpm.s, INDEX(_xlpm.s,,2) &gt; 0.03),
    _xlfn.BYROW(_xlpm.f, _xlfn.LAMBDA(_xlpm.r, _xlfn.TEXTJOIN(" | ", TRUE, _xlpm.r)))
)</f>
        <v>DDD | 0.110169</v>
      </c>
    </row>
    <row r="116" spans="9:12">
      <c r="I116" t="str">
        <f ca="1"/>
        <v>MVEDDD | 0.110169</v>
      </c>
      <c r="K116" t="str">
        <f ca="1"/>
        <v>MVEDDD | 0.110169</v>
      </c>
    </row>
    <row r="117" spans="9:12">
      <c r="I117" t="str">
        <f ca="1"/>
        <v>SAFDDD | 0.110169</v>
      </c>
      <c r="K117" t="str">
        <f ca="1"/>
        <v>SAFDDD | 0.110169</v>
      </c>
    </row>
    <row r="118" spans="9:12">
      <c r="I118" t="str">
        <f ca="1"/>
        <v>LAZR | 0.106125</v>
      </c>
      <c r="K118" t="str">
        <f ca="1"/>
        <v>LAZR | 0.106125</v>
      </c>
    </row>
    <row r="119" spans="9:12">
      <c r="I119" t="str">
        <f ca="1"/>
        <v>UNIT | 0.072593</v>
      </c>
      <c r="K119" t="str">
        <f ca="1"/>
        <v>UNIT | 0.072593</v>
      </c>
    </row>
    <row r="120" spans="9:12">
      <c r="I120" t="str">
        <f ca="1"/>
        <v>NEM | 0.053284</v>
      </c>
      <c r="K120" t="str">
        <f ca="1"/>
        <v>NEM | 0.053284</v>
      </c>
    </row>
    <row r="121" spans="9:12">
      <c r="I121" t="str">
        <f ca="1"/>
        <v>MA | 0.045856</v>
      </c>
      <c r="K121" t="str">
        <f ca="1"/>
        <v>MA | 0.045856</v>
      </c>
    </row>
    <row r="122" spans="9:12">
      <c r="I122" t="str">
        <f ca="1"/>
        <v>BLDP | 0.039568</v>
      </c>
      <c r="K122" t="str">
        <f ca="1"/>
        <v>BLDP | 0.039568</v>
      </c>
    </row>
    <row r="123" spans="9:12">
      <c r="I123" t="str">
        <f ca="1"/>
        <v>BMRA | 0.036</v>
      </c>
      <c r="K123" t="str">
        <f ca="1"/>
        <v>BMRA | 0.036</v>
      </c>
    </row>
    <row r="124" spans="9:12">
      <c r="I124" t="str">
        <f ca="1"/>
        <v>PAAS | 0.034525</v>
      </c>
      <c r="K124" t="str">
        <f ca="1"/>
        <v>PAAS | 0.034525</v>
      </c>
    </row>
    <row r="125" spans="9:12">
      <c r="I125" t="str">
        <f ca="1"/>
        <v>IAG | 0.03112</v>
      </c>
      <c r="K125" t="str">
        <f ca="1"/>
        <v>IAG | 0.03112</v>
      </c>
    </row>
    <row r="126" spans="9:12">
      <c r="I126" t="str">
        <f ca="1"/>
        <v>SAFIAG | 0.03112</v>
      </c>
      <c r="K126" t="str">
        <f ca="1"/>
        <v>SAFIAG | 0.03112</v>
      </c>
    </row>
    <row r="127" spans="9:12">
      <c r="I127" t="str">
        <f ca="1"/>
        <v>PROF | 0.026243</v>
      </c>
    </row>
    <row r="128" spans="9:12">
      <c r="I128" t="str">
        <f ca="1"/>
        <v>GS | 0.024403</v>
      </c>
    </row>
    <row r="129" spans="9:9">
      <c r="I129" t="str">
        <f ca="1"/>
        <v>DIS | 0.02435</v>
      </c>
    </row>
    <row r="130" spans="9:9">
      <c r="I130" t="str">
        <f ca="1"/>
        <v>SAFDIS | 0.02435</v>
      </c>
    </row>
    <row r="131" spans="9:9">
      <c r="I131" t="str">
        <f ca="1"/>
        <v>CVS | 0.023553</v>
      </c>
    </row>
    <row r="132" spans="9:9">
      <c r="I132" t="str">
        <f ca="1"/>
        <v>LUV | 0.022847</v>
      </c>
    </row>
    <row r="133" spans="9:9">
      <c r="I133" t="str">
        <f ca="1"/>
        <v>VLVLY | 0.021843</v>
      </c>
    </row>
    <row r="134" spans="9:9">
      <c r="I134" t="str">
        <f ca="1"/>
        <v>MRNA | 0.020668</v>
      </c>
    </row>
    <row r="135" spans="9:9">
      <c r="I135" t="str">
        <f ca="1"/>
        <v>SAFMRNA | 0.020668</v>
      </c>
    </row>
    <row r="136" spans="9:9">
      <c r="I136" t="str">
        <f ca="1"/>
        <v>RIGL | 0.020136</v>
      </c>
    </row>
    <row r="137" spans="9:9">
      <c r="I137" t="str">
        <f ca="1"/>
        <v>EZJ | 0.018262</v>
      </c>
    </row>
    <row r="138" spans="9:9">
      <c r="I138" t="str">
        <f ca="1"/>
        <v>SSYS | 0.016146</v>
      </c>
    </row>
    <row r="139" spans="9:9">
      <c r="I139" t="str">
        <f ca="1"/>
        <v>F | 0.016033</v>
      </c>
    </row>
    <row r="140" spans="9:9">
      <c r="I140" t="str">
        <f ca="1"/>
        <v>KR | 0.015921</v>
      </c>
    </row>
    <row r="141" spans="9:9">
      <c r="I141" t="str">
        <f ca="1"/>
        <v>NFLX | 0.014885</v>
      </c>
    </row>
    <row r="142" spans="9:9">
      <c r="I142" t="str">
        <f ca="1"/>
        <v>DVA | 0.014029</v>
      </c>
    </row>
    <row r="143" spans="9:9">
      <c r="I143" t="str">
        <f ca="1"/>
        <v>MVEGLE | 0.013863</v>
      </c>
    </row>
    <row r="144" spans="9:9">
      <c r="I144" t="str">
        <f ca="1"/>
        <v>GLE | 0.013863</v>
      </c>
    </row>
    <row r="145" spans="9:9">
      <c r="I145" t="str">
        <f ca="1"/>
        <v>MSFT | 0.01026</v>
      </c>
    </row>
    <row r="146" spans="9:9">
      <c r="I146" t="str">
        <f ca="1"/>
        <v>POET | 0.00979</v>
      </c>
    </row>
    <row r="147" spans="9:9">
      <c r="I147" t="str">
        <f ca="1"/>
        <v>LOCK | 0.008988</v>
      </c>
    </row>
    <row r="148" spans="9:9">
      <c r="I148" t="str">
        <f ca="1"/>
        <v>NVS | 0.008918</v>
      </c>
    </row>
    <row r="149" spans="9:9">
      <c r="I149" t="str">
        <f ca="1"/>
        <v>HPQ | 0.008535</v>
      </c>
    </row>
    <row r="150" spans="9:9">
      <c r="I150" t="str">
        <f ca="1"/>
        <v>DXC | 0.007937</v>
      </c>
    </row>
    <row r="151" spans="9:9">
      <c r="I151" t="str">
        <f ca="1"/>
        <v>GNRC | 0.006964</v>
      </c>
    </row>
    <row r="152" spans="9:9">
      <c r="I152" t="str">
        <f ca="1"/>
        <v>C | 0.005941</v>
      </c>
    </row>
    <row r="153" spans="9:9">
      <c r="I153" t="str">
        <f ca="1"/>
        <v>MVEORA | 0.005123</v>
      </c>
    </row>
    <row r="154" spans="9:9">
      <c r="I154" t="str">
        <f ca="1"/>
        <v>ORA | 0.005123</v>
      </c>
    </row>
    <row r="155" spans="9:9">
      <c r="I155" t="str">
        <f ca="1"/>
        <v>VONN | 0.004934</v>
      </c>
    </row>
    <row r="156" spans="9:9">
      <c r="I156" t="str">
        <f ca="1"/>
        <v>XYZ | 0.004898</v>
      </c>
    </row>
    <row r="157" spans="9:9">
      <c r="I157" t="str">
        <f ca="1"/>
        <v>DSY | 0.004778</v>
      </c>
    </row>
    <row r="158" spans="9:9">
      <c r="I158" t="str">
        <f ca="1"/>
        <v>MVEDSY | 0.004778</v>
      </c>
    </row>
    <row r="159" spans="9:9">
      <c r="I159" t="str">
        <f ca="1"/>
        <v>ADEA | 0.002959</v>
      </c>
    </row>
    <row r="160" spans="9:9">
      <c r="I160" t="str">
        <f ca="1"/>
        <v>PFE | 0.001164</v>
      </c>
    </row>
    <row r="161" spans="9:9">
      <c r="I161" t="str">
        <f ca="1"/>
        <v>THC | 0.000633</v>
      </c>
    </row>
    <row r="162" spans="9:9">
      <c r="I162" t="str">
        <f ca="1"/>
        <v>GM | 0.0005569</v>
      </c>
    </row>
    <row r="163" spans="9:9">
      <c r="I163" t="str">
        <f ca="1"/>
        <v>SAFGM | 0.0005569</v>
      </c>
    </row>
    <row r="164" spans="9:9">
      <c r="I164" t="str">
        <f ca="1"/>
        <v>XOM | 0.00008365</v>
      </c>
    </row>
    <row r="165" spans="9:9">
      <c r="I165" t="str">
        <f ca="1"/>
        <v>EPIX | 0</v>
      </c>
    </row>
    <row r="166" spans="9:9">
      <c r="I166" t="str">
        <f ca="1"/>
        <v>NOTE | 0</v>
      </c>
    </row>
    <row r="167" spans="9:9">
      <c r="I167" t="str">
        <f ca="1"/>
        <v>WBA | 0</v>
      </c>
    </row>
    <row r="168" spans="9:9">
      <c r="I168" t="str">
        <f ca="1"/>
        <v>MVEEPIX | 0</v>
      </c>
    </row>
    <row r="169" spans="9:9">
      <c r="I169" t="str">
        <f ca="1"/>
        <v>X | 0</v>
      </c>
    </row>
    <row r="170" spans="9:9">
      <c r="I170" t="str">
        <f ca="1"/>
        <v>NEE | -0.0006152</v>
      </c>
    </row>
    <row r="171" spans="9:9">
      <c r="I171" t="str">
        <f ca="1"/>
        <v>VTRS | -0.0008621</v>
      </c>
    </row>
    <row r="172" spans="9:9">
      <c r="I172" t="str">
        <f ca="1"/>
        <v>AAPL | -0.00269</v>
      </c>
    </row>
    <row r="173" spans="9:9">
      <c r="I173" t="str">
        <f ca="1"/>
        <v>SAFAAPL | -0.00269</v>
      </c>
    </row>
    <row r="174" spans="9:9">
      <c r="I174" t="str">
        <f ca="1"/>
        <v>RIG | -0.003488</v>
      </c>
    </row>
    <row r="175" spans="9:9">
      <c r="I175" t="str">
        <f ca="1"/>
        <v>LNSR | -0.004329</v>
      </c>
    </row>
    <row r="176" spans="9:9">
      <c r="I176" t="str">
        <f ca="1"/>
        <v>RWE | -0.004599</v>
      </c>
    </row>
    <row r="177" spans="9:9">
      <c r="I177" t="str">
        <f ca="1"/>
        <v>MVERWE | -0.004599</v>
      </c>
    </row>
    <row r="178" spans="9:9">
      <c r="I178" t="str">
        <f ca="1"/>
        <v>LUMN | -0.004603</v>
      </c>
    </row>
    <row r="179" spans="9:9">
      <c r="I179" t="str">
        <f ca="1"/>
        <v>ASML | -0.005391</v>
      </c>
    </row>
    <row r="180" spans="9:9">
      <c r="I180" t="str">
        <f ca="1"/>
        <v>SAFASML | -0.005391</v>
      </c>
    </row>
    <row r="181" spans="9:9">
      <c r="I181" t="str">
        <f ca="1"/>
        <v>JBASML | -0.005391</v>
      </c>
    </row>
    <row r="182" spans="9:9">
      <c r="I182" t="str">
        <f ca="1"/>
        <v>AMZN | -0.006472</v>
      </c>
    </row>
    <row r="183" spans="9:9">
      <c r="I183" t="str">
        <f ca="1"/>
        <v>SAFAMZN | -0.006472</v>
      </c>
    </row>
    <row r="184" spans="9:9">
      <c r="I184" t="str">
        <f ca="1"/>
        <v>MVEENI | -0.006869</v>
      </c>
    </row>
    <row r="185" spans="9:9">
      <c r="I185" t="str">
        <f ca="1"/>
        <v>ENI | -0.006869</v>
      </c>
    </row>
    <row r="186" spans="9:9">
      <c r="I186" t="str">
        <f ca="1"/>
        <v>NVAX | -0.007418</v>
      </c>
    </row>
    <row r="187" spans="9:9">
      <c r="I187" t="str">
        <f ca="1"/>
        <v>SAP | -0.007822</v>
      </c>
    </row>
    <row r="188" spans="9:9">
      <c r="I188" t="str">
        <f ca="1"/>
        <v>MVESAP | -0.007822</v>
      </c>
    </row>
    <row r="189" spans="9:9">
      <c r="I189" t="str">
        <f ca="1"/>
        <v>UN0 | -0.007884</v>
      </c>
    </row>
    <row r="190" spans="9:9">
      <c r="I190" t="str">
        <f ca="1"/>
        <v>MVEUN0 | -0.007884</v>
      </c>
    </row>
    <row r="191" spans="9:9">
      <c r="I191" t="str">
        <f ca="1"/>
        <v>TSLA | -0.010154</v>
      </c>
    </row>
    <row r="192" spans="9:9">
      <c r="I192" t="str">
        <f ca="1"/>
        <v>CSCO | -0.012212</v>
      </c>
    </row>
    <row r="193" spans="9:9">
      <c r="I193" t="str">
        <f ca="1"/>
        <v>OXY | -0.013174</v>
      </c>
    </row>
    <row r="194" spans="9:9">
      <c r="I194" t="str">
        <f ca="1"/>
        <v>AZN | -0.013332</v>
      </c>
    </row>
    <row r="195" spans="9:9">
      <c r="I195" t="str">
        <f ca="1"/>
        <v>TSM | -0.014297</v>
      </c>
    </row>
    <row r="196" spans="9:9">
      <c r="I196" t="str">
        <f ca="1"/>
        <v>XPER | -0.0144</v>
      </c>
    </row>
    <row r="197" spans="9:9">
      <c r="I197" t="str">
        <f ca="1"/>
        <v>AVGO | -0.015982</v>
      </c>
    </row>
    <row r="198" spans="9:9">
      <c r="I198" t="str">
        <f ca="1"/>
        <v>RRC | -0.026549</v>
      </c>
    </row>
    <row r="199" spans="9:9">
      <c r="I199" t="str">
        <f ca="1"/>
        <v>AET | -0.027431</v>
      </c>
    </row>
    <row r="200" spans="9:9">
      <c r="I200" t="str">
        <f ca="1"/>
        <v>HPE | -0.028504</v>
      </c>
    </row>
    <row r="201" spans="9:9">
      <c r="I201" t="str">
        <f ca="1"/>
        <v>EOAN | -0.033119</v>
      </c>
    </row>
    <row r="202" spans="9:9">
      <c r="I202" t="str">
        <f ca="1"/>
        <v>MVEEOAN | -0.033119</v>
      </c>
    </row>
    <row r="203" spans="9:9">
      <c r="I203" t="str">
        <f ca="1"/>
        <v>JBEOAN | -0.033119</v>
      </c>
    </row>
    <row r="204" spans="9:9">
      <c r="I204" t="str">
        <f ca="1"/>
        <v>SHECY | -0.035576</v>
      </c>
    </row>
    <row r="205" spans="9:9">
      <c r="I205" t="str">
        <f ca="1"/>
        <v>PW | -0.035686</v>
      </c>
    </row>
    <row r="206" spans="9:9">
      <c r="I206" t="str">
        <f ca="1"/>
        <v>BLNK | -0.061454</v>
      </c>
    </row>
    <row r="207" spans="9:9">
      <c r="I207" t="str">
        <f ca="1"/>
        <v>ALDNE | -0.080268</v>
      </c>
    </row>
    <row r="208" spans="9:9">
      <c r="I208" t="str">
        <f ca="1"/>
        <v>MVEALDNE | -0.080268</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X1749" zoomScaleNormal="100" workbookViewId="0">
      <selection activeCell="Z1731" sqref="Z1731"/>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NEM</v>
      </c>
      <c r="B1" s="109" t="s">
        <v>188</v>
      </c>
      <c r="C1" s="109"/>
      <c r="D1" s="1061"/>
      <c r="E1" s="166" t="s">
        <v>2442</v>
      </c>
      <c r="F1" s="233" t="s">
        <v>2243</v>
      </c>
      <c r="G1" s="235" t="s">
        <v>2244</v>
      </c>
      <c r="H1" s="235" t="s">
        <v>2245</v>
      </c>
      <c r="I1" s="235" t="s">
        <v>2246</v>
      </c>
      <c r="J1" s="235" t="s">
        <v>2247</v>
      </c>
      <c r="K1" s="235" t="s">
        <v>2248</v>
      </c>
      <c r="L1" s="235" t="s">
        <v>2249</v>
      </c>
      <c r="M1" s="235" t="s">
        <v>2250</v>
      </c>
      <c r="N1" s="235" t="s">
        <v>2251</v>
      </c>
      <c r="O1" s="235" t="s">
        <v>2252</v>
      </c>
      <c r="P1" s="235" t="s">
        <v>2253</v>
      </c>
      <c r="Q1" s="235" t="s">
        <v>2254</v>
      </c>
      <c r="R1" s="235" t="s">
        <v>2255</v>
      </c>
      <c r="S1" s="235" t="s">
        <v>2256</v>
      </c>
      <c r="T1" s="235" t="s">
        <v>2257</v>
      </c>
      <c r="U1" s="235" t="s">
        <v>2258</v>
      </c>
      <c r="V1" s="235" t="s">
        <v>2259</v>
      </c>
      <c r="W1" s="235" t="s">
        <v>2260</v>
      </c>
      <c r="X1" s="235" t="s">
        <v>2458</v>
      </c>
      <c r="Y1" s="235" t="s">
        <v>2457</v>
      </c>
      <c r="Z1" s="992" t="s">
        <v>188</v>
      </c>
      <c r="BQ1"/>
      <c r="BR1"/>
      <c r="EP1"/>
      <c r="EQ1"/>
      <c r="ER1"/>
      <c r="ES1"/>
    </row>
    <row r="2" spans="1:248" s="389" customFormat="1" ht="28" thickBot="1">
      <c r="A2" s="385"/>
      <c r="B2" s="386"/>
      <c r="C2" s="387"/>
      <c r="D2" s="388"/>
      <c r="E2" s="991">
        <v>46002</v>
      </c>
      <c r="F2" s="993">
        <f t="shared" ref="F2:W2" ca="1" si="0">WORKDAY(G2,-1)</f>
        <v>45975</v>
      </c>
      <c r="G2" s="993">
        <f t="shared" ca="1" si="0"/>
        <v>45978</v>
      </c>
      <c r="H2" s="993">
        <f t="shared" ca="1" si="0"/>
        <v>45979</v>
      </c>
      <c r="I2" s="993">
        <f t="shared" ca="1" si="0"/>
        <v>45980</v>
      </c>
      <c r="J2" s="993">
        <f t="shared" ca="1" si="0"/>
        <v>45981</v>
      </c>
      <c r="K2" s="993">
        <f t="shared" ca="1" si="0"/>
        <v>45982</v>
      </c>
      <c r="L2" s="993">
        <f t="shared" ca="1" si="0"/>
        <v>45985</v>
      </c>
      <c r="M2" s="993">
        <f t="shared" ca="1" si="0"/>
        <v>45986</v>
      </c>
      <c r="N2" s="993">
        <f t="shared" ca="1" si="0"/>
        <v>45987</v>
      </c>
      <c r="O2" s="993">
        <f t="shared" ca="1" si="0"/>
        <v>45988</v>
      </c>
      <c r="P2" s="993">
        <f t="shared" ca="1" si="0"/>
        <v>45989</v>
      </c>
      <c r="Q2" s="993">
        <f t="shared" ca="1" si="0"/>
        <v>45992</v>
      </c>
      <c r="R2" s="993">
        <f t="shared" ca="1" si="0"/>
        <v>45993</v>
      </c>
      <c r="S2" s="993">
        <f t="shared" ca="1" si="0"/>
        <v>45994</v>
      </c>
      <c r="T2" s="993">
        <f t="shared" ca="1" si="0"/>
        <v>45995</v>
      </c>
      <c r="U2" s="993">
        <f t="shared" ca="1" si="0"/>
        <v>45996</v>
      </c>
      <c r="V2" s="993">
        <f t="shared" ca="1" si="0"/>
        <v>45999</v>
      </c>
      <c r="W2" s="993">
        <f t="shared" ca="1" si="0"/>
        <v>46000</v>
      </c>
      <c r="X2" s="993">
        <f ca="1">WORKDAY(Y2,-1)</f>
        <v>46001</v>
      </c>
      <c r="Y2" s="993">
        <f ca="1">WORKDAY(Z2,0)</f>
        <v>46002</v>
      </c>
      <c r="Z2" s="1374">
        <f ca="1">TODAY()</f>
        <v>46002</v>
      </c>
      <c r="AA2" s="1376" t="s">
        <v>2654</v>
      </c>
      <c r="AW2" s="390"/>
      <c r="BQ2"/>
      <c r="BR2"/>
    </row>
    <row r="3" spans="1:248" ht="22" customHeight="1" thickBot="1">
      <c r="D3" s="358"/>
      <c r="E3" s="391"/>
      <c r="F3" s="62">
        <f t="shared" ref="F3:X3" ca="1" si="1">WORKDAY(G3,-1)</f>
        <v>45974</v>
      </c>
      <c r="G3" s="62">
        <f t="shared" ca="1" si="1"/>
        <v>45975</v>
      </c>
      <c r="H3" s="62">
        <f t="shared" ca="1" si="1"/>
        <v>45978</v>
      </c>
      <c r="I3" s="62">
        <f t="shared" ca="1" si="1"/>
        <v>45979</v>
      </c>
      <c r="J3" s="62">
        <f t="shared" ca="1" si="1"/>
        <v>45980</v>
      </c>
      <c r="K3" s="62">
        <f t="shared" ca="1" si="1"/>
        <v>45981</v>
      </c>
      <c r="L3" s="62">
        <f t="shared" ca="1" si="1"/>
        <v>45982</v>
      </c>
      <c r="M3" s="62">
        <f t="shared" ca="1" si="1"/>
        <v>45985</v>
      </c>
      <c r="N3" s="62">
        <f t="shared" ca="1" si="1"/>
        <v>45986</v>
      </c>
      <c r="O3" s="62">
        <f t="shared" ca="1" si="1"/>
        <v>45987</v>
      </c>
      <c r="P3" s="62">
        <f t="shared" ca="1" si="1"/>
        <v>45988</v>
      </c>
      <c r="Q3" s="62">
        <f t="shared" ca="1" si="1"/>
        <v>45989</v>
      </c>
      <c r="R3" s="62">
        <f t="shared" ca="1" si="1"/>
        <v>45992</v>
      </c>
      <c r="S3" s="62">
        <f t="shared" ca="1" si="1"/>
        <v>45993</v>
      </c>
      <c r="T3" s="62">
        <f t="shared" ca="1" si="1"/>
        <v>45994</v>
      </c>
      <c r="U3" s="62">
        <f t="shared" ca="1" si="1"/>
        <v>45995</v>
      </c>
      <c r="V3" s="62">
        <f t="shared" ca="1" si="1"/>
        <v>45996</v>
      </c>
      <c r="W3" s="62">
        <f t="shared" ca="1" si="1"/>
        <v>45999</v>
      </c>
      <c r="X3" s="62">
        <f t="shared" ca="1" si="1"/>
        <v>46000</v>
      </c>
      <c r="Y3" s="62">
        <f ca="1">WORKDAY(Z3,-1)</f>
        <v>46001</v>
      </c>
      <c r="Z3" s="62">
        <f ca="1">IF(TODAY()=WORKDAY(TODAY(),0),TODAY(),WORKDAY(TODAY(),0))-AA3</f>
        <v>46002</v>
      </c>
      <c r="AA3" s="1377"/>
      <c r="AB3" s="115">
        <f t="shared" ref="AB3:AV3" ca="1" si="2">F3</f>
        <v>45974</v>
      </c>
      <c r="AC3" s="115">
        <f t="shared" ca="1" si="2"/>
        <v>45975</v>
      </c>
      <c r="AD3" s="115">
        <f t="shared" ca="1" si="2"/>
        <v>45978</v>
      </c>
      <c r="AE3" s="115">
        <f t="shared" ca="1" si="2"/>
        <v>45979</v>
      </c>
      <c r="AF3" s="115">
        <f t="shared" ca="1" si="2"/>
        <v>45980</v>
      </c>
      <c r="AG3" s="115">
        <f t="shared" ca="1" si="2"/>
        <v>45981</v>
      </c>
      <c r="AH3" s="115">
        <f t="shared" ca="1" si="2"/>
        <v>45982</v>
      </c>
      <c r="AI3" s="115">
        <f t="shared" ca="1" si="2"/>
        <v>45985</v>
      </c>
      <c r="AJ3" s="115">
        <f t="shared" ca="1" si="2"/>
        <v>45986</v>
      </c>
      <c r="AK3" s="115">
        <f t="shared" ca="1" si="2"/>
        <v>45987</v>
      </c>
      <c r="AL3" s="115">
        <f t="shared" ca="1" si="2"/>
        <v>45988</v>
      </c>
      <c r="AM3" s="115">
        <f t="shared" ca="1" si="2"/>
        <v>45989</v>
      </c>
      <c r="AN3" s="115">
        <f t="shared" ca="1" si="2"/>
        <v>45992</v>
      </c>
      <c r="AO3" s="115">
        <f t="shared" ca="1" si="2"/>
        <v>45993</v>
      </c>
      <c r="AP3" s="115">
        <f t="shared" ca="1" si="2"/>
        <v>45994</v>
      </c>
      <c r="AQ3" s="115">
        <f t="shared" ca="1" si="2"/>
        <v>45995</v>
      </c>
      <c r="AR3" s="115">
        <f t="shared" ca="1" si="2"/>
        <v>45996</v>
      </c>
      <c r="AS3" s="115">
        <f t="shared" ca="1" si="2"/>
        <v>45999</v>
      </c>
      <c r="AT3" s="115">
        <f t="shared" ca="1" si="2"/>
        <v>46000</v>
      </c>
      <c r="AU3" s="115">
        <f t="shared" ca="1" si="2"/>
        <v>46001</v>
      </c>
      <c r="AV3" s="115">
        <f t="shared" ca="1" si="2"/>
        <v>46002</v>
      </c>
      <c r="AW3" s="62"/>
      <c r="EH3" s="108"/>
    </row>
    <row r="4" spans="1:248" ht="22" customHeight="1" thickBot="1">
      <c r="A4" s="233" t="s">
        <v>199</v>
      </c>
      <c r="B4" s="234" t="s">
        <v>186</v>
      </c>
      <c r="C4" s="235" t="s">
        <v>200</v>
      </c>
      <c r="D4" s="235" t="s">
        <v>201</v>
      </c>
      <c r="E4" s="236" t="s">
        <v>202</v>
      </c>
      <c r="F4" s="264" t="s">
        <v>203</v>
      </c>
      <c r="G4" s="264" t="s">
        <v>204</v>
      </c>
      <c r="H4" s="264" t="s">
        <v>205</v>
      </c>
      <c r="I4" s="264" t="s">
        <v>206</v>
      </c>
      <c r="J4" s="264" t="s">
        <v>207</v>
      </c>
      <c r="K4" s="264" t="s">
        <v>208</v>
      </c>
      <c r="L4" s="264" t="s">
        <v>209</v>
      </c>
      <c r="M4" s="264" t="s">
        <v>210</v>
      </c>
      <c r="N4" s="264" t="s">
        <v>211</v>
      </c>
      <c r="O4" s="264" t="s">
        <v>212</v>
      </c>
      <c r="P4" s="264" t="s">
        <v>213</v>
      </c>
      <c r="Q4" s="264" t="s">
        <v>214</v>
      </c>
      <c r="R4" s="264" t="s">
        <v>215</v>
      </c>
      <c r="S4" s="264" t="s">
        <v>216</v>
      </c>
      <c r="T4" s="264" t="s">
        <v>217</v>
      </c>
      <c r="U4" s="264" t="s">
        <v>218</v>
      </c>
      <c r="V4" s="264" t="s">
        <v>219</v>
      </c>
      <c r="W4" s="264" t="s">
        <v>220</v>
      </c>
      <c r="X4" s="264" t="s">
        <v>221</v>
      </c>
      <c r="Y4" s="264" t="s">
        <v>222</v>
      </c>
      <c r="Z4" s="264" t="s">
        <v>223</v>
      </c>
      <c r="AA4" s="1375"/>
      <c r="AB4" s="277" t="s">
        <v>480</v>
      </c>
      <c r="AC4" s="277" t="s">
        <v>481</v>
      </c>
      <c r="AD4" s="277" t="s">
        <v>482</v>
      </c>
      <c r="AE4" s="277" t="s">
        <v>483</v>
      </c>
      <c r="AF4" s="277" t="s">
        <v>484</v>
      </c>
      <c r="AG4" s="277" t="s">
        <v>485</v>
      </c>
      <c r="AH4" s="277" t="s">
        <v>486</v>
      </c>
      <c r="AI4" s="277" t="s">
        <v>487</v>
      </c>
      <c r="AJ4" s="277" t="s">
        <v>488</v>
      </c>
      <c r="AK4" s="277" t="s">
        <v>489</v>
      </c>
      <c r="AL4" s="277" t="s">
        <v>490</v>
      </c>
      <c r="AM4" s="277" t="s">
        <v>491</v>
      </c>
      <c r="AN4" s="277" t="s">
        <v>492</v>
      </c>
      <c r="AO4" s="277" t="s">
        <v>493</v>
      </c>
      <c r="AP4" s="277" t="s">
        <v>494</v>
      </c>
      <c r="AQ4" s="277" t="s">
        <v>495</v>
      </c>
      <c r="AR4" s="277" t="s">
        <v>496</v>
      </c>
      <c r="AS4" s="277" t="s">
        <v>497</v>
      </c>
      <c r="AT4" s="277" t="s">
        <v>498</v>
      </c>
      <c r="AU4" s="277" t="s">
        <v>499</v>
      </c>
      <c r="AV4" s="277" t="s">
        <v>500</v>
      </c>
      <c r="AW4" s="265"/>
      <c r="AY4" t="s">
        <v>2201</v>
      </c>
      <c r="BA4" s="249"/>
      <c r="BS4" s="265"/>
      <c r="CP4" s="265"/>
      <c r="EH4" s="108"/>
      <c r="FD4" s="280"/>
      <c r="FZ4" s="280"/>
      <c r="GV4" s="280"/>
      <c r="HR4" s="280"/>
      <c r="IN4" s="280"/>
    </row>
    <row r="5" spans="1:248" ht="22" customHeight="1">
      <c r="A5" s="237" t="str">
        <f ca="1">[1]ExtEntry!$A3</f>
        <v>AAPL</v>
      </c>
      <c r="B5" s="238"/>
      <c r="C5" s="239"/>
      <c r="D5" s="239">
        <f>ROW()</f>
        <v>5</v>
      </c>
      <c r="E5" s="382">
        <f ca="1">[1]ExtEntry!$E3</f>
        <v>46002.876048506252</v>
      </c>
      <c r="F5" s="241">
        <v>270.04000000000002</v>
      </c>
      <c r="G5" s="241">
        <v>270.14</v>
      </c>
      <c r="H5" s="241">
        <v>269.77</v>
      </c>
      <c r="I5" s="241">
        <v>272.95</v>
      </c>
      <c r="J5" s="241">
        <v>267.45999999999998</v>
      </c>
      <c r="K5" s="241">
        <v>267.44</v>
      </c>
      <c r="L5" s="241">
        <v>268.56</v>
      </c>
      <c r="M5" s="241">
        <v>266.25</v>
      </c>
      <c r="N5" s="241">
        <v>276.97000000000003</v>
      </c>
      <c r="O5" s="241">
        <v>276.97000000000003</v>
      </c>
      <c r="P5" s="241">
        <v>277.55</v>
      </c>
      <c r="Q5" s="241">
        <v>278.85000000000002</v>
      </c>
      <c r="R5" s="241">
        <v>283.10000000000002</v>
      </c>
      <c r="S5" s="241">
        <v>286.19</v>
      </c>
      <c r="T5" s="241">
        <v>286.19</v>
      </c>
      <c r="U5" s="241">
        <v>284.14999999999998</v>
      </c>
      <c r="V5" s="241">
        <v>280.7</v>
      </c>
      <c r="W5" s="242">
        <v>277.89</v>
      </c>
      <c r="X5" s="241">
        <v>277.18</v>
      </c>
      <c r="Y5" s="241">
        <v>278.77999999999997</v>
      </c>
      <c r="Z5" s="243">
        <f ca="1">[1]ExtEntry!$F3</f>
        <v>278.77999999999997</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2191</v>
      </c>
      <c r="AZ5" t="s">
        <v>2190</v>
      </c>
      <c r="BA5" s="249">
        <v>5</v>
      </c>
      <c r="BS5" s="249"/>
      <c r="CP5" s="249"/>
      <c r="EH5" s="108"/>
      <c r="FD5" s="281"/>
      <c r="FZ5" s="249"/>
      <c r="GV5" s="249"/>
      <c r="HR5" s="249"/>
      <c r="IN5" s="249"/>
    </row>
    <row r="6" spans="1:248" ht="23" customHeight="1">
      <c r="A6" s="237" t="str">
        <f ca="1">[1]ExtEntry!$A4</f>
        <v>ADEA</v>
      </c>
      <c r="B6" s="246"/>
      <c r="C6" s="247"/>
      <c r="D6" s="247">
        <f>ROW()</f>
        <v>6</v>
      </c>
      <c r="E6" s="383">
        <f ca="1">[1]ExtEntry!$E4</f>
        <v>46002.8761639</v>
      </c>
      <c r="F6" s="249">
        <v>12.75</v>
      </c>
      <c r="G6" s="249">
        <v>13.78</v>
      </c>
      <c r="H6" s="249">
        <v>14</v>
      </c>
      <c r="I6" s="249">
        <v>13.14</v>
      </c>
      <c r="J6" s="249">
        <v>12.41</v>
      </c>
      <c r="K6" s="249">
        <v>12.35</v>
      </c>
      <c r="L6" s="249">
        <v>12.03</v>
      </c>
      <c r="M6" s="249">
        <v>11.74</v>
      </c>
      <c r="N6" s="249">
        <v>12.35</v>
      </c>
      <c r="O6" s="249">
        <v>12.35</v>
      </c>
      <c r="P6" s="249">
        <v>12.31</v>
      </c>
      <c r="Q6" s="249">
        <v>12.37</v>
      </c>
      <c r="R6" s="249">
        <v>12.39</v>
      </c>
      <c r="S6" s="249">
        <v>12.48</v>
      </c>
      <c r="T6" s="249">
        <v>12.48</v>
      </c>
      <c r="U6" s="249">
        <v>12.56</v>
      </c>
      <c r="V6" s="249">
        <v>12.44</v>
      </c>
      <c r="W6" s="250">
        <v>12.75</v>
      </c>
      <c r="X6" s="249">
        <v>12.8</v>
      </c>
      <c r="Y6" s="249">
        <v>13.52</v>
      </c>
      <c r="Z6" s="243">
        <f ca="1">[1]ExtEntry!$F4</f>
        <v>13.52</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2192</v>
      </c>
      <c r="AZ6" t="s">
        <v>2193</v>
      </c>
      <c r="BA6" s="249">
        <v>104</v>
      </c>
      <c r="BS6" s="249"/>
      <c r="CP6" s="249"/>
      <c r="EH6" s="108"/>
      <c r="FD6" s="281"/>
      <c r="FZ6" s="249"/>
      <c r="GV6" s="249"/>
      <c r="HR6" s="249"/>
      <c r="IN6" s="249"/>
    </row>
    <row r="7" spans="1:248" ht="22" customHeight="1">
      <c r="A7" s="237" t="str">
        <f ca="1">[1]ExtEntry!$A5</f>
        <v>AET</v>
      </c>
      <c r="B7" s="238"/>
      <c r="C7" s="239"/>
      <c r="D7" s="239">
        <f>ROW()</f>
        <v>7</v>
      </c>
      <c r="E7" s="384">
        <f ca="1">[1]ExtEntry!$E5</f>
        <v>46002.714270625002</v>
      </c>
      <c r="F7" s="241">
        <v>45</v>
      </c>
      <c r="G7" s="241">
        <v>46</v>
      </c>
      <c r="H7" s="241">
        <v>44.4</v>
      </c>
      <c r="I7" s="241">
        <v>46.2</v>
      </c>
      <c r="J7" s="241">
        <v>45</v>
      </c>
      <c r="K7" s="241">
        <v>45</v>
      </c>
      <c r="L7" s="241">
        <v>45</v>
      </c>
      <c r="M7" s="241">
        <v>45.5</v>
      </c>
      <c r="N7" s="241">
        <v>41</v>
      </c>
      <c r="O7" s="241">
        <v>40.1</v>
      </c>
      <c r="P7" s="241">
        <v>38.799999999999997</v>
      </c>
      <c r="Q7" s="241">
        <v>38</v>
      </c>
      <c r="R7" s="241">
        <v>39</v>
      </c>
      <c r="S7" s="241">
        <v>38.1</v>
      </c>
      <c r="T7" s="241">
        <v>38.1</v>
      </c>
      <c r="U7" s="241">
        <v>38.4</v>
      </c>
      <c r="V7" s="241">
        <v>38.6</v>
      </c>
      <c r="W7" s="242">
        <v>39</v>
      </c>
      <c r="X7" s="241">
        <v>38.6</v>
      </c>
      <c r="Y7" s="241">
        <v>40.1</v>
      </c>
      <c r="Z7" s="243">
        <f ca="1">[1]ExtEntry!$F5</f>
        <v>40.1</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2194</v>
      </c>
      <c r="AZ7" t="s">
        <v>661</v>
      </c>
      <c r="BA7" s="249">
        <v>203</v>
      </c>
      <c r="CP7" s="249"/>
      <c r="EH7" s="108"/>
      <c r="FD7" s="281"/>
      <c r="FZ7" s="249"/>
      <c r="GV7" s="249"/>
      <c r="HR7" s="249"/>
      <c r="IN7" s="249"/>
    </row>
    <row r="8" spans="1:248" ht="22" customHeight="1">
      <c r="A8" s="237" t="str">
        <f ca="1">[1]ExtEntry!$A6</f>
        <v>AMZN</v>
      </c>
      <c r="B8" s="246"/>
      <c r="C8" s="247"/>
      <c r="D8" s="247">
        <f>ROW()</f>
        <v>8</v>
      </c>
      <c r="E8" s="383">
        <f ca="1">[1]ExtEntry!$E6</f>
        <v>46002.876189710158</v>
      </c>
      <c r="F8" s="249">
        <v>249.32</v>
      </c>
      <c r="G8" s="249">
        <v>250.2</v>
      </c>
      <c r="H8" s="249">
        <v>243.04</v>
      </c>
      <c r="I8" s="249">
        <v>237.58</v>
      </c>
      <c r="J8" s="249">
        <v>232.87</v>
      </c>
      <c r="K8" s="249">
        <v>222.55</v>
      </c>
      <c r="L8" s="249">
        <v>222.69</v>
      </c>
      <c r="M8" s="249">
        <v>217.14</v>
      </c>
      <c r="N8" s="249">
        <v>229.67</v>
      </c>
      <c r="O8" s="249">
        <v>229.67</v>
      </c>
      <c r="P8" s="249">
        <v>229.16</v>
      </c>
      <c r="Q8" s="249">
        <v>233.22</v>
      </c>
      <c r="R8" s="249">
        <v>233.88</v>
      </c>
      <c r="S8" s="249">
        <v>234.42</v>
      </c>
      <c r="T8" s="249">
        <v>234.42</v>
      </c>
      <c r="U8" s="249">
        <v>232.38</v>
      </c>
      <c r="V8" s="249">
        <v>229.11</v>
      </c>
      <c r="W8" s="250">
        <v>226.89</v>
      </c>
      <c r="X8" s="249">
        <v>227.92</v>
      </c>
      <c r="Y8" s="249">
        <v>231.78</v>
      </c>
      <c r="Z8" s="243">
        <f ca="1">[1]ExtEntry!$F6</f>
        <v>231.78</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198</v>
      </c>
      <c r="AZ8" t="s">
        <v>2195</v>
      </c>
      <c r="BA8" s="249"/>
      <c r="CP8" s="249"/>
      <c r="EH8" s="108"/>
      <c r="FD8" s="281"/>
      <c r="FZ8" s="249"/>
      <c r="GV8" s="249"/>
      <c r="HR8" s="249"/>
      <c r="IN8" s="249"/>
    </row>
    <row r="9" spans="1:248" ht="22" hidden="1" customHeight="1">
      <c r="A9" s="237" t="str">
        <f ca="1">[1]ExtEntry!$A7</f>
        <v>ALDNE</v>
      </c>
      <c r="B9" s="238"/>
      <c r="C9" s="239"/>
      <c r="D9" s="239">
        <f>ROW()</f>
        <v>9</v>
      </c>
      <c r="E9" s="384">
        <f ca="1">[1]ExtEntry!$E7</f>
        <v>46002.708333333336</v>
      </c>
      <c r="F9" s="241">
        <v>0.78800000000000003</v>
      </c>
      <c r="G9" s="241">
        <v>0.79</v>
      </c>
      <c r="H9" s="241">
        <v>0.78200000000000003</v>
      </c>
      <c r="I9" s="241">
        <v>0.72</v>
      </c>
      <c r="J9" s="241">
        <v>0.68</v>
      </c>
      <c r="K9" s="241">
        <v>0.68</v>
      </c>
      <c r="L9" s="241">
        <v>0.68799999999999994</v>
      </c>
      <c r="M9" s="241">
        <v>0.66800000000000004</v>
      </c>
      <c r="N9" s="241">
        <v>0.66600000000000004</v>
      </c>
      <c r="O9" s="241">
        <v>0.64600000000000002</v>
      </c>
      <c r="P9" s="241">
        <v>0.62</v>
      </c>
      <c r="Q9" s="241">
        <v>0.60399999999999998</v>
      </c>
      <c r="R9" s="241">
        <v>0.61799999999999999</v>
      </c>
      <c r="S9" s="241">
        <v>0.62</v>
      </c>
      <c r="T9" s="241">
        <v>0.62</v>
      </c>
      <c r="U9" s="241">
        <v>0.626</v>
      </c>
      <c r="V9" s="241">
        <v>0.62</v>
      </c>
      <c r="W9" s="242">
        <v>0.59</v>
      </c>
      <c r="X9" s="241">
        <v>0.59</v>
      </c>
      <c r="Y9" s="241">
        <v>0.59799999999999998</v>
      </c>
      <c r="Z9" s="243">
        <f ca="1">[1]ExtEntry!$F7</f>
        <v>0.59799999999999998</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2196</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46002.708333333336</v>
      </c>
      <c r="F10" s="249">
        <v>918</v>
      </c>
      <c r="G10" s="249">
        <v>906.6</v>
      </c>
      <c r="H10" s="249">
        <v>895.3</v>
      </c>
      <c r="I10" s="249">
        <v>881.5</v>
      </c>
      <c r="J10" s="249">
        <v>865.6</v>
      </c>
      <c r="K10" s="249">
        <v>865.6</v>
      </c>
      <c r="L10" s="249">
        <v>886.6</v>
      </c>
      <c r="M10" s="249">
        <v>889.8</v>
      </c>
      <c r="N10" s="249">
        <v>860.3</v>
      </c>
      <c r="O10" s="249">
        <v>909.3</v>
      </c>
      <c r="P10" s="249">
        <v>897.2</v>
      </c>
      <c r="Q10" s="249">
        <v>903.4</v>
      </c>
      <c r="R10" s="249">
        <v>926.7</v>
      </c>
      <c r="S10" s="249">
        <v>939.1</v>
      </c>
      <c r="T10" s="249">
        <v>939.1</v>
      </c>
      <c r="U10" s="249">
        <v>963.4</v>
      </c>
      <c r="V10" s="249">
        <v>957.3</v>
      </c>
      <c r="W10" s="250">
        <v>963.2</v>
      </c>
      <c r="X10" s="249">
        <v>952.9</v>
      </c>
      <c r="Y10" s="249">
        <v>946</v>
      </c>
      <c r="Z10" s="243">
        <f ca="1">[1]ExtEntry!$F8</f>
        <v>946</v>
      </c>
      <c r="AA10" s="266"/>
      <c r="AB10" s="376">
        <v>3600</v>
      </c>
      <c r="AC10" s="376">
        <v>3100</v>
      </c>
      <c r="AD10" s="376">
        <v>3100</v>
      </c>
      <c r="AE10" s="376">
        <v>3000</v>
      </c>
      <c r="AF10" s="376">
        <v>3500</v>
      </c>
      <c r="AG10" s="376">
        <v>3500</v>
      </c>
      <c r="AH10" s="376">
        <v>3500</v>
      </c>
      <c r="AI10" s="376">
        <v>3500</v>
      </c>
      <c r="AJ10" s="376">
        <v>3200</v>
      </c>
      <c r="AK10" s="376">
        <v>3200</v>
      </c>
      <c r="AL10" s="376">
        <v>3200</v>
      </c>
      <c r="AM10" s="376">
        <v>3200</v>
      </c>
      <c r="AN10" s="376">
        <v>3000</v>
      </c>
      <c r="AO10" s="376">
        <v>2800</v>
      </c>
      <c r="AP10" s="376">
        <v>2800</v>
      </c>
      <c r="AQ10" s="376">
        <v>2800</v>
      </c>
      <c r="AR10" s="376">
        <v>2800</v>
      </c>
      <c r="AS10" s="376">
        <v>2800</v>
      </c>
      <c r="AT10" s="376">
        <v>2800</v>
      </c>
      <c r="AU10" s="376">
        <v>2800</v>
      </c>
      <c r="AV10" s="376">
        <f ca="1">Calc!G8</f>
        <v>2800</v>
      </c>
      <c r="AW10" s="249"/>
      <c r="AX10" s="86" t="str">
        <f t="shared" ca="1" si="3"/>
        <v>ASML</v>
      </c>
      <c r="AY10" t="s">
        <v>179</v>
      </c>
      <c r="AZ10" t="s">
        <v>2197</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46002.876037001559</v>
      </c>
      <c r="F11" s="249">
        <v>351.94</v>
      </c>
      <c r="G11" s="249">
        <v>358.98</v>
      </c>
      <c r="H11" s="249">
        <v>355.59</v>
      </c>
      <c r="I11" s="249">
        <v>339.98</v>
      </c>
      <c r="J11" s="249">
        <v>342.65</v>
      </c>
      <c r="K11" s="249">
        <v>340.5</v>
      </c>
      <c r="L11" s="249">
        <v>354.42</v>
      </c>
      <c r="M11" s="249">
        <v>346.82</v>
      </c>
      <c r="N11" s="249">
        <v>385.03</v>
      </c>
      <c r="O11" s="249">
        <v>385.03</v>
      </c>
      <c r="P11" s="249">
        <v>397.57</v>
      </c>
      <c r="Q11" s="249">
        <v>402.96</v>
      </c>
      <c r="R11" s="249">
        <v>386.08</v>
      </c>
      <c r="S11" s="249">
        <v>381.57</v>
      </c>
      <c r="T11" s="249">
        <v>381.57</v>
      </c>
      <c r="U11" s="249">
        <v>380.61</v>
      </c>
      <c r="V11" s="249">
        <v>381.03</v>
      </c>
      <c r="W11" s="250">
        <v>401.1</v>
      </c>
      <c r="X11" s="249">
        <v>406.29</v>
      </c>
      <c r="Y11" s="249">
        <v>412.97</v>
      </c>
      <c r="Z11" s="243">
        <f ca="1">[1]ExtEntry!$F9</f>
        <v>412.97</v>
      </c>
      <c r="AA11" s="266"/>
      <c r="AB11" s="376">
        <v>400</v>
      </c>
      <c r="AC11" s="376">
        <v>400</v>
      </c>
      <c r="AD11" s="376">
        <v>400</v>
      </c>
      <c r="AE11" s="376">
        <v>400</v>
      </c>
      <c r="AF11" s="376">
        <v>200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1014</v>
      </c>
      <c r="AZ11" t="s">
        <v>2198</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46002.875009733594</v>
      </c>
      <c r="F12" s="249">
        <v>82.03</v>
      </c>
      <c r="G12" s="249">
        <v>81.150000000000006</v>
      </c>
      <c r="H12" s="249">
        <v>83.77</v>
      </c>
      <c r="I12" s="249">
        <v>88.61</v>
      </c>
      <c r="J12" s="249">
        <v>89.4</v>
      </c>
      <c r="K12" s="249">
        <v>89.55</v>
      </c>
      <c r="L12" s="249">
        <v>88.99</v>
      </c>
      <c r="M12" s="249">
        <v>88.68</v>
      </c>
      <c r="N12" s="249">
        <v>93.24</v>
      </c>
      <c r="O12" s="249">
        <v>93.24</v>
      </c>
      <c r="P12" s="249">
        <v>93.32</v>
      </c>
      <c r="Q12" s="249">
        <v>92.72</v>
      </c>
      <c r="R12" s="249">
        <v>90.52</v>
      </c>
      <c r="S12" s="249">
        <v>90.17</v>
      </c>
      <c r="T12" s="249">
        <v>90.17</v>
      </c>
      <c r="U12" s="249">
        <v>90.85</v>
      </c>
      <c r="V12" s="249">
        <v>90.03</v>
      </c>
      <c r="W12" s="250">
        <v>91.28</v>
      </c>
      <c r="X12" s="249">
        <v>89.82</v>
      </c>
      <c r="Y12" s="249">
        <v>91.51</v>
      </c>
      <c r="Z12" s="243">
        <f ca="1">[1]ExtEntry!$F10</f>
        <v>91.51</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2199</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46002.876125751565</v>
      </c>
      <c r="F13" s="249">
        <v>3.37</v>
      </c>
      <c r="G13" s="249">
        <v>3.65</v>
      </c>
      <c r="H13" s="249">
        <v>3.55</v>
      </c>
      <c r="I13" s="249">
        <v>3.19</v>
      </c>
      <c r="J13" s="249">
        <v>2.91</v>
      </c>
      <c r="K13" s="249">
        <v>2.89</v>
      </c>
      <c r="L13" s="249">
        <v>2.85</v>
      </c>
      <c r="M13" s="249">
        <v>2.68</v>
      </c>
      <c r="N13" s="249">
        <v>2.69</v>
      </c>
      <c r="O13" s="249">
        <v>2.69</v>
      </c>
      <c r="P13" s="249">
        <v>2.78</v>
      </c>
      <c r="Q13" s="249">
        <v>2.84</v>
      </c>
      <c r="R13" s="249">
        <v>2.68</v>
      </c>
      <c r="S13" s="249">
        <v>2.71</v>
      </c>
      <c r="T13" s="249">
        <v>2.71</v>
      </c>
      <c r="U13" s="249">
        <v>2.67</v>
      </c>
      <c r="V13" s="249">
        <v>2.8</v>
      </c>
      <c r="W13" s="250">
        <v>2.8</v>
      </c>
      <c r="X13" s="249">
        <v>2.82</v>
      </c>
      <c r="Y13" s="249">
        <v>2.78</v>
      </c>
      <c r="Z13" s="243">
        <f ca="1">[1]ExtEntry!$F11</f>
        <v>2.78</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2131</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46002.876185786721</v>
      </c>
      <c r="F14" s="249">
        <v>2.48</v>
      </c>
      <c r="G14" s="249">
        <v>2.58</v>
      </c>
      <c r="H14" s="249">
        <v>2.5499999999999998</v>
      </c>
      <c r="I14" s="249">
        <v>2.5</v>
      </c>
      <c r="J14" s="249">
        <v>2.29</v>
      </c>
      <c r="K14" s="249">
        <v>2.25</v>
      </c>
      <c r="L14" s="249">
        <v>2.1800000000000002</v>
      </c>
      <c r="M14" s="249">
        <v>2.2400000000000002</v>
      </c>
      <c r="N14" s="249">
        <v>2.39</v>
      </c>
      <c r="O14" s="249">
        <v>2.39</v>
      </c>
      <c r="P14" s="249">
        <v>2.3199999999999998</v>
      </c>
      <c r="Q14" s="249">
        <v>2.37</v>
      </c>
      <c r="R14" s="249">
        <v>2.2599999999999998</v>
      </c>
      <c r="S14" s="249">
        <v>2.2999999999999998</v>
      </c>
      <c r="T14" s="249">
        <v>2.34</v>
      </c>
      <c r="U14" s="249">
        <v>2.31</v>
      </c>
      <c r="V14" s="249">
        <v>2.3029999999999999</v>
      </c>
      <c r="W14" s="250">
        <v>2.4849999999999999</v>
      </c>
      <c r="X14" s="249">
        <v>2.54</v>
      </c>
      <c r="Y14" s="249">
        <v>2.5</v>
      </c>
      <c r="Z14" s="243">
        <f ca="1">[1]ExtEntry!$F12</f>
        <v>2.5</v>
      </c>
      <c r="AA14" s="266"/>
      <c r="AB14" s="376">
        <v>27500</v>
      </c>
      <c r="AC14" s="376">
        <v>12500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46002.876155022655</v>
      </c>
      <c r="F15" s="249">
        <v>101.01</v>
      </c>
      <c r="G15" s="249">
        <v>101.69</v>
      </c>
      <c r="H15" s="249">
        <v>100.85</v>
      </c>
      <c r="I15" s="249">
        <v>100.67</v>
      </c>
      <c r="J15" s="249">
        <v>98.19</v>
      </c>
      <c r="K15" s="249">
        <v>98.32</v>
      </c>
      <c r="L15" s="249">
        <v>99.83</v>
      </c>
      <c r="M15" s="249">
        <v>97.63</v>
      </c>
      <c r="N15" s="249">
        <v>101.17</v>
      </c>
      <c r="O15" s="249">
        <v>101.17</v>
      </c>
      <c r="P15" s="249">
        <v>102.5</v>
      </c>
      <c r="Q15" s="249">
        <v>103.6</v>
      </c>
      <c r="R15" s="249">
        <v>102.68</v>
      </c>
      <c r="S15" s="249">
        <v>103.19</v>
      </c>
      <c r="T15" s="249">
        <v>103.19</v>
      </c>
      <c r="U15" s="249">
        <v>106.72</v>
      </c>
      <c r="V15" s="249">
        <v>107.79</v>
      </c>
      <c r="W15" s="250">
        <v>108.92</v>
      </c>
      <c r="X15" s="249">
        <v>109.43</v>
      </c>
      <c r="Y15" s="249">
        <v>111.09</v>
      </c>
      <c r="Z15" s="243">
        <f ca="1">[1]ExtEntry!$F13</f>
        <v>111.09</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46002.876046238278</v>
      </c>
      <c r="F16" s="249">
        <v>72.319999999999993</v>
      </c>
      <c r="G16" s="249">
        <v>72.099999999999994</v>
      </c>
      <c r="H16" s="249">
        <v>71.040000000000006</v>
      </c>
      <c r="I16" s="249">
        <v>77.38</v>
      </c>
      <c r="J16" s="249">
        <v>77.78</v>
      </c>
      <c r="K16" s="249">
        <v>77.37</v>
      </c>
      <c r="L16" s="249">
        <v>78.39</v>
      </c>
      <c r="M16" s="249">
        <v>75.44</v>
      </c>
      <c r="N16" s="249">
        <v>76.319999999999993</v>
      </c>
      <c r="O16" s="249">
        <v>76.319999999999993</v>
      </c>
      <c r="P16" s="249">
        <v>76.069999999999993</v>
      </c>
      <c r="Q16" s="249">
        <v>76.94</v>
      </c>
      <c r="R16" s="249">
        <v>76.040000000000006</v>
      </c>
      <c r="S16" s="249">
        <v>76.87</v>
      </c>
      <c r="T16" s="249">
        <v>76.87</v>
      </c>
      <c r="U16" s="249">
        <v>77.75</v>
      </c>
      <c r="V16" s="249">
        <v>77.760000000000005</v>
      </c>
      <c r="W16" s="250">
        <v>78.86</v>
      </c>
      <c r="X16" s="249">
        <v>79.510000000000005</v>
      </c>
      <c r="Y16" s="249">
        <v>80.25</v>
      </c>
      <c r="Z16" s="243">
        <f ca="1">[1]ExtEntry!$F14</f>
        <v>80.25</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46002.876101110938</v>
      </c>
      <c r="F17" s="249">
        <v>78.08</v>
      </c>
      <c r="G17" s="249">
        <v>78.55</v>
      </c>
      <c r="H17" s="249">
        <v>78.66</v>
      </c>
      <c r="I17" s="249">
        <v>79.239999999999995</v>
      </c>
      <c r="J17" s="249">
        <v>78.41</v>
      </c>
      <c r="K17" s="249">
        <v>77.94</v>
      </c>
      <c r="L17" s="249">
        <v>76.55</v>
      </c>
      <c r="M17" s="249">
        <v>76.040000000000006</v>
      </c>
      <c r="N17" s="249">
        <v>78.47</v>
      </c>
      <c r="O17" s="249">
        <v>78.47</v>
      </c>
      <c r="P17" s="249">
        <v>79.86</v>
      </c>
      <c r="Q17" s="249">
        <v>80.36</v>
      </c>
      <c r="R17" s="249">
        <v>79.099999999999994</v>
      </c>
      <c r="S17" s="249">
        <v>77.62</v>
      </c>
      <c r="T17" s="249">
        <v>77.62</v>
      </c>
      <c r="U17" s="249">
        <v>75</v>
      </c>
      <c r="V17" s="249">
        <v>76.75</v>
      </c>
      <c r="W17" s="250">
        <v>76.53</v>
      </c>
      <c r="X17" s="249">
        <v>78.239999999999995</v>
      </c>
      <c r="Y17" s="249">
        <v>78.97</v>
      </c>
      <c r="Z17" s="243">
        <f ca="1">[1]ExtEntry!$F15</f>
        <v>78.97</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46002.708333333336</v>
      </c>
      <c r="F18" s="249">
        <v>2.62</v>
      </c>
      <c r="G18" s="249">
        <v>2.6</v>
      </c>
      <c r="H18" s="249">
        <v>2.25</v>
      </c>
      <c r="I18" s="249">
        <v>2.16</v>
      </c>
      <c r="J18" s="249">
        <v>2.08</v>
      </c>
      <c r="K18" s="249">
        <v>2.08</v>
      </c>
      <c r="L18" s="249">
        <v>1.98</v>
      </c>
      <c r="M18" s="249">
        <v>1.87</v>
      </c>
      <c r="N18" s="249">
        <v>2.02</v>
      </c>
      <c r="O18" s="249">
        <v>2.02</v>
      </c>
      <c r="P18" s="249">
        <v>2.04</v>
      </c>
      <c r="Q18" s="249">
        <v>2.08</v>
      </c>
      <c r="R18" s="249">
        <v>2</v>
      </c>
      <c r="S18" s="249">
        <v>2.04</v>
      </c>
      <c r="T18" s="249">
        <v>2.04</v>
      </c>
      <c r="U18" s="249">
        <v>2.21</v>
      </c>
      <c r="V18" s="249">
        <v>2.25</v>
      </c>
      <c r="W18" s="250">
        <v>2.13</v>
      </c>
      <c r="X18" s="249">
        <v>1.77</v>
      </c>
      <c r="Y18" s="249">
        <v>1.77</v>
      </c>
      <c r="Z18" s="243">
        <f ca="1">[1]ExtEntry!$F16</f>
        <v>1.77</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46002.876074316409</v>
      </c>
      <c r="F19" s="249">
        <v>111.47</v>
      </c>
      <c r="G19" s="249">
        <v>111.36</v>
      </c>
      <c r="H19" s="249">
        <v>110.49</v>
      </c>
      <c r="I19" s="249">
        <v>107.61</v>
      </c>
      <c r="J19" s="249">
        <v>105.69</v>
      </c>
      <c r="K19" s="249">
        <v>106.28</v>
      </c>
      <c r="L19" s="249">
        <v>104.67</v>
      </c>
      <c r="M19" s="249">
        <v>102.7</v>
      </c>
      <c r="N19" s="249">
        <v>103.31</v>
      </c>
      <c r="O19" s="249">
        <v>103.31</v>
      </c>
      <c r="P19" s="249">
        <v>103.43</v>
      </c>
      <c r="Q19" s="249">
        <v>104.47</v>
      </c>
      <c r="R19" s="249">
        <v>106.77</v>
      </c>
      <c r="S19" s="249">
        <v>104.83</v>
      </c>
      <c r="T19" s="249">
        <v>104.83</v>
      </c>
      <c r="U19" s="249">
        <v>105.74</v>
      </c>
      <c r="V19" s="249">
        <v>105.47</v>
      </c>
      <c r="W19" s="250">
        <v>107.63</v>
      </c>
      <c r="X19" s="249">
        <v>107.02</v>
      </c>
      <c r="Y19" s="249">
        <v>108.83</v>
      </c>
      <c r="Z19" s="243">
        <f ca="1">[1]ExtEntry!$F17</f>
        <v>108.83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46002.876041642972</v>
      </c>
      <c r="F20" s="249">
        <v>24.04</v>
      </c>
      <c r="G20" s="249">
        <v>23.98</v>
      </c>
      <c r="H20" s="249">
        <v>23.26</v>
      </c>
      <c r="I20" s="249">
        <v>24.23</v>
      </c>
      <c r="J20" s="249">
        <v>23.18</v>
      </c>
      <c r="K20" s="249">
        <v>23.18</v>
      </c>
      <c r="L20" s="249">
        <v>23.38</v>
      </c>
      <c r="M20" s="249">
        <v>23.32</v>
      </c>
      <c r="N20" s="249">
        <v>23.96</v>
      </c>
      <c r="O20" s="249">
        <v>24.15</v>
      </c>
      <c r="P20" s="249">
        <v>24.15</v>
      </c>
      <c r="Q20" s="249">
        <v>24.11</v>
      </c>
      <c r="R20" s="249">
        <v>23.85</v>
      </c>
      <c r="S20" s="249">
        <v>23.42</v>
      </c>
      <c r="T20" s="249">
        <v>23.42</v>
      </c>
      <c r="U20" s="249">
        <v>23.41</v>
      </c>
      <c r="V20" s="249">
        <v>23.76</v>
      </c>
      <c r="W20" s="250">
        <v>23.51</v>
      </c>
      <c r="X20" s="249">
        <v>23.35</v>
      </c>
      <c r="Y20" s="249">
        <v>23.02</v>
      </c>
      <c r="Z20" s="243">
        <f ca="1">[1]ExtEntry!$F18</f>
        <v>23.02</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46002.863194444442</v>
      </c>
      <c r="F21" s="249">
        <v>119.97</v>
      </c>
      <c r="G21" s="249">
        <v>121.16</v>
      </c>
      <c r="H21" s="249">
        <v>121.53</v>
      </c>
      <c r="I21" s="249">
        <v>123.05</v>
      </c>
      <c r="J21" s="249">
        <v>117.27</v>
      </c>
      <c r="K21" s="249">
        <v>116.56</v>
      </c>
      <c r="L21" s="249">
        <v>115.2</v>
      </c>
      <c r="M21" s="249">
        <v>115.35</v>
      </c>
      <c r="N21" s="249">
        <v>121.37</v>
      </c>
      <c r="O21" s="249">
        <v>121.37</v>
      </c>
      <c r="P21" s="249">
        <v>120.1</v>
      </c>
      <c r="Q21" s="249">
        <v>119.68</v>
      </c>
      <c r="R21" s="249">
        <v>119.24</v>
      </c>
      <c r="S21" s="249">
        <v>119.18</v>
      </c>
      <c r="T21" s="249">
        <v>119.18</v>
      </c>
      <c r="U21" s="249">
        <v>118.25</v>
      </c>
      <c r="V21" s="249">
        <v>117.28</v>
      </c>
      <c r="W21" s="250">
        <v>117.05</v>
      </c>
      <c r="X21" s="249">
        <v>116.67</v>
      </c>
      <c r="Y21" s="249">
        <v>118.68</v>
      </c>
      <c r="Z21" s="243">
        <f ca="1">[1]ExtEntry!$F19</f>
        <v>118.68</v>
      </c>
      <c r="AA21" s="266"/>
      <c r="AB21" s="376">
        <v>3000</v>
      </c>
      <c r="AC21" s="376">
        <v>3000</v>
      </c>
      <c r="AD21" s="376">
        <v>1400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13.54</v>
      </c>
      <c r="G22" s="249">
        <v>13.81</v>
      </c>
      <c r="H22" s="249">
        <v>13.64</v>
      </c>
      <c r="I22" s="249">
        <v>13.32</v>
      </c>
      <c r="J22" s="249">
        <v>12.46</v>
      </c>
      <c r="K22" s="249">
        <v>12.22</v>
      </c>
      <c r="L22" s="249">
        <v>11.99</v>
      </c>
      <c r="M22" s="249">
        <v>12.19</v>
      </c>
      <c r="N22" s="249">
        <v>13.06</v>
      </c>
      <c r="O22" s="249">
        <v>13.06</v>
      </c>
      <c r="P22" s="249">
        <v>13.11</v>
      </c>
      <c r="Q22" s="249">
        <v>13.2</v>
      </c>
      <c r="R22" s="249">
        <v>13.44</v>
      </c>
      <c r="S22" s="249">
        <v>13.56</v>
      </c>
      <c r="T22" s="249">
        <v>13.56</v>
      </c>
      <c r="U22" s="249">
        <v>13.7</v>
      </c>
      <c r="V22" s="249">
        <v>13.98</v>
      </c>
      <c r="W22" s="250">
        <v>14.36</v>
      </c>
      <c r="X22" s="249">
        <v>15.04</v>
      </c>
      <c r="Y22" s="249">
        <v>15.12</v>
      </c>
      <c r="Z22" s="243">
        <f ca="1">[1]ExtEntry!$F20</f>
        <v>15.12</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46002.876132175785</v>
      </c>
      <c r="F23" s="249">
        <v>15.75</v>
      </c>
      <c r="G23" s="249">
        <v>16.05</v>
      </c>
      <c r="H23" s="249">
        <v>16.079999999999998</v>
      </c>
      <c r="I23" s="249">
        <v>15.225</v>
      </c>
      <c r="J23" s="249">
        <v>15.34</v>
      </c>
      <c r="K23" s="249">
        <v>15.34</v>
      </c>
      <c r="L23" s="249">
        <v>15.3</v>
      </c>
      <c r="M23" s="249">
        <v>15.39</v>
      </c>
      <c r="N23" s="249">
        <v>15.38</v>
      </c>
      <c r="O23" s="249">
        <v>15.455</v>
      </c>
      <c r="P23" s="249">
        <v>15.31</v>
      </c>
      <c r="Q23" s="249">
        <v>15.324999999999999</v>
      </c>
      <c r="R23" s="249">
        <v>15.22</v>
      </c>
      <c r="S23" s="249">
        <v>15.285</v>
      </c>
      <c r="T23" s="249">
        <v>15.285</v>
      </c>
      <c r="U23" s="249">
        <v>15.86</v>
      </c>
      <c r="V23" s="249">
        <v>15.59</v>
      </c>
      <c r="W23" s="250">
        <v>15.52</v>
      </c>
      <c r="X23" s="249">
        <v>15.595000000000001</v>
      </c>
      <c r="Y23" s="249">
        <v>15.55</v>
      </c>
      <c r="Z23" s="243">
        <f ca="1">[1]ExtEntry!$F21</f>
        <v>15.55</v>
      </c>
      <c r="AA23" s="266"/>
      <c r="AB23" s="376">
        <v>15000</v>
      </c>
      <c r="AC23" s="376">
        <v>15000</v>
      </c>
      <c r="AD23" s="376">
        <v>15000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25000</v>
      </c>
      <c r="AT23" s="376">
        <v>25000</v>
      </c>
      <c r="AU23" s="376">
        <v>25000</v>
      </c>
      <c r="AV23" s="377">
        <f ca="1">Calc!G21</f>
        <v>25000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46002.876164363282</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46002.876040937503</v>
      </c>
      <c r="F25" s="249">
        <v>66.87</v>
      </c>
      <c r="G25" s="249">
        <v>68.77</v>
      </c>
      <c r="H25" s="249">
        <v>68.84</v>
      </c>
      <c r="I25" s="249">
        <v>71.89</v>
      </c>
      <c r="J25" s="249">
        <v>67.91</v>
      </c>
      <c r="K25" s="249">
        <v>67.930000000000007</v>
      </c>
      <c r="L25" s="249">
        <v>68.5</v>
      </c>
      <c r="M25" s="249">
        <v>68.040000000000006</v>
      </c>
      <c r="N25" s="249">
        <v>72.78</v>
      </c>
      <c r="O25" s="249">
        <v>72.78</v>
      </c>
      <c r="P25" s="249">
        <v>72.81</v>
      </c>
      <c r="Q25" s="249">
        <v>73.52</v>
      </c>
      <c r="R25" s="249">
        <v>72.95</v>
      </c>
      <c r="S25" s="249">
        <v>73.66</v>
      </c>
      <c r="T25" s="249">
        <v>73.66</v>
      </c>
      <c r="U25" s="249">
        <v>74.69</v>
      </c>
      <c r="V25" s="249">
        <v>75.14</v>
      </c>
      <c r="W25" s="250">
        <v>75.709999999999994</v>
      </c>
      <c r="X25" s="249">
        <v>77.16</v>
      </c>
      <c r="Y25" s="249">
        <v>80.8</v>
      </c>
      <c r="Z25" s="243">
        <f ca="1">[1]ExtEntry!$F23</f>
        <v>80.8</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v>
      </c>
      <c r="AU25" s="376">
        <v>1</v>
      </c>
      <c r="AV25" s="377">
        <f ca="1">Calc!G23</f>
        <v>1</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46002.686080821091</v>
      </c>
      <c r="F26" s="249">
        <v>23.56</v>
      </c>
      <c r="G26" s="249">
        <v>23.71</v>
      </c>
      <c r="H26" s="249">
        <v>23.4</v>
      </c>
      <c r="I26" s="249">
        <v>22.93</v>
      </c>
      <c r="J26" s="249">
        <v>21.23</v>
      </c>
      <c r="K26" s="249">
        <v>20.9</v>
      </c>
      <c r="L26" s="249">
        <v>20.6</v>
      </c>
      <c r="M26" s="249">
        <v>20.02</v>
      </c>
      <c r="N26" s="249">
        <v>21.36</v>
      </c>
      <c r="O26" s="249">
        <v>21.36</v>
      </c>
      <c r="P26" s="249">
        <v>21.53</v>
      </c>
      <c r="Q26" s="249">
        <v>21.87</v>
      </c>
      <c r="R26" s="249">
        <v>21.94</v>
      </c>
      <c r="S26" s="249">
        <v>21.92</v>
      </c>
      <c r="T26" s="249">
        <v>21.92</v>
      </c>
      <c r="U26" s="249">
        <v>22.26</v>
      </c>
      <c r="V26" s="249">
        <v>22.9</v>
      </c>
      <c r="W26" s="250">
        <v>23.86</v>
      </c>
      <c r="X26" s="249">
        <v>24.77</v>
      </c>
      <c r="Y26" s="249">
        <v>25.26</v>
      </c>
      <c r="Z26" s="243">
        <f ca="1">[1]ExtEntry!$F24</f>
        <v>25.26</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14200</v>
      </c>
      <c r="AP26" s="376">
        <v>14200</v>
      </c>
      <c r="AQ26" s="376">
        <v>14200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46002.875920705468</v>
      </c>
      <c r="F27" s="249">
        <v>25.94</v>
      </c>
      <c r="G27" s="249">
        <v>26.64</v>
      </c>
      <c r="H27" s="249">
        <v>26.17</v>
      </c>
      <c r="I27" s="249">
        <v>24.98</v>
      </c>
      <c r="J27" s="249">
        <v>22.87</v>
      </c>
      <c r="K27" s="249">
        <v>22.71</v>
      </c>
      <c r="L27" s="249">
        <v>22.47</v>
      </c>
      <c r="M27" s="249">
        <v>22.61</v>
      </c>
      <c r="N27" s="249">
        <v>24.32</v>
      </c>
      <c r="O27" s="249">
        <v>24.32</v>
      </c>
      <c r="P27" s="249">
        <v>23.98</v>
      </c>
      <c r="Q27" s="249">
        <v>24.42</v>
      </c>
      <c r="R27" s="249">
        <v>24.39</v>
      </c>
      <c r="S27" s="249">
        <v>25.15</v>
      </c>
      <c r="T27" s="249">
        <v>25.15</v>
      </c>
      <c r="U27" s="249">
        <v>25.19</v>
      </c>
      <c r="V27" s="249">
        <v>25.9</v>
      </c>
      <c r="W27" s="250">
        <v>25.07</v>
      </c>
      <c r="X27" s="249">
        <v>25.38</v>
      </c>
      <c r="Y27" s="249">
        <v>25.19</v>
      </c>
      <c r="Z27" s="243">
        <f ca="1">[1]ExtEntry!$F25</f>
        <v>25.19</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10000</v>
      </c>
      <c r="AO27" s="376">
        <v>5000</v>
      </c>
      <c r="AP27" s="376">
        <v>9000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46002.875197499998</v>
      </c>
      <c r="F28" s="249">
        <v>422.6</v>
      </c>
      <c r="G28" s="249">
        <v>425.2</v>
      </c>
      <c r="H28" s="249">
        <v>414.1</v>
      </c>
      <c r="I28" s="249">
        <v>395.8</v>
      </c>
      <c r="J28" s="249">
        <v>371.3</v>
      </c>
      <c r="K28" s="249">
        <v>371.3</v>
      </c>
      <c r="L28" s="249">
        <v>377.6</v>
      </c>
      <c r="M28" s="249">
        <v>382.4</v>
      </c>
      <c r="N28" s="249">
        <v>391.2</v>
      </c>
      <c r="O28" s="249">
        <v>399.2</v>
      </c>
      <c r="P28" s="249">
        <v>396.7</v>
      </c>
      <c r="Q28" s="249">
        <v>396.3</v>
      </c>
      <c r="R28" s="249">
        <v>393.5</v>
      </c>
      <c r="S28" s="249">
        <v>389.3</v>
      </c>
      <c r="T28" s="249">
        <v>389.3</v>
      </c>
      <c r="U28" s="249">
        <v>390.9</v>
      </c>
      <c r="V28" s="249">
        <v>385</v>
      </c>
      <c r="W28" s="250">
        <v>391</v>
      </c>
      <c r="X28" s="249">
        <v>387.6</v>
      </c>
      <c r="Y28" s="249">
        <v>385.6</v>
      </c>
      <c r="Z28" s="243">
        <f ca="1">[1]ExtEntry!$F26</f>
        <v>385.6</v>
      </c>
      <c r="AA28" s="266"/>
      <c r="AB28" s="376">
        <v>130000</v>
      </c>
      <c r="AC28" s="376">
        <v>130000</v>
      </c>
      <c r="AD28" s="376">
        <v>110000</v>
      </c>
      <c r="AE28" s="376">
        <v>100000</v>
      </c>
      <c r="AF28" s="376">
        <v>100000</v>
      </c>
      <c r="AG28" s="376">
        <v>100000</v>
      </c>
      <c r="AH28" s="376">
        <v>100000</v>
      </c>
      <c r="AI28" s="376">
        <v>110000</v>
      </c>
      <c r="AJ28" s="376">
        <v>110000</v>
      </c>
      <c r="AK28" s="376">
        <v>100000</v>
      </c>
      <c r="AL28" s="376">
        <v>100000</v>
      </c>
      <c r="AM28" s="376">
        <v>100000</v>
      </c>
      <c r="AN28" s="376">
        <v>100000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46002.876173750003</v>
      </c>
      <c r="F29" s="249">
        <v>63.76</v>
      </c>
      <c r="G29" s="249">
        <v>63.15</v>
      </c>
      <c r="H29" s="249">
        <v>63.43</v>
      </c>
      <c r="I29" s="249">
        <v>65.62</v>
      </c>
      <c r="J29" s="249">
        <v>66.099999999999994</v>
      </c>
      <c r="K29" s="249">
        <v>67.38</v>
      </c>
      <c r="L29" s="249">
        <v>67.41</v>
      </c>
      <c r="M29" s="249">
        <v>65.900000000000006</v>
      </c>
      <c r="N29" s="249">
        <v>66.150000000000006</v>
      </c>
      <c r="O29" s="249">
        <v>66.150000000000006</v>
      </c>
      <c r="P29" s="249">
        <v>67.03</v>
      </c>
      <c r="Q29" s="249">
        <v>67.28</v>
      </c>
      <c r="R29" s="249">
        <v>67.55</v>
      </c>
      <c r="S29" s="249">
        <v>67.03</v>
      </c>
      <c r="T29" s="249">
        <v>67.03</v>
      </c>
      <c r="U29" s="249">
        <v>66.2</v>
      </c>
      <c r="V29" s="249">
        <v>63.14</v>
      </c>
      <c r="W29" s="250">
        <v>63.38</v>
      </c>
      <c r="X29" s="249">
        <v>62.9</v>
      </c>
      <c r="Y29" s="249">
        <v>61.24</v>
      </c>
      <c r="Z29" s="243">
        <f ca="1">[1]ExtEntry!$F27</f>
        <v>61.24</v>
      </c>
      <c r="AA29" s="266"/>
      <c r="AB29" s="376">
        <v>7000</v>
      </c>
      <c r="AC29" s="376">
        <v>7000</v>
      </c>
      <c r="AD29" s="376">
        <v>6000</v>
      </c>
      <c r="AE29" s="376">
        <v>6000</v>
      </c>
      <c r="AF29" s="376">
        <v>6000</v>
      </c>
      <c r="AG29" s="376">
        <v>6000</v>
      </c>
      <c r="AH29" s="376">
        <v>6000</v>
      </c>
      <c r="AI29" s="376">
        <v>6000</v>
      </c>
      <c r="AJ29" s="376">
        <v>6000</v>
      </c>
      <c r="AK29" s="376">
        <v>5000</v>
      </c>
      <c r="AL29" s="376">
        <v>5000</v>
      </c>
      <c r="AM29" s="376">
        <v>5000</v>
      </c>
      <c r="AN29" s="376">
        <v>5000</v>
      </c>
      <c r="AO29" s="376">
        <v>5000</v>
      </c>
      <c r="AP29" s="376">
        <v>5000</v>
      </c>
      <c r="AQ29" s="376">
        <v>7000</v>
      </c>
      <c r="AR29" s="376">
        <v>7000</v>
      </c>
      <c r="AS29" s="376">
        <v>7000</v>
      </c>
      <c r="AT29" s="376">
        <v>7000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46002.875958541408</v>
      </c>
      <c r="F30" s="249">
        <v>12.16</v>
      </c>
      <c r="G30" s="249">
        <v>12.52</v>
      </c>
      <c r="H30" s="249">
        <v>11.44</v>
      </c>
      <c r="I30" s="249">
        <v>10.25</v>
      </c>
      <c r="J30" s="249">
        <v>9.86</v>
      </c>
      <c r="K30" s="249">
        <v>9.9700000000000006</v>
      </c>
      <c r="L30" s="249">
        <v>10.039999999999999</v>
      </c>
      <c r="M30" s="249">
        <v>9.6999999999999993</v>
      </c>
      <c r="N30" s="249">
        <v>10.02</v>
      </c>
      <c r="O30" s="249">
        <v>10.02</v>
      </c>
      <c r="P30" s="249">
        <v>10.35</v>
      </c>
      <c r="Q30" s="249">
        <v>10.18</v>
      </c>
      <c r="R30" s="249">
        <v>10.25</v>
      </c>
      <c r="S30" s="249">
        <v>10.27</v>
      </c>
      <c r="T30" s="249">
        <v>10.27</v>
      </c>
      <c r="U30" s="249">
        <v>10.49</v>
      </c>
      <c r="V30" s="249">
        <v>11.39</v>
      </c>
      <c r="W30" s="250">
        <v>11.19</v>
      </c>
      <c r="X30" s="249">
        <v>11.29</v>
      </c>
      <c r="Y30" s="249">
        <v>11.55</v>
      </c>
      <c r="Z30" s="243">
        <f ca="1">[1]ExtEntry!$F28</f>
        <v>11.55</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46002.876085983597</v>
      </c>
      <c r="F31" s="249">
        <v>10.54</v>
      </c>
      <c r="G31" s="249">
        <v>10.86</v>
      </c>
      <c r="H31" s="249">
        <v>10.94</v>
      </c>
      <c r="I31" s="249">
        <v>8.1199999999999992</v>
      </c>
      <c r="J31" s="249">
        <v>8.06</v>
      </c>
      <c r="K31" s="249">
        <v>7.62</v>
      </c>
      <c r="L31" s="249">
        <v>7.68</v>
      </c>
      <c r="M31" s="249">
        <v>7.48</v>
      </c>
      <c r="N31" s="249">
        <v>8</v>
      </c>
      <c r="O31" s="249">
        <v>8</v>
      </c>
      <c r="P31" s="249">
        <v>8.09</v>
      </c>
      <c r="Q31" s="249">
        <v>8.11</v>
      </c>
      <c r="R31" s="249">
        <v>8.2899999999999991</v>
      </c>
      <c r="S31" s="249">
        <v>9.14</v>
      </c>
      <c r="T31" s="249">
        <v>9.14</v>
      </c>
      <c r="U31" s="249">
        <v>9.57</v>
      </c>
      <c r="V31" s="249">
        <v>8.7799999999999994</v>
      </c>
      <c r="W31" s="250">
        <v>8.3699999999999992</v>
      </c>
      <c r="X31" s="249">
        <v>8.5</v>
      </c>
      <c r="Y31" s="249">
        <v>8.69</v>
      </c>
      <c r="Z31" s="243">
        <f ca="1">[1]ExtEntry!$F29</f>
        <v>8.69</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46002.875988286716</v>
      </c>
      <c r="F32" s="249">
        <v>23.75</v>
      </c>
      <c r="G32" s="249">
        <v>23.56</v>
      </c>
      <c r="H32" s="249">
        <v>24.33</v>
      </c>
      <c r="I32" s="249">
        <v>24.96</v>
      </c>
      <c r="J32" s="249">
        <v>24.76</v>
      </c>
      <c r="K32" s="249">
        <v>24.92</v>
      </c>
      <c r="L32" s="249">
        <v>24.18</v>
      </c>
      <c r="M32" s="249">
        <v>22.36</v>
      </c>
      <c r="N32" s="249">
        <v>24.75</v>
      </c>
      <c r="O32" s="249">
        <v>24.75</v>
      </c>
      <c r="P32" s="249">
        <v>25.01</v>
      </c>
      <c r="Q32" s="249">
        <v>25.98</v>
      </c>
      <c r="R32" s="249">
        <v>24.16</v>
      </c>
      <c r="S32" s="249">
        <v>24.06</v>
      </c>
      <c r="T32" s="249">
        <v>24.06</v>
      </c>
      <c r="U32" s="249">
        <v>25.18</v>
      </c>
      <c r="V32" s="249">
        <v>25.49</v>
      </c>
      <c r="W32" s="250">
        <v>27.97</v>
      </c>
      <c r="X32" s="249">
        <v>28.24</v>
      </c>
      <c r="Y32" s="249">
        <v>29.03</v>
      </c>
      <c r="Z32" s="243">
        <f ca="1">[1]ExtEntry!$F30</f>
        <v>29.03</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46002.876140497654</v>
      </c>
      <c r="F33" s="249">
        <v>514.33000000000004</v>
      </c>
      <c r="G33" s="249">
        <v>507.16</v>
      </c>
      <c r="H33" s="249">
        <v>497.1</v>
      </c>
      <c r="I33" s="249">
        <v>503.29</v>
      </c>
      <c r="J33" s="249">
        <v>507.49</v>
      </c>
      <c r="K33" s="249">
        <v>493.79</v>
      </c>
      <c r="L33" s="249">
        <v>486.21</v>
      </c>
      <c r="M33" s="249">
        <v>478.43</v>
      </c>
      <c r="N33" s="249">
        <v>476.99</v>
      </c>
      <c r="O33" s="249">
        <v>476.99</v>
      </c>
      <c r="P33" s="249">
        <v>485.5</v>
      </c>
      <c r="Q33" s="249">
        <v>492.01</v>
      </c>
      <c r="R33" s="249">
        <v>486.74</v>
      </c>
      <c r="S33" s="249">
        <v>490</v>
      </c>
      <c r="T33" s="249">
        <v>490</v>
      </c>
      <c r="U33" s="249">
        <v>477.73</v>
      </c>
      <c r="V33" s="249">
        <v>480.84</v>
      </c>
      <c r="W33" s="250">
        <v>491.02</v>
      </c>
      <c r="X33" s="249">
        <v>492.02</v>
      </c>
      <c r="Y33" s="249">
        <v>478.56</v>
      </c>
      <c r="Z33" s="243">
        <f ca="1">[1]ExtEntry!$F31</f>
        <v>478.56</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10000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46002.876229235939</v>
      </c>
      <c r="F34" s="249">
        <v>81.69</v>
      </c>
      <c r="G34" s="249">
        <v>82.14</v>
      </c>
      <c r="H34" s="249">
        <v>82</v>
      </c>
      <c r="I34" s="249">
        <v>83.99</v>
      </c>
      <c r="J34" s="249">
        <v>85.75</v>
      </c>
      <c r="K34" s="249">
        <v>84.64</v>
      </c>
      <c r="L34" s="249">
        <v>84.27</v>
      </c>
      <c r="M34" s="249">
        <v>83.733500000000006</v>
      </c>
      <c r="N34" s="249">
        <v>84.83</v>
      </c>
      <c r="O34" s="249">
        <v>84.83</v>
      </c>
      <c r="P34" s="249">
        <v>85.54</v>
      </c>
      <c r="Q34" s="249">
        <v>86.29</v>
      </c>
      <c r="R34" s="249">
        <v>84.65</v>
      </c>
      <c r="S34" s="249">
        <v>84.58</v>
      </c>
      <c r="T34" s="249">
        <v>84.58</v>
      </c>
      <c r="U34" s="249">
        <v>84.95</v>
      </c>
      <c r="V34" s="249">
        <v>83.39</v>
      </c>
      <c r="W34" s="250">
        <v>80.55</v>
      </c>
      <c r="X34" s="249">
        <v>79.64</v>
      </c>
      <c r="Y34" s="249">
        <v>81.27</v>
      </c>
      <c r="Z34" s="243">
        <f ca="1">[1]ExtEntry!$F32</f>
        <v>81.27</v>
      </c>
      <c r="AA34" s="266"/>
      <c r="AB34" s="376">
        <v>1</v>
      </c>
      <c r="AC34" s="376">
        <v>1</v>
      </c>
      <c r="AD34" s="376">
        <v>1</v>
      </c>
      <c r="AE34" s="376">
        <v>1</v>
      </c>
      <c r="AF34" s="376">
        <v>1</v>
      </c>
      <c r="AG34" s="376">
        <v>1</v>
      </c>
      <c r="AH34" s="376">
        <v>1</v>
      </c>
      <c r="AI34" s="376">
        <v>1</v>
      </c>
      <c r="AJ34" s="376">
        <v>1</v>
      </c>
      <c r="AK34" s="376">
        <v>1</v>
      </c>
      <c r="AL34" s="376">
        <v>1</v>
      </c>
      <c r="AM34" s="376">
        <v>1</v>
      </c>
      <c r="AN34" s="376">
        <v>1</v>
      </c>
      <c r="AO34" s="376">
        <v>1</v>
      </c>
      <c r="AP34" s="376">
        <v>1</v>
      </c>
      <c r="AQ34" s="376">
        <v>3001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46002.875000995315</v>
      </c>
      <c r="F35" s="249">
        <v>78.900000000000006</v>
      </c>
      <c r="G35" s="249">
        <v>81.63</v>
      </c>
      <c r="H35" s="249">
        <v>82.53</v>
      </c>
      <c r="I35" s="249">
        <v>89.72</v>
      </c>
      <c r="J35" s="249">
        <v>87.09</v>
      </c>
      <c r="K35" s="249">
        <v>86.6</v>
      </c>
      <c r="L35" s="249">
        <v>87.51</v>
      </c>
      <c r="M35" s="249">
        <v>82</v>
      </c>
      <c r="N35" s="249">
        <v>86.02</v>
      </c>
      <c r="O35" s="249">
        <v>86.02</v>
      </c>
      <c r="P35" s="249">
        <v>90.52</v>
      </c>
      <c r="Q35" s="249">
        <v>90.73</v>
      </c>
      <c r="R35" s="249">
        <v>91.83</v>
      </c>
      <c r="S35" s="249">
        <v>90.48</v>
      </c>
      <c r="T35" s="249">
        <v>90.48</v>
      </c>
      <c r="U35" s="249">
        <v>89.65</v>
      </c>
      <c r="V35" s="249">
        <v>90.72</v>
      </c>
      <c r="W35" s="250">
        <v>89</v>
      </c>
      <c r="X35" s="249">
        <v>94.09</v>
      </c>
      <c r="Y35" s="249">
        <v>94.4</v>
      </c>
      <c r="Z35" s="243">
        <f ca="1">[1]ExtEntry!$F33</f>
        <v>94.4</v>
      </c>
      <c r="AA35" s="266"/>
      <c r="AB35" s="376">
        <v>20000</v>
      </c>
      <c r="AC35" s="376">
        <v>20000</v>
      </c>
      <c r="AD35" s="376">
        <v>20000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18000</v>
      </c>
      <c r="AR35" s="376">
        <v>18000</v>
      </c>
      <c r="AS35" s="376">
        <v>18000</v>
      </c>
      <c r="AT35" s="376">
        <v>18000</v>
      </c>
      <c r="AU35" s="376">
        <v>17000</v>
      </c>
      <c r="AV35" s="377">
        <f ca="1">Calc!G33</f>
        <v>17000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46002.875738460156</v>
      </c>
      <c r="F36" s="249">
        <v>1092.96</v>
      </c>
      <c r="G36" s="249">
        <v>1098.46</v>
      </c>
      <c r="H36" s="249">
        <v>1097.02</v>
      </c>
      <c r="I36" s="249">
        <v>1154.23</v>
      </c>
      <c r="J36" s="249">
        <v>110.29</v>
      </c>
      <c r="K36" s="249">
        <v>114.09</v>
      </c>
      <c r="L36" s="249">
        <v>110</v>
      </c>
      <c r="M36" s="249">
        <v>105.67</v>
      </c>
      <c r="N36" s="249">
        <v>104.4</v>
      </c>
      <c r="O36" s="249">
        <v>104.4</v>
      </c>
      <c r="P36" s="249">
        <v>106.14</v>
      </c>
      <c r="Q36" s="249">
        <v>107.58</v>
      </c>
      <c r="R36" s="249">
        <v>109.13</v>
      </c>
      <c r="S36" s="249">
        <v>109.35</v>
      </c>
      <c r="T36" s="249">
        <v>109.35</v>
      </c>
      <c r="U36" s="249">
        <v>103.96</v>
      </c>
      <c r="V36" s="249">
        <v>103.22</v>
      </c>
      <c r="W36" s="250">
        <v>96.79</v>
      </c>
      <c r="X36" s="249">
        <v>96.71</v>
      </c>
      <c r="Y36" s="249">
        <v>92.71</v>
      </c>
      <c r="Z36" s="243">
        <f ca="1">[1]ExtEntry!$F34</f>
        <v>92.71</v>
      </c>
      <c r="AA36" s="266"/>
      <c r="AB36" s="376">
        <v>3000</v>
      </c>
      <c r="AC36" s="376">
        <v>3000</v>
      </c>
      <c r="AD36" s="376">
        <v>3000</v>
      </c>
      <c r="AE36" s="376">
        <v>3000</v>
      </c>
      <c r="AF36" s="376">
        <v>30000</v>
      </c>
      <c r="AG36" s="376">
        <v>30000</v>
      </c>
      <c r="AH36" s="376">
        <v>30200</v>
      </c>
      <c r="AI36" s="376">
        <v>30200</v>
      </c>
      <c r="AJ36" s="376">
        <v>32000</v>
      </c>
      <c r="AK36" s="376">
        <v>32000</v>
      </c>
      <c r="AL36" s="376">
        <v>32000</v>
      </c>
      <c r="AM36" s="376">
        <v>32000</v>
      </c>
      <c r="AN36" s="376">
        <v>32000</v>
      </c>
      <c r="AO36" s="376">
        <v>32000</v>
      </c>
      <c r="AP36" s="376">
        <v>32000</v>
      </c>
      <c r="AQ36" s="376">
        <v>32000</v>
      </c>
      <c r="AR36" s="376">
        <v>33000</v>
      </c>
      <c r="AS36" s="376">
        <v>35000</v>
      </c>
      <c r="AT36" s="376">
        <v>36000</v>
      </c>
      <c r="AU36" s="376">
        <v>36000</v>
      </c>
      <c r="AV36" s="377">
        <f ca="1">Calc!G34</f>
        <v>36000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46002.875007418748</v>
      </c>
      <c r="F37" s="249">
        <v>3.71</v>
      </c>
      <c r="G37" s="249">
        <v>3.31</v>
      </c>
      <c r="H37" s="249">
        <v>3</v>
      </c>
      <c r="I37" s="249">
        <v>2.5299999999999998</v>
      </c>
      <c r="J37" s="249">
        <v>2.38</v>
      </c>
      <c r="K37" s="249">
        <v>2.2400000000000002</v>
      </c>
      <c r="L37" s="249">
        <v>2.13</v>
      </c>
      <c r="M37" s="249">
        <v>2.0099999999999998</v>
      </c>
      <c r="N37" s="249">
        <v>2.2200000000000002</v>
      </c>
      <c r="O37" s="249">
        <v>2.2200000000000002</v>
      </c>
      <c r="P37" s="249">
        <v>2.27</v>
      </c>
      <c r="Q37" s="249">
        <v>2.35</v>
      </c>
      <c r="R37" s="249">
        <v>2.19</v>
      </c>
      <c r="S37" s="249">
        <v>2.0299999999999998</v>
      </c>
      <c r="T37" s="249">
        <v>2.0299999999999998</v>
      </c>
      <c r="U37" s="249">
        <v>2.0099999999999998</v>
      </c>
      <c r="V37" s="249">
        <v>2.1</v>
      </c>
      <c r="W37" s="250">
        <v>1.87</v>
      </c>
      <c r="X37" s="249">
        <v>1.9</v>
      </c>
      <c r="Y37" s="249">
        <v>1.85</v>
      </c>
      <c r="Z37" s="243">
        <f ca="1">[1]ExtEntry!$F35</f>
        <v>1.85</v>
      </c>
      <c r="AA37" s="266"/>
      <c r="AB37" s="376">
        <v>26667</v>
      </c>
      <c r="AC37" s="376">
        <v>26667</v>
      </c>
      <c r="AD37" s="376">
        <v>26667</v>
      </c>
      <c r="AE37" s="376">
        <v>30000</v>
      </c>
      <c r="AF37" s="376">
        <v>30000</v>
      </c>
      <c r="AG37" s="376">
        <v>30000</v>
      </c>
      <c r="AH37" s="376">
        <v>30000</v>
      </c>
      <c r="AI37" s="376">
        <v>30000</v>
      </c>
      <c r="AJ37" s="376">
        <v>30000</v>
      </c>
      <c r="AK37" s="376">
        <v>30000</v>
      </c>
      <c r="AL37" s="376">
        <v>30000</v>
      </c>
      <c r="AM37" s="376">
        <v>30000</v>
      </c>
      <c r="AN37" s="376">
        <v>30000</v>
      </c>
      <c r="AO37" s="376">
        <v>30000</v>
      </c>
      <c r="AP37" s="376">
        <v>30000</v>
      </c>
      <c r="AQ37" s="376">
        <v>30000</v>
      </c>
      <c r="AR37" s="376">
        <v>30000</v>
      </c>
      <c r="AS37" s="376">
        <v>49999</v>
      </c>
      <c r="AT37" s="376">
        <v>49999</v>
      </c>
      <c r="AU37" s="376">
        <v>50000</v>
      </c>
      <c r="AV37" s="377">
        <f ca="1">Calc!G35</f>
        <v>50000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46002.875023078122</v>
      </c>
      <c r="F38" s="249">
        <v>33.200000000000003</v>
      </c>
      <c r="G38" s="249">
        <v>33.770000000000003</v>
      </c>
      <c r="H38" s="249">
        <v>33.83</v>
      </c>
      <c r="I38" s="249">
        <v>39.049999999999997</v>
      </c>
      <c r="J38" s="249">
        <v>37.39</v>
      </c>
      <c r="K38" s="249">
        <v>38.07</v>
      </c>
      <c r="L38" s="249">
        <v>39.049999999999997</v>
      </c>
      <c r="M38" s="249">
        <v>36.479999999999997</v>
      </c>
      <c r="N38" s="249">
        <v>39.49</v>
      </c>
      <c r="O38" s="249">
        <v>39.49</v>
      </c>
      <c r="P38" s="249">
        <v>42.59</v>
      </c>
      <c r="Q38" s="249">
        <v>45.67</v>
      </c>
      <c r="R38" s="249">
        <v>46.08</v>
      </c>
      <c r="S38" s="249">
        <v>44.85</v>
      </c>
      <c r="T38" s="249">
        <v>44.85</v>
      </c>
      <c r="U38" s="249">
        <v>44.44</v>
      </c>
      <c r="V38" s="249">
        <v>44.2</v>
      </c>
      <c r="W38" s="250">
        <v>43.55</v>
      </c>
      <c r="X38" s="249">
        <v>48.41</v>
      </c>
      <c r="Y38" s="249">
        <v>48.66</v>
      </c>
      <c r="Z38" s="243">
        <f ca="1">[1]ExtEntry!$F36</f>
        <v>48.66</v>
      </c>
      <c r="AA38" s="266"/>
      <c r="AB38" s="376">
        <v>4000</v>
      </c>
      <c r="AC38" s="376">
        <v>4000</v>
      </c>
      <c r="AD38" s="376">
        <v>4000</v>
      </c>
      <c r="AE38" s="376">
        <v>2000</v>
      </c>
      <c r="AF38" s="376">
        <v>2000</v>
      </c>
      <c r="AG38" s="376">
        <v>2000</v>
      </c>
      <c r="AH38" s="376">
        <v>2000</v>
      </c>
      <c r="AI38" s="376">
        <v>2000</v>
      </c>
      <c r="AJ38" s="376">
        <v>2000</v>
      </c>
      <c r="AK38" s="376">
        <v>2000</v>
      </c>
      <c r="AL38" s="376">
        <v>1000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46002.875003356246</v>
      </c>
      <c r="F39" s="249">
        <v>5.89</v>
      </c>
      <c r="G39" s="249">
        <v>5.86</v>
      </c>
      <c r="H39" s="249">
        <v>5.85</v>
      </c>
      <c r="I39" s="249">
        <v>6.35</v>
      </c>
      <c r="J39" s="249">
        <v>6.46</v>
      </c>
      <c r="K39" s="249">
        <v>6.23</v>
      </c>
      <c r="L39" s="249">
        <v>6.07</v>
      </c>
      <c r="M39" s="249">
        <v>5.875</v>
      </c>
      <c r="N39" s="249">
        <v>6.5</v>
      </c>
      <c r="O39" s="249">
        <v>6.5</v>
      </c>
      <c r="P39" s="249">
        <v>6.46</v>
      </c>
      <c r="Q39" s="249">
        <v>6.6</v>
      </c>
      <c r="R39" s="249">
        <v>6.42</v>
      </c>
      <c r="S39" s="249">
        <v>6.2649999999999997</v>
      </c>
      <c r="T39" s="249">
        <v>6.2649999999999997</v>
      </c>
      <c r="U39" s="249">
        <v>6.9</v>
      </c>
      <c r="V39" s="249">
        <v>6.75</v>
      </c>
      <c r="W39" s="250">
        <v>6.78</v>
      </c>
      <c r="X39" s="249">
        <v>7.17</v>
      </c>
      <c r="Y39" s="249">
        <v>7.24</v>
      </c>
      <c r="Z39" s="243">
        <f ca="1">[1]ExtEntry!$F37</f>
        <v>7.24</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46002.876124513285</v>
      </c>
      <c r="F40" s="249">
        <v>5.95</v>
      </c>
      <c r="G40" s="249">
        <v>6.0350000000000001</v>
      </c>
      <c r="H40" s="249">
        <v>5.32</v>
      </c>
      <c r="I40" s="249">
        <v>4.7</v>
      </c>
      <c r="J40" s="249">
        <v>4.17</v>
      </c>
      <c r="K40" s="249">
        <v>4.29</v>
      </c>
      <c r="L40" s="249">
        <v>4.25</v>
      </c>
      <c r="M40" s="249">
        <v>4.2</v>
      </c>
      <c r="N40" s="249">
        <v>4.67</v>
      </c>
      <c r="O40" s="249">
        <v>4.67</v>
      </c>
      <c r="P40" s="249">
        <v>4.84</v>
      </c>
      <c r="Q40" s="249">
        <v>4.95</v>
      </c>
      <c r="R40" s="249">
        <v>4.6100000000000003</v>
      </c>
      <c r="S40" s="249">
        <v>4.68</v>
      </c>
      <c r="T40" s="249">
        <v>4.68</v>
      </c>
      <c r="U40" s="249">
        <v>6.01</v>
      </c>
      <c r="V40" s="249">
        <v>6.37</v>
      </c>
      <c r="W40" s="250">
        <v>6.23</v>
      </c>
      <c r="X40" s="249">
        <v>6.9</v>
      </c>
      <c r="Y40" s="249">
        <v>7.15</v>
      </c>
      <c r="Z40" s="243">
        <f ca="1">[1]ExtEntry!$F38</f>
        <v>7.15</v>
      </c>
      <c r="AA40" s="266"/>
      <c r="AB40" s="376">
        <v>45000</v>
      </c>
      <c r="AC40" s="376">
        <v>45000</v>
      </c>
      <c r="AD40" s="376">
        <v>45000</v>
      </c>
      <c r="AE40" s="376">
        <v>47500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46002.863888888889</v>
      </c>
      <c r="F41" s="249">
        <v>0.69330000000000003</v>
      </c>
      <c r="G41" s="249">
        <v>0.745</v>
      </c>
      <c r="H41" s="249">
        <v>0.68189999999999995</v>
      </c>
      <c r="I41" s="249">
        <v>0.61990000000000001</v>
      </c>
      <c r="J41" s="249">
        <v>0.70789999999999997</v>
      </c>
      <c r="K41" s="249">
        <v>0.66420000000000001</v>
      </c>
      <c r="L41" s="249">
        <v>0.62350000000000005</v>
      </c>
      <c r="M41" s="249">
        <v>0.59699999999999998</v>
      </c>
      <c r="N41" s="249">
        <v>0.83320000000000005</v>
      </c>
      <c r="O41" s="249">
        <v>0.83320000000000005</v>
      </c>
      <c r="P41" s="249">
        <v>0.99050000000000005</v>
      </c>
      <c r="Q41" s="249">
        <v>0.84640000000000004</v>
      </c>
      <c r="R41" s="249">
        <v>0.83</v>
      </c>
      <c r="S41" s="249">
        <v>0.9</v>
      </c>
      <c r="T41" s="249">
        <v>0.9</v>
      </c>
      <c r="U41" s="249">
        <v>0.93</v>
      </c>
      <c r="V41" s="249">
        <v>1.01</v>
      </c>
      <c r="W41" s="250">
        <v>0.99590000000000001</v>
      </c>
      <c r="X41" s="249">
        <v>1.05</v>
      </c>
      <c r="Y41" s="249">
        <v>1.02</v>
      </c>
      <c r="Z41" s="243">
        <f ca="1">[1]ExtEntry!$F39</f>
        <v>1.02</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46002.865115740744</v>
      </c>
      <c r="F42" s="249">
        <v>28.38</v>
      </c>
      <c r="G42" s="249">
        <v>37.85</v>
      </c>
      <c r="H42" s="249">
        <v>36.119999999999997</v>
      </c>
      <c r="I42" s="249">
        <v>39.880000000000003</v>
      </c>
      <c r="J42" s="249">
        <v>42.51</v>
      </c>
      <c r="K42" s="249">
        <v>46.22</v>
      </c>
      <c r="L42" s="249">
        <v>41.68</v>
      </c>
      <c r="M42" s="249">
        <v>43.84</v>
      </c>
      <c r="N42" s="249">
        <v>49.56</v>
      </c>
      <c r="O42" s="249">
        <v>49.56</v>
      </c>
      <c r="P42" s="249">
        <v>50.96</v>
      </c>
      <c r="Q42" s="249">
        <v>50.49</v>
      </c>
      <c r="R42" s="249">
        <v>47.26</v>
      </c>
      <c r="S42" s="249">
        <v>44.41</v>
      </c>
      <c r="T42" s="249">
        <v>44.41</v>
      </c>
      <c r="U42" s="249">
        <v>47.21</v>
      </c>
      <c r="V42" s="249">
        <v>47.38</v>
      </c>
      <c r="W42" s="250">
        <v>43.4</v>
      </c>
      <c r="X42" s="249">
        <v>42.33</v>
      </c>
      <c r="Y42" s="249">
        <v>41.22</v>
      </c>
      <c r="Z42" s="243">
        <f ca="1">[1]ExtEntry!$F40</f>
        <v>41.22</v>
      </c>
      <c r="AA42" s="266"/>
      <c r="AB42" s="376">
        <v>1000</v>
      </c>
      <c r="AC42" s="376">
        <v>1000</v>
      </c>
      <c r="AD42" s="376">
        <v>1000</v>
      </c>
      <c r="AE42" s="376">
        <v>1000</v>
      </c>
      <c r="AF42" s="376">
        <v>1000</v>
      </c>
      <c r="AG42" s="376">
        <v>1000</v>
      </c>
      <c r="AH42" s="376">
        <v>1000</v>
      </c>
      <c r="AI42" s="376">
        <v>501</v>
      </c>
      <c r="AJ42" s="376">
        <v>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46002.865621654688</v>
      </c>
      <c r="F43" s="249">
        <v>42.34</v>
      </c>
      <c r="G43" s="249">
        <v>42.61</v>
      </c>
      <c r="H43" s="249">
        <v>43.09</v>
      </c>
      <c r="I43" s="249">
        <v>45.47</v>
      </c>
      <c r="J43" s="249">
        <v>44.67</v>
      </c>
      <c r="K43" s="249">
        <v>44.67</v>
      </c>
      <c r="L43" s="249">
        <v>43.88</v>
      </c>
      <c r="M43" s="249">
        <v>44.87</v>
      </c>
      <c r="N43" s="249">
        <v>43.49</v>
      </c>
      <c r="O43" s="249">
        <v>44.26</v>
      </c>
      <c r="P43" s="249">
        <v>43.52</v>
      </c>
      <c r="Q43" s="249">
        <v>43.72</v>
      </c>
      <c r="R43" s="249">
        <v>43.3</v>
      </c>
      <c r="S43" s="249">
        <v>43.3</v>
      </c>
      <c r="T43" s="249">
        <v>43.3</v>
      </c>
      <c r="U43" s="249">
        <v>43.56</v>
      </c>
      <c r="V43" s="249">
        <v>43.4</v>
      </c>
      <c r="W43" s="250">
        <v>43.17</v>
      </c>
      <c r="X43" s="249">
        <v>43.55</v>
      </c>
      <c r="Y43" s="249">
        <v>43.49</v>
      </c>
      <c r="Z43" s="243">
        <f ca="1">[1]ExtEntry!$F41</f>
        <v>43.49</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46002.875178807815</v>
      </c>
      <c r="F44" s="249">
        <v>226.05</v>
      </c>
      <c r="G44" s="249">
        <v>227.95</v>
      </c>
      <c r="H44" s="249">
        <v>217.95</v>
      </c>
      <c r="I44" s="249">
        <v>218.1</v>
      </c>
      <c r="J44" s="249">
        <v>205.35</v>
      </c>
      <c r="K44" s="249">
        <v>205.35</v>
      </c>
      <c r="L44" s="249">
        <v>205.5</v>
      </c>
      <c r="M44" s="249">
        <v>206.6</v>
      </c>
      <c r="N44" s="249">
        <v>204.85</v>
      </c>
      <c r="O44" s="249">
        <v>206.7</v>
      </c>
      <c r="P44" s="249">
        <v>207</v>
      </c>
      <c r="Q44" s="249">
        <v>208.55</v>
      </c>
      <c r="R44" s="249">
        <v>208.9</v>
      </c>
      <c r="S44" s="249">
        <v>207.85</v>
      </c>
      <c r="T44" s="249">
        <v>207.85</v>
      </c>
      <c r="U44" s="249">
        <v>206.5</v>
      </c>
      <c r="V44" s="249">
        <v>210.15</v>
      </c>
      <c r="W44" s="250">
        <v>210.1</v>
      </c>
      <c r="X44" s="249">
        <v>210</v>
      </c>
      <c r="Y44" s="249">
        <v>210.95</v>
      </c>
      <c r="Z44" s="243">
        <f ca="1">[1]ExtEntry!$F42</f>
        <v>210.95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46002.876127846874</v>
      </c>
      <c r="F45" s="249">
        <v>14.93</v>
      </c>
      <c r="G45" s="249">
        <v>14.9</v>
      </c>
      <c r="H45" s="249">
        <v>14.46</v>
      </c>
      <c r="I45" s="249">
        <v>14.8</v>
      </c>
      <c r="J45" s="249">
        <v>14.68</v>
      </c>
      <c r="K45" s="249">
        <v>14.33</v>
      </c>
      <c r="L45" s="249">
        <v>14.22</v>
      </c>
      <c r="M45" s="249">
        <v>13.64</v>
      </c>
      <c r="N45" s="249">
        <v>14.45</v>
      </c>
      <c r="O45" s="249">
        <v>14.45</v>
      </c>
      <c r="P45" s="249">
        <v>14.8</v>
      </c>
      <c r="Q45" s="249">
        <v>14.95</v>
      </c>
      <c r="R45" s="249">
        <v>14.88</v>
      </c>
      <c r="S45" s="249">
        <v>15.16</v>
      </c>
      <c r="T45" s="249">
        <v>15.16</v>
      </c>
      <c r="U45" s="249">
        <v>15.08</v>
      </c>
      <c r="V45" s="249">
        <v>15.6</v>
      </c>
      <c r="W45" s="250">
        <v>15.35</v>
      </c>
      <c r="X45" s="249">
        <v>15.23</v>
      </c>
      <c r="Y45" s="249">
        <v>15.46</v>
      </c>
      <c r="Z45" s="243">
        <f ca="1">[1]ExtEntry!$F43</f>
        <v>15.46</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46002.876161075779</v>
      </c>
      <c r="F46" s="249">
        <v>9.8699999999999992</v>
      </c>
      <c r="G46" s="249">
        <v>9.85</v>
      </c>
      <c r="H46" s="249">
        <v>9.4600000000000009</v>
      </c>
      <c r="I46" s="249">
        <v>9.33</v>
      </c>
      <c r="J46" s="249">
        <v>8.5299999999999994</v>
      </c>
      <c r="K46" s="249">
        <v>8.5</v>
      </c>
      <c r="L46" s="249">
        <v>8.39</v>
      </c>
      <c r="M46" s="249">
        <v>8.1999999999999993</v>
      </c>
      <c r="N46" s="249">
        <v>8.5399999999999991</v>
      </c>
      <c r="O46" s="249">
        <v>8.5399999999999991</v>
      </c>
      <c r="P46" s="249">
        <v>8.64</v>
      </c>
      <c r="Q46" s="249">
        <v>8.7899999999999991</v>
      </c>
      <c r="R46" s="249">
        <v>8.6300000000000008</v>
      </c>
      <c r="S46" s="249">
        <v>8.75</v>
      </c>
      <c r="T46" s="249">
        <v>8.75</v>
      </c>
      <c r="U46" s="249">
        <v>8.98</v>
      </c>
      <c r="V46" s="249">
        <v>9.17</v>
      </c>
      <c r="W46" s="250">
        <v>9.11</v>
      </c>
      <c r="X46" s="249">
        <v>9.18</v>
      </c>
      <c r="Y46" s="249">
        <v>9.2899999999999991</v>
      </c>
      <c r="Z46" s="243">
        <f ca="1">[1]ExtEntry!$F44</f>
        <v>9.2899999999999991</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46002.863888888889</v>
      </c>
      <c r="F47" s="249">
        <v>444.26</v>
      </c>
      <c r="G47" s="249">
        <v>462.07</v>
      </c>
      <c r="H47" s="249">
        <v>445.91</v>
      </c>
      <c r="I47" s="249">
        <v>401.99</v>
      </c>
      <c r="J47" s="249">
        <v>408.92</v>
      </c>
      <c r="K47" s="249">
        <v>401.25</v>
      </c>
      <c r="L47" s="249">
        <v>403.99</v>
      </c>
      <c r="M47" s="249">
        <v>395.23</v>
      </c>
      <c r="N47" s="249">
        <v>419.4</v>
      </c>
      <c r="O47" s="249">
        <v>419.4</v>
      </c>
      <c r="P47" s="249">
        <v>426.58</v>
      </c>
      <c r="Q47" s="249">
        <v>430.17</v>
      </c>
      <c r="R47" s="249">
        <v>430.14</v>
      </c>
      <c r="S47" s="249">
        <v>429.24</v>
      </c>
      <c r="T47" s="249">
        <v>429.24</v>
      </c>
      <c r="U47" s="249">
        <v>446.74</v>
      </c>
      <c r="V47" s="249">
        <v>454.53</v>
      </c>
      <c r="W47" s="250">
        <v>439.58</v>
      </c>
      <c r="X47" s="249">
        <v>445.17</v>
      </c>
      <c r="Y47" s="249">
        <v>451.45</v>
      </c>
      <c r="Z47" s="243">
        <f ca="1">[1]ExtEntry!$F45</f>
        <v>451.45</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46002.876015057809</v>
      </c>
      <c r="F48" s="249">
        <v>294.05</v>
      </c>
      <c r="G48" s="249">
        <v>293.64</v>
      </c>
      <c r="H48" s="249">
        <v>289.24</v>
      </c>
      <c r="I48" s="249">
        <v>282.2</v>
      </c>
      <c r="J48" s="249">
        <v>282.01</v>
      </c>
      <c r="K48" s="249">
        <v>277.91000000000003</v>
      </c>
      <c r="L48" s="249">
        <v>282.37</v>
      </c>
      <c r="M48" s="249">
        <v>277.5</v>
      </c>
      <c r="N48" s="249">
        <v>284.68</v>
      </c>
      <c r="O48" s="249">
        <v>284.68</v>
      </c>
      <c r="P48" s="249">
        <v>289.95999999999998</v>
      </c>
      <c r="Q48" s="249">
        <v>291.51</v>
      </c>
      <c r="R48" s="249">
        <v>287.68</v>
      </c>
      <c r="S48" s="249">
        <v>292.08999999999997</v>
      </c>
      <c r="T48" s="249">
        <v>292.08999999999997</v>
      </c>
      <c r="U48" s="249">
        <v>295.45</v>
      </c>
      <c r="V48" s="249">
        <v>292.93</v>
      </c>
      <c r="W48" s="250">
        <v>301.87</v>
      </c>
      <c r="X48" s="249">
        <v>303.41000000000003</v>
      </c>
      <c r="Y48" s="249">
        <v>309.34280000000001</v>
      </c>
      <c r="Z48" s="243">
        <f ca="1">[1]ExtEntry!$F46</f>
        <v>309.34280000000001</v>
      </c>
      <c r="AA48" s="266"/>
      <c r="AB48" s="376">
        <v>4800</v>
      </c>
      <c r="AC48" s="376">
        <v>4500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46002.864679490624</v>
      </c>
      <c r="F49" s="249">
        <v>29.6</v>
      </c>
      <c r="G49" s="249">
        <v>29.5</v>
      </c>
      <c r="H49" s="249">
        <v>27.95</v>
      </c>
      <c r="I49" s="249">
        <v>28.65</v>
      </c>
      <c r="J49" s="249">
        <v>30.45</v>
      </c>
      <c r="K49" s="249">
        <v>30.45</v>
      </c>
      <c r="L49" s="249">
        <v>29.8</v>
      </c>
      <c r="M49" s="249">
        <v>29.8</v>
      </c>
      <c r="N49" s="249">
        <v>32</v>
      </c>
      <c r="O49" s="249">
        <v>33.25</v>
      </c>
      <c r="P49" s="249">
        <v>34.1</v>
      </c>
      <c r="Q49" s="249">
        <v>34.299999999999997</v>
      </c>
      <c r="R49" s="249">
        <v>34.25</v>
      </c>
      <c r="S49" s="249">
        <v>33.5</v>
      </c>
      <c r="T49" s="249">
        <v>33.5</v>
      </c>
      <c r="U49" s="249">
        <v>33.65</v>
      </c>
      <c r="V49" s="249">
        <v>33.9</v>
      </c>
      <c r="W49" s="250">
        <v>36</v>
      </c>
      <c r="X49" s="249">
        <v>38.25</v>
      </c>
      <c r="Y49" s="249">
        <v>38.049999999999997</v>
      </c>
      <c r="Z49" s="243">
        <f ca="1">[1]ExtEntry!$F47</f>
        <v>38.049999999999997</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46002.792962962965</v>
      </c>
      <c r="F50" s="249">
        <v>6</v>
      </c>
      <c r="G50" s="249">
        <v>6.4</v>
      </c>
      <c r="H50" s="249">
        <v>6.26</v>
      </c>
      <c r="I50" s="249">
        <v>6.0350000000000001</v>
      </c>
      <c r="J50" s="249">
        <v>6.29</v>
      </c>
      <c r="K50" s="249">
        <v>6.15</v>
      </c>
      <c r="L50" s="249">
        <v>5.96</v>
      </c>
      <c r="M50" s="249">
        <v>5.86</v>
      </c>
      <c r="N50" s="249">
        <v>6.26</v>
      </c>
      <c r="O50" s="249">
        <v>6.26</v>
      </c>
      <c r="P50" s="249">
        <v>6.31</v>
      </c>
      <c r="Q50" s="249">
        <v>6.37</v>
      </c>
      <c r="R50" s="249">
        <v>6.43</v>
      </c>
      <c r="S50" s="249">
        <v>6.62</v>
      </c>
      <c r="T50" s="249">
        <v>6.62</v>
      </c>
      <c r="U50" s="249">
        <v>6.66</v>
      </c>
      <c r="V50" s="249">
        <v>6.57</v>
      </c>
      <c r="W50" s="250">
        <v>6.5</v>
      </c>
      <c r="X50" s="249">
        <v>6.47</v>
      </c>
      <c r="Y50" s="249">
        <v>6.75</v>
      </c>
      <c r="Z50" s="243">
        <f ca="1">[1]ExtEntry!$F48</f>
        <v>6.75</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46002.864679490624</v>
      </c>
      <c r="F51" s="249">
        <v>26.82</v>
      </c>
      <c r="G51" s="249">
        <v>27.5806</v>
      </c>
      <c r="H51" s="249">
        <v>27.27</v>
      </c>
      <c r="I51" s="249">
        <v>28.37</v>
      </c>
      <c r="J51" s="249">
        <v>27.62</v>
      </c>
      <c r="K51" s="249">
        <v>27.61</v>
      </c>
      <c r="L51" s="249">
        <v>28.08</v>
      </c>
      <c r="M51" s="249">
        <v>27.35</v>
      </c>
      <c r="N51" s="249">
        <v>29.63</v>
      </c>
      <c r="O51" s="249">
        <v>29.63</v>
      </c>
      <c r="P51" s="249">
        <v>29.8</v>
      </c>
      <c r="Q51" s="249">
        <v>29.96</v>
      </c>
      <c r="R51" s="249">
        <v>29.87</v>
      </c>
      <c r="S51" s="249">
        <v>29.97</v>
      </c>
      <c r="T51" s="249">
        <v>29.97</v>
      </c>
      <c r="U51" s="249">
        <v>29.89</v>
      </c>
      <c r="V51" s="249">
        <v>30.55</v>
      </c>
      <c r="W51" s="250">
        <v>31.42</v>
      </c>
      <c r="X51" s="249">
        <v>30.89</v>
      </c>
      <c r="Y51" s="249">
        <v>31.36</v>
      </c>
      <c r="Z51" s="243">
        <f ca="1">[1]ExtEntry!$F49</f>
        <v>31.36</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2600</v>
      </c>
      <c r="AT51" s="376">
        <v>2600</v>
      </c>
      <c r="AU51" s="376">
        <v>2600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46002.792962962965</v>
      </c>
      <c r="F52" s="249">
        <v>59.4</v>
      </c>
      <c r="G52" s="249">
        <v>59.1</v>
      </c>
      <c r="H52" s="249">
        <v>58.2</v>
      </c>
      <c r="I52" s="249">
        <v>60.2</v>
      </c>
      <c r="J52" s="249">
        <v>58.8</v>
      </c>
      <c r="K52" s="249">
        <v>58.8</v>
      </c>
      <c r="L52" s="249">
        <v>59.2</v>
      </c>
      <c r="M52" s="249">
        <v>59.8</v>
      </c>
      <c r="N52" s="249">
        <v>59.5</v>
      </c>
      <c r="O52" s="249">
        <v>60</v>
      </c>
      <c r="P52" s="249">
        <v>60.6</v>
      </c>
      <c r="Q52" s="249">
        <v>60.7</v>
      </c>
      <c r="R52" s="249">
        <v>60.9</v>
      </c>
      <c r="S52" s="249">
        <v>61.1</v>
      </c>
      <c r="T52" s="249">
        <v>61.1</v>
      </c>
      <c r="U52" s="249">
        <v>60.5</v>
      </c>
      <c r="V52" s="249">
        <v>61.1</v>
      </c>
      <c r="W52" s="250">
        <v>61.3</v>
      </c>
      <c r="X52" s="249">
        <v>61.3</v>
      </c>
      <c r="Y52" s="249">
        <v>60.8</v>
      </c>
      <c r="Z52" s="243">
        <f ca="1">[1]ExtEntry!$F50</f>
        <v>60.8</v>
      </c>
      <c r="AA52" s="266"/>
      <c r="AB52" s="376">
        <v>16000</v>
      </c>
      <c r="AC52" s="376">
        <v>18000</v>
      </c>
      <c r="AD52" s="376">
        <v>20000</v>
      </c>
      <c r="AE52" s="376">
        <v>19200</v>
      </c>
      <c r="AF52" s="376">
        <v>19200</v>
      </c>
      <c r="AG52" s="376">
        <v>19200</v>
      </c>
      <c r="AH52" s="376">
        <v>19200</v>
      </c>
      <c r="AI52" s="376">
        <v>19200</v>
      </c>
      <c r="AJ52" s="376">
        <v>19200</v>
      </c>
      <c r="AK52" s="376">
        <v>19200</v>
      </c>
      <c r="AL52" s="376">
        <v>19200</v>
      </c>
      <c r="AM52" s="376">
        <v>19200</v>
      </c>
      <c r="AN52" s="376">
        <v>19200</v>
      </c>
      <c r="AO52" s="376">
        <v>19200</v>
      </c>
      <c r="AP52" s="376">
        <v>19200</v>
      </c>
      <c r="AQ52" s="376">
        <v>18000</v>
      </c>
      <c r="AR52" s="376">
        <v>17000</v>
      </c>
      <c r="AS52" s="376">
        <v>16500</v>
      </c>
      <c r="AT52" s="376">
        <v>16500</v>
      </c>
      <c r="AU52" s="376">
        <v>16500</v>
      </c>
      <c r="AV52" s="376">
        <f ca="1">Calc!G50</f>
        <v>16500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46002.876094640626</v>
      </c>
      <c r="F53" s="249">
        <v>10.49</v>
      </c>
      <c r="G53" s="249">
        <v>10.75</v>
      </c>
      <c r="H53" s="249">
        <v>10.11</v>
      </c>
      <c r="I53" s="249">
        <v>10.91</v>
      </c>
      <c r="J53" s="249">
        <v>10.66</v>
      </c>
      <c r="K53" s="249">
        <v>10.71</v>
      </c>
      <c r="L53" s="249">
        <v>10.46</v>
      </c>
      <c r="M53" s="249">
        <v>10.19</v>
      </c>
      <c r="N53" s="249">
        <v>10.56</v>
      </c>
      <c r="O53" s="249">
        <v>10.56</v>
      </c>
      <c r="P53" s="249">
        <v>10.64</v>
      </c>
      <c r="Q53" s="249">
        <v>10.69</v>
      </c>
      <c r="R53" s="249">
        <v>10.7</v>
      </c>
      <c r="S53" s="249">
        <v>10.71</v>
      </c>
      <c r="T53" s="249">
        <v>10.71</v>
      </c>
      <c r="U53" s="249">
        <v>10.84</v>
      </c>
      <c r="V53" s="249">
        <v>10.76</v>
      </c>
      <c r="W53" s="250">
        <v>11.09</v>
      </c>
      <c r="X53" s="249">
        <v>11.19</v>
      </c>
      <c r="Y53" s="249">
        <v>11.6</v>
      </c>
      <c r="Z53" s="243">
        <f ca="1">[1]ExtEntry!$F51</f>
        <v>11.6</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46002.876033992972</v>
      </c>
      <c r="F55" s="249">
        <v>114.14</v>
      </c>
      <c r="G55" s="249">
        <v>113.68</v>
      </c>
      <c r="H55" s="249">
        <v>114.5</v>
      </c>
      <c r="I55" s="249">
        <v>117.76</v>
      </c>
      <c r="J55" s="249">
        <v>117.68</v>
      </c>
      <c r="K55" s="249">
        <v>119.03</v>
      </c>
      <c r="L55" s="249">
        <v>117.35</v>
      </c>
      <c r="M55" s="249">
        <v>117.02</v>
      </c>
      <c r="N55" s="249">
        <v>114.51</v>
      </c>
      <c r="O55" s="249">
        <v>114.51</v>
      </c>
      <c r="P55" s="249">
        <v>114.77</v>
      </c>
      <c r="Q55" s="249">
        <v>115.92</v>
      </c>
      <c r="R55" s="249">
        <v>116.63</v>
      </c>
      <c r="S55" s="249">
        <v>115.38</v>
      </c>
      <c r="T55" s="249">
        <v>115.38</v>
      </c>
      <c r="U55" s="249">
        <v>117.8</v>
      </c>
      <c r="V55" s="249">
        <v>117.14</v>
      </c>
      <c r="W55" s="250">
        <v>115.98</v>
      </c>
      <c r="X55" s="249">
        <v>118.25</v>
      </c>
      <c r="Y55" s="249">
        <v>119.54</v>
      </c>
      <c r="Z55" s="243">
        <f ca="1">[1]ExtEntry!$F53</f>
        <v>119.54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46002.875324560155</v>
      </c>
      <c r="F56" s="249">
        <v>6.37</v>
      </c>
      <c r="G56" s="249">
        <v>6.74</v>
      </c>
      <c r="H56" s="249">
        <v>6.87</v>
      </c>
      <c r="I56" s="249">
        <v>6.3</v>
      </c>
      <c r="J56" s="249">
        <v>5.96</v>
      </c>
      <c r="K56" s="249">
        <v>5.82</v>
      </c>
      <c r="L56" s="249">
        <v>5.64</v>
      </c>
      <c r="M56" s="249">
        <v>5.44</v>
      </c>
      <c r="N56" s="249">
        <v>5.71</v>
      </c>
      <c r="O56" s="249">
        <v>5.71</v>
      </c>
      <c r="P56" s="249">
        <v>5.74</v>
      </c>
      <c r="Q56" s="249">
        <v>5.79</v>
      </c>
      <c r="R56" s="249">
        <v>5.7</v>
      </c>
      <c r="S56" s="249">
        <v>5.84</v>
      </c>
      <c r="T56" s="249">
        <v>5.84</v>
      </c>
      <c r="U56" s="249">
        <v>6</v>
      </c>
      <c r="V56" s="249">
        <v>5.87</v>
      </c>
      <c r="W56" s="250">
        <v>6.06</v>
      </c>
      <c r="X56" s="249">
        <v>6.15</v>
      </c>
      <c r="Y56" s="249">
        <v>6.25</v>
      </c>
      <c r="Z56" s="243">
        <f ca="1">[1]ExtEntry!$F54</f>
        <v>6.25</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46002.708333333336</v>
      </c>
      <c r="F57" s="249">
        <v>0.78800000000000003</v>
      </c>
      <c r="G57" s="249">
        <v>0.79</v>
      </c>
      <c r="H57" s="249">
        <v>0.78200000000000003</v>
      </c>
      <c r="I57" s="249">
        <v>0.72</v>
      </c>
      <c r="J57" s="249">
        <v>0.68</v>
      </c>
      <c r="K57" s="249">
        <v>0.68</v>
      </c>
      <c r="L57" s="249">
        <v>0.68799999999999994</v>
      </c>
      <c r="M57" s="249">
        <v>0.66800000000000004</v>
      </c>
      <c r="N57" s="249">
        <v>0.66600000000000004</v>
      </c>
      <c r="O57" s="249">
        <v>0.64600000000000002</v>
      </c>
      <c r="P57" s="249">
        <v>0.62</v>
      </c>
      <c r="Q57" s="249">
        <v>0.60399999999999998</v>
      </c>
      <c r="R57" s="249">
        <v>0.61799999999999999</v>
      </c>
      <c r="S57" s="249">
        <v>0.62</v>
      </c>
      <c r="T57" s="249">
        <v>0.62</v>
      </c>
      <c r="U57" s="249">
        <v>0.626</v>
      </c>
      <c r="V57" s="249">
        <v>0.62</v>
      </c>
      <c r="W57" s="250">
        <v>0.59</v>
      </c>
      <c r="X57" s="249">
        <v>0.59</v>
      </c>
      <c r="Y57" s="249">
        <v>0.59799999999999998</v>
      </c>
      <c r="Z57" s="243">
        <f ca="1">[1]ExtEntry!$F55</f>
        <v>0.59799999999999998</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46002.876046238278</v>
      </c>
      <c r="F58" s="249">
        <v>2.62</v>
      </c>
      <c r="G58" s="249">
        <v>2.6</v>
      </c>
      <c r="H58" s="249">
        <v>2.25</v>
      </c>
      <c r="I58" s="249">
        <v>2.16</v>
      </c>
      <c r="J58" s="249">
        <v>2.08</v>
      </c>
      <c r="K58" s="249">
        <v>2.08</v>
      </c>
      <c r="L58" s="249">
        <v>1.98</v>
      </c>
      <c r="M58" s="249">
        <v>1.87</v>
      </c>
      <c r="N58" s="249">
        <v>2.02</v>
      </c>
      <c r="O58" s="249">
        <v>2.02</v>
      </c>
      <c r="P58" s="249">
        <v>2.04</v>
      </c>
      <c r="Q58" s="249">
        <v>2.08</v>
      </c>
      <c r="R58" s="249">
        <v>2</v>
      </c>
      <c r="S58" s="249">
        <v>2.04</v>
      </c>
      <c r="T58" s="249">
        <v>2.04</v>
      </c>
      <c r="U58" s="249">
        <v>2.21</v>
      </c>
      <c r="V58" s="249">
        <v>2.25</v>
      </c>
      <c r="W58" s="250">
        <v>2.13</v>
      </c>
      <c r="X58" s="249">
        <v>1.77</v>
      </c>
      <c r="Y58" s="249">
        <v>1.77</v>
      </c>
      <c r="Z58" s="243">
        <f ca="1">[1]ExtEntry!$F56</f>
        <v>1.77</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46002.708333333336</v>
      </c>
      <c r="F59" s="249">
        <v>24.04</v>
      </c>
      <c r="G59" s="249">
        <v>23.98</v>
      </c>
      <c r="H59" s="249">
        <v>23.26</v>
      </c>
      <c r="I59" s="249">
        <v>24.23</v>
      </c>
      <c r="J59" s="249">
        <v>23.18</v>
      </c>
      <c r="K59" s="249">
        <v>23.18</v>
      </c>
      <c r="L59" s="249">
        <v>23.38</v>
      </c>
      <c r="M59" s="249">
        <v>23.32</v>
      </c>
      <c r="N59" s="249">
        <v>23.96</v>
      </c>
      <c r="O59" s="249">
        <v>24.15</v>
      </c>
      <c r="P59" s="249">
        <v>24.15</v>
      </c>
      <c r="Q59" s="249">
        <v>24.11</v>
      </c>
      <c r="R59" s="249">
        <v>23.85</v>
      </c>
      <c r="S59" s="249">
        <v>23.42</v>
      </c>
      <c r="T59" s="249">
        <v>23.42</v>
      </c>
      <c r="U59" s="249">
        <v>23.41</v>
      </c>
      <c r="V59" s="249">
        <v>23.76</v>
      </c>
      <c r="W59" s="250">
        <v>23.51</v>
      </c>
      <c r="X59" s="249">
        <v>23.35</v>
      </c>
      <c r="Y59" s="249">
        <v>23.02</v>
      </c>
      <c r="Z59" s="243">
        <f ca="1">[1]ExtEntry!$F57</f>
        <v>23.02</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46002.863194444442</v>
      </c>
      <c r="F60" s="249">
        <v>15.75</v>
      </c>
      <c r="G60" s="249">
        <v>16.05</v>
      </c>
      <c r="H60" s="249">
        <v>16.079999999999998</v>
      </c>
      <c r="I60" s="249">
        <v>15.225</v>
      </c>
      <c r="J60" s="249">
        <v>15.34</v>
      </c>
      <c r="K60" s="249">
        <v>15.34</v>
      </c>
      <c r="L60" s="249">
        <v>15.3</v>
      </c>
      <c r="M60" s="249">
        <v>15.39</v>
      </c>
      <c r="N60" s="249">
        <v>15.38</v>
      </c>
      <c r="O60" s="249">
        <v>15.455</v>
      </c>
      <c r="P60" s="249">
        <v>15.31</v>
      </c>
      <c r="Q60" s="249">
        <v>15.324999999999999</v>
      </c>
      <c r="R60" s="249">
        <v>15.22</v>
      </c>
      <c r="S60" s="249">
        <v>15.285</v>
      </c>
      <c r="T60" s="249">
        <v>15.285</v>
      </c>
      <c r="U60" s="249">
        <v>15.86</v>
      </c>
      <c r="V60" s="249">
        <v>15.59</v>
      </c>
      <c r="W60" s="250">
        <v>15.52</v>
      </c>
      <c r="X60" s="249">
        <v>15.595000000000001</v>
      </c>
      <c r="Y60" s="249">
        <v>15.55</v>
      </c>
      <c r="Z60" s="243">
        <f ca="1">[1]ExtEntry!$F58</f>
        <v>15.55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46002.708333333336</v>
      </c>
      <c r="F61" s="249">
        <v>15.91</v>
      </c>
      <c r="G61" s="249">
        <v>15.968</v>
      </c>
      <c r="H61" s="249">
        <v>15.948</v>
      </c>
      <c r="I61" s="249">
        <v>16.457999999999998</v>
      </c>
      <c r="J61" s="249">
        <v>16.329999999999998</v>
      </c>
      <c r="K61" s="249">
        <v>16.329999999999998</v>
      </c>
      <c r="L61" s="249">
        <v>16.218</v>
      </c>
      <c r="M61" s="249">
        <v>16.295999999999999</v>
      </c>
      <c r="N61" s="249">
        <v>15.68</v>
      </c>
      <c r="O61" s="249">
        <v>15.986000000000001</v>
      </c>
      <c r="P61" s="249">
        <v>15.93</v>
      </c>
      <c r="Q61" s="249">
        <v>16.132000000000001</v>
      </c>
      <c r="R61" s="249">
        <v>16.178000000000001</v>
      </c>
      <c r="S61" s="249">
        <v>16.187999999999999</v>
      </c>
      <c r="T61" s="249">
        <v>16.187999999999999</v>
      </c>
      <c r="U61" s="249">
        <v>16.352</v>
      </c>
      <c r="V61" s="249">
        <v>16.350000000000001</v>
      </c>
      <c r="W61" s="250">
        <v>16.068000000000001</v>
      </c>
      <c r="X61" s="249">
        <v>16.108000000000001</v>
      </c>
      <c r="Y61" s="249">
        <v>16.013999999999999</v>
      </c>
      <c r="Z61" s="243">
        <f ca="1">[1]ExtEntry!$F59</f>
        <v>16.013999999999999</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32000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46002.708333333336</v>
      </c>
      <c r="F63" s="249">
        <v>54.58</v>
      </c>
      <c r="G63" s="249">
        <v>54.64</v>
      </c>
      <c r="H63" s="249">
        <v>55.8</v>
      </c>
      <c r="I63" s="249">
        <v>59.16</v>
      </c>
      <c r="J63" s="249">
        <v>56.48</v>
      </c>
      <c r="K63" s="249">
        <v>56.48</v>
      </c>
      <c r="L63" s="249">
        <v>56.82</v>
      </c>
      <c r="M63" s="249">
        <v>57.42</v>
      </c>
      <c r="N63" s="249">
        <v>58.3</v>
      </c>
      <c r="O63" s="249">
        <v>59.5</v>
      </c>
      <c r="P63" s="249">
        <v>59.9</v>
      </c>
      <c r="Q63" s="249">
        <v>59.94</v>
      </c>
      <c r="R63" s="249">
        <v>59.72</v>
      </c>
      <c r="S63" s="249">
        <v>61.06</v>
      </c>
      <c r="T63" s="249">
        <v>61.06</v>
      </c>
      <c r="U63" s="249">
        <v>60.52</v>
      </c>
      <c r="V63" s="249">
        <v>62.5</v>
      </c>
      <c r="W63" s="250">
        <v>62.62</v>
      </c>
      <c r="X63" s="249">
        <v>62.9</v>
      </c>
      <c r="Y63" s="249">
        <v>63.48</v>
      </c>
      <c r="Z63" s="243">
        <f ca="1">[1]ExtEntry!$F61</f>
        <v>63.48</v>
      </c>
      <c r="AA63" s="266"/>
      <c r="AB63" s="376">
        <v>7000</v>
      </c>
      <c r="AC63" s="376">
        <v>7000</v>
      </c>
      <c r="AD63" s="376">
        <v>7000</v>
      </c>
      <c r="AE63" s="376">
        <v>7000</v>
      </c>
      <c r="AF63" s="376">
        <v>7000</v>
      </c>
      <c r="AG63" s="376">
        <v>7000</v>
      </c>
      <c r="AH63" s="376">
        <v>3000</v>
      </c>
      <c r="AI63" s="376">
        <v>3000</v>
      </c>
      <c r="AJ63" s="376">
        <v>3000</v>
      </c>
      <c r="AK63" s="376">
        <v>3000</v>
      </c>
      <c r="AL63" s="376">
        <v>3000</v>
      </c>
      <c r="AM63" s="376">
        <v>3000</v>
      </c>
      <c r="AN63" s="376">
        <v>3000</v>
      </c>
      <c r="AO63" s="376">
        <v>3000</v>
      </c>
      <c r="AP63" s="376">
        <v>3000</v>
      </c>
      <c r="AQ63" s="376">
        <v>3000</v>
      </c>
      <c r="AR63" s="376">
        <v>2000</v>
      </c>
      <c r="AS63" s="376">
        <v>2000</v>
      </c>
      <c r="AT63" s="376">
        <v>2000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46002.708333333336</v>
      </c>
      <c r="F64" s="249">
        <v>13.715</v>
      </c>
      <c r="G64" s="249">
        <v>13.715</v>
      </c>
      <c r="H64" s="249">
        <v>13.94</v>
      </c>
      <c r="I64" s="249">
        <v>14.33</v>
      </c>
      <c r="J64" s="249">
        <v>13.96</v>
      </c>
      <c r="K64" s="249">
        <v>13.96</v>
      </c>
      <c r="L64" s="249">
        <v>13.78</v>
      </c>
      <c r="M64" s="249">
        <v>13.66</v>
      </c>
      <c r="N64" s="249">
        <v>13.98</v>
      </c>
      <c r="O64" s="249">
        <v>14.08</v>
      </c>
      <c r="P64" s="249">
        <v>14.1</v>
      </c>
      <c r="Q64" s="249">
        <v>14.19</v>
      </c>
      <c r="R64" s="249">
        <v>13.845000000000001</v>
      </c>
      <c r="S64" s="249">
        <v>14.07</v>
      </c>
      <c r="T64" s="249">
        <v>14.07</v>
      </c>
      <c r="U64" s="249">
        <v>14.085000000000001</v>
      </c>
      <c r="V64" s="249">
        <v>14.03</v>
      </c>
      <c r="W64" s="250">
        <v>13.71</v>
      </c>
      <c r="X64" s="249">
        <v>13.715</v>
      </c>
      <c r="Y64" s="249">
        <v>13.664999999999999</v>
      </c>
      <c r="Z64" s="243">
        <f ca="1">[1]ExtEntry!$F62</f>
        <v>13.664999999999999</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46002.863888888889</v>
      </c>
      <c r="F65" s="249">
        <v>42.34</v>
      </c>
      <c r="G65" s="249">
        <v>42.61</v>
      </c>
      <c r="H65" s="249">
        <v>43.09</v>
      </c>
      <c r="I65" s="249">
        <v>45.47</v>
      </c>
      <c r="J65" s="249">
        <v>44.67</v>
      </c>
      <c r="K65" s="249">
        <v>44.67</v>
      </c>
      <c r="L65" s="249">
        <v>43.88</v>
      </c>
      <c r="M65" s="249">
        <v>44.87</v>
      </c>
      <c r="N65" s="249">
        <v>43.49</v>
      </c>
      <c r="O65" s="249">
        <v>44.26</v>
      </c>
      <c r="P65" s="249">
        <v>43.52</v>
      </c>
      <c r="Q65" s="249">
        <v>43.72</v>
      </c>
      <c r="R65" s="249">
        <v>43.3</v>
      </c>
      <c r="S65" s="249">
        <v>43.3</v>
      </c>
      <c r="T65" s="249">
        <v>43.3</v>
      </c>
      <c r="U65" s="249">
        <v>43.56</v>
      </c>
      <c r="V65" s="249">
        <v>43.4</v>
      </c>
      <c r="W65" s="250">
        <v>43.17</v>
      </c>
      <c r="X65" s="249">
        <v>43.55</v>
      </c>
      <c r="Y65" s="249">
        <v>43.49</v>
      </c>
      <c r="Z65" s="243">
        <f ca="1">[1]ExtEntry!$F63</f>
        <v>43.49</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46002.865115740744</v>
      </c>
      <c r="F66" s="249">
        <v>226.05</v>
      </c>
      <c r="G66" s="249">
        <v>227.95</v>
      </c>
      <c r="H66" s="249">
        <v>217.95</v>
      </c>
      <c r="I66" s="249">
        <v>218.1</v>
      </c>
      <c r="J66" s="249">
        <v>205.35</v>
      </c>
      <c r="K66" s="249">
        <v>205.35</v>
      </c>
      <c r="L66" s="249">
        <v>205.5</v>
      </c>
      <c r="M66" s="249">
        <v>206.6</v>
      </c>
      <c r="N66" s="249">
        <v>204.85</v>
      </c>
      <c r="O66" s="249">
        <v>206.7</v>
      </c>
      <c r="P66" s="249">
        <v>207</v>
      </c>
      <c r="Q66" s="249">
        <v>208.55</v>
      </c>
      <c r="R66" s="249">
        <v>208.9</v>
      </c>
      <c r="S66" s="249">
        <v>207.85</v>
      </c>
      <c r="T66" s="249">
        <v>207.85</v>
      </c>
      <c r="U66" s="249">
        <v>206.5</v>
      </c>
      <c r="V66" s="249">
        <v>210.15</v>
      </c>
      <c r="W66" s="250">
        <v>210.1</v>
      </c>
      <c r="X66" s="249">
        <v>210</v>
      </c>
      <c r="Y66" s="249">
        <v>210.95</v>
      </c>
      <c r="Z66" s="243">
        <f ca="1">[1]ExtEntry!$F64</f>
        <v>210.95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900</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46002.863888888889</v>
      </c>
      <c r="F67" s="249">
        <v>29.6</v>
      </c>
      <c r="G67" s="249">
        <v>29.5</v>
      </c>
      <c r="H67" s="249">
        <v>27.95</v>
      </c>
      <c r="I67" s="249">
        <v>28.65</v>
      </c>
      <c r="J67" s="249">
        <v>30.45</v>
      </c>
      <c r="K67" s="249">
        <v>30.45</v>
      </c>
      <c r="L67" s="249">
        <v>29.8</v>
      </c>
      <c r="M67" s="249">
        <v>29.8</v>
      </c>
      <c r="N67" s="249">
        <v>32</v>
      </c>
      <c r="O67" s="249">
        <v>33.25</v>
      </c>
      <c r="P67" s="249">
        <v>34.1</v>
      </c>
      <c r="Q67" s="249">
        <v>34.299999999999997</v>
      </c>
      <c r="R67" s="249">
        <v>34.25</v>
      </c>
      <c r="S67" s="249">
        <v>33.5</v>
      </c>
      <c r="T67" s="249">
        <v>33.5</v>
      </c>
      <c r="U67" s="249">
        <v>33.65</v>
      </c>
      <c r="V67" s="249">
        <v>33.9</v>
      </c>
      <c r="W67" s="250">
        <v>36</v>
      </c>
      <c r="X67" s="249">
        <v>38.25</v>
      </c>
      <c r="Y67" s="249">
        <v>38.049999999999997</v>
      </c>
      <c r="Z67" s="243">
        <f ca="1">[1]ExtEntry!$F65</f>
        <v>38.049999999999997</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46002.876048506252</v>
      </c>
      <c r="F68" s="249">
        <v>270.04000000000002</v>
      </c>
      <c r="G68" s="249">
        <v>270.14</v>
      </c>
      <c r="H68" s="249">
        <v>269.77</v>
      </c>
      <c r="I68" s="249">
        <v>272.95</v>
      </c>
      <c r="J68" s="249">
        <v>267.45999999999998</v>
      </c>
      <c r="K68" s="249">
        <v>267.44</v>
      </c>
      <c r="L68" s="249">
        <v>268.56</v>
      </c>
      <c r="M68" s="249">
        <v>266.25</v>
      </c>
      <c r="N68" s="249">
        <v>276.97000000000003</v>
      </c>
      <c r="O68" s="249">
        <v>276.97000000000003</v>
      </c>
      <c r="P68" s="249">
        <v>277.55</v>
      </c>
      <c r="Q68" s="249">
        <v>278.85000000000002</v>
      </c>
      <c r="R68" s="249">
        <v>283.10000000000002</v>
      </c>
      <c r="S68" s="249">
        <v>286.19</v>
      </c>
      <c r="T68" s="249">
        <v>286.19</v>
      </c>
      <c r="U68" s="249">
        <v>284.14999999999998</v>
      </c>
      <c r="V68" s="249">
        <v>280.7</v>
      </c>
      <c r="W68" s="250">
        <v>277.89</v>
      </c>
      <c r="X68" s="249">
        <v>277.18</v>
      </c>
      <c r="Y68" s="249">
        <v>278.77999999999997</v>
      </c>
      <c r="Z68" s="243">
        <f ca="1">[1]ExtEntry!$F66</f>
        <v>278.77999999999997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46002.876189710158</v>
      </c>
      <c r="F69" s="249">
        <v>249.32</v>
      </c>
      <c r="G69" s="249">
        <v>250.2</v>
      </c>
      <c r="H69" s="249">
        <v>243.04</v>
      </c>
      <c r="I69" s="249">
        <v>237.58</v>
      </c>
      <c r="J69" s="249">
        <v>232.87</v>
      </c>
      <c r="K69" s="249">
        <v>222.55</v>
      </c>
      <c r="L69" s="249">
        <v>222.69</v>
      </c>
      <c r="M69" s="249">
        <v>217.14</v>
      </c>
      <c r="N69" s="249">
        <v>229.67</v>
      </c>
      <c r="O69" s="249">
        <v>229.67</v>
      </c>
      <c r="P69" s="249">
        <v>229.16</v>
      </c>
      <c r="Q69" s="249">
        <v>233.22</v>
      </c>
      <c r="R69" s="249">
        <v>233.88</v>
      </c>
      <c r="S69" s="249">
        <v>234.42</v>
      </c>
      <c r="T69" s="249">
        <v>234.42</v>
      </c>
      <c r="U69" s="249">
        <v>232.38</v>
      </c>
      <c r="V69" s="249">
        <v>229.11</v>
      </c>
      <c r="W69" s="250">
        <v>226.89</v>
      </c>
      <c r="X69" s="249">
        <v>227.92</v>
      </c>
      <c r="Y69" s="249">
        <v>231.78</v>
      </c>
      <c r="Z69" s="243">
        <f ca="1">[1]ExtEntry!$F67</f>
        <v>231.78</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46002.708333333336</v>
      </c>
      <c r="F70" s="249">
        <v>918</v>
      </c>
      <c r="G70" s="249">
        <v>906.6</v>
      </c>
      <c r="H70" s="249">
        <v>895.3</v>
      </c>
      <c r="I70" s="249">
        <v>881.5</v>
      </c>
      <c r="J70" s="249">
        <v>865.6</v>
      </c>
      <c r="K70" s="249">
        <v>865.6</v>
      </c>
      <c r="L70" s="249">
        <v>886.6</v>
      </c>
      <c r="M70" s="249">
        <v>889.8</v>
      </c>
      <c r="N70" s="249">
        <v>860.3</v>
      </c>
      <c r="O70" s="249">
        <v>909.3</v>
      </c>
      <c r="P70" s="249">
        <v>897.2</v>
      </c>
      <c r="Q70" s="249">
        <v>903.4</v>
      </c>
      <c r="R70" s="249">
        <v>926.7</v>
      </c>
      <c r="S70" s="249">
        <v>939.1</v>
      </c>
      <c r="T70" s="249">
        <v>939.1</v>
      </c>
      <c r="U70" s="249">
        <v>963.4</v>
      </c>
      <c r="V70" s="249">
        <v>957.3</v>
      </c>
      <c r="W70" s="250">
        <v>963.2</v>
      </c>
      <c r="X70" s="249">
        <v>952.9</v>
      </c>
      <c r="Y70" s="249">
        <v>946</v>
      </c>
      <c r="Z70" s="243">
        <f ca="1">[1]ExtEntry!$F68</f>
        <v>946</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46002.876046238278</v>
      </c>
      <c r="F71" s="249">
        <v>2.62</v>
      </c>
      <c r="G71" s="249">
        <v>2.6</v>
      </c>
      <c r="H71" s="249">
        <v>2.25</v>
      </c>
      <c r="I71" s="249">
        <v>2.16</v>
      </c>
      <c r="J71" s="249">
        <v>2.08</v>
      </c>
      <c r="K71" s="249">
        <v>2.08</v>
      </c>
      <c r="L71" s="249">
        <v>1.98</v>
      </c>
      <c r="M71" s="249">
        <v>1.87</v>
      </c>
      <c r="N71" s="249">
        <v>2.02</v>
      </c>
      <c r="O71" s="249">
        <v>2.02</v>
      </c>
      <c r="P71" s="249">
        <v>2.04</v>
      </c>
      <c r="Q71" s="249">
        <v>2.08</v>
      </c>
      <c r="R71" s="249">
        <v>2</v>
      </c>
      <c r="S71" s="249">
        <v>2.04</v>
      </c>
      <c r="T71" s="249">
        <v>2.04</v>
      </c>
      <c r="U71" s="249">
        <v>2.21</v>
      </c>
      <c r="V71" s="249">
        <v>2.25</v>
      </c>
      <c r="W71" s="250">
        <v>2.13</v>
      </c>
      <c r="X71" s="249">
        <v>1.77</v>
      </c>
      <c r="Y71" s="249">
        <v>1.77</v>
      </c>
      <c r="Z71" s="243">
        <f ca="1">[1]ExtEntry!$F69</f>
        <v>1.77</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46002.876101110938</v>
      </c>
      <c r="F72" s="249">
        <v>111.47</v>
      </c>
      <c r="G72" s="249">
        <v>111.36</v>
      </c>
      <c r="H72" s="249">
        <v>110.49</v>
      </c>
      <c r="I72" s="249">
        <v>107.61</v>
      </c>
      <c r="J72" s="249">
        <v>105.69</v>
      </c>
      <c r="K72" s="249">
        <v>106.28</v>
      </c>
      <c r="L72" s="249">
        <v>104.67</v>
      </c>
      <c r="M72" s="249">
        <v>102.7</v>
      </c>
      <c r="N72" s="249">
        <v>103.31</v>
      </c>
      <c r="O72" s="249">
        <v>103.31</v>
      </c>
      <c r="P72" s="249">
        <v>103.43</v>
      </c>
      <c r="Q72" s="249">
        <v>104.47</v>
      </c>
      <c r="R72" s="249">
        <v>106.77</v>
      </c>
      <c r="S72" s="249">
        <v>104.83</v>
      </c>
      <c r="T72" s="249">
        <v>104.83</v>
      </c>
      <c r="U72" s="249">
        <v>105.74</v>
      </c>
      <c r="V72" s="249">
        <v>105.47</v>
      </c>
      <c r="W72" s="250">
        <v>107.63</v>
      </c>
      <c r="X72" s="249">
        <v>107.02</v>
      </c>
      <c r="Y72" s="249">
        <v>108.83</v>
      </c>
      <c r="Z72" s="243">
        <f ca="1">[1]ExtEntry!$F70</f>
        <v>108.83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46002.876132175785</v>
      </c>
      <c r="F73" s="249">
        <v>66.87</v>
      </c>
      <c r="G73" s="249">
        <v>68.77</v>
      </c>
      <c r="H73" s="249">
        <v>68.84</v>
      </c>
      <c r="I73" s="249">
        <v>71.89</v>
      </c>
      <c r="J73" s="249">
        <v>67.91</v>
      </c>
      <c r="K73" s="249">
        <v>67.930000000000007</v>
      </c>
      <c r="L73" s="249">
        <v>68.5</v>
      </c>
      <c r="M73" s="249">
        <v>68.040000000000006</v>
      </c>
      <c r="N73" s="249">
        <v>72.78</v>
      </c>
      <c r="O73" s="249">
        <v>72.78</v>
      </c>
      <c r="P73" s="249">
        <v>72.81</v>
      </c>
      <c r="Q73" s="249">
        <v>73.52</v>
      </c>
      <c r="R73" s="249">
        <v>72.95</v>
      </c>
      <c r="S73" s="249">
        <v>73.66</v>
      </c>
      <c r="T73" s="249">
        <v>73.66</v>
      </c>
      <c r="U73" s="249">
        <v>74.69</v>
      </c>
      <c r="V73" s="249">
        <v>75.14</v>
      </c>
      <c r="W73" s="250">
        <v>75.709999999999994</v>
      </c>
      <c r="X73" s="249">
        <v>77.16</v>
      </c>
      <c r="Y73" s="249">
        <v>80.8</v>
      </c>
      <c r="Z73" s="243">
        <f ca="1">[1]ExtEntry!$F71</f>
        <v>80.8</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46002.686080821091</v>
      </c>
      <c r="F74" s="249">
        <v>422.6</v>
      </c>
      <c r="G74" s="249">
        <v>425.2</v>
      </c>
      <c r="H74" s="249">
        <v>414.1</v>
      </c>
      <c r="I74" s="249">
        <v>395.8</v>
      </c>
      <c r="J74" s="249">
        <v>371.3</v>
      </c>
      <c r="K74" s="249">
        <v>371.3</v>
      </c>
      <c r="L74" s="249">
        <v>377.6</v>
      </c>
      <c r="M74" s="249">
        <v>382.4</v>
      </c>
      <c r="N74" s="249">
        <v>391.2</v>
      </c>
      <c r="O74" s="249">
        <v>399.2</v>
      </c>
      <c r="P74" s="249">
        <v>396.7</v>
      </c>
      <c r="Q74" s="249">
        <v>396.3</v>
      </c>
      <c r="R74" s="249">
        <v>393.5</v>
      </c>
      <c r="S74" s="249">
        <v>389.3</v>
      </c>
      <c r="T74" s="249">
        <v>389.3</v>
      </c>
      <c r="U74" s="249">
        <v>390.9</v>
      </c>
      <c r="V74" s="249">
        <v>385</v>
      </c>
      <c r="W74" s="250">
        <v>391</v>
      </c>
      <c r="X74" s="249">
        <v>387.6</v>
      </c>
      <c r="Y74" s="249">
        <v>385.6</v>
      </c>
      <c r="Z74" s="243">
        <f ca="1">[1]ExtEntry!$F72</f>
        <v>385.6</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46002.875958541408</v>
      </c>
      <c r="F75" s="249">
        <v>23.75</v>
      </c>
      <c r="G75" s="249">
        <v>23.56</v>
      </c>
      <c r="H75" s="249">
        <v>24.33</v>
      </c>
      <c r="I75" s="249">
        <v>24.96</v>
      </c>
      <c r="J75" s="249">
        <v>24.76</v>
      </c>
      <c r="K75" s="249">
        <v>24.92</v>
      </c>
      <c r="L75" s="249">
        <v>24.18</v>
      </c>
      <c r="M75" s="249">
        <v>22.36</v>
      </c>
      <c r="N75" s="249">
        <v>24.75</v>
      </c>
      <c r="O75" s="249">
        <v>24.75</v>
      </c>
      <c r="P75" s="249">
        <v>25.01</v>
      </c>
      <c r="Q75" s="249">
        <v>25.98</v>
      </c>
      <c r="R75" s="249">
        <v>24.16</v>
      </c>
      <c r="S75" s="249">
        <v>24.06</v>
      </c>
      <c r="T75" s="249">
        <v>24.06</v>
      </c>
      <c r="U75" s="249">
        <v>25.18</v>
      </c>
      <c r="V75" s="249">
        <v>25.49</v>
      </c>
      <c r="W75" s="250">
        <v>27.97</v>
      </c>
      <c r="X75" s="249">
        <v>28.24</v>
      </c>
      <c r="Y75" s="249">
        <v>29.03</v>
      </c>
      <c r="Z75" s="243">
        <f ca="1">[1]ExtEntry!$F73</f>
        <v>29.03</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46002.875947060158</v>
      </c>
      <c r="F76" s="249">
        <v>1.48</v>
      </c>
      <c r="G76" s="249">
        <v>1.64</v>
      </c>
      <c r="H76" s="249">
        <v>1.51</v>
      </c>
      <c r="I76" s="249">
        <v>1.46</v>
      </c>
      <c r="J76" s="249">
        <v>1.4</v>
      </c>
      <c r="K76" s="249">
        <v>1.41</v>
      </c>
      <c r="L76" s="249">
        <v>1.36</v>
      </c>
      <c r="M76" s="249">
        <v>1.32</v>
      </c>
      <c r="N76" s="249">
        <v>1.27</v>
      </c>
      <c r="O76" s="249">
        <v>1.27</v>
      </c>
      <c r="P76" s="249">
        <v>1.28</v>
      </c>
      <c r="Q76" s="249">
        <v>1.31</v>
      </c>
      <c r="R76" s="249">
        <v>1.26</v>
      </c>
      <c r="S76" s="249">
        <v>1.26</v>
      </c>
      <c r="T76" s="249">
        <v>1.26</v>
      </c>
      <c r="U76" s="249">
        <v>1.35</v>
      </c>
      <c r="V76" s="249">
        <v>1.42</v>
      </c>
      <c r="W76" s="250">
        <v>1.1000000000000001</v>
      </c>
      <c r="X76" s="249">
        <v>1.0049999999999999</v>
      </c>
      <c r="Y76" s="249">
        <v>0.94379999999999997</v>
      </c>
      <c r="Z76" s="243">
        <f ca="1">[1]ExtEntry!$F74</f>
        <v>0.94379999999999997</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46002.708333333336</v>
      </c>
      <c r="F77" s="249">
        <v>15.91</v>
      </c>
      <c r="G77" s="249">
        <v>15.968</v>
      </c>
      <c r="H77" s="249">
        <v>15.948</v>
      </c>
      <c r="I77" s="249">
        <v>16.457999999999998</v>
      </c>
      <c r="J77" s="249">
        <v>16.329999999999998</v>
      </c>
      <c r="K77" s="249">
        <v>16.329999999999998</v>
      </c>
      <c r="L77" s="249">
        <v>16.218</v>
      </c>
      <c r="M77" s="249">
        <v>16.295999999999999</v>
      </c>
      <c r="N77" s="249">
        <v>15.68</v>
      </c>
      <c r="O77" s="249">
        <v>15.986000000000001</v>
      </c>
      <c r="P77" s="249">
        <v>15.93</v>
      </c>
      <c r="Q77" s="249">
        <v>16.132000000000001</v>
      </c>
      <c r="R77" s="249">
        <v>16.178000000000001</v>
      </c>
      <c r="S77" s="249">
        <v>16.187999999999999</v>
      </c>
      <c r="T77" s="249">
        <v>16.187999999999999</v>
      </c>
      <c r="U77" s="249">
        <v>16.352</v>
      </c>
      <c r="V77" s="249">
        <v>16.350000000000001</v>
      </c>
      <c r="W77" s="250">
        <v>16.068000000000001</v>
      </c>
      <c r="X77" s="249">
        <v>16.108000000000001</v>
      </c>
      <c r="Y77" s="249">
        <v>16.013999999999999</v>
      </c>
      <c r="Z77" s="243">
        <f ca="1">[1]ExtEntry!$F75</f>
        <v>16.013999999999999</v>
      </c>
      <c r="AA77" s="266"/>
      <c r="AB77" s="376">
        <v>17000</v>
      </c>
      <c r="AC77" s="376">
        <v>17000</v>
      </c>
      <c r="AD77" s="376">
        <v>17000</v>
      </c>
      <c r="AE77" s="376">
        <v>17000</v>
      </c>
      <c r="AF77" s="376">
        <v>17000</v>
      </c>
      <c r="AG77" s="376">
        <v>17000</v>
      </c>
      <c r="AH77" s="376">
        <v>17000</v>
      </c>
      <c r="AI77" s="376">
        <v>17000</v>
      </c>
      <c r="AJ77" s="376">
        <v>15000</v>
      </c>
      <c r="AK77" s="376">
        <v>15000</v>
      </c>
      <c r="AL77" s="376">
        <v>15000</v>
      </c>
      <c r="AM77" s="376">
        <v>15000</v>
      </c>
      <c r="AN77" s="376">
        <v>15000</v>
      </c>
      <c r="AO77" s="376">
        <v>10000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46002.681354941407</v>
      </c>
      <c r="F78" s="249">
        <v>480.3</v>
      </c>
      <c r="G78" s="249">
        <v>484.1</v>
      </c>
      <c r="H78" s="249">
        <v>478.5</v>
      </c>
      <c r="I78" s="249">
        <v>477</v>
      </c>
      <c r="J78" s="249">
        <v>455.8</v>
      </c>
      <c r="K78" s="249">
        <v>455.8</v>
      </c>
      <c r="L78" s="249">
        <v>462.1</v>
      </c>
      <c r="M78" s="249">
        <v>458</v>
      </c>
      <c r="N78" s="249">
        <v>473.1</v>
      </c>
      <c r="O78" s="249">
        <v>483</v>
      </c>
      <c r="P78" s="249">
        <v>485</v>
      </c>
      <c r="Q78" s="249">
        <v>499.4</v>
      </c>
      <c r="R78" s="249">
        <v>493.5</v>
      </c>
      <c r="S78" s="249">
        <v>492.6</v>
      </c>
      <c r="T78" s="249">
        <v>492.6</v>
      </c>
      <c r="U78" s="249">
        <v>485.5</v>
      </c>
      <c r="V78" s="249">
        <v>489.2</v>
      </c>
      <c r="W78" s="250">
        <v>484.6</v>
      </c>
      <c r="X78" s="249">
        <v>478.3</v>
      </c>
      <c r="Y78" s="249">
        <v>476.4</v>
      </c>
      <c r="Z78" s="243">
        <f ca="1">[1]ExtEntry!$F76</f>
        <v>476.4</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46002.875952372655</v>
      </c>
      <c r="F79" s="249">
        <v>12.79</v>
      </c>
      <c r="G79" s="249">
        <v>13.11</v>
      </c>
      <c r="H79" s="249">
        <v>12.97</v>
      </c>
      <c r="I79" s="249">
        <v>13.28</v>
      </c>
      <c r="J79" s="249">
        <v>12.88</v>
      </c>
      <c r="K79" s="249">
        <v>13.02</v>
      </c>
      <c r="L79" s="249">
        <v>12.9</v>
      </c>
      <c r="M79" s="249">
        <v>12.41</v>
      </c>
      <c r="N79" s="249">
        <v>13.17</v>
      </c>
      <c r="O79" s="249">
        <v>13.17</v>
      </c>
      <c r="P79" s="249">
        <v>13.19</v>
      </c>
      <c r="Q79" s="249">
        <v>13.28</v>
      </c>
      <c r="R79" s="249">
        <v>13.16</v>
      </c>
      <c r="S79" s="249">
        <v>12.96</v>
      </c>
      <c r="T79" s="249">
        <v>12.96</v>
      </c>
      <c r="U79" s="249">
        <v>13.09</v>
      </c>
      <c r="V79" s="249">
        <v>13.14</v>
      </c>
      <c r="W79" s="250">
        <v>13.14</v>
      </c>
      <c r="X79" s="249">
        <v>13.08</v>
      </c>
      <c r="Y79" s="249">
        <v>13.41</v>
      </c>
      <c r="Z79" s="243">
        <f ca="1">[1]ExtEntry!$F77</f>
        <v>13.41</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46002.708333333336</v>
      </c>
      <c r="F80" s="249">
        <v>54.58</v>
      </c>
      <c r="G80" s="249">
        <v>54.64</v>
      </c>
      <c r="H80" s="249">
        <v>55.8</v>
      </c>
      <c r="I80" s="249">
        <v>59.16</v>
      </c>
      <c r="J80" s="249">
        <v>56.48</v>
      </c>
      <c r="K80" s="249">
        <v>56.48</v>
      </c>
      <c r="L80" s="249">
        <v>56.82</v>
      </c>
      <c r="M80" s="249">
        <v>57.42</v>
      </c>
      <c r="N80" s="249">
        <v>58.3</v>
      </c>
      <c r="O80" s="249">
        <v>59.5</v>
      </c>
      <c r="P80" s="249">
        <v>59.9</v>
      </c>
      <c r="Q80" s="249">
        <v>59.94</v>
      </c>
      <c r="R80" s="249">
        <v>59.72</v>
      </c>
      <c r="S80" s="249">
        <v>61.06</v>
      </c>
      <c r="T80" s="249">
        <v>61.06</v>
      </c>
      <c r="U80" s="249">
        <v>60.52</v>
      </c>
      <c r="V80" s="249">
        <v>62.5</v>
      </c>
      <c r="W80" s="250">
        <v>62.62</v>
      </c>
      <c r="X80" s="249">
        <v>62.9</v>
      </c>
      <c r="Y80" s="249">
        <v>63.48</v>
      </c>
      <c r="Z80" s="243">
        <f ca="1">[1]ExtEntry!$F78</f>
        <v>63.48</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46002.876049178129</v>
      </c>
      <c r="F81" s="249">
        <v>156.59</v>
      </c>
      <c r="G81" s="249">
        <v>159.18</v>
      </c>
      <c r="H81" s="249">
        <v>153.79</v>
      </c>
      <c r="I81" s="249">
        <v>154.63</v>
      </c>
      <c r="J81" s="249">
        <v>140.51</v>
      </c>
      <c r="K81" s="249">
        <v>142.46</v>
      </c>
      <c r="L81" s="249">
        <v>147.26</v>
      </c>
      <c r="M81" s="249">
        <v>140.22</v>
      </c>
      <c r="N81" s="249">
        <v>148.56</v>
      </c>
      <c r="O81" s="249">
        <v>148.56</v>
      </c>
      <c r="P81" s="249">
        <v>148.82</v>
      </c>
      <c r="Q81" s="249">
        <v>151.63</v>
      </c>
      <c r="R81" s="249">
        <v>149.22</v>
      </c>
      <c r="S81" s="249">
        <v>155.31</v>
      </c>
      <c r="T81" s="249">
        <v>155.31</v>
      </c>
      <c r="U81" s="249">
        <v>159.16999999999999</v>
      </c>
      <c r="V81" s="249">
        <v>163.24</v>
      </c>
      <c r="W81" s="250">
        <v>164.04</v>
      </c>
      <c r="X81" s="249">
        <v>160.11000000000001</v>
      </c>
      <c r="Y81" s="249">
        <v>166.57</v>
      </c>
      <c r="Z81" s="243">
        <f ca="1">[1]ExtEntry!$F79</f>
        <v>166.57</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46002.875974594528</v>
      </c>
      <c r="F82" s="249">
        <v>790.83</v>
      </c>
      <c r="G82" s="249">
        <v>793.09</v>
      </c>
      <c r="H82" s="249">
        <v>787.58</v>
      </c>
      <c r="I82" s="249">
        <v>805.5</v>
      </c>
      <c r="J82" s="249">
        <v>775.56</v>
      </c>
      <c r="K82" s="249">
        <v>776.3</v>
      </c>
      <c r="L82" s="249">
        <v>785.99</v>
      </c>
      <c r="M82" s="249">
        <v>773.7</v>
      </c>
      <c r="N82" s="249">
        <v>802.32</v>
      </c>
      <c r="O82" s="249">
        <v>802.32</v>
      </c>
      <c r="P82" s="249">
        <v>816.01</v>
      </c>
      <c r="Q82" s="249">
        <v>826.04</v>
      </c>
      <c r="R82" s="249">
        <v>806.86</v>
      </c>
      <c r="S82" s="249">
        <v>815.21</v>
      </c>
      <c r="T82" s="249">
        <v>815.21</v>
      </c>
      <c r="U82" s="249">
        <v>836.57</v>
      </c>
      <c r="V82" s="249">
        <v>837.83</v>
      </c>
      <c r="W82" s="250">
        <v>866.69</v>
      </c>
      <c r="X82" s="249">
        <v>876.58</v>
      </c>
      <c r="Y82" s="249">
        <v>889.24</v>
      </c>
      <c r="Z82" s="243">
        <f ca="1">[1]ExtEntry!$F80</f>
        <v>889.24</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46002.875009640622</v>
      </c>
      <c r="F83" s="249">
        <v>1.35</v>
      </c>
      <c r="G83" s="249">
        <v>1.24</v>
      </c>
      <c r="H83" s="249">
        <v>1.1499999999999999</v>
      </c>
      <c r="I83" s="249">
        <v>1.06</v>
      </c>
      <c r="J83" s="249">
        <v>0.90739999999999998</v>
      </c>
      <c r="K83" s="249">
        <v>0.86609999999999998</v>
      </c>
      <c r="L83" s="249">
        <v>0.90529999999999999</v>
      </c>
      <c r="M83" s="249">
        <v>0.90139999999999998</v>
      </c>
      <c r="N83" s="249">
        <v>0.79669999999999996</v>
      </c>
      <c r="O83" s="249">
        <v>0.79669999999999996</v>
      </c>
      <c r="P83" s="249">
        <v>0.81599999999999995</v>
      </c>
      <c r="Q83" s="249">
        <v>0.90629999999999999</v>
      </c>
      <c r="R83" s="249">
        <v>0.86</v>
      </c>
      <c r="S83" s="249">
        <v>0.81879999999999997</v>
      </c>
      <c r="T83" s="249">
        <v>0.81879999999999997</v>
      </c>
      <c r="U83" s="249">
        <v>0.87860000000000005</v>
      </c>
      <c r="V83" s="249">
        <v>1.03</v>
      </c>
      <c r="W83" s="250">
        <v>0.87009999999999998</v>
      </c>
      <c r="X83" s="249">
        <v>0.8589</v>
      </c>
      <c r="Y83" s="249">
        <v>0.87350000000000005</v>
      </c>
      <c r="Z83" s="243">
        <f ca="1">[1]ExtEntry!$F81</f>
        <v>0.87350000000000005</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46002.876090265629</v>
      </c>
      <c r="F84" s="249">
        <v>29.67</v>
      </c>
      <c r="G84" s="249">
        <v>31.62</v>
      </c>
      <c r="H84" s="249">
        <v>31.51</v>
      </c>
      <c r="I84" s="249">
        <v>33.04</v>
      </c>
      <c r="J84" s="249">
        <v>31.85</v>
      </c>
      <c r="K84" s="249">
        <v>31.96</v>
      </c>
      <c r="L84" s="249">
        <v>31.92</v>
      </c>
      <c r="M84" s="249">
        <v>31.16</v>
      </c>
      <c r="N84" s="249">
        <v>34.36</v>
      </c>
      <c r="O84" s="249">
        <v>34.36</v>
      </c>
      <c r="P84" s="249">
        <v>35.06</v>
      </c>
      <c r="Q84" s="249">
        <v>34.81</v>
      </c>
      <c r="R84" s="249">
        <v>34.770000000000003</v>
      </c>
      <c r="S84" s="249">
        <v>35.43</v>
      </c>
      <c r="T84" s="249">
        <v>35.43</v>
      </c>
      <c r="U84" s="249">
        <v>35.68</v>
      </c>
      <c r="V84" s="249">
        <v>35.81</v>
      </c>
      <c r="W84" s="250">
        <v>37.950000000000003</v>
      </c>
      <c r="X84" s="249">
        <v>38.15</v>
      </c>
      <c r="Y84" s="249">
        <v>39.83</v>
      </c>
      <c r="Z84" s="243">
        <f ca="1">[1]ExtEntry!$F82</f>
        <v>39.83</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2100</v>
      </c>
      <c r="AS84" s="376">
        <v>2100</v>
      </c>
      <c r="AT84" s="376">
        <v>2100</v>
      </c>
      <c r="AU84" s="376">
        <v>2100</v>
      </c>
      <c r="AV84" s="376">
        <f ca="1">Calc!G82</f>
        <v>2100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46002.876149120311</v>
      </c>
      <c r="F85" s="249">
        <v>552.75</v>
      </c>
      <c r="G85" s="249">
        <v>553.30999999999995</v>
      </c>
      <c r="H85" s="249">
        <v>553.28</v>
      </c>
      <c r="I85" s="249">
        <v>555.57000000000005</v>
      </c>
      <c r="J85" s="249">
        <v>536.85</v>
      </c>
      <c r="K85" s="249">
        <v>527.58000000000004</v>
      </c>
      <c r="L85" s="249">
        <v>530.36</v>
      </c>
      <c r="M85" s="249">
        <v>527.88</v>
      </c>
      <c r="N85" s="249">
        <v>546.47</v>
      </c>
      <c r="O85" s="249">
        <v>546.47</v>
      </c>
      <c r="P85" s="249">
        <v>544.92999999999995</v>
      </c>
      <c r="Q85" s="249">
        <v>550.53</v>
      </c>
      <c r="R85" s="249">
        <v>543.97</v>
      </c>
      <c r="S85" s="249">
        <v>545.91</v>
      </c>
      <c r="T85" s="249">
        <v>545.91</v>
      </c>
      <c r="U85" s="249">
        <v>553.73</v>
      </c>
      <c r="V85" s="249">
        <v>542.30999999999995</v>
      </c>
      <c r="W85" s="250">
        <v>540.44000000000005</v>
      </c>
      <c r="X85" s="249">
        <v>537.54999999999995</v>
      </c>
      <c r="Y85" s="249">
        <v>538.86</v>
      </c>
      <c r="Z85" s="243">
        <f ca="1">[1]ExtEntry!$F83</f>
        <v>538.86</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46002.876026075784</v>
      </c>
      <c r="F86" s="249">
        <v>7.51</v>
      </c>
      <c r="G86" s="249">
        <v>7.69</v>
      </c>
      <c r="H86" s="249">
        <v>7.59</v>
      </c>
      <c r="I86" s="249">
        <v>7.06</v>
      </c>
      <c r="J86" s="249">
        <v>6.8</v>
      </c>
      <c r="K86" s="249">
        <v>6.57</v>
      </c>
      <c r="L86" s="249">
        <v>6.34</v>
      </c>
      <c r="M86" s="249">
        <v>6.22</v>
      </c>
      <c r="N86" s="249">
        <v>6.69</v>
      </c>
      <c r="O86" s="249">
        <v>6.69</v>
      </c>
      <c r="P86" s="249">
        <v>6.95</v>
      </c>
      <c r="Q86" s="249">
        <v>7.05</v>
      </c>
      <c r="R86" s="249">
        <v>6.69</v>
      </c>
      <c r="S86" s="249">
        <v>6.6</v>
      </c>
      <c r="T86" s="249">
        <v>6.6</v>
      </c>
      <c r="U86" s="249">
        <v>6.84</v>
      </c>
      <c r="V86" s="249">
        <v>6.86</v>
      </c>
      <c r="W86" s="250">
        <v>6.78</v>
      </c>
      <c r="X86" s="249">
        <v>6.66</v>
      </c>
      <c r="Y86" s="249">
        <v>6.74</v>
      </c>
      <c r="Z86" s="243">
        <f ca="1">[1]ExtEntry!$F84</f>
        <v>6.74</v>
      </c>
      <c r="AA86" s="266"/>
      <c r="AB86" s="376">
        <v>6500</v>
      </c>
      <c r="AC86" s="376">
        <v>6500</v>
      </c>
      <c r="AD86" s="376">
        <v>6500</v>
      </c>
      <c r="AE86" s="376">
        <v>6500</v>
      </c>
      <c r="AF86" s="376">
        <v>4500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46002.875450150001</v>
      </c>
      <c r="F87" s="249">
        <v>125.01</v>
      </c>
      <c r="G87" s="249">
        <v>125.5</v>
      </c>
      <c r="H87" s="249">
        <v>126.57</v>
      </c>
      <c r="I87" s="249">
        <v>131.91</v>
      </c>
      <c r="J87" s="249">
        <v>131.55000000000001</v>
      </c>
      <c r="K87" s="249">
        <v>128.01</v>
      </c>
      <c r="L87" s="249">
        <v>127.31</v>
      </c>
      <c r="M87" s="249">
        <v>124.36</v>
      </c>
      <c r="N87" s="249">
        <v>130.26</v>
      </c>
      <c r="O87" s="249">
        <v>130.26</v>
      </c>
      <c r="P87" s="249">
        <v>130.44</v>
      </c>
      <c r="Q87" s="249">
        <v>130.4</v>
      </c>
      <c r="R87" s="249">
        <v>128.97</v>
      </c>
      <c r="S87" s="249">
        <v>132.28</v>
      </c>
      <c r="T87" s="249">
        <v>132.28</v>
      </c>
      <c r="U87" s="249">
        <v>133.72</v>
      </c>
      <c r="V87" s="249">
        <v>132.43</v>
      </c>
      <c r="W87" s="250">
        <v>130.16999999999999</v>
      </c>
      <c r="X87" s="249">
        <v>131.01</v>
      </c>
      <c r="Y87" s="249">
        <v>131.19</v>
      </c>
      <c r="Z87" s="243">
        <f ca="1">[1]ExtEntry!$F85</f>
        <v>131.19</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46002.708333333336</v>
      </c>
      <c r="F88" s="249">
        <v>13.715</v>
      </c>
      <c r="G88" s="249">
        <v>13.715</v>
      </c>
      <c r="H88" s="249">
        <v>13.94</v>
      </c>
      <c r="I88" s="249">
        <v>14.33</v>
      </c>
      <c r="J88" s="249">
        <v>13.96</v>
      </c>
      <c r="K88" s="249">
        <v>13.96</v>
      </c>
      <c r="L88" s="249">
        <v>13.78</v>
      </c>
      <c r="M88" s="249">
        <v>13.66</v>
      </c>
      <c r="N88" s="249">
        <v>13.98</v>
      </c>
      <c r="O88" s="249">
        <v>14.08</v>
      </c>
      <c r="P88" s="249">
        <v>14.1</v>
      </c>
      <c r="Q88" s="249">
        <v>14.19</v>
      </c>
      <c r="R88" s="249">
        <v>13.845000000000001</v>
      </c>
      <c r="S88" s="249">
        <v>14.07</v>
      </c>
      <c r="T88" s="249">
        <v>14.07</v>
      </c>
      <c r="U88" s="249">
        <v>14.085000000000001</v>
      </c>
      <c r="V88" s="249">
        <v>14.03</v>
      </c>
      <c r="W88" s="250">
        <v>13.71</v>
      </c>
      <c r="X88" s="249">
        <v>13.715</v>
      </c>
      <c r="Y88" s="249">
        <v>13.664999999999999</v>
      </c>
      <c r="Z88" s="243">
        <f ca="1">[1]ExtEntry!$F86</f>
        <v>13.664999999999999</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46002.876105474221</v>
      </c>
      <c r="F89" s="249">
        <v>40.08</v>
      </c>
      <c r="G89" s="249">
        <v>39.75</v>
      </c>
      <c r="H89" s="249">
        <v>40.299999999999997</v>
      </c>
      <c r="I89" s="249">
        <v>42.02</v>
      </c>
      <c r="J89" s="249">
        <v>41.69</v>
      </c>
      <c r="K89" s="249">
        <v>42.52</v>
      </c>
      <c r="L89" s="249">
        <v>41.45</v>
      </c>
      <c r="M89" s="249">
        <v>41.21</v>
      </c>
      <c r="N89" s="249">
        <v>41.41</v>
      </c>
      <c r="O89" s="249">
        <v>41.41</v>
      </c>
      <c r="P89" s="249">
        <v>41.42</v>
      </c>
      <c r="Q89" s="249">
        <v>42</v>
      </c>
      <c r="R89" s="249">
        <v>42.34</v>
      </c>
      <c r="S89" s="249">
        <v>41.98</v>
      </c>
      <c r="T89" s="249">
        <v>41.98</v>
      </c>
      <c r="U89" s="249">
        <v>42.45</v>
      </c>
      <c r="V89" s="249">
        <v>42.67</v>
      </c>
      <c r="W89" s="250">
        <v>41.36</v>
      </c>
      <c r="X89" s="249">
        <v>41.31</v>
      </c>
      <c r="Y89" s="249">
        <v>41.75</v>
      </c>
      <c r="Z89" s="243">
        <f ca="1">[1]ExtEntry!$F87</f>
        <v>41.75</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189</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46002.876166376562</v>
      </c>
      <c r="F90" s="249">
        <v>24.3</v>
      </c>
      <c r="G90" s="249">
        <v>24.61</v>
      </c>
      <c r="H90" s="249">
        <v>24.42</v>
      </c>
      <c r="I90" s="249">
        <v>25.79</v>
      </c>
      <c r="J90" s="249">
        <v>25.08</v>
      </c>
      <c r="K90" s="249">
        <v>25.45</v>
      </c>
      <c r="L90" s="249">
        <v>24.88</v>
      </c>
      <c r="M90" s="249">
        <v>24.4</v>
      </c>
      <c r="N90" s="249">
        <v>25.72</v>
      </c>
      <c r="O90" s="249">
        <v>25.72</v>
      </c>
      <c r="P90" s="249">
        <v>25.71</v>
      </c>
      <c r="Q90" s="249">
        <v>25.74</v>
      </c>
      <c r="R90" s="249">
        <v>25.27</v>
      </c>
      <c r="S90" s="249">
        <v>25.15</v>
      </c>
      <c r="T90" s="249">
        <v>25.15</v>
      </c>
      <c r="U90" s="249">
        <v>25.57</v>
      </c>
      <c r="V90" s="249">
        <v>25.7</v>
      </c>
      <c r="W90" s="250">
        <v>25.77</v>
      </c>
      <c r="X90" s="249">
        <v>25.33</v>
      </c>
      <c r="Y90" s="249">
        <v>25.78</v>
      </c>
      <c r="Z90" s="243">
        <f ca="1">[1]ExtEntry!$F88</f>
        <v>25.78</v>
      </c>
      <c r="AA90" s="266"/>
      <c r="AB90" s="376">
        <v>1600</v>
      </c>
      <c r="AC90" s="376">
        <v>1600</v>
      </c>
      <c r="AD90" s="376">
        <v>1600</v>
      </c>
      <c r="AE90" s="376">
        <v>1600</v>
      </c>
      <c r="AF90" s="376">
        <v>1600</v>
      </c>
      <c r="AG90" s="376">
        <v>1600</v>
      </c>
      <c r="AH90" s="376">
        <v>0</v>
      </c>
      <c r="AI90" s="376">
        <v>0</v>
      </c>
      <c r="AJ90" s="376">
        <v>2000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190</v>
      </c>
      <c r="AZ90" t="s">
        <v>2186</v>
      </c>
      <c r="BA90" s="249">
        <v>104</v>
      </c>
      <c r="CP90" s="249"/>
      <c r="EH90" s="108"/>
      <c r="FD90" s="281"/>
      <c r="FZ90" s="249"/>
      <c r="GV90" s="249"/>
      <c r="HR90" s="249"/>
      <c r="IN90" s="249"/>
    </row>
    <row r="91" spans="1:248" hidden="1">
      <c r="A91" s="237" t="str">
        <f ca="1">[1]ExtEntry!$A89</f>
        <v>RIG</v>
      </c>
      <c r="B91" s="246"/>
      <c r="C91" s="247"/>
      <c r="D91" s="247">
        <f>ROW()</f>
        <v>91</v>
      </c>
      <c r="E91" s="383">
        <f ca="1">[1]ExtEntry!$E89</f>
        <v>46002.876083286719</v>
      </c>
      <c r="F91" s="249">
        <v>3.9</v>
      </c>
      <c r="G91" s="249">
        <v>3.9</v>
      </c>
      <c r="H91" s="249">
        <v>3.9</v>
      </c>
      <c r="I91" s="249">
        <v>4.01</v>
      </c>
      <c r="J91" s="249">
        <v>4.08</v>
      </c>
      <c r="K91" s="249">
        <v>4.13</v>
      </c>
      <c r="L91" s="249">
        <v>4.0999999999999996</v>
      </c>
      <c r="M91" s="249">
        <v>3.84</v>
      </c>
      <c r="N91" s="249">
        <v>4.05</v>
      </c>
      <c r="O91" s="249">
        <v>4.05</v>
      </c>
      <c r="P91" s="249">
        <v>4.3</v>
      </c>
      <c r="Q91" s="249">
        <v>4.41</v>
      </c>
      <c r="R91" s="249">
        <v>4.3499999999999996</v>
      </c>
      <c r="S91" s="249">
        <v>4.3099999999999996</v>
      </c>
      <c r="T91" s="249">
        <v>4.3099999999999996</v>
      </c>
      <c r="U91" s="249">
        <v>4.45</v>
      </c>
      <c r="V91" s="249">
        <v>4.43</v>
      </c>
      <c r="W91" s="250">
        <v>4.4400000000000004</v>
      </c>
      <c r="X91" s="249">
        <v>4.45</v>
      </c>
      <c r="Y91" s="249">
        <v>4.3</v>
      </c>
      <c r="Z91" s="243">
        <f ca="1">[1]ExtEntry!$F89</f>
        <v>4.3</v>
      </c>
      <c r="AA91" s="266"/>
      <c r="AB91" s="376">
        <v>48000</v>
      </c>
      <c r="AC91" s="376">
        <v>48000</v>
      </c>
      <c r="AD91" s="376">
        <v>43000</v>
      </c>
      <c r="AE91" s="376">
        <v>43000</v>
      </c>
      <c r="AF91" s="376">
        <v>43000</v>
      </c>
      <c r="AG91" s="376">
        <v>43000</v>
      </c>
      <c r="AH91" s="376">
        <v>43000</v>
      </c>
      <c r="AI91" s="376">
        <v>43000</v>
      </c>
      <c r="AJ91" s="376">
        <v>35000</v>
      </c>
      <c r="AK91" s="376">
        <v>35000</v>
      </c>
      <c r="AL91" s="376">
        <v>35000</v>
      </c>
      <c r="AM91" s="376">
        <v>35000</v>
      </c>
      <c r="AN91" s="376">
        <v>35000</v>
      </c>
      <c r="AO91" s="376">
        <v>35000</v>
      </c>
      <c r="AP91" s="376">
        <v>27500</v>
      </c>
      <c r="AQ91" s="376">
        <v>27500</v>
      </c>
      <c r="AR91" s="376">
        <v>27500</v>
      </c>
      <c r="AS91" s="376">
        <v>27500</v>
      </c>
      <c r="AT91" s="376">
        <v>27500</v>
      </c>
      <c r="AU91" s="376">
        <v>27500</v>
      </c>
      <c r="AV91" s="376">
        <f ca="1">Calc!G89</f>
        <v>27500</v>
      </c>
      <c r="AW91" s="249"/>
      <c r="AX91" s="86" t="str">
        <f t="shared" ca="1" si="4"/>
        <v>RIG</v>
      </c>
      <c r="AY91" t="s">
        <v>139</v>
      </c>
      <c r="AZ91" t="s">
        <v>2187</v>
      </c>
      <c r="BA91" s="249">
        <v>203</v>
      </c>
      <c r="CP91" s="249"/>
      <c r="EH91" s="108"/>
      <c r="FD91" s="281"/>
      <c r="FZ91" s="249"/>
      <c r="GV91" s="249"/>
      <c r="HR91" s="249"/>
      <c r="IN91" s="249"/>
    </row>
    <row r="92" spans="1:248">
      <c r="A92" s="237" t="str">
        <f ca="1">[1]ExtEntry!$A90</f>
        <v>RRC</v>
      </c>
      <c r="B92" s="246"/>
      <c r="C92" s="247"/>
      <c r="D92" s="247">
        <f>ROW()</f>
        <v>92</v>
      </c>
      <c r="E92" s="383">
        <f ca="1">[1]ExtEntry!$E90</f>
        <v>46002.875984664061</v>
      </c>
      <c r="F92" s="249">
        <v>37.03</v>
      </c>
      <c r="G92" s="249">
        <v>37.07</v>
      </c>
      <c r="H92" s="249">
        <v>36.729999999999997</v>
      </c>
      <c r="I92" s="249">
        <v>38.020000000000003</v>
      </c>
      <c r="J92" s="249">
        <v>38.15</v>
      </c>
      <c r="K92" s="249">
        <v>39.03</v>
      </c>
      <c r="L92" s="249">
        <v>39.32</v>
      </c>
      <c r="M92" s="249">
        <v>38.19</v>
      </c>
      <c r="N92" s="249">
        <v>37.799999999999997</v>
      </c>
      <c r="O92" s="249">
        <v>37.799999999999997</v>
      </c>
      <c r="P92" s="249">
        <v>38.46</v>
      </c>
      <c r="Q92" s="249">
        <v>39.49</v>
      </c>
      <c r="R92" s="249">
        <v>39.26</v>
      </c>
      <c r="S92" s="249">
        <v>38.07</v>
      </c>
      <c r="T92" s="249">
        <v>38.07</v>
      </c>
      <c r="U92" s="249">
        <v>39.89</v>
      </c>
      <c r="V92" s="249">
        <v>39.68</v>
      </c>
      <c r="W92" s="250">
        <v>37.68</v>
      </c>
      <c r="X92" s="249">
        <v>37.54</v>
      </c>
      <c r="Y92" s="249">
        <v>37.29</v>
      </c>
      <c r="Z92" s="243">
        <f ca="1">[1]ExtEntry!$F90</f>
        <v>37.29</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191</v>
      </c>
      <c r="AZ92" t="s">
        <v>1878</v>
      </c>
      <c r="BA92" s="249">
        <v>302</v>
      </c>
      <c r="CP92" s="249"/>
      <c r="EH92" s="108"/>
      <c r="FD92" s="281"/>
      <c r="FZ92" s="249"/>
      <c r="GV92" s="249"/>
      <c r="HR92" s="249"/>
      <c r="IN92" s="249"/>
    </row>
    <row r="93" spans="1:248">
      <c r="A93" s="237" t="str">
        <f ca="1">[1]ExtEntry!$A91</f>
        <v>XYZ</v>
      </c>
      <c r="B93" s="238"/>
      <c r="C93" s="239"/>
      <c r="D93" s="239">
        <f>ROW()</f>
        <v>93</v>
      </c>
      <c r="E93" s="384">
        <f ca="1">[1]ExtEntry!$E91</f>
        <v>46002.876078645313</v>
      </c>
      <c r="F93" s="241">
        <v>72.58</v>
      </c>
      <c r="G93" s="241">
        <v>73.650000000000006</v>
      </c>
      <c r="H93" s="241">
        <v>70.930000000000007</v>
      </c>
      <c r="I93" s="241">
        <v>62.3</v>
      </c>
      <c r="J93" s="241">
        <v>58.89</v>
      </c>
      <c r="K93" s="241">
        <v>57.64</v>
      </c>
      <c r="L93" s="241">
        <v>62</v>
      </c>
      <c r="M93" s="241">
        <v>61.95</v>
      </c>
      <c r="N93" s="241">
        <v>63.69</v>
      </c>
      <c r="O93" s="241">
        <v>63.69</v>
      </c>
      <c r="P93" s="241">
        <v>65.03</v>
      </c>
      <c r="Q93" s="241">
        <v>66.8</v>
      </c>
      <c r="R93" s="241">
        <v>64.349999999999994</v>
      </c>
      <c r="S93" s="241">
        <v>60.11</v>
      </c>
      <c r="T93" s="241">
        <v>60.11</v>
      </c>
      <c r="U93" s="241">
        <v>61.11</v>
      </c>
      <c r="V93" s="241">
        <v>62.19</v>
      </c>
      <c r="W93" s="242">
        <v>61.04</v>
      </c>
      <c r="X93" s="241">
        <v>61.57</v>
      </c>
      <c r="Y93" s="241">
        <v>63.29</v>
      </c>
      <c r="Z93" s="243">
        <f ca="1">[1]ExtEntry!$F91</f>
        <v>63.29</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192</v>
      </c>
      <c r="AZ93" t="s">
        <v>2188</v>
      </c>
      <c r="BA93" s="249">
        <v>401</v>
      </c>
      <c r="CP93" s="249"/>
      <c r="EH93" s="108"/>
      <c r="FD93" s="281"/>
      <c r="FZ93" s="249"/>
      <c r="GV93" s="249"/>
      <c r="HR93" s="249"/>
      <c r="IN93" s="249"/>
    </row>
    <row r="94" spans="1:248">
      <c r="A94" s="237" t="str">
        <f ca="1">[1]ExtEntry!$A92</f>
        <v>THC</v>
      </c>
      <c r="B94" s="246"/>
      <c r="C94" s="247"/>
      <c r="D94" s="247">
        <f>ROW()</f>
        <v>94</v>
      </c>
      <c r="E94" s="383">
        <f ca="1">[1]ExtEntry!$E92</f>
        <v>46002.875630740622</v>
      </c>
      <c r="F94" s="249">
        <v>207.73</v>
      </c>
      <c r="G94" s="249">
        <v>208.62</v>
      </c>
      <c r="H94" s="249">
        <v>204.19</v>
      </c>
      <c r="I94" s="249">
        <v>196.66</v>
      </c>
      <c r="J94" s="249">
        <v>192.4</v>
      </c>
      <c r="K94" s="249">
        <v>193</v>
      </c>
      <c r="L94" s="249">
        <v>194.25</v>
      </c>
      <c r="M94" s="249">
        <v>186.68</v>
      </c>
      <c r="N94" s="249">
        <v>218.46</v>
      </c>
      <c r="O94" s="249">
        <v>218.46</v>
      </c>
      <c r="P94" s="249">
        <v>217.42</v>
      </c>
      <c r="Q94" s="249">
        <v>216.84</v>
      </c>
      <c r="R94" s="249">
        <v>215.13</v>
      </c>
      <c r="S94" s="249">
        <v>214.84</v>
      </c>
      <c r="T94" s="249">
        <v>214.84</v>
      </c>
      <c r="U94" s="249">
        <v>211.34</v>
      </c>
      <c r="V94" s="249">
        <v>212.14</v>
      </c>
      <c r="W94" s="250">
        <v>206.31</v>
      </c>
      <c r="X94" s="249">
        <v>202</v>
      </c>
      <c r="Y94" s="249">
        <v>197.47</v>
      </c>
      <c r="Z94" s="243">
        <f ca="1">[1]ExtEntry!$F92</f>
        <v>197.47</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2189</v>
      </c>
      <c r="AZ94" t="s">
        <v>1821</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194</v>
      </c>
      <c r="AZ95" t="s">
        <v>701</v>
      </c>
      <c r="BA95" s="249">
        <v>599</v>
      </c>
      <c r="CP95" s="249"/>
      <c r="EH95" s="108"/>
      <c r="FD95" s="281"/>
      <c r="FZ95" s="249"/>
      <c r="GV95" s="249"/>
      <c r="HR95" s="249"/>
      <c r="IN95" s="249"/>
    </row>
    <row r="96" spans="1:248">
      <c r="A96" s="237" t="str">
        <f ca="1">[1]ExtEntry!$A94</f>
        <v>LOCK</v>
      </c>
      <c r="B96" s="246"/>
      <c r="C96" s="247"/>
      <c r="D96" s="247">
        <f>ROW()</f>
        <v>96</v>
      </c>
      <c r="E96" s="383">
        <f ca="1">[1]ExtEntry!$E94</f>
        <v>46002.729178240741</v>
      </c>
      <c r="F96" s="249">
        <v>10.401999999999999</v>
      </c>
      <c r="G96" s="249">
        <v>10.316000000000001</v>
      </c>
      <c r="H96" s="249">
        <v>10.199999999999999</v>
      </c>
      <c r="I96" s="249">
        <v>10.302</v>
      </c>
      <c r="J96" s="249">
        <v>9.6999999999999993</v>
      </c>
      <c r="K96" s="249">
        <v>9.6999999999999993</v>
      </c>
      <c r="L96" s="249">
        <v>9.7650000000000006</v>
      </c>
      <c r="M96" s="249">
        <v>9.9049999999999994</v>
      </c>
      <c r="N96" s="249">
        <v>9.7629999999999999</v>
      </c>
      <c r="O96" s="249">
        <v>9.8759999999999994</v>
      </c>
      <c r="P96" s="249">
        <v>9.8940000000000001</v>
      </c>
      <c r="Q96" s="249">
        <v>9.8829999999999991</v>
      </c>
      <c r="R96" s="249">
        <v>9.8719999999999999</v>
      </c>
      <c r="S96" s="249">
        <v>9.9990000000000006</v>
      </c>
      <c r="T96" s="249">
        <v>9.9990000000000006</v>
      </c>
      <c r="U96" s="249">
        <v>9.9499999999999993</v>
      </c>
      <c r="V96" s="249">
        <v>10.012</v>
      </c>
      <c r="W96" s="250">
        <v>10.102</v>
      </c>
      <c r="X96" s="249">
        <v>10.212</v>
      </c>
      <c r="Y96" s="249">
        <v>10.236000000000001</v>
      </c>
      <c r="Z96" s="243">
        <f ca="1">[1]ExtEntry!$F94</f>
        <v>10.236000000000001</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2191</v>
      </c>
      <c r="AZ96" t="s">
        <v>2190</v>
      </c>
      <c r="BA96" s="249">
        <v>698</v>
      </c>
      <c r="CP96" s="249"/>
      <c r="EH96" s="108"/>
      <c r="FD96" s="281"/>
      <c r="FZ96" s="249"/>
      <c r="GV96" s="249"/>
      <c r="HR96" s="249"/>
      <c r="IN96" s="249"/>
    </row>
    <row r="97" spans="1:248">
      <c r="A97" s="237" t="str">
        <f ca="1">[1]ExtEntry!$A95</f>
        <v>JBASML</v>
      </c>
      <c r="D97" s="247">
        <f>ROW()</f>
        <v>97</v>
      </c>
      <c r="E97" s="383">
        <f ca="1">[1]ExtEntry!$E95</f>
        <v>46002.708333333336</v>
      </c>
      <c r="F97" s="241">
        <v>918</v>
      </c>
      <c r="G97" s="241">
        <v>906.6</v>
      </c>
      <c r="H97" s="241">
        <v>895.3</v>
      </c>
      <c r="I97" s="241">
        <v>881.5</v>
      </c>
      <c r="J97" s="241">
        <v>865.6</v>
      </c>
      <c r="K97" s="241">
        <v>865.6</v>
      </c>
      <c r="L97" s="241">
        <v>886.6</v>
      </c>
      <c r="M97" s="241">
        <v>889.8</v>
      </c>
      <c r="N97" s="241">
        <v>860.3</v>
      </c>
      <c r="O97" s="241">
        <v>909.3</v>
      </c>
      <c r="P97" s="241">
        <v>897.2</v>
      </c>
      <c r="Q97" s="241">
        <v>903.4</v>
      </c>
      <c r="R97" s="241">
        <v>926.7</v>
      </c>
      <c r="S97" s="241">
        <v>939.1</v>
      </c>
      <c r="T97" s="241">
        <v>939.1</v>
      </c>
      <c r="U97" s="241">
        <v>963.4</v>
      </c>
      <c r="V97" s="241">
        <v>957.3</v>
      </c>
      <c r="W97" s="242">
        <v>963.2</v>
      </c>
      <c r="X97" s="241">
        <v>952.9</v>
      </c>
      <c r="Y97" s="241">
        <v>946</v>
      </c>
      <c r="Z97" s="243">
        <f ca="1">[1]ExtEntry!$F95</f>
        <v>946</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0</v>
      </c>
      <c r="AP97" s="376">
        <v>0</v>
      </c>
      <c r="AQ97" s="376">
        <v>0</v>
      </c>
      <c r="AR97" s="376">
        <v>0</v>
      </c>
      <c r="AS97" s="376">
        <v>0</v>
      </c>
      <c r="AT97" s="376">
        <v>0</v>
      </c>
      <c r="AU97" s="376">
        <v>0</v>
      </c>
      <c r="AV97" s="376">
        <f ca="1">Calc!G95</f>
        <v>0</v>
      </c>
      <c r="AW97" s="254"/>
      <c r="AX97" s="86" t="str">
        <f t="shared" ca="1" si="4"/>
        <v>JBASML</v>
      </c>
      <c r="AY97" t="s">
        <v>2192</v>
      </c>
      <c r="AZ97" t="s">
        <v>2193</v>
      </c>
      <c r="BA97" s="249">
        <v>797</v>
      </c>
      <c r="CP97" s="249"/>
      <c r="EH97" s="108"/>
      <c r="FD97" s="281"/>
      <c r="FZ97" s="249"/>
      <c r="GV97" s="249"/>
      <c r="HR97" s="249"/>
      <c r="IN97" s="249"/>
    </row>
    <row r="98" spans="1:248">
      <c r="A98" s="237" t="str">
        <f ca="1">[1]ExtEntry!$A96</f>
        <v>JBEOAN</v>
      </c>
      <c r="D98" s="247">
        <f>ROW()</f>
        <v>98</v>
      </c>
      <c r="E98" s="383">
        <f ca="1">[1]ExtEntry!$E96</f>
        <v>46002.863194444442</v>
      </c>
      <c r="F98" s="249">
        <v>15.75</v>
      </c>
      <c r="G98" s="249">
        <v>16.05</v>
      </c>
      <c r="H98" s="249">
        <v>16.079999999999998</v>
      </c>
      <c r="I98" s="249">
        <v>15.225</v>
      </c>
      <c r="J98" s="249">
        <v>15.34</v>
      </c>
      <c r="K98" s="249">
        <v>15.34</v>
      </c>
      <c r="L98" s="249">
        <v>15.3</v>
      </c>
      <c r="M98" s="249">
        <v>15.39</v>
      </c>
      <c r="N98" s="249">
        <v>15.38</v>
      </c>
      <c r="O98" s="249">
        <v>15.455</v>
      </c>
      <c r="P98" s="249">
        <v>15.31</v>
      </c>
      <c r="Q98" s="249">
        <v>15.324999999999999</v>
      </c>
      <c r="R98" s="249">
        <v>15.22</v>
      </c>
      <c r="S98" s="249">
        <v>15.285</v>
      </c>
      <c r="T98" s="249">
        <v>15.285</v>
      </c>
      <c r="U98" s="249">
        <v>15.86</v>
      </c>
      <c r="V98" s="249">
        <v>15.59</v>
      </c>
      <c r="W98" s="250">
        <v>15.52</v>
      </c>
      <c r="X98" s="249">
        <v>15.595000000000001</v>
      </c>
      <c r="Y98" s="249">
        <v>15.55</v>
      </c>
      <c r="Z98" s="243">
        <f ca="1">[1]ExtEntry!$F96</f>
        <v>15.55</v>
      </c>
      <c r="AA98" s="266"/>
      <c r="AB98" s="376">
        <v>18000</v>
      </c>
      <c r="AC98" s="376">
        <v>18000</v>
      </c>
      <c r="AD98" s="376">
        <v>18000</v>
      </c>
      <c r="AE98" s="376">
        <v>21000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2194</v>
      </c>
      <c r="AZ98" t="s">
        <v>661</v>
      </c>
      <c r="BA98" s="249">
        <v>896</v>
      </c>
      <c r="BT98" s="91"/>
      <c r="CP98" s="249"/>
      <c r="EH98" s="108"/>
      <c r="FD98" s="281"/>
      <c r="FZ98" s="249"/>
      <c r="GV98" s="249"/>
      <c r="HR98" s="249"/>
      <c r="IN98" s="249"/>
    </row>
    <row r="99" spans="1:248">
      <c r="A99" s="86"/>
      <c r="F99" s="86"/>
      <c r="AA99" s="266"/>
      <c r="AW99" s="254"/>
      <c r="AX99" s="86"/>
      <c r="AY99" t="s">
        <v>198</v>
      </c>
      <c r="AZ99" t="s">
        <v>2195</v>
      </c>
      <c r="BA99" s="249">
        <v>995</v>
      </c>
      <c r="CP99" s="249"/>
      <c r="EH99" s="108"/>
      <c r="FD99" s="281"/>
      <c r="FZ99" s="249"/>
      <c r="GV99" s="249"/>
      <c r="HR99" s="249"/>
      <c r="IN99" s="249"/>
    </row>
    <row r="100" spans="1:248">
      <c r="A100" s="86"/>
      <c r="F100" s="86"/>
      <c r="Z100">
        <f ca="1">IF(TODAY()=WORKDAY(TODAY(),0),TODAY(),WORKDAY(TODAY(),0))</f>
        <v>46002</v>
      </c>
      <c r="AA100" s="269"/>
      <c r="AW100" s="267"/>
      <c r="AX100" s="86"/>
      <c r="AY100" t="s">
        <v>2196</v>
      </c>
      <c r="AZ100" t="s">
        <v>177</v>
      </c>
      <c r="BA100" s="249">
        <v>1094</v>
      </c>
      <c r="CP100" s="268"/>
      <c r="EH100" s="108"/>
      <c r="FD100" s="282"/>
      <c r="FZ100" s="268"/>
      <c r="GV100" s="268"/>
      <c r="HR100" s="268"/>
      <c r="IN100" s="268"/>
    </row>
    <row r="101" spans="1:248">
      <c r="A101" s="86"/>
      <c r="F101" s="86"/>
      <c r="AW101" s="270"/>
      <c r="AX101" s="86"/>
      <c r="AY101" t="s">
        <v>179</v>
      </c>
      <c r="AZ101" t="s">
        <v>2197</v>
      </c>
      <c r="BA101" s="249">
        <v>1193</v>
      </c>
      <c r="EH101" s="108"/>
    </row>
    <row r="102" spans="1:248" ht="27">
      <c r="A102" s="86"/>
      <c r="D102" s="116">
        <f ca="1">E5</f>
        <v>46002.876048506252</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2444</v>
      </c>
      <c r="AZ102" t="s">
        <v>2198</v>
      </c>
      <c r="BA102" s="249">
        <v>1292</v>
      </c>
      <c r="EH102" s="108"/>
    </row>
    <row r="103" spans="1:248">
      <c r="F103" s="115">
        <f t="shared" ref="F103:Z103" ca="1" si="5">F3</f>
        <v>45974</v>
      </c>
      <c r="G103" s="115">
        <f t="shared" ca="1" si="5"/>
        <v>45975</v>
      </c>
      <c r="H103" s="115">
        <f t="shared" ca="1" si="5"/>
        <v>45978</v>
      </c>
      <c r="I103" s="115">
        <f t="shared" ca="1" si="5"/>
        <v>45979</v>
      </c>
      <c r="J103" s="115">
        <f t="shared" ca="1" si="5"/>
        <v>45980</v>
      </c>
      <c r="K103" s="115">
        <f t="shared" ca="1" si="5"/>
        <v>45981</v>
      </c>
      <c r="L103" s="115">
        <f t="shared" ca="1" si="5"/>
        <v>45982</v>
      </c>
      <c r="M103" s="115">
        <f t="shared" ca="1" si="5"/>
        <v>45985</v>
      </c>
      <c r="N103" s="115">
        <f t="shared" ca="1" si="5"/>
        <v>45986</v>
      </c>
      <c r="O103" s="115">
        <f t="shared" ca="1" si="5"/>
        <v>45987</v>
      </c>
      <c r="P103" s="115">
        <f t="shared" ca="1" si="5"/>
        <v>45988</v>
      </c>
      <c r="Q103" s="115">
        <f t="shared" ca="1" si="5"/>
        <v>45989</v>
      </c>
      <c r="R103" s="115">
        <f t="shared" ca="1" si="5"/>
        <v>45992</v>
      </c>
      <c r="S103" s="115">
        <f t="shared" ca="1" si="5"/>
        <v>45993</v>
      </c>
      <c r="T103" s="115">
        <f t="shared" ca="1" si="5"/>
        <v>45994</v>
      </c>
      <c r="U103" s="115">
        <f t="shared" ca="1" si="5"/>
        <v>45995</v>
      </c>
      <c r="V103" s="115">
        <f t="shared" ca="1" si="5"/>
        <v>45996</v>
      </c>
      <c r="W103" s="115">
        <f t="shared" ca="1" si="5"/>
        <v>45999</v>
      </c>
      <c r="X103" s="115">
        <f t="shared" ca="1" si="5"/>
        <v>46000</v>
      </c>
      <c r="Y103" s="115">
        <f t="shared" ca="1" si="5"/>
        <v>46001</v>
      </c>
      <c r="Z103" s="115">
        <f t="shared" ca="1" si="5"/>
        <v>46002</v>
      </c>
      <c r="AB103" s="115">
        <f t="shared" ref="AB103:AV103" ca="1" si="6">F103</f>
        <v>45974</v>
      </c>
      <c r="AC103" s="115">
        <f t="shared" ca="1" si="6"/>
        <v>45975</v>
      </c>
      <c r="AD103" s="115">
        <f t="shared" ca="1" si="6"/>
        <v>45978</v>
      </c>
      <c r="AE103" s="115">
        <f t="shared" ca="1" si="6"/>
        <v>45979</v>
      </c>
      <c r="AF103" s="115">
        <f t="shared" ca="1" si="6"/>
        <v>45980</v>
      </c>
      <c r="AG103" s="115">
        <f t="shared" ca="1" si="6"/>
        <v>45981</v>
      </c>
      <c r="AH103" s="115">
        <f t="shared" ca="1" si="6"/>
        <v>45982</v>
      </c>
      <c r="AI103" s="115">
        <f t="shared" ca="1" si="6"/>
        <v>45985</v>
      </c>
      <c r="AJ103" s="115">
        <f t="shared" ca="1" si="6"/>
        <v>45986</v>
      </c>
      <c r="AK103" s="115">
        <f t="shared" ca="1" si="6"/>
        <v>45987</v>
      </c>
      <c r="AL103" s="115">
        <f t="shared" ca="1" si="6"/>
        <v>45988</v>
      </c>
      <c r="AM103" s="115">
        <f t="shared" ca="1" si="6"/>
        <v>45989</v>
      </c>
      <c r="AN103" s="115">
        <f t="shared" ca="1" si="6"/>
        <v>45992</v>
      </c>
      <c r="AO103" s="115">
        <f t="shared" ca="1" si="6"/>
        <v>45993</v>
      </c>
      <c r="AP103" s="115">
        <f t="shared" ca="1" si="6"/>
        <v>45994</v>
      </c>
      <c r="AQ103" s="115">
        <f t="shared" ca="1" si="6"/>
        <v>45995</v>
      </c>
      <c r="AR103" s="115">
        <f t="shared" ca="1" si="6"/>
        <v>45996</v>
      </c>
      <c r="AS103" s="115">
        <f t="shared" ca="1" si="6"/>
        <v>45999</v>
      </c>
      <c r="AT103" s="115">
        <f t="shared" ca="1" si="6"/>
        <v>46000</v>
      </c>
      <c r="AU103" s="115">
        <f t="shared" ca="1" si="6"/>
        <v>46001</v>
      </c>
      <c r="AV103" s="115">
        <f t="shared" ca="1" si="6"/>
        <v>46002</v>
      </c>
      <c r="AW103" s="270"/>
      <c r="AX103" s="86"/>
      <c r="AY103" t="s">
        <v>1014</v>
      </c>
      <c r="AZ103" t="s">
        <v>2199</v>
      </c>
      <c r="BA103" s="249">
        <v>1391</v>
      </c>
      <c r="EH103" s="108"/>
    </row>
    <row r="104" spans="1:248">
      <c r="A104" s="256" t="s">
        <v>476</v>
      </c>
      <c r="B104" s="257" t="s">
        <v>477</v>
      </c>
      <c r="C104" s="257" t="s">
        <v>478</v>
      </c>
      <c r="D104" s="1062" t="s">
        <v>201</v>
      </c>
      <c r="E104" s="236" t="s">
        <v>479</v>
      </c>
      <c r="F104" s="264" t="s">
        <v>224</v>
      </c>
      <c r="G104" s="264" t="s">
        <v>225</v>
      </c>
      <c r="H104" s="264" t="s">
        <v>226</v>
      </c>
      <c r="I104" s="264" t="s">
        <v>227</v>
      </c>
      <c r="J104" s="264" t="s">
        <v>228</v>
      </c>
      <c r="K104" s="264" t="s">
        <v>229</v>
      </c>
      <c r="L104" s="264" t="s">
        <v>230</v>
      </c>
      <c r="M104" s="264" t="s">
        <v>231</v>
      </c>
      <c r="N104" s="264" t="s">
        <v>232</v>
      </c>
      <c r="O104" s="264" t="s">
        <v>233</v>
      </c>
      <c r="P104" s="264" t="s">
        <v>234</v>
      </c>
      <c r="Q104" s="264" t="s">
        <v>235</v>
      </c>
      <c r="R104" s="264" t="s">
        <v>236</v>
      </c>
      <c r="S104" s="264" t="s">
        <v>237</v>
      </c>
      <c r="T104" s="264" t="s">
        <v>238</v>
      </c>
      <c r="U104" s="264" t="s">
        <v>239</v>
      </c>
      <c r="V104" s="264" t="s">
        <v>240</v>
      </c>
      <c r="W104" s="264" t="s">
        <v>241</v>
      </c>
      <c r="X104" s="264" t="s">
        <v>242</v>
      </c>
      <c r="Y104" s="264" t="s">
        <v>243</v>
      </c>
      <c r="Z104" s="264" t="s">
        <v>244</v>
      </c>
      <c r="AB104" s="277" t="s">
        <v>501</v>
      </c>
      <c r="AC104" s="277" t="s">
        <v>502</v>
      </c>
      <c r="AD104" s="277" t="s">
        <v>503</v>
      </c>
      <c r="AE104" s="277" t="s">
        <v>504</v>
      </c>
      <c r="AF104" s="277" t="s">
        <v>505</v>
      </c>
      <c r="AG104" s="277" t="s">
        <v>506</v>
      </c>
      <c r="AH104" s="277" t="s">
        <v>507</v>
      </c>
      <c r="AI104" s="277" t="s">
        <v>508</v>
      </c>
      <c r="AJ104" s="277" t="s">
        <v>509</v>
      </c>
      <c r="AK104" s="277" t="s">
        <v>510</v>
      </c>
      <c r="AL104" s="277" t="s">
        <v>511</v>
      </c>
      <c r="AM104" s="277" t="s">
        <v>512</v>
      </c>
      <c r="AN104" s="277" t="s">
        <v>513</v>
      </c>
      <c r="AO104" s="277" t="s">
        <v>514</v>
      </c>
      <c r="AP104" s="277" t="s">
        <v>515</v>
      </c>
      <c r="AQ104" s="277" t="s">
        <v>516</v>
      </c>
      <c r="AR104" s="277" t="s">
        <v>517</v>
      </c>
      <c r="AS104" s="277" t="s">
        <v>518</v>
      </c>
      <c r="AT104" s="277" t="s">
        <v>519</v>
      </c>
      <c r="AU104" s="277" t="s">
        <v>520</v>
      </c>
      <c r="AV104" s="277" t="s">
        <v>521</v>
      </c>
      <c r="AW104" s="270"/>
      <c r="AY104" t="s">
        <v>2443</v>
      </c>
      <c r="AZ104" t="s">
        <v>2131</v>
      </c>
      <c r="BA104" s="249">
        <v>1490</v>
      </c>
      <c r="EH104" s="108"/>
    </row>
    <row r="105" spans="1:248">
      <c r="A105" s="237" t="str">
        <f t="shared" ref="A105:A136" ca="1" si="7">A5</f>
        <v>AAPL</v>
      </c>
      <c r="B105" s="238" t="str">
        <f ca="1">[1]ExtEntry!$D3</f>
        <v>USD</v>
      </c>
      <c r="C105" s="239"/>
      <c r="D105" s="1063">
        <f>ROW()</f>
        <v>105</v>
      </c>
      <c r="E105" s="240"/>
      <c r="F105" s="241">
        <v>268.61</v>
      </c>
      <c r="G105" s="241">
        <v>268.2</v>
      </c>
      <c r="H105" s="241">
        <v>269.77</v>
      </c>
      <c r="I105" s="241">
        <v>271.05</v>
      </c>
      <c r="J105" s="241">
        <v>269.99</v>
      </c>
      <c r="K105" s="241">
        <v>265.5</v>
      </c>
      <c r="L105" s="241">
        <v>271.02999999999997</v>
      </c>
      <c r="M105" s="241">
        <v>266.02</v>
      </c>
      <c r="N105" s="241">
        <v>276.97000000000003</v>
      </c>
      <c r="O105" s="241">
        <v>276.95999999999998</v>
      </c>
      <c r="P105" s="241">
        <v>277.26</v>
      </c>
      <c r="Q105" s="241">
        <v>278.12</v>
      </c>
      <c r="R105" s="241">
        <v>283.10000000000002</v>
      </c>
      <c r="S105" s="241">
        <v>286.19</v>
      </c>
      <c r="T105" s="241">
        <v>286.2</v>
      </c>
      <c r="U105" s="241">
        <v>284.05</v>
      </c>
      <c r="V105" s="241">
        <v>280.54000000000002</v>
      </c>
      <c r="W105" s="241">
        <v>278.2</v>
      </c>
      <c r="X105" s="241">
        <v>277.75</v>
      </c>
      <c r="Y105" s="241">
        <v>278.99</v>
      </c>
      <c r="Z105" s="243">
        <f ca="1">[1]ExtEntry!$G3</f>
        <v>278.99</v>
      </c>
      <c r="AB105" s="1071">
        <v>0.91183594378728339</v>
      </c>
      <c r="AC105" s="1071">
        <v>0.67764877152594571</v>
      </c>
      <c r="AD105" s="1071">
        <v>0.75361006056948199</v>
      </c>
      <c r="AE105" s="1071">
        <v>0.96101685205948351</v>
      </c>
      <c r="AF105" s="1071">
        <v>2.7084323056126642E-4</v>
      </c>
      <c r="AG105" s="1071">
        <v>0.30565067320598954</v>
      </c>
      <c r="AH105" s="1071">
        <v>0.56060485199423771</v>
      </c>
      <c r="AI105" s="1071">
        <v>0.7823520188145805</v>
      </c>
      <c r="AJ105" s="1071">
        <v>0.35232478510987075</v>
      </c>
      <c r="AK105" s="1071">
        <v>0.67751835448395614</v>
      </c>
      <c r="AL105" s="1071">
        <v>0.41136127611243917</v>
      </c>
      <c r="AM105" s="1071">
        <v>0.35117333743510781</v>
      </c>
      <c r="AN105" s="1071">
        <v>0.80410175734668121</v>
      </c>
      <c r="AO105" s="1071">
        <v>0.85904636833432957</v>
      </c>
      <c r="AP105" s="1071">
        <v>0.87960018936647633</v>
      </c>
      <c r="AQ105" s="1071">
        <v>0.31610571246173452</v>
      </c>
      <c r="AR105" s="1071">
        <v>0.96743882043878715</v>
      </c>
      <c r="AS105" s="1071">
        <v>0.27612989336753674</v>
      </c>
      <c r="AT105" s="1071">
        <v>0.7285880483121363</v>
      </c>
      <c r="AU105" s="1071">
        <v>0.70047433150034832</v>
      </c>
      <c r="AV105" s="1071">
        <f ca="1">Calc!BC3</f>
        <v>0.70047433150034832</v>
      </c>
      <c r="AW105" s="270"/>
      <c r="AX105" s="86" t="str">
        <f t="shared" ref="AX105:AX136" ca="1" si="8">A105</f>
        <v>AAPL</v>
      </c>
      <c r="AY105" t="s">
        <v>1014</v>
      </c>
      <c r="AZ105" t="s">
        <v>1014</v>
      </c>
      <c r="BA105" s="249">
        <v>1589</v>
      </c>
      <c r="EH105" s="108"/>
    </row>
    <row r="106" spans="1:248">
      <c r="A106" s="237" t="str">
        <f t="shared" ca="1" si="7"/>
        <v>ADEA</v>
      </c>
      <c r="B106" s="246" t="str">
        <f ca="1">[1]ExtEntry!$D4</f>
        <v>USD</v>
      </c>
      <c r="C106" s="247"/>
      <c r="D106" s="818">
        <f>ROW()</f>
        <v>106</v>
      </c>
      <c r="E106" s="248"/>
      <c r="F106" s="249">
        <v>12.84</v>
      </c>
      <c r="G106" s="249">
        <v>13.55</v>
      </c>
      <c r="H106" s="249">
        <v>13.81</v>
      </c>
      <c r="I106" s="249">
        <v>12.96</v>
      </c>
      <c r="J106" s="249">
        <v>12.28</v>
      </c>
      <c r="K106" s="249">
        <v>12.39</v>
      </c>
      <c r="L106" s="249">
        <v>12.35</v>
      </c>
      <c r="M106" s="249">
        <v>11.7</v>
      </c>
      <c r="N106" s="249">
        <v>12.39</v>
      </c>
      <c r="O106" s="249">
        <v>12.39</v>
      </c>
      <c r="P106" s="249">
        <v>12.31</v>
      </c>
      <c r="Q106" s="249">
        <v>12.19</v>
      </c>
      <c r="R106" s="249">
        <v>12.49</v>
      </c>
      <c r="S106" s="249">
        <v>12.48</v>
      </c>
      <c r="T106" s="249">
        <v>12.48</v>
      </c>
      <c r="U106" s="249">
        <v>12.55</v>
      </c>
      <c r="V106" s="249">
        <v>12.38</v>
      </c>
      <c r="W106" s="249">
        <v>12.7</v>
      </c>
      <c r="X106" s="249">
        <v>12.71</v>
      </c>
      <c r="Y106" s="249">
        <v>13.5</v>
      </c>
      <c r="Z106" s="243">
        <f ca="1">[1]ExtEntry!$G4</f>
        <v>13.5</v>
      </c>
      <c r="AA106" s="271"/>
      <c r="AB106" s="1112">
        <v>2.5836012908904209</v>
      </c>
      <c r="AC106" s="1112">
        <v>1.5549669091640477</v>
      </c>
      <c r="AD106" s="1112">
        <v>1.3883562973538</v>
      </c>
      <c r="AE106" s="1112">
        <v>1.0518758811862261</v>
      </c>
      <c r="AF106" s="1112">
        <v>1.206108443752707</v>
      </c>
      <c r="AG106" s="1112">
        <v>0.26803017315275157</v>
      </c>
      <c r="AH106" s="1112">
        <v>0.35803224523510874</v>
      </c>
      <c r="AI106" s="1112">
        <v>0.45300460344719073</v>
      </c>
      <c r="AJ106" s="1112">
        <v>0.26724489121230932</v>
      </c>
      <c r="AK106" s="1112">
        <v>1.2305155817757956</v>
      </c>
      <c r="AL106" s="1112">
        <v>0.34009574164637602</v>
      </c>
      <c r="AM106" s="1112">
        <v>0.26153744446521854</v>
      </c>
      <c r="AN106" s="1112">
        <v>0.34199085682381097</v>
      </c>
      <c r="AO106" s="1112">
        <v>0.18323313216229223</v>
      </c>
      <c r="AP106" s="1112">
        <v>0.55328574718875545</v>
      </c>
      <c r="AQ106" s="1112">
        <v>9.5973969851801011E-2</v>
      </c>
      <c r="AR106" s="1112">
        <v>0.58507693547745299</v>
      </c>
      <c r="AS106" s="1112">
        <v>0.16282290395137156</v>
      </c>
      <c r="AT106" s="1112">
        <v>1.3948581919347181</v>
      </c>
      <c r="AU106" s="1112">
        <v>0.7583713347621871</v>
      </c>
      <c r="AV106" s="1071">
        <f ca="1">Calc!BC4</f>
        <v>0.7583713347621871</v>
      </c>
      <c r="AW106" s="271"/>
      <c r="AX106" s="86" t="str">
        <f t="shared" ca="1" si="8"/>
        <v>ADEA</v>
      </c>
      <c r="CP106" s="271"/>
      <c r="EH106" s="108"/>
    </row>
    <row r="107" spans="1:248">
      <c r="A107" s="237" t="str">
        <f t="shared" ca="1" si="7"/>
        <v>AET</v>
      </c>
      <c r="B107" s="238" t="str">
        <f ca="1">[1]ExtEntry!$D5</f>
        <v>GBp</v>
      </c>
      <c r="C107" s="239"/>
      <c r="D107" s="1063">
        <f>ROW()</f>
        <v>107</v>
      </c>
      <c r="E107" s="240"/>
      <c r="F107" s="241">
        <v>44.3</v>
      </c>
      <c r="G107" s="241">
        <v>45.9</v>
      </c>
      <c r="H107" s="241">
        <v>44.7</v>
      </c>
      <c r="I107" s="241">
        <v>46.2</v>
      </c>
      <c r="J107" s="241">
        <v>46.6</v>
      </c>
      <c r="K107" s="241">
        <v>46.6</v>
      </c>
      <c r="L107" s="241">
        <v>45.8</v>
      </c>
      <c r="M107" s="241">
        <v>45</v>
      </c>
      <c r="N107" s="241">
        <v>42.1</v>
      </c>
      <c r="O107" s="241">
        <v>40.4</v>
      </c>
      <c r="P107" s="241">
        <v>38.799999999999997</v>
      </c>
      <c r="Q107" s="241">
        <v>39</v>
      </c>
      <c r="R107" s="241">
        <v>39.700000000000003</v>
      </c>
      <c r="S107" s="241">
        <v>38.5</v>
      </c>
      <c r="T107" s="241">
        <v>38.5</v>
      </c>
      <c r="U107" s="241">
        <v>39</v>
      </c>
      <c r="V107" s="241">
        <v>38.5</v>
      </c>
      <c r="W107" s="241">
        <v>38.5</v>
      </c>
      <c r="X107" s="241">
        <v>39.1</v>
      </c>
      <c r="Y107" s="241">
        <v>40</v>
      </c>
      <c r="Z107" s="243">
        <f ca="1">[1]ExtEntry!$G5</f>
        <v>40</v>
      </c>
      <c r="AA107" s="272"/>
      <c r="AB107" s="1071">
        <v>0.22244185768578054</v>
      </c>
      <c r="AC107" s="1071">
        <v>0.38472635052221099</v>
      </c>
      <c r="AD107" s="1071">
        <v>0.22856548590445105</v>
      </c>
      <c r="AE107" s="1071">
        <v>1.7302942746773029</v>
      </c>
      <c r="AF107" s="1071">
        <v>1.6905858443023751</v>
      </c>
      <c r="AG107" s="1071">
        <v>1.831612965464017</v>
      </c>
      <c r="AH107" s="1071">
        <v>0.73483767345111772</v>
      </c>
      <c r="AI107" s="1071">
        <v>2.2930610144113794</v>
      </c>
      <c r="AJ107" s="1071">
        <v>1.0067423510760427</v>
      </c>
      <c r="AK107" s="1071">
        <v>1.7726410417424068</v>
      </c>
      <c r="AL107" s="1071">
        <v>1.5429123839111611</v>
      </c>
      <c r="AM107" s="1071">
        <v>2.1983513336034539</v>
      </c>
      <c r="AN107" s="1071">
        <v>0.52919117544325378</v>
      </c>
      <c r="AO107" s="1071">
        <v>0.1113204392204063</v>
      </c>
      <c r="AP107" s="1071">
        <v>0.35641360486593959</v>
      </c>
      <c r="AQ107" s="1071">
        <v>0.17640368839095902</v>
      </c>
      <c r="AR107" s="1071">
        <v>0.98836263917980383</v>
      </c>
      <c r="AS107" s="1071">
        <v>1.1567179971117689</v>
      </c>
      <c r="AT107" s="1071">
        <v>0.58438825749514045</v>
      </c>
      <c r="AU107" s="1071">
        <v>0.93109744244814086</v>
      </c>
      <c r="AV107" s="1071">
        <f ca="1">Calc!BC5</f>
        <v>0.93109744244814086</v>
      </c>
      <c r="AW107" s="272"/>
      <c r="AX107" s="86" t="str">
        <f t="shared" ca="1" si="8"/>
        <v>AET</v>
      </c>
      <c r="AY107" t="s">
        <v>2445</v>
      </c>
      <c r="BA107" s="249">
        <f>ROW(A1697)</f>
        <v>1697</v>
      </c>
      <c r="CP107" s="272"/>
      <c r="EH107" s="108"/>
    </row>
    <row r="108" spans="1:248">
      <c r="A108" s="237" t="str">
        <f t="shared" ca="1" si="7"/>
        <v>AMZN</v>
      </c>
      <c r="B108" s="246" t="str">
        <f ca="1">[1]ExtEntry!$D6</f>
        <v>USD</v>
      </c>
      <c r="C108" s="247"/>
      <c r="D108" s="818">
        <f>ROW()</f>
        <v>108</v>
      </c>
      <c r="E108" s="248"/>
      <c r="F108" s="249">
        <v>249.03</v>
      </c>
      <c r="G108" s="249">
        <v>249.15</v>
      </c>
      <c r="H108" s="249">
        <v>243</v>
      </c>
      <c r="I108" s="249">
        <v>235.06</v>
      </c>
      <c r="J108" s="249">
        <v>228.1</v>
      </c>
      <c r="K108" s="249">
        <v>223.59</v>
      </c>
      <c r="L108" s="249">
        <v>226.61</v>
      </c>
      <c r="M108" s="249">
        <v>216.21</v>
      </c>
      <c r="N108" s="249">
        <v>230.71</v>
      </c>
      <c r="O108" s="249">
        <v>230.74</v>
      </c>
      <c r="P108" s="249">
        <v>231.24</v>
      </c>
      <c r="Q108" s="249">
        <v>233.22</v>
      </c>
      <c r="R108" s="249">
        <v>235</v>
      </c>
      <c r="S108" s="249">
        <v>233.38</v>
      </c>
      <c r="T108" s="249">
        <v>233.35</v>
      </c>
      <c r="U108" s="249">
        <v>232.77</v>
      </c>
      <c r="V108" s="249">
        <v>230.32</v>
      </c>
      <c r="W108" s="249">
        <v>226.86</v>
      </c>
      <c r="X108" s="249">
        <v>228.80500000000001</v>
      </c>
      <c r="Y108" s="249">
        <v>230.95</v>
      </c>
      <c r="Z108" s="243">
        <f ca="1">[1]ExtEntry!$G6</f>
        <v>230.95</v>
      </c>
      <c r="AA108" s="273"/>
      <c r="AB108" s="1112">
        <v>0.75409060425367169</v>
      </c>
      <c r="AC108" s="1112">
        <v>0.61932402019166766</v>
      </c>
      <c r="AD108" s="1112">
        <v>0.6942070189669548</v>
      </c>
      <c r="AE108" s="1112">
        <v>0.7408131718550709</v>
      </c>
      <c r="AF108" s="1112">
        <v>8.3155655847150288E-4</v>
      </c>
      <c r="AG108" s="1112">
        <v>0.55227376593669197</v>
      </c>
      <c r="AH108" s="1112">
        <v>0.58816802050470518</v>
      </c>
      <c r="AI108" s="1112">
        <v>0.95716290799595294</v>
      </c>
      <c r="AJ108" s="1112">
        <v>0.3741953477501298</v>
      </c>
      <c r="AK108" s="1112">
        <v>0.70560027225543975</v>
      </c>
      <c r="AL108" s="1112">
        <v>0.37294022112055786</v>
      </c>
      <c r="AM108" s="1112">
        <v>0.40461857351788738</v>
      </c>
      <c r="AN108" s="1112">
        <v>0.69253619306917413</v>
      </c>
      <c r="AO108" s="1112">
        <v>0.77380795802490232</v>
      </c>
      <c r="AP108" s="1112">
        <v>0.64904799532859592</v>
      </c>
      <c r="AQ108" s="1112">
        <v>0.43672066799835479</v>
      </c>
      <c r="AR108" s="1112">
        <v>0.61752315228620347</v>
      </c>
      <c r="AS108" s="1112">
        <v>0.22745038645323928</v>
      </c>
      <c r="AT108" s="1112">
        <v>0.90537569608369972</v>
      </c>
      <c r="AU108" s="1112">
        <v>0.6326482224746578</v>
      </c>
      <c r="AV108" s="1071">
        <f ca="1">Calc!BC6</f>
        <v>0.6326482224746578</v>
      </c>
      <c r="AW108" s="275"/>
      <c r="AX108" s="86" t="str">
        <f t="shared" ca="1" si="8"/>
        <v>AMZN</v>
      </c>
      <c r="BA108" s="249">
        <v>1886</v>
      </c>
      <c r="CP108" s="273"/>
      <c r="EH108" s="108"/>
    </row>
    <row r="109" spans="1:248">
      <c r="A109" s="237" t="str">
        <f t="shared" ca="1" si="7"/>
        <v>ALDNE</v>
      </c>
      <c r="B109" s="238" t="str">
        <f ca="1">[1]ExtEntry!$D7</f>
        <v>EUR</v>
      </c>
      <c r="C109" s="239"/>
      <c r="D109" s="1063">
        <f>ROW()</f>
        <v>109</v>
      </c>
      <c r="E109" s="240"/>
      <c r="F109" s="241">
        <v>0.78800000000000003</v>
      </c>
      <c r="G109" s="241">
        <v>0.78</v>
      </c>
      <c r="H109" s="241">
        <v>0.78</v>
      </c>
      <c r="I109" s="241">
        <v>0.72</v>
      </c>
      <c r="J109" s="241">
        <v>0.68200000000000005</v>
      </c>
      <c r="K109" s="241">
        <v>0.68200000000000005</v>
      </c>
      <c r="L109" s="241">
        <v>0.69</v>
      </c>
      <c r="M109" s="241">
        <v>0.66800000000000004</v>
      </c>
      <c r="N109" s="241">
        <v>0.66</v>
      </c>
      <c r="O109" s="241">
        <v>0.62</v>
      </c>
      <c r="P109" s="241">
        <v>0.63200000000000001</v>
      </c>
      <c r="Q109" s="241">
        <v>0.62</v>
      </c>
      <c r="R109" s="241">
        <v>0.61799999999999999</v>
      </c>
      <c r="S109" s="241">
        <v>0.62</v>
      </c>
      <c r="T109" s="241">
        <v>0.62</v>
      </c>
      <c r="U109" s="241">
        <v>0.63</v>
      </c>
      <c r="V109" s="241">
        <v>0.622</v>
      </c>
      <c r="W109" s="241">
        <v>0.6</v>
      </c>
      <c r="X109" s="241">
        <v>0.59199999999999997</v>
      </c>
      <c r="Y109" s="241">
        <v>0.58599999999999997</v>
      </c>
      <c r="Z109" s="243">
        <f ca="1">[1]ExtEntry!$G7</f>
        <v>0.58599999999999997</v>
      </c>
      <c r="AA109" s="273"/>
      <c r="AB109" s="1071">
        <v>0.40250737463126846</v>
      </c>
      <c r="AC109" s="1071">
        <v>0.29159292035398232</v>
      </c>
      <c r="AD109" s="1071">
        <v>0.32673879443585779</v>
      </c>
      <c r="AE109" s="1071">
        <v>2.0120065789473682</v>
      </c>
      <c r="AF109" s="1071">
        <v>2.0191582934982475</v>
      </c>
      <c r="AG109" s="1071">
        <v>0.55366568914956016</v>
      </c>
      <c r="AH109" s="1071">
        <v>0.78386023294509155</v>
      </c>
      <c r="AI109" s="1071">
        <v>4.6677621283255082</v>
      </c>
      <c r="AJ109" s="1071">
        <v>3.5876629889669007</v>
      </c>
      <c r="AK109" s="1071">
        <v>1.2231031543052004</v>
      </c>
      <c r="AL109" s="1071">
        <v>0.77732310315430519</v>
      </c>
      <c r="AM109" s="1071">
        <v>0.53361415332771689</v>
      </c>
      <c r="AN109" s="1071">
        <v>3.0075821398483572E-2</v>
      </c>
      <c r="AO109" s="1071">
        <v>0.14445980641433318</v>
      </c>
      <c r="AP109" s="1071">
        <v>0.15145395799676897</v>
      </c>
      <c r="AQ109" s="1071">
        <v>0.10700896495517523</v>
      </c>
      <c r="AR109" s="1071">
        <v>0.25689948892674619</v>
      </c>
      <c r="AS109" s="1071">
        <v>0.53852097130242826</v>
      </c>
      <c r="AT109" s="1071">
        <v>2.4079089924160346</v>
      </c>
      <c r="AU109" s="1071">
        <v>0.95520716685330342</v>
      </c>
      <c r="AV109" s="1071">
        <f ca="1">Calc!BC7</f>
        <v>0.95520716685330342</v>
      </c>
      <c r="AW109" s="275"/>
      <c r="AX109" s="86" t="str">
        <f t="shared" ca="1" si="8"/>
        <v>ALDNE</v>
      </c>
      <c r="BA109" s="249">
        <v>1985</v>
      </c>
      <c r="CP109" s="273"/>
      <c r="EH109" s="108"/>
    </row>
    <row r="110" spans="1:248">
      <c r="A110" s="237" t="str">
        <f t="shared" ca="1" si="7"/>
        <v>ASML</v>
      </c>
      <c r="B110" s="246" t="str">
        <f ca="1">[1]ExtEntry!$D8</f>
        <v>EUR</v>
      </c>
      <c r="C110" s="247"/>
      <c r="D110" s="818">
        <f>ROW()</f>
        <v>110</v>
      </c>
      <c r="E110" s="248"/>
      <c r="F110" s="249">
        <v>882.9</v>
      </c>
      <c r="G110" s="249">
        <v>901.1</v>
      </c>
      <c r="H110" s="249">
        <v>899</v>
      </c>
      <c r="I110" s="249">
        <v>866.9</v>
      </c>
      <c r="J110" s="249">
        <v>861.1</v>
      </c>
      <c r="K110" s="249">
        <v>861.1</v>
      </c>
      <c r="L110" s="249">
        <v>908.8</v>
      </c>
      <c r="M110" s="249">
        <v>839.2</v>
      </c>
      <c r="N110" s="249">
        <v>875</v>
      </c>
      <c r="O110" s="249">
        <v>901.2</v>
      </c>
      <c r="P110" s="249">
        <v>896</v>
      </c>
      <c r="Q110" s="249">
        <v>910</v>
      </c>
      <c r="R110" s="249">
        <v>930</v>
      </c>
      <c r="S110" s="249">
        <v>962</v>
      </c>
      <c r="T110" s="249">
        <v>962</v>
      </c>
      <c r="U110" s="249">
        <v>975</v>
      </c>
      <c r="V110" s="249">
        <v>960.6</v>
      </c>
      <c r="W110" s="249">
        <v>964</v>
      </c>
      <c r="X110" s="249">
        <v>964.1</v>
      </c>
      <c r="Y110" s="249">
        <v>945.1</v>
      </c>
      <c r="Z110" s="243">
        <f ca="1">[1]ExtEntry!$G8</f>
        <v>945.1</v>
      </c>
      <c r="AA110" s="273"/>
      <c r="AB110" s="1112">
        <v>1.2120666350052971</v>
      </c>
      <c r="AC110" s="1112">
        <v>0.8690636176438713</v>
      </c>
      <c r="AD110" s="1112">
        <v>1.4227731762002704</v>
      </c>
      <c r="AE110" s="1112">
        <v>1.221879975841432</v>
      </c>
      <c r="AF110" s="1112">
        <v>0.31928218946295994</v>
      </c>
      <c r="AG110" s="1112">
        <v>1.0213644846396783</v>
      </c>
      <c r="AH110" s="1112">
        <v>1.1913005800792302</v>
      </c>
      <c r="AI110" s="1112">
        <v>1.7569881836657615</v>
      </c>
      <c r="AJ110" s="1112">
        <v>0.99978677104175495</v>
      </c>
      <c r="AK110" s="1112">
        <v>0.34477098750583673</v>
      </c>
      <c r="AL110" s="1112">
        <v>0.67527061253944221</v>
      </c>
      <c r="AM110" s="1112">
        <v>0.98847988989142066</v>
      </c>
      <c r="AN110" s="1112">
        <v>0.87002591676844709</v>
      </c>
      <c r="AO110" s="1112">
        <v>0.50818429492522532</v>
      </c>
      <c r="AP110" s="1112">
        <v>0.88105040199281037</v>
      </c>
      <c r="AQ110" s="1112">
        <v>0.70330842320371112</v>
      </c>
      <c r="AR110" s="1112">
        <v>0.53415656828488589</v>
      </c>
      <c r="AS110" s="1112">
        <v>0.5646821768431034</v>
      </c>
      <c r="AT110" s="1112">
        <v>0.764207776549784</v>
      </c>
      <c r="AU110" s="1112">
        <v>0.96938852069526071</v>
      </c>
      <c r="AV110" s="1071">
        <f ca="1">Calc!BC8</f>
        <v>0.96938852069526071</v>
      </c>
      <c r="AW110" s="275"/>
      <c r="AX110" s="86" t="str">
        <f t="shared" ca="1" si="8"/>
        <v>ASML</v>
      </c>
      <c r="BA110" s="249">
        <v>2084</v>
      </c>
      <c r="CP110" s="273"/>
      <c r="EH110" s="108"/>
    </row>
    <row r="111" spans="1:248">
      <c r="A111" s="237" t="str">
        <f t="shared" ca="1" si="7"/>
        <v>AVGO</v>
      </c>
      <c r="B111" s="238" t="str">
        <f ca="1">[1]ExtEntry!$D11</f>
        <v>USD</v>
      </c>
      <c r="C111" s="239"/>
      <c r="D111" s="1063">
        <f>ROW()</f>
        <v>111</v>
      </c>
      <c r="E111" s="240"/>
      <c r="F111" s="249">
        <v>350.89</v>
      </c>
      <c r="G111" s="249">
        <v>360.09</v>
      </c>
      <c r="H111" s="249">
        <v>354.18</v>
      </c>
      <c r="I111" s="249">
        <v>331.47</v>
      </c>
      <c r="J111" s="249">
        <v>343.2</v>
      </c>
      <c r="K111" s="249">
        <v>340.7</v>
      </c>
      <c r="L111" s="249">
        <v>366.01</v>
      </c>
      <c r="M111" s="249">
        <v>344.61</v>
      </c>
      <c r="N111" s="249">
        <v>385.5</v>
      </c>
      <c r="O111" s="249">
        <v>385.55</v>
      </c>
      <c r="P111" s="249">
        <v>399.35</v>
      </c>
      <c r="Q111" s="249">
        <v>395</v>
      </c>
      <c r="R111" s="249">
        <v>388.41</v>
      </c>
      <c r="S111" s="249">
        <v>380.19</v>
      </c>
      <c r="T111" s="249">
        <v>380</v>
      </c>
      <c r="U111" s="249">
        <v>380.24</v>
      </c>
      <c r="V111" s="249">
        <v>386.16500000000002</v>
      </c>
      <c r="W111" s="249">
        <v>398.35</v>
      </c>
      <c r="X111" s="249">
        <v>402.2</v>
      </c>
      <c r="Y111" s="249">
        <v>404.71</v>
      </c>
      <c r="Z111" s="243">
        <f ca="1">[1]ExtEntry!$G9</f>
        <v>404.71</v>
      </c>
      <c r="AA111" s="273"/>
      <c r="AB111" s="1112">
        <v>0.81002624826093828</v>
      </c>
      <c r="AC111" s="1112">
        <v>0.55395811178011334</v>
      </c>
      <c r="AD111" s="1112">
        <v>0.80981317518787777</v>
      </c>
      <c r="AE111" s="1112">
        <v>0.88573118326383926</v>
      </c>
      <c r="AF111" s="1112">
        <v>6.4734812886568403E-4</v>
      </c>
      <c r="AG111" s="1112">
        <v>0.51410314470649965</v>
      </c>
      <c r="AH111" s="1112">
        <v>0.96682878888431534</v>
      </c>
      <c r="AI111" s="1112">
        <v>1.0608769247087524</v>
      </c>
      <c r="AJ111" s="1112">
        <v>0.78264928078218132</v>
      </c>
      <c r="AK111" s="1112">
        <v>1.3165415968775591</v>
      </c>
      <c r="AL111" s="1112">
        <v>0.60190777233112203</v>
      </c>
      <c r="AM111" s="1112">
        <v>0.55116129619813536</v>
      </c>
      <c r="AN111" s="1112">
        <v>0.72891488269462656</v>
      </c>
      <c r="AO111" s="1112">
        <v>0.95800013100755321</v>
      </c>
      <c r="AP111" s="1112">
        <v>0.90788717328144419</v>
      </c>
      <c r="AQ111" s="1112">
        <v>0.30921803482286214</v>
      </c>
      <c r="AR111" s="1112">
        <v>1.1158374291026785</v>
      </c>
      <c r="AS111" s="1112">
        <v>0.37503360926553253</v>
      </c>
      <c r="AT111" s="1112">
        <v>1.376186370953177</v>
      </c>
      <c r="AU111" s="1112">
        <v>1.3828780081752725</v>
      </c>
      <c r="AV111" s="1071">
        <f ca="1">Calc!BC9</f>
        <v>1.3828780081752725</v>
      </c>
      <c r="AW111" s="275"/>
      <c r="AX111" s="86" t="str">
        <f t="shared" ca="1" si="8"/>
        <v>AVGO</v>
      </c>
      <c r="BA111" s="249">
        <v>2183</v>
      </c>
      <c r="CP111" s="273"/>
      <c r="EH111" s="108"/>
    </row>
    <row r="112" spans="1:248">
      <c r="A112" s="237" t="str">
        <f t="shared" ca="1" si="7"/>
        <v>AZN</v>
      </c>
      <c r="B112" s="246" t="str">
        <f ca="1">[1]ExtEntry!$D12</f>
        <v>USD</v>
      </c>
      <c r="C112" s="247"/>
      <c r="D112" s="818">
        <f>ROW()</f>
        <v>112</v>
      </c>
      <c r="E112" s="248"/>
      <c r="F112" s="249">
        <v>81.38</v>
      </c>
      <c r="G112" s="249">
        <v>84.31</v>
      </c>
      <c r="H112" s="249">
        <v>84.51</v>
      </c>
      <c r="I112" s="249">
        <v>88.515000000000001</v>
      </c>
      <c r="J112" s="249">
        <v>89.03</v>
      </c>
      <c r="K112" s="249">
        <v>89.52</v>
      </c>
      <c r="L112" s="249">
        <v>89.75</v>
      </c>
      <c r="M112" s="249">
        <v>89.44</v>
      </c>
      <c r="N112" s="249">
        <v>92.92</v>
      </c>
      <c r="O112" s="249">
        <v>93</v>
      </c>
      <c r="P112" s="249">
        <v>92.57</v>
      </c>
      <c r="Q112" s="249">
        <v>92.91</v>
      </c>
      <c r="R112" s="249">
        <v>90.91</v>
      </c>
      <c r="S112" s="249">
        <v>90.56</v>
      </c>
      <c r="T112" s="249">
        <v>90.69</v>
      </c>
      <c r="U112" s="249">
        <v>90.66</v>
      </c>
      <c r="V112" s="249">
        <v>90.69</v>
      </c>
      <c r="W112" s="249">
        <v>91.18</v>
      </c>
      <c r="X112" s="249">
        <v>91.18</v>
      </c>
      <c r="Y112" s="249">
        <v>90.63</v>
      </c>
      <c r="Z112" s="243">
        <f ca="1">[1]ExtEntry!$G10</f>
        <v>90.63</v>
      </c>
      <c r="AA112" s="273"/>
      <c r="AB112" s="1112">
        <v>0.99652867418753688</v>
      </c>
      <c r="AC112" s="1112">
        <v>1.1013282963804547</v>
      </c>
      <c r="AD112" s="1112">
        <v>0.66882833672373876</v>
      </c>
      <c r="AE112" s="1112">
        <v>0.83372780244964917</v>
      </c>
      <c r="AF112" s="1112">
        <v>2.2658390756993244E-3</v>
      </c>
      <c r="AG112" s="1112">
        <v>0.83565875907624187</v>
      </c>
      <c r="AH112" s="1112">
        <v>0.75576594258107777</v>
      </c>
      <c r="AI112" s="1112">
        <v>1.241951279080568</v>
      </c>
      <c r="AJ112" s="1112">
        <v>0.63353456358189841</v>
      </c>
      <c r="AK112" s="1112">
        <v>0.9679806918744972</v>
      </c>
      <c r="AL112" s="1112">
        <v>0.77049713504837758</v>
      </c>
      <c r="AM112" s="1112">
        <v>0.85504324626181194</v>
      </c>
      <c r="AN112" s="1112">
        <v>1.122405234945316</v>
      </c>
      <c r="AO112" s="1112">
        <v>1.3326967519126427</v>
      </c>
      <c r="AP112" s="1112">
        <v>1.341140261054812</v>
      </c>
      <c r="AQ112" s="1112">
        <v>0.58114929021070705</v>
      </c>
      <c r="AR112" s="1112">
        <v>1.0266227112013686</v>
      </c>
      <c r="AS112" s="1112">
        <v>0.32372487937892946</v>
      </c>
      <c r="AT112" s="1112">
        <v>1.1098458613911375</v>
      </c>
      <c r="AU112" s="1112">
        <v>1.1425060719524345</v>
      </c>
      <c r="AV112" s="1118">
        <f ca="1">Calc!BC10</f>
        <v>1.1425060719524345</v>
      </c>
      <c r="AW112" s="275"/>
      <c r="AX112" s="86" t="str">
        <f t="shared" ca="1" si="8"/>
        <v>AZN</v>
      </c>
      <c r="BA112" s="249">
        <v>2282</v>
      </c>
      <c r="CP112" s="273"/>
      <c r="EH112" s="108"/>
    </row>
    <row r="113" spans="1:138">
      <c r="A113" s="237" t="str">
        <f t="shared" ca="1" si="7"/>
        <v>BLDP</v>
      </c>
      <c r="B113" s="238" t="str">
        <f ca="1">[1]ExtEntry!$D13</f>
        <v>USD</v>
      </c>
      <c r="C113" s="239"/>
      <c r="D113" s="1063">
        <f>ROW()</f>
        <v>113</v>
      </c>
      <c r="E113" s="240"/>
      <c r="F113" s="249">
        <v>3.37</v>
      </c>
      <c r="G113" s="249">
        <v>3.65</v>
      </c>
      <c r="H113" s="249">
        <v>3.41</v>
      </c>
      <c r="I113" s="249">
        <v>2.94</v>
      </c>
      <c r="J113" s="249">
        <v>2.82</v>
      </c>
      <c r="K113" s="249">
        <v>2.86</v>
      </c>
      <c r="L113" s="249">
        <v>2.97</v>
      </c>
      <c r="M113" s="249">
        <v>2.66</v>
      </c>
      <c r="N113" s="249">
        <v>2.7</v>
      </c>
      <c r="O113" s="249">
        <v>2.7</v>
      </c>
      <c r="P113" s="249">
        <v>2.8</v>
      </c>
      <c r="Q113" s="249">
        <v>2.77</v>
      </c>
      <c r="R113" s="249">
        <v>2.68</v>
      </c>
      <c r="S113" s="249">
        <v>2.74</v>
      </c>
      <c r="T113" s="249">
        <v>2.74</v>
      </c>
      <c r="U113" s="249">
        <v>2.67</v>
      </c>
      <c r="V113" s="249">
        <v>2.8</v>
      </c>
      <c r="W113" s="249">
        <v>2.75</v>
      </c>
      <c r="X113" s="249">
        <v>2.8</v>
      </c>
      <c r="Y113" s="249">
        <v>2.74</v>
      </c>
      <c r="Z113" s="243">
        <f ca="1">[1]ExtEntry!$G11</f>
        <v>2.74</v>
      </c>
      <c r="AA113" s="273"/>
      <c r="AB113" s="1112">
        <v>0.77953282765896881</v>
      </c>
      <c r="AC113" s="1112">
        <v>0.67893606605320811</v>
      </c>
      <c r="AD113" s="1112">
        <v>0.67292193067776529</v>
      </c>
      <c r="AE113" s="1112">
        <v>0.83474150222763288</v>
      </c>
      <c r="AF113" s="1112">
        <v>2.6643484510231378E-4</v>
      </c>
      <c r="AG113" s="1112">
        <v>0.20414935791775768</v>
      </c>
      <c r="AH113" s="1112">
        <v>0.53358598263071433</v>
      </c>
      <c r="AI113" s="1112">
        <v>1.048142215609063</v>
      </c>
      <c r="AJ113" s="1112">
        <v>0.26671798148589437</v>
      </c>
      <c r="AK113" s="1112">
        <v>0.54776432579708434</v>
      </c>
      <c r="AL113" s="1112">
        <v>0.43615871790269117</v>
      </c>
      <c r="AM113" s="1112">
        <v>0.62213561614240065</v>
      </c>
      <c r="AN113" s="1112">
        <v>0.6520635648897718</v>
      </c>
      <c r="AO113" s="1112">
        <v>0.41548663058166635</v>
      </c>
      <c r="AP113" s="1112">
        <v>0.63209452081476536</v>
      </c>
      <c r="AQ113" s="1112">
        <v>0.20103470649336735</v>
      </c>
      <c r="AR113" s="1112">
        <v>0.56292863847755559</v>
      </c>
      <c r="AS113" s="1112">
        <v>0.17225992453234559</v>
      </c>
      <c r="AT113" s="1112">
        <v>0.52254217094104138</v>
      </c>
      <c r="AU113" s="1112">
        <v>0.63127383013593241</v>
      </c>
      <c r="AV113" s="1118">
        <f ca="1">Calc!BC11</f>
        <v>0.63127383013593241</v>
      </c>
      <c r="AW113" s="275"/>
      <c r="AX113" s="86" t="str">
        <f t="shared" ca="1" si="8"/>
        <v>BLDP</v>
      </c>
      <c r="BA113" s="249">
        <v>2381</v>
      </c>
      <c r="CP113" s="273"/>
      <c r="EH113" s="108"/>
    </row>
    <row r="114" spans="1:138">
      <c r="A114" s="237" t="str">
        <f t="shared" ca="1" si="7"/>
        <v>BMRA</v>
      </c>
      <c r="B114" s="246" t="str">
        <f ca="1">[1]ExtEntry!$D14</f>
        <v>USD</v>
      </c>
      <c r="C114" s="247"/>
      <c r="D114" s="818">
        <f>ROW()</f>
        <v>114</v>
      </c>
      <c r="E114" s="248"/>
      <c r="F114" s="249">
        <v>2.5</v>
      </c>
      <c r="G114" s="249">
        <v>2.56</v>
      </c>
      <c r="H114" s="249">
        <v>2.4700000000000002</v>
      </c>
      <c r="I114" s="249">
        <v>2.4704000000000002</v>
      </c>
      <c r="J114" s="249">
        <v>2.27</v>
      </c>
      <c r="K114" s="249">
        <v>2.2599999999999998</v>
      </c>
      <c r="L114" s="249">
        <v>2.19</v>
      </c>
      <c r="M114" s="249">
        <v>2.27</v>
      </c>
      <c r="N114" s="249">
        <v>2.35</v>
      </c>
      <c r="O114" s="249">
        <v>2.35</v>
      </c>
      <c r="P114" s="249">
        <v>2.37</v>
      </c>
      <c r="Q114" s="249">
        <v>2.31</v>
      </c>
      <c r="R114" s="249">
        <v>2.27</v>
      </c>
      <c r="S114" s="249">
        <v>2.33</v>
      </c>
      <c r="T114" s="249">
        <v>2.3007</v>
      </c>
      <c r="U114" s="249">
        <v>2.29</v>
      </c>
      <c r="V114" s="249">
        <v>2.2999999999999998</v>
      </c>
      <c r="W114" s="249">
        <v>2.4500000000000002</v>
      </c>
      <c r="X114" s="249">
        <v>2.44</v>
      </c>
      <c r="Y114" s="249">
        <v>2.58</v>
      </c>
      <c r="Z114" s="243">
        <f ca="1">[1]ExtEntry!$G12</f>
        <v>2.58</v>
      </c>
      <c r="AA114" s="273"/>
      <c r="AB114" s="1112">
        <v>8.1333222735634092E-2</v>
      </c>
      <c r="AC114" s="1112">
        <v>0.12993649922583933</v>
      </c>
      <c r="AD114" s="1112">
        <v>0.11485061080312024</v>
      </c>
      <c r="AE114" s="1112">
        <v>8.7184002012325498E-2</v>
      </c>
      <c r="AF114" s="1112">
        <v>8.080158412632496E-2</v>
      </c>
      <c r="AG114" s="1112">
        <v>1.6497235143042414E-2</v>
      </c>
      <c r="AH114" s="1112">
        <v>6.7850943000087052E-2</v>
      </c>
      <c r="AI114" s="1112">
        <v>0.40232657547630679</v>
      </c>
      <c r="AJ114" s="1112">
        <v>0.18090280740677533</v>
      </c>
      <c r="AK114" s="1112">
        <v>0.22574451745029439</v>
      </c>
      <c r="AL114" s="1112">
        <v>0.22500865608151555</v>
      </c>
      <c r="AM114" s="1112">
        <v>1.2663777721131786</v>
      </c>
      <c r="AN114" s="1112">
        <v>0.4256106212627952</v>
      </c>
      <c r="AO114" s="1112">
        <v>1.2597654171087103</v>
      </c>
      <c r="AP114" s="1112">
        <v>1.2988182926183032</v>
      </c>
      <c r="AQ114" s="1112">
        <v>0.31540062434963578</v>
      </c>
      <c r="AR114" s="1112">
        <v>0.46243022756547875</v>
      </c>
      <c r="AS114" s="1112">
        <v>7.6156653842359673E-2</v>
      </c>
      <c r="AT114" s="1112">
        <v>0.39339772953594904</v>
      </c>
      <c r="AU114" s="1112">
        <v>2.8347077052366196</v>
      </c>
      <c r="AV114" s="1118">
        <f ca="1">Calc!BC12</f>
        <v>2.8347077052366196</v>
      </c>
      <c r="AW114" s="275"/>
      <c r="AX114" s="86" t="str">
        <f t="shared" ca="1" si="8"/>
        <v>BMRA</v>
      </c>
      <c r="BA114" s="249">
        <v>2480</v>
      </c>
      <c r="CP114" s="273"/>
      <c r="EH114" s="108"/>
    </row>
    <row r="115" spans="1:138">
      <c r="A115" s="237" t="str">
        <f t="shared" ca="1" si="7"/>
        <v>C</v>
      </c>
      <c r="B115" s="238" t="str">
        <f ca="1">[1]ExtEntry!$D15</f>
        <v>USD</v>
      </c>
      <c r="C115" s="239"/>
      <c r="D115" s="1063">
        <f>ROW()</f>
        <v>115</v>
      </c>
      <c r="E115" s="240"/>
      <c r="F115" s="249">
        <v>101.25</v>
      </c>
      <c r="G115" s="249">
        <v>101.47</v>
      </c>
      <c r="H115" s="249">
        <v>100.41</v>
      </c>
      <c r="I115" s="249">
        <v>99.83</v>
      </c>
      <c r="J115" s="249">
        <v>97.5</v>
      </c>
      <c r="K115" s="249">
        <v>98.26</v>
      </c>
      <c r="L115" s="249">
        <v>101.34</v>
      </c>
      <c r="M115" s="249">
        <v>98.24</v>
      </c>
      <c r="N115" s="249">
        <v>101.72</v>
      </c>
      <c r="O115" s="249">
        <v>101.72</v>
      </c>
      <c r="P115" s="249">
        <v>102.8</v>
      </c>
      <c r="Q115" s="249">
        <v>103.35</v>
      </c>
      <c r="R115" s="249">
        <v>103.52</v>
      </c>
      <c r="S115" s="249">
        <v>103.18</v>
      </c>
      <c r="T115" s="249">
        <v>103.1</v>
      </c>
      <c r="U115" s="249">
        <v>106.5</v>
      </c>
      <c r="V115" s="249">
        <v>107.67</v>
      </c>
      <c r="W115" s="249">
        <v>108.8</v>
      </c>
      <c r="X115" s="249">
        <v>109.355</v>
      </c>
      <c r="Y115" s="249">
        <v>111.265</v>
      </c>
      <c r="Z115" s="243">
        <f ca="1">[1]ExtEntry!$G13</f>
        <v>111.265</v>
      </c>
      <c r="AA115" s="273"/>
      <c r="AB115" s="1112">
        <v>0.74514423987340539</v>
      </c>
      <c r="AC115" s="1112">
        <v>0.49907059551290756</v>
      </c>
      <c r="AD115" s="1112">
        <v>0.88466405030695294</v>
      </c>
      <c r="AE115" s="1112">
        <v>0.75426842802015048</v>
      </c>
      <c r="AF115" s="1112">
        <v>7.1958656083905348E-5</v>
      </c>
      <c r="AG115" s="1112">
        <v>0.30231117846724859</v>
      </c>
      <c r="AH115" s="1112">
        <v>0.6376788131733494</v>
      </c>
      <c r="AI115" s="1112">
        <v>0.93199850540912832</v>
      </c>
      <c r="AJ115" s="1112">
        <v>0.43835356496486988</v>
      </c>
      <c r="AK115" s="1112">
        <v>0.97926963122002242</v>
      </c>
      <c r="AL115" s="1112">
        <v>0.50972882326688806</v>
      </c>
      <c r="AM115" s="1112">
        <v>0.32723815428516706</v>
      </c>
      <c r="AN115" s="1112">
        <v>0.49819108286104102</v>
      </c>
      <c r="AO115" s="1112">
        <v>0.6360663823823316</v>
      </c>
      <c r="AP115" s="1112">
        <v>1.2426484290961681</v>
      </c>
      <c r="AQ115" s="1112">
        <v>0.45177076025621976</v>
      </c>
      <c r="AR115" s="1112">
        <v>1.3142108921128146</v>
      </c>
      <c r="AS115" s="1112">
        <v>0.32289035869073779</v>
      </c>
      <c r="AT115" s="1112">
        <v>1.4068901912566707</v>
      </c>
      <c r="AU115" s="1112">
        <v>0.84561413582090583</v>
      </c>
      <c r="AV115" s="1118">
        <f ca="1">Calc!BC13</f>
        <v>0.84561413582090583</v>
      </c>
      <c r="AW115" s="275"/>
      <c r="AX115" s="86" t="str">
        <f t="shared" ca="1" si="8"/>
        <v>C</v>
      </c>
      <c r="BA115" s="249">
        <v>2579</v>
      </c>
      <c r="CP115" s="273"/>
      <c r="EH115" s="108"/>
    </row>
    <row r="116" spans="1:138">
      <c r="A116" s="237" t="str">
        <f t="shared" ca="1" si="7"/>
        <v>CSCO</v>
      </c>
      <c r="B116" s="246" t="str">
        <f ca="1">[1]ExtEntry!$D16</f>
        <v>USD</v>
      </c>
      <c r="C116" s="247"/>
      <c r="D116" s="818">
        <f>ROW()</f>
        <v>116</v>
      </c>
      <c r="E116" s="248"/>
      <c r="F116" s="249">
        <v>72.22</v>
      </c>
      <c r="G116" s="249">
        <v>71.709999999999994</v>
      </c>
      <c r="H116" s="249">
        <v>71.39</v>
      </c>
      <c r="I116" s="249">
        <v>76.58</v>
      </c>
      <c r="J116" s="249">
        <v>77.55</v>
      </c>
      <c r="K116" s="249">
        <v>77.25</v>
      </c>
      <c r="L116" s="249">
        <v>79.209999999999994</v>
      </c>
      <c r="M116" s="249">
        <v>75.63</v>
      </c>
      <c r="N116" s="249">
        <v>76.319999999999993</v>
      </c>
      <c r="O116" s="249">
        <v>76.454999999999998</v>
      </c>
      <c r="P116" s="249">
        <v>76.14</v>
      </c>
      <c r="Q116" s="249">
        <v>76.67</v>
      </c>
      <c r="R116" s="249">
        <v>76.2</v>
      </c>
      <c r="S116" s="249">
        <v>76.7</v>
      </c>
      <c r="T116" s="249">
        <v>76.584999999999994</v>
      </c>
      <c r="U116" s="249">
        <v>77.69</v>
      </c>
      <c r="V116" s="249">
        <v>77.97</v>
      </c>
      <c r="W116" s="249">
        <v>78.790000000000006</v>
      </c>
      <c r="X116" s="249">
        <v>78.83</v>
      </c>
      <c r="Y116" s="249">
        <v>80.33</v>
      </c>
      <c r="Z116" s="243">
        <f ca="1">[1]ExtEntry!$G14</f>
        <v>80.33</v>
      </c>
      <c r="AA116" s="273"/>
      <c r="AB116" s="1112">
        <v>0.90727255628300707</v>
      </c>
      <c r="AC116" s="1112">
        <v>0.56566608501227522</v>
      </c>
      <c r="AD116" s="1112">
        <v>0.61914118961950071</v>
      </c>
      <c r="AE116" s="1112">
        <v>1.8796093016027062</v>
      </c>
      <c r="AF116" s="1112">
        <v>1.0255663200009408E-5</v>
      </c>
      <c r="AG116" s="1112">
        <v>0.40983121293491032</v>
      </c>
      <c r="AH116" s="1112">
        <v>0.67597940116369792</v>
      </c>
      <c r="AI116" s="1112">
        <v>0.63508868929166895</v>
      </c>
      <c r="AJ116" s="1112">
        <v>0.31642135080143319</v>
      </c>
      <c r="AK116" s="1112">
        <v>0.65813675533517246</v>
      </c>
      <c r="AL116" s="1112">
        <v>0.30108877642703064</v>
      </c>
      <c r="AM116" s="1112">
        <v>0.24479621383095015</v>
      </c>
      <c r="AN116" s="1112">
        <v>0.42645267855432384</v>
      </c>
      <c r="AO116" s="1112">
        <v>0.66357191123755277</v>
      </c>
      <c r="AP116" s="1112">
        <v>0.64075512154364433</v>
      </c>
      <c r="AQ116" s="1112">
        <v>0.19603971113214638</v>
      </c>
      <c r="AR116" s="1112">
        <v>0.53097275243671205</v>
      </c>
      <c r="AS116" s="1112">
        <v>0.2610485094261023</v>
      </c>
      <c r="AT116" s="1112">
        <v>0.92737468135934131</v>
      </c>
      <c r="AU116" s="1112">
        <v>0.80056440169289977</v>
      </c>
      <c r="AV116" s="1118">
        <f ca="1">Calc!BC14</f>
        <v>0.80056440169289977</v>
      </c>
      <c r="AW116" s="275"/>
      <c r="AX116" s="86" t="str">
        <f t="shared" ca="1" si="8"/>
        <v>CSCO</v>
      </c>
      <c r="BA116" s="249">
        <v>2678</v>
      </c>
      <c r="CP116" s="273"/>
      <c r="EH116" s="108"/>
    </row>
    <row r="117" spans="1:138">
      <c r="A117" s="237" t="str">
        <f t="shared" ca="1" si="7"/>
        <v>CVS</v>
      </c>
      <c r="B117" s="238" t="str">
        <f ca="1">[1]ExtEntry!$D17</f>
        <v>USD</v>
      </c>
      <c r="C117" s="239"/>
      <c r="D117" s="1063">
        <f>ROW()</f>
        <v>117</v>
      </c>
      <c r="E117" s="240"/>
      <c r="F117" s="249">
        <v>77.989999999999995</v>
      </c>
      <c r="G117" s="249">
        <v>78.760000000000005</v>
      </c>
      <c r="H117" s="249">
        <v>78.989999999999995</v>
      </c>
      <c r="I117" s="249">
        <v>79.39</v>
      </c>
      <c r="J117" s="249">
        <v>78.349999999999994</v>
      </c>
      <c r="K117" s="249">
        <v>77.905000000000001</v>
      </c>
      <c r="L117" s="249">
        <v>77.010000000000005</v>
      </c>
      <c r="M117" s="249">
        <v>76.540000000000006</v>
      </c>
      <c r="N117" s="249">
        <v>78.61</v>
      </c>
      <c r="O117" s="249">
        <v>78.790000000000006</v>
      </c>
      <c r="P117" s="249">
        <v>80.040000000000006</v>
      </c>
      <c r="Q117" s="249">
        <v>79.930000000000007</v>
      </c>
      <c r="R117" s="249">
        <v>79.344999999999999</v>
      </c>
      <c r="S117" s="249">
        <v>77.674999999999997</v>
      </c>
      <c r="T117" s="249">
        <v>77.87</v>
      </c>
      <c r="U117" s="249">
        <v>75.06</v>
      </c>
      <c r="V117" s="249">
        <v>76.73</v>
      </c>
      <c r="W117" s="249">
        <v>78.94</v>
      </c>
      <c r="X117" s="249">
        <v>78.989999999999995</v>
      </c>
      <c r="Y117" s="249">
        <v>79.040000000000006</v>
      </c>
      <c r="Z117" s="243">
        <f ca="1">[1]ExtEntry!$G15</f>
        <v>79.040000000000006</v>
      </c>
      <c r="AA117" s="273"/>
      <c r="AB117" s="1112">
        <v>0.7595232112832816</v>
      </c>
      <c r="AC117" s="1112">
        <v>0.45745946870055576</v>
      </c>
      <c r="AD117" s="1112">
        <v>0.36095784006590592</v>
      </c>
      <c r="AE117" s="1112">
        <v>0.6428430591525538</v>
      </c>
      <c r="AF117" s="1112">
        <v>1.3372551072737217E-5</v>
      </c>
      <c r="AG117" s="1112">
        <v>0.28707137293814855</v>
      </c>
      <c r="AH117" s="1112">
        <v>0.25046552116569565</v>
      </c>
      <c r="AI117" s="1112">
        <v>0.52605454534654339</v>
      </c>
      <c r="AJ117" s="1112">
        <v>0.3777917722646319</v>
      </c>
      <c r="AK117" s="1112">
        <v>1.0642357620365002</v>
      </c>
      <c r="AL117" s="1112">
        <v>0.30319917858391976</v>
      </c>
      <c r="AM117" s="1112">
        <v>0.33232077559313911</v>
      </c>
      <c r="AN117" s="1112">
        <v>0.76663273754365668</v>
      </c>
      <c r="AO117" s="1112">
        <v>0.57763098040490191</v>
      </c>
      <c r="AP117" s="1112">
        <v>1.0130863068661675</v>
      </c>
      <c r="AQ117" s="1112">
        <v>0.41812483540484968</v>
      </c>
      <c r="AR117" s="1112">
        <v>1.0768984761841653</v>
      </c>
      <c r="AS117" s="1112">
        <v>1.0219550644673758</v>
      </c>
      <c r="AT117" s="1112">
        <v>2.0976761822647729</v>
      </c>
      <c r="AU117" s="1112">
        <v>1.4470384600516701</v>
      </c>
      <c r="AV117" s="1118">
        <f ca="1">Calc!BC15</f>
        <v>1.4470384600516701</v>
      </c>
      <c r="AW117" s="275"/>
      <c r="AX117" s="86" t="str">
        <f t="shared" ca="1" si="8"/>
        <v>CVS</v>
      </c>
      <c r="BA117" s="249">
        <v>2777</v>
      </c>
      <c r="CP117" s="273"/>
      <c r="EH117" s="108"/>
    </row>
    <row r="118" spans="1:138">
      <c r="A118" s="237" t="str">
        <f t="shared" ca="1" si="7"/>
        <v>DDD</v>
      </c>
      <c r="B118" s="246" t="str">
        <f ca="1">[1]ExtEntry!$D18</f>
        <v>EUR</v>
      </c>
      <c r="C118" s="247"/>
      <c r="D118" s="818">
        <f>ROW()</f>
        <v>118</v>
      </c>
      <c r="E118" s="248"/>
      <c r="F118" s="249">
        <v>2.5</v>
      </c>
      <c r="G118" s="249">
        <v>2.6</v>
      </c>
      <c r="H118" s="249">
        <v>2.2200000000000002</v>
      </c>
      <c r="I118" s="249">
        <v>2.085</v>
      </c>
      <c r="J118" s="249">
        <v>2.0499999999999998</v>
      </c>
      <c r="K118" s="249">
        <v>2.1</v>
      </c>
      <c r="L118" s="249">
        <v>2.0299999999999998</v>
      </c>
      <c r="M118" s="249">
        <v>1.87</v>
      </c>
      <c r="N118" s="249">
        <v>2</v>
      </c>
      <c r="O118" s="249">
        <v>2.02</v>
      </c>
      <c r="P118" s="249">
        <v>2.09</v>
      </c>
      <c r="Q118" s="249">
        <v>2.02</v>
      </c>
      <c r="R118" s="249">
        <v>1.9850000000000001</v>
      </c>
      <c r="S118" s="249">
        <v>2.0499999999999998</v>
      </c>
      <c r="T118" s="249">
        <v>2.0499999999999998</v>
      </c>
      <c r="U118" s="249">
        <v>2.1800000000000002</v>
      </c>
      <c r="V118" s="249">
        <v>2.23</v>
      </c>
      <c r="W118" s="249">
        <v>1.78</v>
      </c>
      <c r="X118" s="249">
        <v>1.81</v>
      </c>
      <c r="Y118" s="249">
        <v>1.79</v>
      </c>
      <c r="Z118" s="243">
        <f ca="1">[1]ExtEntry!$G16</f>
        <v>1.79</v>
      </c>
      <c r="AA118" s="273"/>
      <c r="AB118" s="1112">
        <v>1.2252003181089997</v>
      </c>
      <c r="AC118" s="1112">
        <v>0.8139190547095726</v>
      </c>
      <c r="AD118" s="1112">
        <v>0.54788075577674089</v>
      </c>
      <c r="AE118" s="1112">
        <v>0.41848479514912329</v>
      </c>
      <c r="AF118" s="1112">
        <v>2.6589571091605594E-6</v>
      </c>
      <c r="AG118" s="1112">
        <v>0.20013259900261549</v>
      </c>
      <c r="AH118" s="1112">
        <v>0.60223773092482691</v>
      </c>
      <c r="AI118" s="1112">
        <v>1.1781840228772786</v>
      </c>
      <c r="AJ118" s="1112">
        <v>0.22748029768634928</v>
      </c>
      <c r="AK118" s="1112">
        <v>0.43787906913951097</v>
      </c>
      <c r="AL118" s="1112">
        <v>0.26308962086452237</v>
      </c>
      <c r="AM118" s="1112">
        <v>0.21596900337137373</v>
      </c>
      <c r="AN118" s="1112">
        <v>0.35917485722379316</v>
      </c>
      <c r="AO118" s="1112">
        <v>0.42137914653428438</v>
      </c>
      <c r="AP118" s="1112">
        <v>0.55854140393622309</v>
      </c>
      <c r="AQ118" s="1112">
        <v>0.24165393846825223</v>
      </c>
      <c r="AR118" s="1112">
        <v>0.50362175307758272</v>
      </c>
      <c r="AS118" s="1112">
        <v>3.9188617124346234</v>
      </c>
      <c r="AT118" s="1112">
        <v>1.8426885952927288</v>
      </c>
      <c r="AU118" s="1112">
        <v>1.5342978323128995</v>
      </c>
      <c r="AV118" s="1118">
        <f ca="1">Calc!BC16</f>
        <v>1.5342978323128995</v>
      </c>
      <c r="AW118" s="275"/>
      <c r="AX118" s="86" t="str">
        <f t="shared" ca="1" si="8"/>
        <v>DDD</v>
      </c>
      <c r="BA118" s="249">
        <v>2876</v>
      </c>
      <c r="CP118" s="273"/>
      <c r="EH118" s="108"/>
    </row>
    <row r="119" spans="1:138">
      <c r="A119" s="237" t="str">
        <f t="shared" ca="1" si="7"/>
        <v>DIS</v>
      </c>
      <c r="B119" s="238" t="str">
        <f ca="1">[1]ExtEntry!$D19</f>
        <v>USD</v>
      </c>
      <c r="C119" s="239"/>
      <c r="D119" s="1063">
        <f>ROW()</f>
        <v>119</v>
      </c>
      <c r="E119" s="240"/>
      <c r="F119" s="249">
        <v>111.35</v>
      </c>
      <c r="G119" s="249">
        <v>111.49</v>
      </c>
      <c r="H119" s="249">
        <v>110.35</v>
      </c>
      <c r="I119" s="249">
        <v>107.52</v>
      </c>
      <c r="J119" s="249">
        <v>105.1</v>
      </c>
      <c r="K119" s="249">
        <v>106.065</v>
      </c>
      <c r="L119" s="249">
        <v>105.37</v>
      </c>
      <c r="M119" s="249">
        <v>103.48</v>
      </c>
      <c r="N119" s="249">
        <v>103.26</v>
      </c>
      <c r="O119" s="249">
        <v>103.315</v>
      </c>
      <c r="P119" s="249">
        <v>103.3</v>
      </c>
      <c r="Q119" s="249">
        <v>104.8</v>
      </c>
      <c r="R119" s="249">
        <v>106.53</v>
      </c>
      <c r="S119" s="249">
        <v>105.17</v>
      </c>
      <c r="T119" s="249">
        <v>104.9</v>
      </c>
      <c r="U119" s="249">
        <v>105.84</v>
      </c>
      <c r="V119" s="249">
        <v>105.18</v>
      </c>
      <c r="W119" s="249">
        <v>107.72</v>
      </c>
      <c r="X119" s="249">
        <v>107.12</v>
      </c>
      <c r="Y119" s="249">
        <v>109.12</v>
      </c>
      <c r="Z119" s="243">
        <f ca="1">[1]ExtEntry!$G17</f>
        <v>109.12</v>
      </c>
      <c r="AA119" s="273"/>
      <c r="AB119" s="1112">
        <v>0.75299585026129023</v>
      </c>
      <c r="AC119" s="1112">
        <v>0.99298904622139816</v>
      </c>
      <c r="AD119" s="1112">
        <v>0.86820077434090825</v>
      </c>
      <c r="AE119" s="1112">
        <v>1.7119132694577612</v>
      </c>
      <c r="AF119" s="1112">
        <v>1.2954188458828137E-4</v>
      </c>
      <c r="AG119" s="1112">
        <v>0.43204780109496366</v>
      </c>
      <c r="AH119" s="1112">
        <v>0.54132112605025029</v>
      </c>
      <c r="AI119" s="1112">
        <v>0.66506619422509894</v>
      </c>
      <c r="AJ119" s="1112">
        <v>0.43610654642708108</v>
      </c>
      <c r="AK119" s="1112">
        <v>0.90521187133577996</v>
      </c>
      <c r="AL119" s="1112">
        <v>0.57756134120115332</v>
      </c>
      <c r="AM119" s="1112">
        <v>0.53299339740977691</v>
      </c>
      <c r="AN119" s="1112">
        <v>0.49875359682785453</v>
      </c>
      <c r="AO119" s="1112">
        <v>0.59707484450339621</v>
      </c>
      <c r="AP119" s="1112">
        <v>0.84380195560454974</v>
      </c>
      <c r="AQ119" s="1112">
        <v>0.28113507787763803</v>
      </c>
      <c r="AR119" s="1112">
        <v>0.89435469405453427</v>
      </c>
      <c r="AS119" s="1112">
        <v>0.2976353042821831</v>
      </c>
      <c r="AT119" s="1112">
        <v>0.91819220481398633</v>
      </c>
      <c r="AU119" s="1112">
        <v>0.95490146509038409</v>
      </c>
      <c r="AV119" s="1118">
        <f ca="1">Calc!BC17</f>
        <v>0.95490146509038409</v>
      </c>
      <c r="AW119" s="275"/>
      <c r="AX119" s="86" t="str">
        <f t="shared" ca="1" si="8"/>
        <v>DIS</v>
      </c>
      <c r="BA119" s="249">
        <v>2975</v>
      </c>
      <c r="CP119" s="273"/>
      <c r="EH119" s="108"/>
    </row>
    <row r="120" spans="1:138">
      <c r="A120" s="237" t="str">
        <f t="shared" ca="1" si="7"/>
        <v>DSY</v>
      </c>
      <c r="B120" s="246" t="str">
        <f ca="1">[1]ExtEntry!$D20</f>
        <v>USD</v>
      </c>
      <c r="C120" s="247"/>
      <c r="D120" s="818">
        <f>ROW()</f>
        <v>120</v>
      </c>
      <c r="E120" s="248"/>
      <c r="F120" s="249">
        <v>23.86</v>
      </c>
      <c r="G120" s="249">
        <v>23.83</v>
      </c>
      <c r="H120" s="249">
        <v>23.34</v>
      </c>
      <c r="I120" s="249">
        <v>24.01</v>
      </c>
      <c r="J120" s="249">
        <v>23.2</v>
      </c>
      <c r="K120" s="249">
        <v>23.2</v>
      </c>
      <c r="L120" s="249">
        <v>23.41</v>
      </c>
      <c r="M120" s="249">
        <v>23</v>
      </c>
      <c r="N120" s="249">
        <v>24.12</v>
      </c>
      <c r="O120" s="249">
        <v>24.08</v>
      </c>
      <c r="P120" s="249">
        <v>24.16</v>
      </c>
      <c r="Q120" s="249">
        <v>24.04</v>
      </c>
      <c r="R120" s="249">
        <v>23.8</v>
      </c>
      <c r="S120" s="249">
        <v>23.4</v>
      </c>
      <c r="T120" s="249">
        <v>23.4</v>
      </c>
      <c r="U120" s="249">
        <v>23.4</v>
      </c>
      <c r="V120" s="249">
        <v>23.81</v>
      </c>
      <c r="W120" s="249">
        <v>23.41</v>
      </c>
      <c r="X120" s="249">
        <v>23.28</v>
      </c>
      <c r="Y120" s="249">
        <v>22.9</v>
      </c>
      <c r="Z120" s="243">
        <f ca="1">[1]ExtEntry!$G18</f>
        <v>22.9</v>
      </c>
      <c r="AA120" s="273"/>
      <c r="AB120" s="1112">
        <v>0.51993470790378005</v>
      </c>
      <c r="AC120" s="1112">
        <v>0.7400236731576938</v>
      </c>
      <c r="AD120" s="1112">
        <v>0.97018179551316519</v>
      </c>
      <c r="AE120" s="1112">
        <v>1.2360891553533109</v>
      </c>
      <c r="AF120" s="1112">
        <v>0.42472573240049966</v>
      </c>
      <c r="AG120" s="1112">
        <v>1.4375302511891848</v>
      </c>
      <c r="AH120" s="1112">
        <v>1.2142386954781912</v>
      </c>
      <c r="AI120" s="1112">
        <v>1.7670925539063536</v>
      </c>
      <c r="AJ120" s="1112">
        <v>1.0414933872078009</v>
      </c>
      <c r="AK120" s="1112">
        <v>0.47194177508086793</v>
      </c>
      <c r="AL120" s="1112">
        <v>0.52123737791104918</v>
      </c>
      <c r="AM120" s="1112">
        <v>0.90742459008156495</v>
      </c>
      <c r="AN120" s="1112">
        <v>1.1703246687993032</v>
      </c>
      <c r="AO120" s="1112">
        <v>0.38957432551803883</v>
      </c>
      <c r="AP120" s="1112">
        <v>0.91897776994082647</v>
      </c>
      <c r="AQ120" s="1112">
        <v>0.98242062371404371</v>
      </c>
      <c r="AR120" s="1112">
        <v>1.0774896517638337</v>
      </c>
      <c r="AS120" s="1112">
        <v>0.75997116791649122</v>
      </c>
      <c r="AT120" s="1112">
        <v>0.93128371089536133</v>
      </c>
      <c r="AU120" s="1112">
        <v>1.1231597996094751</v>
      </c>
      <c r="AV120" s="1118">
        <f ca="1">Calc!BC18</f>
        <v>1.1231597996094751</v>
      </c>
      <c r="AW120" s="275"/>
      <c r="AX120" s="86" t="str">
        <f t="shared" ca="1" si="8"/>
        <v>DSY</v>
      </c>
      <c r="BA120" s="249">
        <v>3074</v>
      </c>
      <c r="CP120" s="273"/>
      <c r="EH120" s="108"/>
    </row>
    <row r="121" spans="1:138">
      <c r="A121" s="237" t="str">
        <f t="shared" ca="1" si="7"/>
        <v>DVA</v>
      </c>
      <c r="B121" s="238" t="str">
        <f ca="1">[1]ExtEntry!$D21</f>
        <v>EUR</v>
      </c>
      <c r="C121" s="239"/>
      <c r="D121" s="1063">
        <f>ROW()</f>
        <v>121</v>
      </c>
      <c r="E121" s="240"/>
      <c r="F121" s="249">
        <v>119.69</v>
      </c>
      <c r="G121" s="249">
        <v>121.18</v>
      </c>
      <c r="H121" s="249">
        <v>121.06</v>
      </c>
      <c r="I121" s="249">
        <v>123.4</v>
      </c>
      <c r="J121" s="249">
        <v>116.75</v>
      </c>
      <c r="K121" s="249">
        <v>116.73</v>
      </c>
      <c r="L121" s="249">
        <v>114.91</v>
      </c>
      <c r="M121" s="249">
        <v>115.9</v>
      </c>
      <c r="N121" s="249">
        <v>121.92</v>
      </c>
      <c r="O121" s="249">
        <v>121.33</v>
      </c>
      <c r="P121" s="249">
        <v>120.1</v>
      </c>
      <c r="Q121" s="249">
        <v>119.01</v>
      </c>
      <c r="R121" s="249">
        <v>119.645</v>
      </c>
      <c r="S121" s="249">
        <v>119.58</v>
      </c>
      <c r="T121" s="249">
        <v>119.23</v>
      </c>
      <c r="U121" s="249">
        <v>118</v>
      </c>
      <c r="V121" s="249">
        <v>117.54</v>
      </c>
      <c r="W121" s="249">
        <v>117.205</v>
      </c>
      <c r="X121" s="249">
        <v>116.95</v>
      </c>
      <c r="Y121" s="249">
        <v>119.51</v>
      </c>
      <c r="Z121" s="243">
        <f ca="1">[1]ExtEntry!$G19</f>
        <v>119.51</v>
      </c>
      <c r="AA121" s="273"/>
      <c r="AB121" s="1112">
        <v>1.143750312914803</v>
      </c>
      <c r="AC121" s="1112">
        <v>0.79856052460665994</v>
      </c>
      <c r="AD121" s="1112">
        <v>0.87413345869595827</v>
      </c>
      <c r="AE121" s="1112">
        <v>0.77739301290205343</v>
      </c>
      <c r="AF121" s="1112">
        <v>0.87269386377095548</v>
      </c>
      <c r="AG121" s="1112">
        <v>0.25765225257265678</v>
      </c>
      <c r="AH121" s="1112">
        <v>0.41034015984734701</v>
      </c>
      <c r="AI121" s="1112">
        <v>0.77518060884408146</v>
      </c>
      <c r="AJ121" s="1112">
        <v>0.18221915774028397</v>
      </c>
      <c r="AK121" s="1112">
        <v>0.47387769479937603</v>
      </c>
      <c r="AL121" s="1112">
        <v>0.4455767140697629</v>
      </c>
      <c r="AM121" s="1112">
        <v>0.19050517885640714</v>
      </c>
      <c r="AN121" s="1112">
        <v>0.38885713731321697</v>
      </c>
      <c r="AO121" s="1112">
        <v>0.22313059053396167</v>
      </c>
      <c r="AP121" s="1112">
        <v>0.62463656229145681</v>
      </c>
      <c r="AQ121" s="1112">
        <v>0.17567804221703592</v>
      </c>
      <c r="AR121" s="1112">
        <v>0.55508543225435714</v>
      </c>
      <c r="AS121" s="1112">
        <v>0.1643478870361248</v>
      </c>
      <c r="AT121" s="1112">
        <v>0.98784834737524307</v>
      </c>
      <c r="AU121" s="1112">
        <v>1.0797941516982796</v>
      </c>
      <c r="AV121" s="1118">
        <f ca="1">Calc!BC19</f>
        <v>1.0797941516982796</v>
      </c>
      <c r="AW121" s="275"/>
      <c r="AX121" s="86" t="str">
        <f t="shared" ca="1" si="8"/>
        <v>DVA</v>
      </c>
      <c r="BA121" s="249">
        <v>3173</v>
      </c>
      <c r="CP121" s="273"/>
      <c r="EH121" s="108"/>
    </row>
    <row r="122" spans="1:138">
      <c r="A122" s="237" t="str">
        <f t="shared" ca="1" si="7"/>
        <v>DXC</v>
      </c>
      <c r="B122" s="246" t="str">
        <f ca="1">[1]ExtEntry!$D22</f>
        <v>USD</v>
      </c>
      <c r="C122" s="247"/>
      <c r="D122" s="818">
        <f>ROW()</f>
        <v>122</v>
      </c>
      <c r="E122" s="248"/>
      <c r="F122" s="249">
        <v>13.59</v>
      </c>
      <c r="G122" s="249">
        <v>13.88</v>
      </c>
      <c r="H122" s="249">
        <v>13.5</v>
      </c>
      <c r="I122" s="249">
        <v>13.25</v>
      </c>
      <c r="J122" s="249">
        <v>12.36</v>
      </c>
      <c r="K122" s="249">
        <v>12.22</v>
      </c>
      <c r="L122" s="249">
        <v>12.21</v>
      </c>
      <c r="M122" s="249">
        <v>12.345000000000001</v>
      </c>
      <c r="N122" s="249">
        <v>13.045</v>
      </c>
      <c r="O122" s="249">
        <v>13.06</v>
      </c>
      <c r="P122" s="249">
        <v>13.11</v>
      </c>
      <c r="Q122" s="249">
        <v>13.17</v>
      </c>
      <c r="R122" s="249">
        <v>13.51</v>
      </c>
      <c r="S122" s="249">
        <v>13.4</v>
      </c>
      <c r="T122" s="249">
        <v>13.55</v>
      </c>
      <c r="U122" s="249">
        <v>13.6</v>
      </c>
      <c r="V122" s="249">
        <v>13.95</v>
      </c>
      <c r="W122" s="249">
        <v>14.42</v>
      </c>
      <c r="X122" s="249">
        <v>14.91</v>
      </c>
      <c r="Y122" s="249">
        <v>15.15</v>
      </c>
      <c r="Z122" s="243">
        <f ca="1">[1]ExtEntry!$G20</f>
        <v>15.15</v>
      </c>
      <c r="AA122" s="273"/>
      <c r="AB122" s="1112">
        <v>1.294481685506162</v>
      </c>
      <c r="AC122" s="1112">
        <v>0.68863495841416233</v>
      </c>
      <c r="AD122" s="1112">
        <v>0.58101947699442602</v>
      </c>
      <c r="AE122" s="1112">
        <v>1.1967604945582291</v>
      </c>
      <c r="AF122" s="1112">
        <v>1.5952857361027753E-4</v>
      </c>
      <c r="AG122" s="1112">
        <v>0.2292985220081705</v>
      </c>
      <c r="AH122" s="1112">
        <v>0.47728586721244215</v>
      </c>
      <c r="AI122" s="1112">
        <v>0.61482896764831219</v>
      </c>
      <c r="AJ122" s="1112">
        <v>0.17251504473530091</v>
      </c>
      <c r="AK122" s="1112">
        <v>0.88069442451157542</v>
      </c>
      <c r="AL122" s="1112">
        <v>0.50041644706600963</v>
      </c>
      <c r="AM122" s="1112">
        <v>0.1948831412101166</v>
      </c>
      <c r="AN122" s="1112">
        <v>0.74825198580580743</v>
      </c>
      <c r="AO122" s="1112">
        <v>0.27339144642039037</v>
      </c>
      <c r="AP122" s="1112">
        <v>0.71025277799027997</v>
      </c>
      <c r="AQ122" s="1112">
        <v>0.20788223471847447</v>
      </c>
      <c r="AR122" s="1112">
        <v>0.89904628248522123</v>
      </c>
      <c r="AS122" s="1112">
        <v>0.52387369014989005</v>
      </c>
      <c r="AT122" s="1112">
        <v>1.2912370127152146</v>
      </c>
      <c r="AU122" s="1112">
        <v>1.144784804822979</v>
      </c>
      <c r="AV122" s="1118">
        <f ca="1">Calc!BC20</f>
        <v>1.144784804822979</v>
      </c>
      <c r="AW122" s="275"/>
      <c r="AX122" s="86" t="str">
        <f t="shared" ca="1" si="8"/>
        <v>DXC</v>
      </c>
      <c r="BA122" s="249">
        <v>3272</v>
      </c>
      <c r="CP122" s="273"/>
      <c r="EH122" s="108"/>
    </row>
    <row r="123" spans="1:138">
      <c r="A123" s="237" t="str">
        <f t="shared" ca="1" si="7"/>
        <v>EOAN</v>
      </c>
      <c r="B123" s="238" t="str">
        <f ca="1">[1]ExtEntry!$D23</f>
        <v>USD</v>
      </c>
      <c r="C123" s="239"/>
      <c r="D123" s="1063">
        <f>ROW()</f>
        <v>123</v>
      </c>
      <c r="E123" s="240"/>
      <c r="F123" s="249">
        <v>15.824999999999999</v>
      </c>
      <c r="G123" s="249">
        <v>16.004999999999999</v>
      </c>
      <c r="H123" s="249">
        <v>16.105</v>
      </c>
      <c r="I123" s="249">
        <v>15.225</v>
      </c>
      <c r="J123" s="249">
        <v>15.315</v>
      </c>
      <c r="K123" s="249">
        <v>15.315</v>
      </c>
      <c r="L123" s="249">
        <v>15.345000000000001</v>
      </c>
      <c r="M123" s="249">
        <v>15.365</v>
      </c>
      <c r="N123" s="249">
        <v>15.365</v>
      </c>
      <c r="O123" s="249">
        <v>15.46</v>
      </c>
      <c r="P123" s="249">
        <v>15.275</v>
      </c>
      <c r="Q123" s="249">
        <v>15.335000000000001</v>
      </c>
      <c r="R123" s="249">
        <v>15.19</v>
      </c>
      <c r="S123" s="249">
        <v>15.44</v>
      </c>
      <c r="T123" s="249">
        <v>15.44</v>
      </c>
      <c r="U123" s="249">
        <v>15.8</v>
      </c>
      <c r="V123" s="249">
        <v>15.565</v>
      </c>
      <c r="W123" s="249">
        <v>15.484999999999999</v>
      </c>
      <c r="X123" s="249">
        <v>15.555</v>
      </c>
      <c r="Y123" s="249">
        <v>15.46</v>
      </c>
      <c r="Z123" s="243">
        <f ca="1">[1]ExtEntry!$G21</f>
        <v>15.46</v>
      </c>
      <c r="AA123" s="273"/>
      <c r="AB123" s="1112">
        <v>1.4626982707625427E-3</v>
      </c>
      <c r="AC123" s="1112">
        <v>1.3417069156255903E-3</v>
      </c>
      <c r="AD123" s="1112">
        <v>1.3773604663339033E-3</v>
      </c>
      <c r="AE123" s="1112">
        <v>4.2504365405498928E-3</v>
      </c>
      <c r="AF123" s="1112">
        <v>4.4907760902519392E-4</v>
      </c>
      <c r="AG123" s="1112">
        <v>3.4286087467618696E-4</v>
      </c>
      <c r="AH123" s="1112">
        <v>1.6840130332527601E-2</v>
      </c>
      <c r="AI123" s="1112">
        <v>5.1059888618476181E-3</v>
      </c>
      <c r="AJ123" s="1112">
        <v>1.3752160234386606E-3</v>
      </c>
      <c r="AK123" s="1112">
        <v>2.6971350856452056E-3</v>
      </c>
      <c r="AL123" s="1112">
        <v>6.1022764646796865E-4</v>
      </c>
      <c r="AM123" s="1112">
        <v>1.0961321012204156E-3</v>
      </c>
      <c r="AN123" s="1112">
        <v>1.8481693765352674E-3</v>
      </c>
      <c r="AO123" s="1112">
        <v>1.4096848131515344E-3</v>
      </c>
      <c r="AP123" s="1112">
        <v>1.4414684506511028E-3</v>
      </c>
      <c r="AQ123" s="1112">
        <v>3.6707673436992675E-3</v>
      </c>
      <c r="AR123" s="1112">
        <v>1.1618039477298591E-3</v>
      </c>
      <c r="AS123" s="1112">
        <v>5.6589092452429793E-4</v>
      </c>
      <c r="AT123" s="1112">
        <v>2.3529188450441461E-3</v>
      </c>
      <c r="AU123" s="1112">
        <v>8.077429734486519E-3</v>
      </c>
      <c r="AV123" s="1118">
        <f ca="1">Calc!BC21</f>
        <v>8.077429734486519E-3</v>
      </c>
      <c r="AW123" s="275"/>
      <c r="AX123" s="86" t="str">
        <f t="shared" ca="1" si="8"/>
        <v>EOAN</v>
      </c>
      <c r="BA123" s="249">
        <v>3371</v>
      </c>
      <c r="CP123" s="273"/>
      <c r="EH123" s="108"/>
    </row>
    <row r="124" spans="1:138">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1.8522760022071003</v>
      </c>
      <c r="AO124" s="1112">
        <v>7.7375186910173186</v>
      </c>
      <c r="AP124" s="1112">
        <v>1.8522760022071003</v>
      </c>
      <c r="AQ124" s="1112">
        <v>1.8522760022071003</v>
      </c>
      <c r="AR124" s="1112">
        <v>1.8522760022071003</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3">
        <f>ROW()</f>
        <v>125</v>
      </c>
      <c r="E125" s="240"/>
      <c r="F125" s="249">
        <v>67.040000000000006</v>
      </c>
      <c r="G125" s="249">
        <v>68.73</v>
      </c>
      <c r="H125" s="249">
        <v>68.94</v>
      </c>
      <c r="I125" s="249">
        <v>71.36</v>
      </c>
      <c r="J125" s="249">
        <v>67.83</v>
      </c>
      <c r="K125" s="249">
        <v>68.06</v>
      </c>
      <c r="L125" s="249">
        <v>68.849999999999994</v>
      </c>
      <c r="M125" s="249">
        <v>68.5</v>
      </c>
      <c r="N125" s="249">
        <v>72.400000000000006</v>
      </c>
      <c r="O125" s="249">
        <v>72.44</v>
      </c>
      <c r="P125" s="249">
        <v>72.94</v>
      </c>
      <c r="Q125" s="249">
        <v>73.09</v>
      </c>
      <c r="R125" s="249">
        <v>73.099999999999994</v>
      </c>
      <c r="S125" s="249">
        <v>73.69</v>
      </c>
      <c r="T125" s="249">
        <v>73.61</v>
      </c>
      <c r="U125" s="249">
        <v>74.989999999999995</v>
      </c>
      <c r="V125" s="249">
        <v>75.08</v>
      </c>
      <c r="W125" s="249">
        <v>75.885000000000005</v>
      </c>
      <c r="X125" s="249">
        <v>77.16</v>
      </c>
      <c r="Y125" s="249">
        <v>80.44</v>
      </c>
      <c r="Z125" s="243">
        <f ca="1">[1]ExtEntry!$G23</f>
        <v>80.44</v>
      </c>
      <c r="AA125" s="273"/>
      <c r="AB125" s="1112">
        <v>0.73294563061293616</v>
      </c>
      <c r="AC125" s="1112">
        <v>0.39916381824005581</v>
      </c>
      <c r="AD125" s="1112">
        <v>0.5369764209337996</v>
      </c>
      <c r="AE125" s="1112">
        <v>0.68196638139848331</v>
      </c>
      <c r="AF125" s="1112">
        <v>3.7223569174410375E-5</v>
      </c>
      <c r="AG125" s="1112">
        <v>0.29901271886794123</v>
      </c>
      <c r="AH125" s="1112">
        <v>0.52622361974694909</v>
      </c>
      <c r="AI125" s="1112">
        <v>0.62821133819906561</v>
      </c>
      <c r="AJ125" s="1112">
        <v>0.39353096248081282</v>
      </c>
      <c r="AK125" s="1112">
        <v>0.78996976194064972</v>
      </c>
      <c r="AL125" s="1112">
        <v>0.4033552060025532</v>
      </c>
      <c r="AM125" s="1112">
        <v>0.48549344948702039</v>
      </c>
      <c r="AN125" s="1112">
        <v>0.73010001184114137</v>
      </c>
      <c r="AO125" s="1112">
        <v>0.62676639158959302</v>
      </c>
      <c r="AP125" s="1112">
        <v>0.95149721800134135</v>
      </c>
      <c r="AQ125" s="1112">
        <v>0.48631164842376329</v>
      </c>
      <c r="AR125" s="1112">
        <v>1.012592008720115</v>
      </c>
      <c r="AS125" s="1112">
        <v>0.42087470458490978</v>
      </c>
      <c r="AT125" s="1112">
        <v>1.6406716394133567</v>
      </c>
      <c r="AU125" s="1112">
        <v>1.0689103082554057</v>
      </c>
      <c r="AV125" s="1118">
        <f ca="1">Calc!BC23</f>
        <v>1.0689103082554057</v>
      </c>
      <c r="AW125" s="275"/>
      <c r="AX125" s="86" t="str">
        <f t="shared" ca="1" si="8"/>
        <v>GM</v>
      </c>
      <c r="BA125" s="249">
        <v>3569</v>
      </c>
      <c r="CP125" s="273"/>
      <c r="EH125" s="108"/>
    </row>
    <row r="126" spans="1:138">
      <c r="A126" s="237" t="str">
        <f t="shared" ca="1" si="7"/>
        <v>HPE</v>
      </c>
      <c r="B126" s="246" t="str">
        <f ca="1">[1]ExtEntry!$D26</f>
        <v>GBp</v>
      </c>
      <c r="C126" s="247"/>
      <c r="D126" s="818">
        <f>ROW()</f>
        <v>126</v>
      </c>
      <c r="E126" s="248"/>
      <c r="F126" s="249">
        <v>23.6</v>
      </c>
      <c r="G126" s="249">
        <v>23.64</v>
      </c>
      <c r="H126" s="249">
        <v>23.27</v>
      </c>
      <c r="I126" s="249">
        <v>22.48</v>
      </c>
      <c r="J126" s="249">
        <v>21.01</v>
      </c>
      <c r="K126" s="249">
        <v>20.82</v>
      </c>
      <c r="L126" s="249">
        <v>21.08</v>
      </c>
      <c r="M126" s="249">
        <v>20.175000000000001</v>
      </c>
      <c r="N126" s="249">
        <v>21.56</v>
      </c>
      <c r="O126" s="249">
        <v>21.6</v>
      </c>
      <c r="P126" s="249">
        <v>21.585000000000001</v>
      </c>
      <c r="Q126" s="249">
        <v>21.7</v>
      </c>
      <c r="R126" s="249">
        <v>22.23</v>
      </c>
      <c r="S126" s="249">
        <v>21.85</v>
      </c>
      <c r="T126" s="249">
        <v>21.885000000000002</v>
      </c>
      <c r="U126" s="249">
        <v>22.3</v>
      </c>
      <c r="V126" s="249">
        <v>20.9</v>
      </c>
      <c r="W126" s="249">
        <v>23.75</v>
      </c>
      <c r="X126" s="249">
        <v>24.74</v>
      </c>
      <c r="Y126" s="249">
        <v>24.7</v>
      </c>
      <c r="Z126" s="243">
        <f ca="1">[1]ExtEntry!$G24</f>
        <v>24.7</v>
      </c>
      <c r="AA126" s="273"/>
      <c r="AB126" s="1112">
        <v>0.72697473833744641</v>
      </c>
      <c r="AC126" s="1112">
        <v>0.43781814019864496</v>
      </c>
      <c r="AD126" s="1112">
        <v>0.50246663956149196</v>
      </c>
      <c r="AE126" s="1112">
        <v>0.74256574650013152</v>
      </c>
      <c r="AF126" s="1112">
        <v>9.2584161718804472E-6</v>
      </c>
      <c r="AG126" s="1112">
        <v>0.19064964394428682</v>
      </c>
      <c r="AH126" s="1112">
        <v>0.30306606932646363</v>
      </c>
      <c r="AI126" s="1112">
        <v>0.34115588202570918</v>
      </c>
      <c r="AJ126" s="1112">
        <v>0.31959743087848791</v>
      </c>
      <c r="AK126" s="1112">
        <v>0.60121572529192524</v>
      </c>
      <c r="AL126" s="1112">
        <v>0.24559143505850328</v>
      </c>
      <c r="AM126" s="1112">
        <v>0.34799558511809398</v>
      </c>
      <c r="AN126" s="1112">
        <v>0.43507937116479417</v>
      </c>
      <c r="AO126" s="1112">
        <v>0.29198154306641388</v>
      </c>
      <c r="AP126" s="1112">
        <v>0.59619676786524867</v>
      </c>
      <c r="AQ126" s="1112">
        <v>0.258501090952445</v>
      </c>
      <c r="AR126" s="1112">
        <v>1.6292417054282213</v>
      </c>
      <c r="AS126" s="1112">
        <v>0.42663347556602993</v>
      </c>
      <c r="AT126" s="1112">
        <v>1.3893500773355696</v>
      </c>
      <c r="AU126" s="1112">
        <v>0.88895401902287108</v>
      </c>
      <c r="AV126" s="1118">
        <f ca="1">Calc!BC24</f>
        <v>0.88895401902287108</v>
      </c>
      <c r="AW126" s="275"/>
      <c r="AX126" s="86" t="str">
        <f t="shared" ca="1" si="8"/>
        <v>HPE</v>
      </c>
      <c r="BA126" s="249">
        <v>3668</v>
      </c>
      <c r="CP126" s="273"/>
      <c r="EH126" s="108"/>
    </row>
    <row r="127" spans="1:138" hidden="1">
      <c r="A127" s="237" t="str">
        <f t="shared" ca="1" si="7"/>
        <v>HPQ</v>
      </c>
      <c r="B127" s="238" t="str">
        <f ca="1">[1]ExtEntry!$D27</f>
        <v>USD</v>
      </c>
      <c r="C127" s="239"/>
      <c r="D127" s="1063">
        <f>ROW()</f>
        <v>127</v>
      </c>
      <c r="E127" s="240"/>
      <c r="F127" s="249">
        <v>25.94</v>
      </c>
      <c r="G127" s="249">
        <v>26.67</v>
      </c>
      <c r="H127" s="249">
        <v>26.03</v>
      </c>
      <c r="I127" s="249">
        <v>24.7</v>
      </c>
      <c r="J127" s="249">
        <v>22.71</v>
      </c>
      <c r="K127" s="249">
        <v>22.68</v>
      </c>
      <c r="L127" s="249">
        <v>22.72</v>
      </c>
      <c r="M127" s="249">
        <v>22.8</v>
      </c>
      <c r="N127" s="249">
        <v>23.99</v>
      </c>
      <c r="O127" s="249">
        <v>24.094999999999999</v>
      </c>
      <c r="P127" s="249">
        <v>24.15</v>
      </c>
      <c r="Q127" s="249">
        <v>24.11</v>
      </c>
      <c r="R127" s="249">
        <v>24.66</v>
      </c>
      <c r="S127" s="249">
        <v>25.225000000000001</v>
      </c>
      <c r="T127" s="249">
        <v>25.24</v>
      </c>
      <c r="U127" s="249">
        <v>25.195</v>
      </c>
      <c r="V127" s="249">
        <v>25.93</v>
      </c>
      <c r="W127" s="249">
        <v>24.79</v>
      </c>
      <c r="X127" s="249">
        <v>25.34</v>
      </c>
      <c r="Y127" s="249">
        <v>25.11</v>
      </c>
      <c r="Z127" s="243">
        <f ca="1">[1]ExtEntry!$G25</f>
        <v>25.11</v>
      </c>
      <c r="AA127" s="273"/>
      <c r="AB127" s="1112">
        <v>0.98361954994622525</v>
      </c>
      <c r="AC127" s="1112">
        <v>0.55763221080945125</v>
      </c>
      <c r="AD127" s="1112">
        <v>0.50945639164193712</v>
      </c>
      <c r="AE127" s="1112">
        <v>0.80008641649152312</v>
      </c>
      <c r="AF127" s="1112">
        <v>2.8306773099042699E-5</v>
      </c>
      <c r="AG127" s="1112">
        <v>0.26374238355573848</v>
      </c>
      <c r="AH127" s="1112">
        <v>0.49228102401287677</v>
      </c>
      <c r="AI127" s="1112">
        <v>1.1648372796712347</v>
      </c>
      <c r="AJ127" s="1112">
        <v>1.1279812752231422</v>
      </c>
      <c r="AK127" s="1112">
        <v>1.7743015774953634</v>
      </c>
      <c r="AL127" s="1112">
        <v>0.52789496166018868</v>
      </c>
      <c r="AM127" s="1112">
        <v>0.38179939120307238</v>
      </c>
      <c r="AN127" s="1112">
        <v>0.88923817850978248</v>
      </c>
      <c r="AO127" s="1112">
        <v>0.65971102896451295</v>
      </c>
      <c r="AP127" s="1112">
        <v>0.90471347328773322</v>
      </c>
      <c r="AQ127" s="1112">
        <v>0.24119218200147408</v>
      </c>
      <c r="AR127" s="1112">
        <v>0.75616726882970109</v>
      </c>
      <c r="AS127" s="1112">
        <v>0.31007899830109992</v>
      </c>
      <c r="AT127" s="1112">
        <v>0.88253122616613155</v>
      </c>
      <c r="AU127" s="1112">
        <v>0.75804832493027485</v>
      </c>
      <c r="AV127" s="1118">
        <f ca="1">Calc!BC25</f>
        <v>0.75804832493027485</v>
      </c>
      <c r="AW127" s="275"/>
      <c r="AX127" s="86" t="str">
        <f t="shared" ca="1" si="8"/>
        <v>HPQ</v>
      </c>
      <c r="BA127" s="249">
        <v>3767</v>
      </c>
      <c r="CP127" s="273"/>
      <c r="EH127" s="108"/>
    </row>
    <row r="128" spans="1:138" hidden="1">
      <c r="A128" s="237" t="str">
        <f t="shared" ca="1" si="7"/>
        <v>IAG</v>
      </c>
      <c r="B128" s="246" t="str">
        <f ca="1">[1]ExtEntry!$D28</f>
        <v>USD</v>
      </c>
      <c r="C128" s="247"/>
      <c r="D128" s="818">
        <f>ROW()</f>
        <v>128</v>
      </c>
      <c r="E128" s="248"/>
      <c r="F128" s="249">
        <v>421.1</v>
      </c>
      <c r="G128" s="249">
        <v>422.8</v>
      </c>
      <c r="H128" s="249">
        <v>388</v>
      </c>
      <c r="I128" s="249">
        <v>391</v>
      </c>
      <c r="J128" s="249">
        <v>371</v>
      </c>
      <c r="K128" s="249">
        <v>371</v>
      </c>
      <c r="L128" s="249">
        <v>382.7</v>
      </c>
      <c r="M128" s="249">
        <v>375.7</v>
      </c>
      <c r="N128" s="249">
        <v>394.1</v>
      </c>
      <c r="O128" s="249">
        <v>397.5</v>
      </c>
      <c r="P128" s="249">
        <v>397.1</v>
      </c>
      <c r="Q128" s="249">
        <v>393.8</v>
      </c>
      <c r="R128" s="249">
        <v>393.3</v>
      </c>
      <c r="S128" s="249">
        <v>391.4</v>
      </c>
      <c r="T128" s="249">
        <v>391.4</v>
      </c>
      <c r="U128" s="249">
        <v>392.4</v>
      </c>
      <c r="V128" s="249">
        <v>388.5</v>
      </c>
      <c r="W128" s="249">
        <v>389.7</v>
      </c>
      <c r="X128" s="249">
        <v>386.3</v>
      </c>
      <c r="Y128" s="249">
        <v>388.9</v>
      </c>
      <c r="Z128" s="243">
        <f ca="1">[1]ExtEntry!$G26</f>
        <v>388.9</v>
      </c>
      <c r="AA128" s="273"/>
      <c r="AB128" s="1112">
        <v>0.84687004418415468</v>
      </c>
      <c r="AC128" s="1112">
        <v>1.6734616290843325</v>
      </c>
      <c r="AD128" s="1112">
        <v>3.8509130711539581</v>
      </c>
      <c r="AE128" s="1112">
        <v>0.58691016038586719</v>
      </c>
      <c r="AF128" s="1112">
        <v>0.27463843313132724</v>
      </c>
      <c r="AG128" s="1112">
        <v>0.83798052886889074</v>
      </c>
      <c r="AH128" s="1112">
        <v>0.50410180268429416</v>
      </c>
      <c r="AI128" s="1112">
        <v>0.41095541613131709</v>
      </c>
      <c r="AJ128" s="1112">
        <v>0.65857198894800162</v>
      </c>
      <c r="AK128" s="1112">
        <v>0.5527537069189955</v>
      </c>
      <c r="AL128" s="1112">
        <v>0.48634088141748172</v>
      </c>
      <c r="AM128" s="1112">
        <v>1.9233427745722642</v>
      </c>
      <c r="AN128" s="1112">
        <v>2.009517470577554</v>
      </c>
      <c r="AO128" s="1112">
        <v>1.3971350426395153</v>
      </c>
      <c r="AP128" s="1112">
        <v>2.9699377141139802</v>
      </c>
      <c r="AQ128" s="1112">
        <v>0.48670186004700594</v>
      </c>
      <c r="AR128" s="1112">
        <v>0.2451874881619179</v>
      </c>
      <c r="AS128" s="1112">
        <v>0.55204168500725748</v>
      </c>
      <c r="AT128" s="1112">
        <v>0.33289346895378025</v>
      </c>
      <c r="AU128" s="1112">
        <v>0.83897669667496144</v>
      </c>
      <c r="AV128" s="1118">
        <f ca="1">Calc!BC26</f>
        <v>0.83897669667496144</v>
      </c>
      <c r="AW128" s="275"/>
      <c r="AX128" s="86" t="str">
        <f t="shared" ca="1" si="8"/>
        <v>IAG</v>
      </c>
      <c r="BA128" s="249">
        <v>3866</v>
      </c>
      <c r="CP128" s="273"/>
      <c r="EH128" s="108"/>
    </row>
    <row r="129" spans="1:138" hidden="1">
      <c r="A129" s="237" t="str">
        <f t="shared" ca="1" si="7"/>
        <v>KR</v>
      </c>
      <c r="B129" s="238" t="str">
        <f ca="1">[1]ExtEntry!$D29</f>
        <v>USD</v>
      </c>
      <c r="C129" s="239"/>
      <c r="D129" s="1063">
        <f>ROW()</f>
        <v>129</v>
      </c>
      <c r="E129" s="240"/>
      <c r="F129" s="249">
        <v>63.77</v>
      </c>
      <c r="G129" s="249">
        <v>63.424999999999997</v>
      </c>
      <c r="H129" s="249">
        <v>63.805</v>
      </c>
      <c r="I129" s="249">
        <v>65.94</v>
      </c>
      <c r="J129" s="249">
        <v>66.52</v>
      </c>
      <c r="K129" s="249">
        <v>67.56</v>
      </c>
      <c r="L129" s="249">
        <v>67.040000000000006</v>
      </c>
      <c r="M129" s="249">
        <v>65.875</v>
      </c>
      <c r="N129" s="249">
        <v>66.260000000000005</v>
      </c>
      <c r="O129" s="249">
        <v>66.22</v>
      </c>
      <c r="P129" s="249">
        <v>66.92</v>
      </c>
      <c r="Q129" s="249">
        <v>67.254999999999995</v>
      </c>
      <c r="R129" s="249">
        <v>67.75</v>
      </c>
      <c r="S129" s="249">
        <v>67.23</v>
      </c>
      <c r="T129" s="249">
        <v>67.040000000000006</v>
      </c>
      <c r="U129" s="249">
        <v>63.51</v>
      </c>
      <c r="V129" s="249">
        <v>63</v>
      </c>
      <c r="W129" s="249">
        <v>63.37</v>
      </c>
      <c r="X129" s="249">
        <v>62.42</v>
      </c>
      <c r="Y129" s="249">
        <v>61.61</v>
      </c>
      <c r="Z129" s="243">
        <f ca="1">[1]ExtEntry!$G27</f>
        <v>61.61</v>
      </c>
      <c r="AA129" s="273"/>
      <c r="AB129" s="1112">
        <v>1.078670459228545</v>
      </c>
      <c r="AC129" s="1112">
        <v>0.57730816965640996</v>
      </c>
      <c r="AD129" s="1112">
        <v>0.85989897177837271</v>
      </c>
      <c r="AE129" s="1112">
        <v>0.88662923829511275</v>
      </c>
      <c r="AF129" s="1112">
        <v>9.3075378025647846E-6</v>
      </c>
      <c r="AG129" s="1112">
        <v>0.37935129172396009</v>
      </c>
      <c r="AH129" s="1112">
        <v>0.74315727452379887</v>
      </c>
      <c r="AI129" s="1112">
        <v>0.6338802910345076</v>
      </c>
      <c r="AJ129" s="1112">
        <v>0.42913201156148817</v>
      </c>
      <c r="AK129" s="1112">
        <v>0.84992894534992935</v>
      </c>
      <c r="AL129" s="1112">
        <v>0.36154768405213999</v>
      </c>
      <c r="AM129" s="1112">
        <v>0.38021935835096526</v>
      </c>
      <c r="AN129" s="1112">
        <v>0.88656097266395584</v>
      </c>
      <c r="AO129" s="1112">
        <v>0.74007663680672908</v>
      </c>
      <c r="AP129" s="1112">
        <v>1.147536188130611</v>
      </c>
      <c r="AQ129" s="1112">
        <v>2.0663137248967018</v>
      </c>
      <c r="AR129" s="1112">
        <v>1.2569152936398953</v>
      </c>
      <c r="AS129" s="1112">
        <v>0.22696503547737265</v>
      </c>
      <c r="AT129" s="1112">
        <v>1.1793986357552404</v>
      </c>
      <c r="AU129" s="1112">
        <v>1.053096110163761</v>
      </c>
      <c r="AV129" s="1118">
        <f ca="1">Calc!BC27</f>
        <v>1.053096110163761</v>
      </c>
      <c r="AW129" s="275"/>
      <c r="AX129" s="86" t="str">
        <f t="shared" ca="1" si="8"/>
        <v>KR</v>
      </c>
      <c r="BA129" s="249">
        <v>3965</v>
      </c>
      <c r="CP129" s="273"/>
      <c r="EH129" s="108"/>
    </row>
    <row r="130" spans="1:138" hidden="1">
      <c r="A130" s="237" t="str">
        <f t="shared" ca="1" si="7"/>
        <v>LNSR</v>
      </c>
      <c r="B130" s="246" t="str">
        <f ca="1">[1]ExtEntry!$D30</f>
        <v>USD</v>
      </c>
      <c r="C130" s="247"/>
      <c r="D130" s="818">
        <f>ROW()</f>
        <v>130</v>
      </c>
      <c r="E130" s="248"/>
      <c r="F130" s="249">
        <v>12.11</v>
      </c>
      <c r="G130" s="249">
        <v>12.37</v>
      </c>
      <c r="H130" s="249">
        <v>11.44</v>
      </c>
      <c r="I130" s="249">
        <v>10.31</v>
      </c>
      <c r="J130" s="249">
        <v>9.89</v>
      </c>
      <c r="K130" s="249">
        <v>9.9499999999999993</v>
      </c>
      <c r="L130" s="249">
        <v>10.18</v>
      </c>
      <c r="M130" s="249">
        <v>9.69</v>
      </c>
      <c r="N130" s="249">
        <v>9.98</v>
      </c>
      <c r="O130" s="249">
        <v>9.98</v>
      </c>
      <c r="P130" s="249">
        <v>10.43</v>
      </c>
      <c r="Q130" s="249">
        <v>10.07</v>
      </c>
      <c r="R130" s="249">
        <v>10.28</v>
      </c>
      <c r="S130" s="249">
        <v>10.25</v>
      </c>
      <c r="T130" s="249">
        <v>10.25</v>
      </c>
      <c r="U130" s="249">
        <v>10.48</v>
      </c>
      <c r="V130" s="249">
        <v>11.44</v>
      </c>
      <c r="W130" s="249">
        <v>11.19</v>
      </c>
      <c r="X130" s="249">
        <v>11.22</v>
      </c>
      <c r="Y130" s="249">
        <v>11.49</v>
      </c>
      <c r="Z130" s="243">
        <f ca="1">[1]ExtEntry!$G28</f>
        <v>11.49</v>
      </c>
      <c r="AA130" s="273"/>
      <c r="AB130" s="1112">
        <v>0.50217010930079309</v>
      </c>
      <c r="AC130" s="1112">
        <v>5.3632564475537396</v>
      </c>
      <c r="AD130" s="1112">
        <v>2.7624119502200064</v>
      </c>
      <c r="AE130" s="1112">
        <v>0.67310504152532458</v>
      </c>
      <c r="AF130" s="1112">
        <v>0.91963906280987051</v>
      </c>
      <c r="AG130" s="1112">
        <v>0.23353369276031477</v>
      </c>
      <c r="AH130" s="1112">
        <v>0.27073616761883162</v>
      </c>
      <c r="AI130" s="1112">
        <v>0.2594970347991496</v>
      </c>
      <c r="AJ130" s="1112">
        <v>0.18737452283330977</v>
      </c>
      <c r="AK130" s="1112">
        <v>0.64857910363353599</v>
      </c>
      <c r="AL130" s="1112">
        <v>0.34779374955302866</v>
      </c>
      <c r="AM130" s="1112">
        <v>0.11666714618637972</v>
      </c>
      <c r="AN130" s="1112">
        <v>0.21476891675171308</v>
      </c>
      <c r="AO130" s="1112">
        <v>3.9074201507903542E-2</v>
      </c>
      <c r="AP130" s="1112">
        <v>1.0645332625149382</v>
      </c>
      <c r="AQ130" s="1112">
        <v>1.0464899911323031</v>
      </c>
      <c r="AR130" s="1112">
        <v>1.0428776737501571</v>
      </c>
      <c r="AS130" s="1112">
        <v>0.16120165745856355</v>
      </c>
      <c r="AT130" s="1112">
        <v>0.61820654059078994</v>
      </c>
      <c r="AU130" s="1112">
        <v>0.63306340549771389</v>
      </c>
      <c r="AV130" s="1118">
        <f ca="1">Calc!BC28</f>
        <v>0.63306340549771389</v>
      </c>
      <c r="AW130" s="275"/>
      <c r="AX130" s="86" t="str">
        <f t="shared" ca="1" si="8"/>
        <v>LNSR</v>
      </c>
      <c r="BA130" s="249">
        <v>4064</v>
      </c>
      <c r="CP130" s="273"/>
      <c r="EH130" s="108"/>
    </row>
    <row r="131" spans="1:138" hidden="1">
      <c r="A131" s="237" t="str">
        <f t="shared" ca="1" si="7"/>
        <v>LUMN</v>
      </c>
      <c r="B131" s="238" t="str">
        <f ca="1">[1]ExtEntry!$D31</f>
        <v>USD</v>
      </c>
      <c r="C131" s="239"/>
      <c r="D131" s="1063">
        <f>ROW()</f>
        <v>131</v>
      </c>
      <c r="E131" s="240"/>
      <c r="F131" s="249">
        <v>10.65</v>
      </c>
      <c r="G131" s="249">
        <v>10.91</v>
      </c>
      <c r="H131" s="249">
        <v>10.88</v>
      </c>
      <c r="I131" s="249">
        <v>7.75</v>
      </c>
      <c r="J131" s="249">
        <v>7.9</v>
      </c>
      <c r="K131" s="249">
        <v>7.73</v>
      </c>
      <c r="L131" s="249">
        <v>8.09</v>
      </c>
      <c r="M131" s="249">
        <v>7.53</v>
      </c>
      <c r="N131" s="249">
        <v>8</v>
      </c>
      <c r="O131" s="249">
        <v>7.99</v>
      </c>
      <c r="P131" s="249">
        <v>8.14</v>
      </c>
      <c r="Q131" s="249">
        <v>7.95</v>
      </c>
      <c r="R131" s="249">
        <v>8.39</v>
      </c>
      <c r="S131" s="249">
        <v>9.18</v>
      </c>
      <c r="T131" s="249">
        <v>9.1199999999999992</v>
      </c>
      <c r="U131" s="249">
        <v>9.49</v>
      </c>
      <c r="V131" s="249">
        <v>8.7200000000000006</v>
      </c>
      <c r="W131" s="249">
        <v>8.33</v>
      </c>
      <c r="X131" s="249">
        <v>8.48</v>
      </c>
      <c r="Y131" s="249">
        <v>8.61</v>
      </c>
      <c r="Z131" s="243">
        <f ca="1">[1]ExtEntry!$G29</f>
        <v>8.61</v>
      </c>
      <c r="AA131" s="273"/>
      <c r="AB131" s="1112">
        <v>0.799641736478933</v>
      </c>
      <c r="AC131" s="1112">
        <v>0.74121660661953592</v>
      </c>
      <c r="AD131" s="1112">
        <v>0.77531527078625462</v>
      </c>
      <c r="AE131" s="1112">
        <v>0.71089577648300206</v>
      </c>
      <c r="AF131" s="1112">
        <v>1.6688047719024724E-6</v>
      </c>
      <c r="AG131" s="1112">
        <v>0.20229302989454986</v>
      </c>
      <c r="AH131" s="1112">
        <v>0.38961055028357816</v>
      </c>
      <c r="AI131" s="1112">
        <v>0.34975968664950119</v>
      </c>
      <c r="AJ131" s="1112">
        <v>0.2063215988070142</v>
      </c>
      <c r="AK131" s="1112">
        <v>0.48707047467787984</v>
      </c>
      <c r="AL131" s="1112">
        <v>0.23152310927659414</v>
      </c>
      <c r="AM131" s="1112">
        <v>0.27322579611590031</v>
      </c>
      <c r="AN131" s="1112">
        <v>0.73193294974407752</v>
      </c>
      <c r="AO131" s="1112">
        <v>0.57634123126057402</v>
      </c>
      <c r="AP131" s="1112">
        <v>0.74293914412172024</v>
      </c>
      <c r="AQ131" s="1112">
        <v>0.32839454169515714</v>
      </c>
      <c r="AR131" s="1112">
        <v>0.77825027803016322</v>
      </c>
      <c r="AS131" s="1112">
        <v>0.18092712933764415</v>
      </c>
      <c r="AT131" s="1112">
        <v>0.91570448427383666</v>
      </c>
      <c r="AU131" s="1112">
        <v>0.59192387880588593</v>
      </c>
      <c r="AV131" s="1118">
        <f ca="1">Calc!BC29</f>
        <v>0.59192387880588593</v>
      </c>
      <c r="AW131" s="275"/>
      <c r="AX131" s="86" t="str">
        <f t="shared" ca="1" si="8"/>
        <v>LUMN</v>
      </c>
      <c r="BA131" s="249">
        <v>4163</v>
      </c>
      <c r="CP131" s="273"/>
      <c r="EH131" s="108"/>
    </row>
    <row r="132" spans="1:138" hidden="1">
      <c r="A132" s="237" t="str">
        <f t="shared" ca="1" si="7"/>
        <v>MRNA</v>
      </c>
      <c r="B132" s="246" t="str">
        <f ca="1">[1]ExtEntry!$D32</f>
        <v>USD</v>
      </c>
      <c r="C132" s="247"/>
      <c r="D132" s="818">
        <f>ROW()</f>
        <v>132</v>
      </c>
      <c r="E132" s="248"/>
      <c r="F132" s="249">
        <v>23.914999999999999</v>
      </c>
      <c r="G132" s="249">
        <v>25.19</v>
      </c>
      <c r="H132" s="249">
        <v>23.87</v>
      </c>
      <c r="I132" s="249">
        <v>24.434999999999999</v>
      </c>
      <c r="J132" s="249">
        <v>24.49</v>
      </c>
      <c r="K132" s="249">
        <v>24.95</v>
      </c>
      <c r="L132" s="249">
        <v>24.45</v>
      </c>
      <c r="M132" s="249">
        <v>22.39</v>
      </c>
      <c r="N132" s="249">
        <v>24.77</v>
      </c>
      <c r="O132" s="249">
        <v>24.78</v>
      </c>
      <c r="P132" s="249">
        <v>25.01</v>
      </c>
      <c r="Q132" s="249">
        <v>25.11</v>
      </c>
      <c r="R132" s="249">
        <v>24.16</v>
      </c>
      <c r="S132" s="249">
        <v>24.02</v>
      </c>
      <c r="T132" s="249">
        <v>24.04</v>
      </c>
      <c r="U132" s="249">
        <v>25.25</v>
      </c>
      <c r="V132" s="249">
        <v>25.58</v>
      </c>
      <c r="W132" s="249">
        <v>27.6</v>
      </c>
      <c r="X132" s="249">
        <v>28.22</v>
      </c>
      <c r="Y132" s="249">
        <v>29</v>
      </c>
      <c r="Z132" s="243">
        <f ca="1">[1]ExtEntry!$G30</f>
        <v>29</v>
      </c>
      <c r="AA132" s="273"/>
      <c r="AB132" s="1112">
        <v>0.99724643164088633</v>
      </c>
      <c r="AC132" s="1112">
        <v>1.4043350353151909</v>
      </c>
      <c r="AD132" s="1112">
        <v>0.77200431078922915</v>
      </c>
      <c r="AE132" s="1112">
        <v>0.77376277633751334</v>
      </c>
      <c r="AF132" s="1112">
        <v>1.6918018212364272E-4</v>
      </c>
      <c r="AG132" s="1112">
        <v>0.28173453881169197</v>
      </c>
      <c r="AH132" s="1112">
        <v>0.98278250092296537</v>
      </c>
      <c r="AI132" s="1112">
        <v>0.85136192546962008</v>
      </c>
      <c r="AJ132" s="1112">
        <v>0.32318448487977369</v>
      </c>
      <c r="AK132" s="1112">
        <v>0.53739330293651166</v>
      </c>
      <c r="AL132" s="1112">
        <v>0.35520174684669387</v>
      </c>
      <c r="AM132" s="1112">
        <v>0.47176961679705715</v>
      </c>
      <c r="AN132" s="1112">
        <v>0.7591366157433499</v>
      </c>
      <c r="AO132" s="1112">
        <v>0.70344538836505044</v>
      </c>
      <c r="AP132" s="1112">
        <v>0.63756536057278534</v>
      </c>
      <c r="AQ132" s="1112">
        <v>0.40183823100371724</v>
      </c>
      <c r="AR132" s="1112">
        <v>1.3692854355178135</v>
      </c>
      <c r="AS132" s="1112">
        <v>0.33194013660593497</v>
      </c>
      <c r="AT132" s="1112">
        <v>0.73292572321559546</v>
      </c>
      <c r="AU132" s="1112">
        <v>0.78849697446149747</v>
      </c>
      <c r="AV132" s="1118">
        <f ca="1">Calc!BC30</f>
        <v>0.78849697446149747</v>
      </c>
      <c r="AW132" s="275"/>
      <c r="AX132" s="86" t="str">
        <f t="shared" ca="1" si="8"/>
        <v>MRNA</v>
      </c>
      <c r="BA132" s="249">
        <v>4262</v>
      </c>
      <c r="CP132" s="273"/>
      <c r="EH132" s="108"/>
    </row>
    <row r="133" spans="1:138" hidden="1">
      <c r="A133" s="237" t="str">
        <f t="shared" ca="1" si="7"/>
        <v>MSFT</v>
      </c>
      <c r="B133" s="238" t="str">
        <f ca="1">[1]ExtEntry!$D33</f>
        <v>USD</v>
      </c>
      <c r="C133" s="239"/>
      <c r="D133" s="1063">
        <f>ROW()</f>
        <v>133</v>
      </c>
      <c r="E133" s="240"/>
      <c r="F133" s="249">
        <v>513.29999999999995</v>
      </c>
      <c r="G133" s="249">
        <v>505.7</v>
      </c>
      <c r="H133" s="249">
        <v>497</v>
      </c>
      <c r="I133" s="249">
        <v>498.23</v>
      </c>
      <c r="J133" s="249">
        <v>495.36500000000001</v>
      </c>
      <c r="K133" s="249">
        <v>489.46</v>
      </c>
      <c r="L133" s="249">
        <v>492.96</v>
      </c>
      <c r="M133" s="249">
        <v>478.39</v>
      </c>
      <c r="N133" s="249">
        <v>485.7</v>
      </c>
      <c r="O133" s="249">
        <v>486.31</v>
      </c>
      <c r="P133" s="249">
        <v>487.59500000000003</v>
      </c>
      <c r="Q133" s="249">
        <v>487.98</v>
      </c>
      <c r="R133" s="249">
        <v>486.87</v>
      </c>
      <c r="S133" s="249">
        <v>476.2</v>
      </c>
      <c r="T133" s="249">
        <v>476.32</v>
      </c>
      <c r="U133" s="249">
        <v>479.52</v>
      </c>
      <c r="V133" s="249">
        <v>482.51499999999999</v>
      </c>
      <c r="W133" s="249">
        <v>489.1</v>
      </c>
      <c r="X133" s="249">
        <v>484.03</v>
      </c>
      <c r="Y133" s="249">
        <v>476.4</v>
      </c>
      <c r="Z133" s="243">
        <f ca="1">[1]ExtEntry!$G31</f>
        <v>476.4</v>
      </c>
      <c r="AA133" s="273"/>
      <c r="AB133" s="1112">
        <v>1.1231538776464656</v>
      </c>
      <c r="AC133" s="1112">
        <v>0.87472833248213899</v>
      </c>
      <c r="AD133" s="1112">
        <v>0.80134100862322255</v>
      </c>
      <c r="AE133" s="1112">
        <v>1.2824915706112248</v>
      </c>
      <c r="AF133" s="1112">
        <v>4.2529824116641698E-4</v>
      </c>
      <c r="AG133" s="1112">
        <v>0.3615117522740065</v>
      </c>
      <c r="AH133" s="1112">
        <v>0.60935321288362732</v>
      </c>
      <c r="AI133" s="1112">
        <v>0.89636585544561698</v>
      </c>
      <c r="AJ133" s="1112">
        <v>0.54311692381173793</v>
      </c>
      <c r="AK133" s="1112">
        <v>0.99235645856323329</v>
      </c>
      <c r="AL133" s="1112">
        <v>0.54932309358952613</v>
      </c>
      <c r="AM133" s="1112">
        <v>0.34250075329828583</v>
      </c>
      <c r="AN133" s="1112">
        <v>0.44538909673467464</v>
      </c>
      <c r="AO133" s="1112">
        <v>1.7412344209884631</v>
      </c>
      <c r="AP133" s="1112">
        <v>1.2621942656898779</v>
      </c>
      <c r="AQ133" s="1112">
        <v>0.29562545072800106</v>
      </c>
      <c r="AR133" s="1112">
        <v>0.86296695960996406</v>
      </c>
      <c r="AS133" s="1112">
        <v>0.19126216938516771</v>
      </c>
      <c r="AT133" s="1112">
        <v>1.4478666762315962</v>
      </c>
      <c r="AU133" s="1112">
        <v>0.86604808882101203</v>
      </c>
      <c r="AV133" s="1118">
        <f ca="1">Calc!BC31</f>
        <v>0.86604808882101203</v>
      </c>
      <c r="AW133" s="275"/>
      <c r="AX133" s="86" t="str">
        <f t="shared" ca="1" si="8"/>
        <v>MSFT</v>
      </c>
      <c r="BA133" s="249">
        <v>4361</v>
      </c>
      <c r="CP133" s="273"/>
      <c r="EH133" s="108"/>
    </row>
    <row r="134" spans="1:138" hidden="1">
      <c r="A134" s="237" t="str">
        <f t="shared" ca="1" si="7"/>
        <v>NEE</v>
      </c>
      <c r="B134" s="246" t="str">
        <f ca="1">[1]ExtEntry!$D34</f>
        <v>USD</v>
      </c>
      <c r="C134" s="247"/>
      <c r="D134" s="818">
        <f>ROW()</f>
        <v>134</v>
      </c>
      <c r="E134" s="248"/>
      <c r="F134" s="249">
        <v>81.42</v>
      </c>
      <c r="G134" s="249">
        <v>82.1</v>
      </c>
      <c r="H134" s="249">
        <v>81.78</v>
      </c>
      <c r="I134" s="249">
        <v>83.51</v>
      </c>
      <c r="J134" s="249">
        <v>86.12</v>
      </c>
      <c r="K134" s="249">
        <v>85.14</v>
      </c>
      <c r="L134" s="249">
        <v>85</v>
      </c>
      <c r="M134" s="249">
        <v>84.1</v>
      </c>
      <c r="N134" s="249">
        <v>85.2</v>
      </c>
      <c r="O134" s="249">
        <v>85.25</v>
      </c>
      <c r="P134" s="249">
        <v>85.435000000000002</v>
      </c>
      <c r="Q134" s="249">
        <v>85.63</v>
      </c>
      <c r="R134" s="249">
        <v>84.98</v>
      </c>
      <c r="S134" s="249">
        <v>84.68</v>
      </c>
      <c r="T134" s="249">
        <v>84.66</v>
      </c>
      <c r="U134" s="249">
        <v>84.79</v>
      </c>
      <c r="V134" s="249">
        <v>83.51</v>
      </c>
      <c r="W134" s="249">
        <v>80.98</v>
      </c>
      <c r="X134" s="249">
        <v>80.05</v>
      </c>
      <c r="Y134" s="249">
        <v>81.28</v>
      </c>
      <c r="Z134" s="243">
        <f ca="1">[1]ExtEntry!$G32</f>
        <v>81.28</v>
      </c>
      <c r="AA134" s="273"/>
      <c r="AB134" s="1112">
        <v>0.71769001328936355</v>
      </c>
      <c r="AC134" s="1112">
        <v>0.39207830672938176</v>
      </c>
      <c r="AD134" s="1112">
        <v>0.69580457722675726</v>
      </c>
      <c r="AE134" s="1112">
        <v>0.90798921449140468</v>
      </c>
      <c r="AF134" s="1112">
        <v>3.3518369147530564E-5</v>
      </c>
      <c r="AG134" s="1112">
        <v>0.3830959332564437</v>
      </c>
      <c r="AH134" s="1112">
        <v>0.74304636704707361</v>
      </c>
      <c r="AI134" s="1112">
        <v>0.98179454000156385</v>
      </c>
      <c r="AJ134" s="1112">
        <v>0.28942443828564296</v>
      </c>
      <c r="AK134" s="1112">
        <v>0.65153424939565452</v>
      </c>
      <c r="AL134" s="1112">
        <v>0.41438913414912054</v>
      </c>
      <c r="AM134" s="1112">
        <v>0.36106378489989216</v>
      </c>
      <c r="AN134" s="1112">
        <v>0.48860779910333502</v>
      </c>
      <c r="AO134" s="1112">
        <v>0.55209986539099953</v>
      </c>
      <c r="AP134" s="1112">
        <v>0.95213326793773656</v>
      </c>
      <c r="AQ134" s="1112">
        <v>0.44966028624773591</v>
      </c>
      <c r="AR134" s="1112">
        <v>0.87661484361728392</v>
      </c>
      <c r="AS134" s="1112">
        <v>0.51432997891382326</v>
      </c>
      <c r="AT134" s="1112">
        <v>1.3433532023464172</v>
      </c>
      <c r="AU134" s="1112">
        <v>0.90268026031108495</v>
      </c>
      <c r="AV134" s="1118">
        <f ca="1">Calc!BC32</f>
        <v>0.90268026031108495</v>
      </c>
      <c r="AW134" s="275"/>
      <c r="AX134" s="86" t="str">
        <f t="shared" ca="1" si="8"/>
        <v>NEE</v>
      </c>
      <c r="BA134" s="249">
        <v>4460</v>
      </c>
      <c r="CP134" s="273"/>
      <c r="EH134" s="108"/>
    </row>
    <row r="135" spans="1:138" hidden="1">
      <c r="A135" s="237" t="str">
        <f t="shared" ca="1" si="7"/>
        <v>NEM</v>
      </c>
      <c r="B135" s="238" t="str">
        <f ca="1">[1]ExtEntry!$D35</f>
        <v>USD</v>
      </c>
      <c r="C135" s="239"/>
      <c r="D135" s="1063">
        <f>ROW()</f>
        <v>135</v>
      </c>
      <c r="E135" s="240"/>
      <c r="F135" s="249">
        <v>80.709999999999994</v>
      </c>
      <c r="G135" s="249">
        <v>82.43</v>
      </c>
      <c r="H135" s="249">
        <v>83.28</v>
      </c>
      <c r="I135" s="249">
        <v>86.19</v>
      </c>
      <c r="J135" s="249">
        <v>87.07</v>
      </c>
      <c r="K135" s="249">
        <v>88.14</v>
      </c>
      <c r="L135" s="249">
        <v>87.69</v>
      </c>
      <c r="M135" s="249">
        <v>82.01</v>
      </c>
      <c r="N135" s="249">
        <v>87.58</v>
      </c>
      <c r="O135" s="249">
        <v>87.2</v>
      </c>
      <c r="P135" s="249">
        <v>91.814999999999998</v>
      </c>
      <c r="Q135" s="249">
        <v>92.34</v>
      </c>
      <c r="R135" s="249">
        <v>91.49</v>
      </c>
      <c r="S135" s="249">
        <v>91.6</v>
      </c>
      <c r="T135" s="249">
        <v>91.86</v>
      </c>
      <c r="U135" s="249">
        <v>88.9</v>
      </c>
      <c r="V135" s="249">
        <v>90.6</v>
      </c>
      <c r="W135" s="249">
        <v>90.19</v>
      </c>
      <c r="X135" s="249">
        <v>92.85</v>
      </c>
      <c r="Y135" s="249">
        <v>95</v>
      </c>
      <c r="Z135" s="243">
        <f ca="1">[1]ExtEntry!$G33</f>
        <v>95</v>
      </c>
      <c r="AA135" s="273"/>
      <c r="AB135" s="1112">
        <v>0.70988661036447553</v>
      </c>
      <c r="AC135" s="1112">
        <v>0.593655574422572</v>
      </c>
      <c r="AD135" s="1112">
        <v>0.40252538018308653</v>
      </c>
      <c r="AE135" s="1112">
        <v>0.79406715312605769</v>
      </c>
      <c r="AF135" s="1112">
        <v>5.0409966514682275E-4</v>
      </c>
      <c r="AG135" s="1112">
        <v>0.25524794759567165</v>
      </c>
      <c r="AH135" s="1112">
        <v>0.42734697896095941</v>
      </c>
      <c r="AI135" s="1112">
        <v>0.51356750038148724</v>
      </c>
      <c r="AJ135" s="1112">
        <v>0.35599048597291894</v>
      </c>
      <c r="AK135" s="1112">
        <v>0.63897962490875171</v>
      </c>
      <c r="AL135" s="1112">
        <v>0.43724056602275047</v>
      </c>
      <c r="AM135" s="1112">
        <v>0.37174167679023273</v>
      </c>
      <c r="AN135" s="1112">
        <v>0.56105425904699657</v>
      </c>
      <c r="AO135" s="1112">
        <v>1.0465396503253246</v>
      </c>
      <c r="AP135" s="1112">
        <v>0.78299133027462031</v>
      </c>
      <c r="AQ135" s="1112">
        <v>0.40993844553482967</v>
      </c>
      <c r="AR135" s="1112">
        <v>0.71017578382977553</v>
      </c>
      <c r="AS135" s="1112">
        <v>0.37105274924206511</v>
      </c>
      <c r="AT135" s="1112">
        <v>1.4574439892383309</v>
      </c>
      <c r="AU135" s="1112">
        <v>1.2314631296255434</v>
      </c>
      <c r="AV135" s="1118">
        <f ca="1">Calc!BC33</f>
        <v>1.2314631296255434</v>
      </c>
      <c r="AW135" s="275"/>
      <c r="AX135" s="86" t="str">
        <f t="shared" ca="1" si="8"/>
        <v>NEM</v>
      </c>
      <c r="BA135" s="249">
        <v>4559</v>
      </c>
      <c r="CP135" s="273"/>
      <c r="EH135" s="108"/>
    </row>
    <row r="136" spans="1:138" hidden="1">
      <c r="A136" s="237" t="str">
        <f t="shared" ca="1" si="7"/>
        <v>NFLX</v>
      </c>
      <c r="B136" s="246" t="str">
        <f ca="1">[1]ExtEntry!$D36</f>
        <v>USD</v>
      </c>
      <c r="C136" s="247"/>
      <c r="D136" s="818">
        <f>ROW()</f>
        <v>136</v>
      </c>
      <c r="E136" s="248"/>
      <c r="F136" s="249">
        <v>1085</v>
      </c>
      <c r="G136" s="249">
        <v>1095.4100000000001</v>
      </c>
      <c r="H136" s="249">
        <v>1093.06</v>
      </c>
      <c r="I136" s="249">
        <v>1142.73</v>
      </c>
      <c r="J136" s="249">
        <v>110.29</v>
      </c>
      <c r="K136" s="249">
        <v>112.82</v>
      </c>
      <c r="L136" s="249">
        <v>111.03</v>
      </c>
      <c r="M136" s="249">
        <v>105</v>
      </c>
      <c r="N136" s="249">
        <v>105.75</v>
      </c>
      <c r="O136" s="249">
        <v>105.74</v>
      </c>
      <c r="P136" s="249">
        <v>106.435</v>
      </c>
      <c r="Q136" s="249">
        <v>106.51</v>
      </c>
      <c r="R136" s="249">
        <v>109.18</v>
      </c>
      <c r="S136" s="249">
        <v>106.61</v>
      </c>
      <c r="T136" s="249">
        <v>106.59</v>
      </c>
      <c r="U136" s="249">
        <v>103.52</v>
      </c>
      <c r="V136" s="249">
        <v>98.775000000000006</v>
      </c>
      <c r="W136" s="249">
        <v>97</v>
      </c>
      <c r="X136" s="249">
        <v>96.734999999999999</v>
      </c>
      <c r="Y136" s="249">
        <v>93.79</v>
      </c>
      <c r="Z136" s="243">
        <f ca="1">[1]ExtEntry!$G34</f>
        <v>93.79</v>
      </c>
      <c r="AA136" s="273"/>
      <c r="AB136" s="1112">
        <v>0.79349949233994399</v>
      </c>
      <c r="AC136" s="1112">
        <v>0.61467276118380287</v>
      </c>
      <c r="AD136" s="1112">
        <v>0.70146614838085575</v>
      </c>
      <c r="AE136" s="1112">
        <v>1.0417323853468543</v>
      </c>
      <c r="AF136" s="1112">
        <v>3.9369876951413611E-4</v>
      </c>
      <c r="AG136" s="1112">
        <v>0.31860468043048967</v>
      </c>
      <c r="AH136" s="1112">
        <v>0.48139316257550752</v>
      </c>
      <c r="AI136" s="1112">
        <v>0.50310783220331978</v>
      </c>
      <c r="AJ136" s="1112">
        <v>0.32955611642080351</v>
      </c>
      <c r="AK136" s="1112">
        <v>0.58669990493287172</v>
      </c>
      <c r="AL136" s="1112">
        <v>0.34997935743070874</v>
      </c>
      <c r="AM136" s="1112">
        <v>0.25915241416061363</v>
      </c>
      <c r="AN136" s="1112">
        <v>0.4730261919576117</v>
      </c>
      <c r="AO136" s="1112">
        <v>1.9939585436636267</v>
      </c>
      <c r="AP136" s="1112">
        <v>1.3791087510474795</v>
      </c>
      <c r="AQ136" s="1112">
        <v>0.71756781462527219</v>
      </c>
      <c r="AR136" s="1112">
        <v>3.3602135854937227</v>
      </c>
      <c r="AS136" s="1112">
        <v>0.48168311568522798</v>
      </c>
      <c r="AT136" s="1112">
        <v>1.6679256725951639</v>
      </c>
      <c r="AU136" s="1112">
        <v>0.93949121229058552</v>
      </c>
      <c r="AV136" s="1118">
        <f ca="1">Calc!BC34</f>
        <v>0.93949121229058552</v>
      </c>
      <c r="AW136" s="275"/>
      <c r="AX136" s="86" t="str">
        <f t="shared" ca="1" si="8"/>
        <v>NFLX</v>
      </c>
      <c r="BA136" s="249">
        <v>4658</v>
      </c>
      <c r="CP136" s="273"/>
      <c r="EH136" s="108"/>
    </row>
    <row r="137" spans="1:138" hidden="1">
      <c r="A137" s="237" t="str">
        <f t="shared" ref="A137:A168" ca="1" si="9">A37</f>
        <v>NOTE</v>
      </c>
      <c r="B137" s="238" t="str">
        <f ca="1">[1]ExtEntry!$D37</f>
        <v>USD</v>
      </c>
      <c r="C137" s="239"/>
      <c r="D137" s="1063">
        <f>ROW()</f>
        <v>137</v>
      </c>
      <c r="E137" s="240"/>
      <c r="F137" s="249">
        <v>3.57</v>
      </c>
      <c r="G137" s="249">
        <v>3.44</v>
      </c>
      <c r="H137" s="249">
        <v>2.67</v>
      </c>
      <c r="I137" s="249">
        <v>2.52</v>
      </c>
      <c r="J137" s="249">
        <v>2.39</v>
      </c>
      <c r="K137" s="249">
        <v>2.23</v>
      </c>
      <c r="L137" s="249">
        <v>2.1949999999999998</v>
      </c>
      <c r="M137" s="249">
        <v>2.0099999999999998</v>
      </c>
      <c r="N137" s="249">
        <v>2.23</v>
      </c>
      <c r="O137" s="249">
        <v>2.2200000000000002</v>
      </c>
      <c r="P137" s="249">
        <v>2.36</v>
      </c>
      <c r="Q137" s="249">
        <v>2.36</v>
      </c>
      <c r="R137" s="249">
        <v>2.2050000000000001</v>
      </c>
      <c r="S137" s="249">
        <v>1.99</v>
      </c>
      <c r="T137" s="249">
        <v>2.02</v>
      </c>
      <c r="U137" s="249">
        <v>2</v>
      </c>
      <c r="V137" s="249">
        <v>2.1</v>
      </c>
      <c r="W137" s="249">
        <v>1.95</v>
      </c>
      <c r="X137" s="249">
        <v>1.9</v>
      </c>
      <c r="Y137" s="249">
        <v>1.86</v>
      </c>
      <c r="Z137" s="243">
        <f ca="1">[1]ExtEntry!$G35</f>
        <v>1.86</v>
      </c>
      <c r="AA137" s="273"/>
      <c r="AB137" s="1112">
        <v>1.8922552774746138</v>
      </c>
      <c r="AC137" s="1112">
        <v>1.1658055573057777</v>
      </c>
      <c r="AD137" s="1112">
        <v>1.7209378846883396</v>
      </c>
      <c r="AE137" s="1112">
        <v>1.1446733744668449</v>
      </c>
      <c r="AF137" s="1112">
        <v>8.3503820299778709E-5</v>
      </c>
      <c r="AG137" s="1112">
        <v>0.41464384557603706</v>
      </c>
      <c r="AH137" s="1112">
        <v>0.50418516453780071</v>
      </c>
      <c r="AI137" s="1112">
        <v>0.54714492116338964</v>
      </c>
      <c r="AJ137" s="1112">
        <v>0.16665541652252419</v>
      </c>
      <c r="AK137" s="1112">
        <v>0.44093252444796949</v>
      </c>
      <c r="AL137" s="1112">
        <v>0.60485486771127661</v>
      </c>
      <c r="AM137" s="1112">
        <v>0.52830147932188753</v>
      </c>
      <c r="AN137" s="1112">
        <v>1.0642420795960745</v>
      </c>
      <c r="AO137" s="1112">
        <v>1.7764587847621447</v>
      </c>
      <c r="AP137" s="1112">
        <v>1.3153625552957799</v>
      </c>
      <c r="AQ137" s="1112">
        <v>0.72518905433850467</v>
      </c>
      <c r="AR137" s="1112">
        <v>1.0337292929292929</v>
      </c>
      <c r="AS137" s="1112">
        <v>0.46271269902062701</v>
      </c>
      <c r="AT137" s="1112">
        <v>0.8830827992191943</v>
      </c>
      <c r="AU137" s="1112">
        <v>0.63952972578909406</v>
      </c>
      <c r="AV137" s="1118">
        <f ca="1">Calc!BC35</f>
        <v>0.63952972578909406</v>
      </c>
      <c r="AW137" s="275"/>
      <c r="AX137" s="86" t="str">
        <f t="shared" ref="AX137:AX168" ca="1" si="10">A137</f>
        <v>NOTE</v>
      </c>
      <c r="BA137" s="249">
        <v>4757</v>
      </c>
      <c r="CP137" s="273"/>
      <c r="EH137" s="108"/>
    </row>
    <row r="138" spans="1:138" hidden="1">
      <c r="A138" s="237" t="str">
        <f t="shared" ca="1" si="9"/>
        <v>PAAS</v>
      </c>
      <c r="B138" s="246" t="str">
        <f ca="1">[1]ExtEntry!$D38</f>
        <v>USD</v>
      </c>
      <c r="C138" s="247"/>
      <c r="D138" s="818">
        <f>ROW()</f>
        <v>138</v>
      </c>
      <c r="E138" s="248"/>
      <c r="F138" s="249">
        <v>34.01</v>
      </c>
      <c r="G138" s="249">
        <v>34.075000000000003</v>
      </c>
      <c r="H138" s="249">
        <v>34.090000000000003</v>
      </c>
      <c r="I138" s="249">
        <v>36.81</v>
      </c>
      <c r="J138" s="249">
        <v>37.634999999999998</v>
      </c>
      <c r="K138" s="249">
        <v>38.86</v>
      </c>
      <c r="L138" s="249">
        <v>38.99</v>
      </c>
      <c r="M138" s="249">
        <v>36.08</v>
      </c>
      <c r="N138" s="249">
        <v>40.25</v>
      </c>
      <c r="O138" s="249">
        <v>40.25</v>
      </c>
      <c r="P138" s="249">
        <v>43.97</v>
      </c>
      <c r="Q138" s="249">
        <v>46.56</v>
      </c>
      <c r="R138" s="249">
        <v>46.19</v>
      </c>
      <c r="S138" s="249">
        <v>45.44</v>
      </c>
      <c r="T138" s="249">
        <v>45.44</v>
      </c>
      <c r="U138" s="249">
        <v>43.96</v>
      </c>
      <c r="V138" s="249">
        <v>45.06</v>
      </c>
      <c r="W138" s="249">
        <v>44.2</v>
      </c>
      <c r="X138" s="249">
        <v>48.02</v>
      </c>
      <c r="Y138" s="249">
        <v>49.38</v>
      </c>
      <c r="Z138" s="243">
        <f ca="1">[1]ExtEntry!$G36</f>
        <v>49.38</v>
      </c>
      <c r="AA138" s="273"/>
      <c r="AB138" s="1112">
        <v>0.66621528773103111</v>
      </c>
      <c r="AC138" s="1112">
        <v>0.52926230386351591</v>
      </c>
      <c r="AD138" s="1112">
        <v>0.4777762763177395</v>
      </c>
      <c r="AE138" s="1112">
        <v>1.0116293068471442</v>
      </c>
      <c r="AF138" s="1112">
        <v>8.5097521334452056E-4</v>
      </c>
      <c r="AG138" s="1112">
        <v>0.41100608779237424</v>
      </c>
      <c r="AH138" s="1112">
        <v>0.58538275828581265</v>
      </c>
      <c r="AI138" s="1112">
        <v>0.53802839705505356</v>
      </c>
      <c r="AJ138" s="1112">
        <v>0.97676100292393508</v>
      </c>
      <c r="AK138" s="1112">
        <v>1.4955779879405453</v>
      </c>
      <c r="AL138" s="1112">
        <v>1.3456520007405164</v>
      </c>
      <c r="AM138" s="1112">
        <v>1.1302553949054726</v>
      </c>
      <c r="AN138" s="1112">
        <v>0.91102251307975179</v>
      </c>
      <c r="AO138" s="1112">
        <v>1.1100481186530591</v>
      </c>
      <c r="AP138" s="1112">
        <v>0.71715027559350586</v>
      </c>
      <c r="AQ138" s="1112">
        <v>0.25604838956260662</v>
      </c>
      <c r="AR138" s="1112">
        <v>0.80749091585045785</v>
      </c>
      <c r="AS138" s="1112">
        <v>1.874119605813473</v>
      </c>
      <c r="AT138" s="1112">
        <v>1.2225846237502627</v>
      </c>
      <c r="AU138" s="1112">
        <v>1.2852166012257569</v>
      </c>
      <c r="AV138" s="1118">
        <f ca="1">Calc!BC36</f>
        <v>1.2852166012257569</v>
      </c>
      <c r="AW138" s="275"/>
      <c r="AX138" s="86" t="str">
        <f t="shared" ca="1" si="10"/>
        <v>PAAS</v>
      </c>
      <c r="BA138" s="249">
        <v>4856</v>
      </c>
      <c r="CP138" s="273"/>
      <c r="EH138" s="108"/>
    </row>
    <row r="139" spans="1:138" hidden="1">
      <c r="A139" s="237" t="str">
        <f t="shared" ca="1" si="9"/>
        <v>PROF</v>
      </c>
      <c r="B139" s="238" t="str">
        <f ca="1">[1]ExtEntry!$D39</f>
        <v>USD</v>
      </c>
      <c r="C139" s="239"/>
      <c r="D139" s="1063">
        <f>ROW()</f>
        <v>139</v>
      </c>
      <c r="E139" s="240"/>
      <c r="F139" s="249">
        <v>5.83</v>
      </c>
      <c r="G139" s="249">
        <v>5.86</v>
      </c>
      <c r="H139" s="249">
        <v>5.81</v>
      </c>
      <c r="I139" s="249">
        <v>5.99</v>
      </c>
      <c r="J139" s="249">
        <v>6.46</v>
      </c>
      <c r="K139" s="249">
        <v>6.25</v>
      </c>
      <c r="L139" s="249">
        <v>6.12</v>
      </c>
      <c r="M139" s="249">
        <v>5.93</v>
      </c>
      <c r="N139" s="249">
        <v>6.53</v>
      </c>
      <c r="O139" s="249">
        <v>6.56</v>
      </c>
      <c r="P139" s="249">
        <v>6.55</v>
      </c>
      <c r="Q139" s="249">
        <v>6.42</v>
      </c>
      <c r="R139" s="249">
        <v>6.43</v>
      </c>
      <c r="S139" s="249">
        <v>6.24</v>
      </c>
      <c r="T139" s="249">
        <v>6.24</v>
      </c>
      <c r="U139" s="249">
        <v>6.9</v>
      </c>
      <c r="V139" s="249">
        <v>6.6050000000000004</v>
      </c>
      <c r="W139" s="249">
        <v>6.76</v>
      </c>
      <c r="X139" s="249">
        <v>7.27</v>
      </c>
      <c r="Y139" s="249">
        <v>7.28</v>
      </c>
      <c r="Z139" s="243">
        <f ca="1">[1]ExtEntry!$G37</f>
        <v>7.28</v>
      </c>
      <c r="AA139" s="273"/>
      <c r="AB139" s="1112">
        <v>0.64126160567995627</v>
      </c>
      <c r="AC139" s="1112">
        <v>0.25422779553588504</v>
      </c>
      <c r="AD139" s="1112">
        <v>0.46411032434901783</v>
      </c>
      <c r="AE139" s="1112">
        <v>6.0746796594593659</v>
      </c>
      <c r="AF139" s="1112">
        <v>1.2384528981094285</v>
      </c>
      <c r="AG139" s="1112">
        <v>0.23560663703229079</v>
      </c>
      <c r="AH139" s="1112">
        <v>0.47148227927698916</v>
      </c>
      <c r="AI139" s="1112">
        <v>0.75758421738321235</v>
      </c>
      <c r="AJ139" s="1112">
        <v>0.42528505936287764</v>
      </c>
      <c r="AK139" s="1112">
        <v>0.59952979898906777</v>
      </c>
      <c r="AL139" s="1112">
        <v>0.99819014159480468</v>
      </c>
      <c r="AM139" s="1112">
        <v>0.20954556523150777</v>
      </c>
      <c r="AN139" s="1112">
        <v>0.49517882293459814</v>
      </c>
      <c r="AO139" s="1112">
        <v>0.90351492194904803</v>
      </c>
      <c r="AP139" s="1112">
        <v>1.9328623589158074</v>
      </c>
      <c r="AQ139" s="1112">
        <v>0.35756347027802771</v>
      </c>
      <c r="AR139" s="1112">
        <v>0.51884295079359666</v>
      </c>
      <c r="AS139" s="1112">
        <v>1.0622522914782686</v>
      </c>
      <c r="AT139" s="1112">
        <v>0.74569822189628965</v>
      </c>
      <c r="AU139" s="1112">
        <v>0.70562494111242557</v>
      </c>
      <c r="AV139" s="1118">
        <f ca="1">Calc!BC37</f>
        <v>0.70562494111242557</v>
      </c>
      <c r="AW139" s="275"/>
      <c r="AX139" s="86" t="str">
        <f t="shared" ca="1" si="10"/>
        <v>PROF</v>
      </c>
      <c r="BA139" s="249">
        <v>4955</v>
      </c>
      <c r="CP139" s="273"/>
      <c r="EH139" s="108"/>
    </row>
    <row r="140" spans="1:138" hidden="1">
      <c r="A140" s="237" t="str">
        <f t="shared" ca="1" si="9"/>
        <v>POET</v>
      </c>
      <c r="B140" s="246" t="str">
        <f ca="1">[1]ExtEntry!$D40</f>
        <v>USD</v>
      </c>
      <c r="C140" s="247"/>
      <c r="D140" s="818">
        <f>ROW()</f>
        <v>140</v>
      </c>
      <c r="E140" s="248"/>
      <c r="F140" s="249">
        <v>6.07</v>
      </c>
      <c r="G140" s="249">
        <v>6.13</v>
      </c>
      <c r="H140" s="249">
        <v>5.1100000000000003</v>
      </c>
      <c r="I140" s="249">
        <v>4.2</v>
      </c>
      <c r="J140" s="249">
        <v>4.0880000000000001</v>
      </c>
      <c r="K140" s="249">
        <v>4.29</v>
      </c>
      <c r="L140" s="249">
        <v>4.54</v>
      </c>
      <c r="M140" s="249">
        <v>4.0999999999999996</v>
      </c>
      <c r="N140" s="249">
        <v>4.83</v>
      </c>
      <c r="O140" s="249">
        <v>4.83</v>
      </c>
      <c r="P140" s="249">
        <v>4.92</v>
      </c>
      <c r="Q140" s="249">
        <v>4.79</v>
      </c>
      <c r="R140" s="249">
        <v>4.74</v>
      </c>
      <c r="S140" s="249">
        <v>5.36</v>
      </c>
      <c r="T140" s="249">
        <v>5.39</v>
      </c>
      <c r="U140" s="249">
        <v>5.95</v>
      </c>
      <c r="V140" s="249">
        <v>6.1749999999999998</v>
      </c>
      <c r="W140" s="249">
        <v>6.1</v>
      </c>
      <c r="X140" s="249">
        <v>6.82</v>
      </c>
      <c r="Y140" s="249">
        <v>7.09</v>
      </c>
      <c r="Z140" s="243">
        <f ca="1">[1]ExtEntry!$G38</f>
        <v>7.09</v>
      </c>
      <c r="AA140" s="273"/>
      <c r="AB140" s="1112">
        <v>0.44004048838580384</v>
      </c>
      <c r="AC140" s="1112">
        <v>0.66763223325435916</v>
      </c>
      <c r="AD140" s="1112">
        <v>0.54843184414934687</v>
      </c>
      <c r="AE140" s="1112">
        <v>0.76300790785497974</v>
      </c>
      <c r="AF140" s="1112">
        <v>7.6522959564288064E-5</v>
      </c>
      <c r="AG140" s="1112">
        <v>0.27700442895846106</v>
      </c>
      <c r="AH140" s="1112">
        <v>0.53131413925358084</v>
      </c>
      <c r="AI140" s="1112">
        <v>0.51043963370654344</v>
      </c>
      <c r="AJ140" s="1112">
        <v>0.24266929170589382</v>
      </c>
      <c r="AK140" s="1112">
        <v>0.43392396715944465</v>
      </c>
      <c r="AL140" s="1112">
        <v>0.35011430218111717</v>
      </c>
      <c r="AM140" s="1112">
        <v>0.20459081767904178</v>
      </c>
      <c r="AN140" s="1112">
        <v>0.44065831536568179</v>
      </c>
      <c r="AO140" s="1112">
        <v>3.7315123621482362</v>
      </c>
      <c r="AP140" s="1112">
        <v>2.51099712186035</v>
      </c>
      <c r="AQ140" s="1112">
        <v>0.96555914946660382</v>
      </c>
      <c r="AR140" s="1112">
        <v>0.9147830472743973</v>
      </c>
      <c r="AS140" s="1112">
        <v>0.62420963223166348</v>
      </c>
      <c r="AT140" s="1112">
        <v>1.1360594898674172</v>
      </c>
      <c r="AU140" s="1112">
        <v>0.99686525095229539</v>
      </c>
      <c r="AV140" s="1118">
        <f ca="1">Calc!BC38</f>
        <v>0.99686525095229539</v>
      </c>
      <c r="AW140" s="275"/>
      <c r="AX140" s="86" t="str">
        <f t="shared" ca="1" si="10"/>
        <v>POET</v>
      </c>
      <c r="BA140" s="249">
        <v>5054</v>
      </c>
      <c r="CP140" s="273"/>
      <c r="EH140" s="108"/>
    </row>
    <row r="141" spans="1:138" hidden="1">
      <c r="A141" s="237" t="str">
        <f t="shared" ca="1" si="9"/>
        <v>PW</v>
      </c>
      <c r="B141" s="238" t="str">
        <f ca="1">[1]ExtEntry!$D41</f>
        <v>EUR</v>
      </c>
      <c r="C141" s="239"/>
      <c r="D141" s="1063">
        <f>ROW()</f>
        <v>141</v>
      </c>
      <c r="E141" s="240"/>
      <c r="F141" s="249">
        <v>0.70030000000000003</v>
      </c>
      <c r="G141" s="249">
        <v>0.75</v>
      </c>
      <c r="H141" s="249">
        <v>0.65069999999999995</v>
      </c>
      <c r="I141" s="249">
        <v>0.6</v>
      </c>
      <c r="J141" s="249">
        <v>0.68669999999999998</v>
      </c>
      <c r="K141" s="249">
        <v>0.66679999999999995</v>
      </c>
      <c r="L141" s="249">
        <v>0.60589999999999999</v>
      </c>
      <c r="M141" s="249">
        <v>0.61360000000000003</v>
      </c>
      <c r="N141" s="249">
        <v>1.01</v>
      </c>
      <c r="O141" s="249">
        <v>1.04</v>
      </c>
      <c r="P141" s="249">
        <v>0.92490000000000006</v>
      </c>
      <c r="Q141" s="249">
        <v>0.76500000000000001</v>
      </c>
      <c r="R141" s="249">
        <v>0.76500000000000001</v>
      </c>
      <c r="S141" s="249">
        <v>0.875</v>
      </c>
      <c r="T141" s="249">
        <v>0.90890000000000004</v>
      </c>
      <c r="U141" s="249">
        <v>0.93</v>
      </c>
      <c r="V141" s="249">
        <v>1</v>
      </c>
      <c r="W141" s="249">
        <v>0.96960000000000002</v>
      </c>
      <c r="X141" s="249">
        <v>1.02</v>
      </c>
      <c r="Y141" s="249">
        <v>0.9778</v>
      </c>
      <c r="Z141" s="243">
        <f ca="1">[1]ExtEntry!$G39</f>
        <v>0.9778</v>
      </c>
      <c r="AA141" s="273"/>
      <c r="AB141" s="1112">
        <v>0.69372648270919191</v>
      </c>
      <c r="AC141" s="1112">
        <v>0.39287623630045443</v>
      </c>
      <c r="AD141" s="1112">
        <v>0.20576201264667096</v>
      </c>
      <c r="AE141" s="1112">
        <v>2.2977779841649446</v>
      </c>
      <c r="AF141" s="1112">
        <v>0.81991952709751126</v>
      </c>
      <c r="AG141" s="1112">
        <v>0.11316280361962217</v>
      </c>
      <c r="AH141" s="1112">
        <v>0.39101957147737809</v>
      </c>
      <c r="AI141" s="1112">
        <v>0.60605499761345816</v>
      </c>
      <c r="AJ141" s="1112">
        <v>276.73850696964388</v>
      </c>
      <c r="AK141" s="1112">
        <v>293.4162766836007</v>
      </c>
      <c r="AL141" s="1112">
        <v>0.67426486362017146</v>
      </c>
      <c r="AM141" s="1112">
        <v>0.21379530699827487</v>
      </c>
      <c r="AN141" s="1112">
        <v>0.23745777032457854</v>
      </c>
      <c r="AO141" s="1112">
        <v>0.11598679672829829</v>
      </c>
      <c r="AP141" s="1112">
        <v>0.10026426764843861</v>
      </c>
      <c r="AQ141" s="1112">
        <v>2.8437482722265543E-2</v>
      </c>
      <c r="AR141" s="1112">
        <v>6.3551008523142688E-2</v>
      </c>
      <c r="AS141" s="1112">
        <v>2.0819749260387183E-2</v>
      </c>
      <c r="AT141" s="1112">
        <v>4.7963495874207035E-2</v>
      </c>
      <c r="AU141" s="1112">
        <v>3.28658017905301E-2</v>
      </c>
      <c r="AV141" s="1118">
        <f ca="1">Calc!BC39</f>
        <v>3.28658017905301E-2</v>
      </c>
      <c r="AW141" s="275"/>
      <c r="AX141" s="86" t="str">
        <f t="shared" ca="1" si="10"/>
        <v>PW</v>
      </c>
      <c r="BA141" s="249">
        <v>5153</v>
      </c>
      <c r="CP141" s="273"/>
      <c r="EH141" s="108"/>
    </row>
    <row r="142" spans="1:138" hidden="1">
      <c r="A142" s="237" t="str">
        <f t="shared" ca="1" si="9"/>
        <v>RIGL</v>
      </c>
      <c r="B142" s="246" t="str">
        <f ca="1">[1]ExtEntry!$D42</f>
        <v>EUR</v>
      </c>
      <c r="C142" s="247"/>
      <c r="D142" s="818">
        <f>ROW()</f>
        <v>142</v>
      </c>
      <c r="E142" s="248"/>
      <c r="F142" s="249">
        <v>34.869999999999997</v>
      </c>
      <c r="G142" s="249">
        <v>37.97</v>
      </c>
      <c r="H142" s="249">
        <v>35.369999999999997</v>
      </c>
      <c r="I142" s="249">
        <v>39.53</v>
      </c>
      <c r="J142" s="249">
        <v>42.01</v>
      </c>
      <c r="K142" s="249">
        <v>46.1</v>
      </c>
      <c r="L142" s="249">
        <v>42.54</v>
      </c>
      <c r="M142" s="249">
        <v>43.84</v>
      </c>
      <c r="N142" s="249">
        <v>50.52</v>
      </c>
      <c r="O142" s="249">
        <v>50.52</v>
      </c>
      <c r="P142" s="249">
        <v>51.45</v>
      </c>
      <c r="Q142" s="249">
        <v>50.02</v>
      </c>
      <c r="R142" s="249">
        <v>47.82</v>
      </c>
      <c r="S142" s="249">
        <v>44.09</v>
      </c>
      <c r="T142" s="249">
        <v>44.09</v>
      </c>
      <c r="U142" s="249">
        <v>47.13</v>
      </c>
      <c r="V142" s="249">
        <v>47.57</v>
      </c>
      <c r="W142" s="249">
        <v>42.45</v>
      </c>
      <c r="X142" s="249">
        <v>42.51</v>
      </c>
      <c r="Y142" s="249">
        <v>40.950000000000003</v>
      </c>
      <c r="Z142" s="243">
        <f ca="1">[1]ExtEntry!$G40</f>
        <v>40.950000000000003</v>
      </c>
      <c r="AA142" s="273"/>
      <c r="AB142" s="1112">
        <v>4.7355896728708862</v>
      </c>
      <c r="AC142" s="1112">
        <v>1.0775654825819074</v>
      </c>
      <c r="AD142" s="1112">
        <v>0.80964531679843854</v>
      </c>
      <c r="AE142" s="1112">
        <v>1.1956010767953285</v>
      </c>
      <c r="AF142" s="1112">
        <v>7.2531019374024331E-5</v>
      </c>
      <c r="AG142" s="1112">
        <v>0.84475008589206868</v>
      </c>
      <c r="AH142" s="1112">
        <v>0.70157721772870263</v>
      </c>
      <c r="AI142" s="1112">
        <v>0.51354868786542607</v>
      </c>
      <c r="AJ142" s="1112">
        <v>0.38149826599434056</v>
      </c>
      <c r="AK142" s="1112">
        <v>0.66701701382240097</v>
      </c>
      <c r="AL142" s="1112">
        <v>0.39388037392792941</v>
      </c>
      <c r="AM142" s="1112">
        <v>0.4541669613053963</v>
      </c>
      <c r="AN142" s="1112">
        <v>0.93674867226995706</v>
      </c>
      <c r="AO142" s="1112">
        <v>0.62679651176097839</v>
      </c>
      <c r="AP142" s="1112">
        <v>0.66024827393821051</v>
      </c>
      <c r="AQ142" s="1112">
        <v>0.21138937471315694</v>
      </c>
      <c r="AR142" s="1112">
        <v>0.61223040677724938</v>
      </c>
      <c r="AS142" s="1112">
        <v>0.21712419991120865</v>
      </c>
      <c r="AT142" s="1112">
        <v>0.5603289321163043</v>
      </c>
      <c r="AU142" s="1112">
        <v>0.55221265657287533</v>
      </c>
      <c r="AV142" s="1118">
        <f ca="1">Calc!BC40</f>
        <v>0.55221265657287533</v>
      </c>
      <c r="AW142" s="275"/>
      <c r="AX142" s="86" t="str">
        <f t="shared" ca="1" si="10"/>
        <v>RIGL</v>
      </c>
      <c r="BA142" s="249">
        <v>5252</v>
      </c>
      <c r="CP142" s="273"/>
      <c r="EH142" s="108"/>
    </row>
    <row r="143" spans="1:138" hidden="1">
      <c r="A143" s="237" t="str">
        <f t="shared" ca="1" si="9"/>
        <v>RWE</v>
      </c>
      <c r="B143" s="238" t="str">
        <f ca="1">[1]ExtEntry!$D43</f>
        <v>USD</v>
      </c>
      <c r="C143" s="239"/>
      <c r="D143" s="1063">
        <f>ROW()</f>
        <v>143</v>
      </c>
      <c r="E143" s="240"/>
      <c r="F143" s="249">
        <v>42.28</v>
      </c>
      <c r="G143" s="249">
        <v>42.5</v>
      </c>
      <c r="H143" s="249">
        <v>43.11</v>
      </c>
      <c r="I143" s="249">
        <v>45.45</v>
      </c>
      <c r="J143" s="249">
        <v>44.96</v>
      </c>
      <c r="K143" s="249">
        <v>44.96</v>
      </c>
      <c r="L143" s="249">
        <v>44.07</v>
      </c>
      <c r="M143" s="249">
        <v>44.73</v>
      </c>
      <c r="N143" s="249">
        <v>43.37</v>
      </c>
      <c r="O143" s="249">
        <v>44.03</v>
      </c>
      <c r="P143" s="249">
        <v>43.48</v>
      </c>
      <c r="Q143" s="249">
        <v>43.79</v>
      </c>
      <c r="R143" s="249">
        <v>43.43</v>
      </c>
      <c r="S143" s="249">
        <v>43.43</v>
      </c>
      <c r="T143" s="249">
        <v>43.43</v>
      </c>
      <c r="U143" s="249">
        <v>43.83</v>
      </c>
      <c r="V143" s="249">
        <v>43.5</v>
      </c>
      <c r="W143" s="249">
        <v>43.44</v>
      </c>
      <c r="X143" s="249">
        <v>43.54</v>
      </c>
      <c r="Y143" s="249">
        <v>43.39</v>
      </c>
      <c r="Z143" s="243">
        <f ca="1">[1]ExtEntry!$G41</f>
        <v>43.39</v>
      </c>
      <c r="AA143" s="273"/>
      <c r="AB143" s="1112">
        <v>3.2275726924296129E-3</v>
      </c>
      <c r="AC143" s="1112">
        <v>5.2418769337309696E-3</v>
      </c>
      <c r="AD143" s="1112">
        <v>4.4524727823072796E-3</v>
      </c>
      <c r="AE143" s="1112">
        <v>2.8542469819550775E-3</v>
      </c>
      <c r="AF143" s="1112">
        <v>7.7837800651932073E-3</v>
      </c>
      <c r="AG143" s="1112">
        <v>5.5391708193498089E-3</v>
      </c>
      <c r="AH143" s="1112">
        <v>2.7171301287129998E-3</v>
      </c>
      <c r="AI143" s="1112">
        <v>1.7553475994925361E-3</v>
      </c>
      <c r="AJ143" s="1112">
        <v>1.132454478176362E-3</v>
      </c>
      <c r="AK143" s="1112">
        <v>8.5021752641392168E-4</v>
      </c>
      <c r="AL143" s="1112">
        <v>6.9160969546302054E-4</v>
      </c>
      <c r="AM143" s="1112">
        <v>1.0648317432880143E-3</v>
      </c>
      <c r="AN143" s="1112">
        <v>6.6648937938370504E-4</v>
      </c>
      <c r="AO143" s="1112">
        <v>6.6308395051431512E-4</v>
      </c>
      <c r="AP143" s="1112">
        <v>7.087944441081462E-4</v>
      </c>
      <c r="AQ143" s="1112">
        <v>1.0387898928550965E-3</v>
      </c>
      <c r="AR143" s="1112">
        <v>1.3616777755335622E-3</v>
      </c>
      <c r="AS143" s="1112">
        <v>8.5627899462229092E-4</v>
      </c>
      <c r="AT143" s="1112">
        <v>2.0413610853447757E-3</v>
      </c>
      <c r="AU143" s="1112">
        <v>3.1362675405888028E-3</v>
      </c>
      <c r="AV143" s="1118">
        <f ca="1">Calc!BC41</f>
        <v>3.1362675405888028E-3</v>
      </c>
      <c r="AW143" s="275"/>
      <c r="AX143" s="86" t="str">
        <f t="shared" ca="1" si="10"/>
        <v>RWE</v>
      </c>
      <c r="BA143" s="249">
        <v>5351</v>
      </c>
      <c r="CP143" s="273"/>
      <c r="EH143" s="108"/>
    </row>
    <row r="144" spans="1:138" hidden="1">
      <c r="A144" s="237" t="str">
        <f t="shared" ca="1" si="9"/>
        <v>SAP</v>
      </c>
      <c r="B144" s="246" t="str">
        <f ca="1">[1]ExtEntry!$D44</f>
        <v>USD</v>
      </c>
      <c r="C144" s="247"/>
      <c r="D144" s="818">
        <f>ROW()</f>
        <v>144</v>
      </c>
      <c r="E144" s="248"/>
      <c r="F144" s="249">
        <v>224.95</v>
      </c>
      <c r="G144" s="249">
        <v>225.6</v>
      </c>
      <c r="H144" s="249">
        <v>219.65</v>
      </c>
      <c r="I144" s="249">
        <v>213.75</v>
      </c>
      <c r="J144" s="249">
        <v>205.2</v>
      </c>
      <c r="K144" s="249">
        <v>205.2</v>
      </c>
      <c r="L144" s="249">
        <v>206.95</v>
      </c>
      <c r="M144" s="249">
        <v>204</v>
      </c>
      <c r="N144" s="249">
        <v>205.5</v>
      </c>
      <c r="O144" s="249">
        <v>207.2</v>
      </c>
      <c r="P144" s="249">
        <v>206.85</v>
      </c>
      <c r="Q144" s="249">
        <v>208.6</v>
      </c>
      <c r="R144" s="249">
        <v>207.55</v>
      </c>
      <c r="S144" s="249">
        <v>208.25</v>
      </c>
      <c r="T144" s="249">
        <v>208.25</v>
      </c>
      <c r="U144" s="249">
        <v>208.75</v>
      </c>
      <c r="V144" s="249">
        <v>211.25</v>
      </c>
      <c r="W144" s="249">
        <v>209.15</v>
      </c>
      <c r="X144" s="249">
        <v>210.55</v>
      </c>
      <c r="Y144" s="249">
        <v>204</v>
      </c>
      <c r="Z144" s="243">
        <f ca="1">[1]ExtEntry!$G42</f>
        <v>204</v>
      </c>
      <c r="AA144" s="273"/>
      <c r="AB144" s="1112">
        <v>0.60507338761860219</v>
      </c>
      <c r="AC144" s="1112">
        <v>0.85338166536039561</v>
      </c>
      <c r="AD144" s="1112">
        <v>1.1597733249552002</v>
      </c>
      <c r="AE144" s="1112">
        <v>1.9349794493852532</v>
      </c>
      <c r="AF144" s="1112">
        <v>0.61255694363384539</v>
      </c>
      <c r="AG144" s="1112">
        <v>0.93717056647786734</v>
      </c>
      <c r="AH144" s="1112">
        <v>0.84766079602762046</v>
      </c>
      <c r="AI144" s="1112">
        <v>1.1593157284869184</v>
      </c>
      <c r="AJ144" s="1112">
        <v>0.85631439647844987</v>
      </c>
      <c r="AK144" s="1112">
        <v>0.31903639766774838</v>
      </c>
      <c r="AL144" s="1112">
        <v>0.62728949841623449</v>
      </c>
      <c r="AM144" s="1112">
        <v>0.81715528510599267</v>
      </c>
      <c r="AN144" s="1112">
        <v>0.70419150463468683</v>
      </c>
      <c r="AO144" s="1112">
        <v>0.33226136644192772</v>
      </c>
      <c r="AP144" s="1112">
        <v>0.80680965320910969</v>
      </c>
      <c r="AQ144" s="1112">
        <v>1.4236995341614906</v>
      </c>
      <c r="AR144" s="1112">
        <v>0.79724600822853231</v>
      </c>
      <c r="AS144" s="1112">
        <v>0.64595130237825593</v>
      </c>
      <c r="AT144" s="1112">
        <v>1.2417306662773153</v>
      </c>
      <c r="AU144" s="1112">
        <v>1.6723113482056255</v>
      </c>
      <c r="AV144" s="1118">
        <f ca="1">Calc!BC42</f>
        <v>1.6723113482056255</v>
      </c>
      <c r="AW144" s="275"/>
      <c r="AX144" s="86" t="str">
        <f t="shared" ca="1" si="10"/>
        <v>SAP</v>
      </c>
      <c r="BA144" s="249">
        <v>5450</v>
      </c>
      <c r="CP144" s="273"/>
      <c r="EH144" s="108"/>
    </row>
    <row r="145" spans="1:138" hidden="1">
      <c r="A145" s="237" t="str">
        <f t="shared" ca="1" si="9"/>
        <v>SHECY</v>
      </c>
      <c r="B145" s="238" t="str">
        <f ca="1">[1]ExtEntry!$D45</f>
        <v>USD</v>
      </c>
      <c r="C145" s="239"/>
      <c r="D145" s="1063">
        <f>ROW()</f>
        <v>145</v>
      </c>
      <c r="E145" s="240"/>
      <c r="F145" s="249">
        <v>14.27</v>
      </c>
      <c r="G145" s="249">
        <v>14.89</v>
      </c>
      <c r="H145" s="249">
        <v>14.335000000000001</v>
      </c>
      <c r="I145" s="249">
        <v>14.94</v>
      </c>
      <c r="J145" s="249">
        <v>14.074</v>
      </c>
      <c r="K145" s="249">
        <v>14.73</v>
      </c>
      <c r="L145" s="249">
        <v>14.11</v>
      </c>
      <c r="M145" s="249">
        <v>14.07</v>
      </c>
      <c r="N145" s="249">
        <v>14.17</v>
      </c>
      <c r="O145" s="249">
        <v>14.17</v>
      </c>
      <c r="P145" s="249">
        <v>14.52</v>
      </c>
      <c r="Q145" s="249">
        <v>14.73</v>
      </c>
      <c r="R145" s="249">
        <v>14.9</v>
      </c>
      <c r="S145" s="249">
        <v>14.48</v>
      </c>
      <c r="T145" s="249">
        <v>14.48</v>
      </c>
      <c r="U145" s="249">
        <v>15.244</v>
      </c>
      <c r="V145" s="249">
        <v>14.9</v>
      </c>
      <c r="W145" s="249">
        <v>15.305</v>
      </c>
      <c r="X145" s="249">
        <v>14.71</v>
      </c>
      <c r="Y145" s="249">
        <v>14.4</v>
      </c>
      <c r="Z145" s="243">
        <f ca="1">[1]ExtEntry!$G43</f>
        <v>14.4</v>
      </c>
      <c r="AA145" s="273"/>
      <c r="AB145" s="1112">
        <v>5.2620208057457693E-2</v>
      </c>
      <c r="AC145" s="1112">
        <v>4.770532454926138E-2</v>
      </c>
      <c r="AD145" s="1112">
        <v>4.9657928425179201E-2</v>
      </c>
      <c r="AE145" s="1112">
        <v>0.11697225850621372</v>
      </c>
      <c r="AF145" s="1112">
        <v>0.10632524944324619</v>
      </c>
      <c r="AG145" s="1112">
        <v>1.5859329791151559E-2</v>
      </c>
      <c r="AH145" s="1112">
        <v>5.4731892809405054E-2</v>
      </c>
      <c r="AI145" s="1112">
        <v>9.2540062007396062E-2</v>
      </c>
      <c r="AJ145" s="1112">
        <v>3.1258955781145938E-2</v>
      </c>
      <c r="AK145" s="1112">
        <v>4.68287084831868E-2</v>
      </c>
      <c r="AL145" s="1112">
        <v>5.1131796850235424E-2</v>
      </c>
      <c r="AM145" s="1112">
        <v>4.4098856350578947E-2</v>
      </c>
      <c r="AN145" s="1112">
        <v>0.12634713294904296</v>
      </c>
      <c r="AO145" s="1112">
        <v>0.19300236082251138</v>
      </c>
      <c r="AP145" s="1112">
        <v>0.10218807066231191</v>
      </c>
      <c r="AQ145" s="1112">
        <v>0.27035237963321185</v>
      </c>
      <c r="AR145" s="1112">
        <v>9.8218275029377966E-2</v>
      </c>
      <c r="AS145" s="1112">
        <v>1.7425683404233443E-2</v>
      </c>
      <c r="AT145" s="1112">
        <v>9.8885729815612319E-2</v>
      </c>
      <c r="AU145" s="1112">
        <v>0.10011308046387697</v>
      </c>
      <c r="AV145" s="1118">
        <f ca="1">Calc!BC43</f>
        <v>0.10011308046387697</v>
      </c>
      <c r="AW145" s="275"/>
      <c r="AX145" s="86" t="str">
        <f t="shared" ca="1" si="10"/>
        <v>SHECY</v>
      </c>
      <c r="BA145" s="249">
        <v>5549</v>
      </c>
      <c r="CP145" s="273"/>
      <c r="EH145" s="108"/>
    </row>
    <row r="146" spans="1:138" hidden="1">
      <c r="A146" s="237" t="str">
        <f t="shared" ca="1" si="9"/>
        <v>SSYS</v>
      </c>
      <c r="B146" s="246" t="str">
        <f ca="1">[1]ExtEntry!$D46</f>
        <v>USD</v>
      </c>
      <c r="C146" s="247"/>
      <c r="D146" s="818">
        <f>ROW()</f>
        <v>146</v>
      </c>
      <c r="E146" s="248"/>
      <c r="F146" s="249">
        <v>9.8800000000000008</v>
      </c>
      <c r="G146" s="249">
        <v>9.81</v>
      </c>
      <c r="H146" s="249">
        <v>9.26</v>
      </c>
      <c r="I146" s="249">
        <v>8.91</v>
      </c>
      <c r="J146" s="249">
        <v>8.4499999999999993</v>
      </c>
      <c r="K146" s="249">
        <v>8.5</v>
      </c>
      <c r="L146" s="249">
        <v>8.5299999999999994</v>
      </c>
      <c r="M146" s="249">
        <v>8.17</v>
      </c>
      <c r="N146" s="249">
        <v>8.5500000000000007</v>
      </c>
      <c r="O146" s="249">
        <v>8.5500000000000007</v>
      </c>
      <c r="P146" s="249">
        <v>8.6999999999999993</v>
      </c>
      <c r="Q146" s="249">
        <v>8.64</v>
      </c>
      <c r="R146" s="249">
        <v>8.6300000000000008</v>
      </c>
      <c r="S146" s="249">
        <v>8.74</v>
      </c>
      <c r="T146" s="249">
        <v>8.74</v>
      </c>
      <c r="U146" s="249">
        <v>8.98</v>
      </c>
      <c r="V146" s="249">
        <v>9.14</v>
      </c>
      <c r="W146" s="249">
        <v>9</v>
      </c>
      <c r="X146" s="249">
        <v>9.15</v>
      </c>
      <c r="Y146" s="249">
        <v>9.2899999999999991</v>
      </c>
      <c r="Z146" s="243">
        <f ca="1">[1]ExtEntry!$G44</f>
        <v>9.2899999999999991</v>
      </c>
      <c r="AA146" s="273"/>
      <c r="AB146" s="1112">
        <v>0.60825029900563954</v>
      </c>
      <c r="AC146" s="1112">
        <v>0.58574286513280216</v>
      </c>
      <c r="AD146" s="1112">
        <v>0.53756772213783643</v>
      </c>
      <c r="AE146" s="1112">
        <v>1.2800717915502677</v>
      </c>
      <c r="AF146" s="1112">
        <v>9.8125315840860355E-7</v>
      </c>
      <c r="AG146" s="1112">
        <v>0.19927042419481539</v>
      </c>
      <c r="AH146" s="1112">
        <v>0.41191515728605466</v>
      </c>
      <c r="AI146" s="1112">
        <v>0.65224385448186661</v>
      </c>
      <c r="AJ146" s="1112">
        <v>0.22418525200568115</v>
      </c>
      <c r="AK146" s="1112">
        <v>0.43985835476565199</v>
      </c>
      <c r="AL146" s="1112">
        <v>0.44208423643037703</v>
      </c>
      <c r="AM146" s="1112">
        <v>0.74519747963731364</v>
      </c>
      <c r="AN146" s="1112">
        <v>0.51174956171033514</v>
      </c>
      <c r="AO146" s="1112">
        <v>0.52459371435333402</v>
      </c>
      <c r="AP146" s="1112">
        <v>0.74532740005667264</v>
      </c>
      <c r="AQ146" s="1112">
        <v>0.39759957156167236</v>
      </c>
      <c r="AR146" s="1112">
        <v>0.57397220741665611</v>
      </c>
      <c r="AS146" s="1112">
        <v>0.38968922564789721</v>
      </c>
      <c r="AT146" s="1112">
        <v>0.87657869601920446</v>
      </c>
      <c r="AU146" s="1112">
        <v>1.5368385815758943</v>
      </c>
      <c r="AV146" s="1118">
        <f ca="1">Calc!BC44</f>
        <v>1.5368385815758943</v>
      </c>
      <c r="AW146" s="275"/>
      <c r="AX146" s="86" t="str">
        <f t="shared" ca="1" si="10"/>
        <v>SSYS</v>
      </c>
      <c r="BA146" s="249">
        <v>5648</v>
      </c>
      <c r="CP146" s="273"/>
      <c r="EH146" s="108"/>
    </row>
    <row r="147" spans="1:138" hidden="1">
      <c r="A147" s="237" t="str">
        <f t="shared" ca="1" si="9"/>
        <v>TSLA</v>
      </c>
      <c r="B147" s="238" t="str">
        <f ca="1">[1]ExtEntry!$D47</f>
        <v>EUR</v>
      </c>
      <c r="C147" s="239"/>
      <c r="D147" s="1063">
        <f>ROW()</f>
        <v>147</v>
      </c>
      <c r="E147" s="240"/>
      <c r="F147" s="249">
        <v>452.05</v>
      </c>
      <c r="G147" s="249">
        <v>461.97</v>
      </c>
      <c r="H147" s="249">
        <v>437.6</v>
      </c>
      <c r="I147" s="249">
        <v>386.3</v>
      </c>
      <c r="J147" s="249">
        <v>405.38</v>
      </c>
      <c r="K147" s="249">
        <v>406</v>
      </c>
      <c r="L147" s="249">
        <v>414.8</v>
      </c>
      <c r="M147" s="249">
        <v>401.99</v>
      </c>
      <c r="N147" s="249">
        <v>424.05</v>
      </c>
      <c r="O147" s="249">
        <v>423.95</v>
      </c>
      <c r="P147" s="249">
        <v>426.59</v>
      </c>
      <c r="Q147" s="249">
        <v>425.98</v>
      </c>
      <c r="R147" s="249">
        <v>430.76</v>
      </c>
      <c r="S147" s="249">
        <v>432</v>
      </c>
      <c r="T147" s="249">
        <v>432.1</v>
      </c>
      <c r="U147" s="249">
        <v>450</v>
      </c>
      <c r="V147" s="249">
        <v>453.03</v>
      </c>
      <c r="W147" s="249">
        <v>437.55</v>
      </c>
      <c r="X147" s="249">
        <v>446.065</v>
      </c>
      <c r="Y147" s="249">
        <v>448.8</v>
      </c>
      <c r="Z147" s="243">
        <f ca="1">[1]ExtEntry!$G45</f>
        <v>448.8</v>
      </c>
      <c r="AA147" s="273"/>
      <c r="AB147" s="1112">
        <v>0.96856748751132227</v>
      </c>
      <c r="AC147" s="1112">
        <v>1.0552380877212335</v>
      </c>
      <c r="AD147" s="1112">
        <v>1.0965756499001196</v>
      </c>
      <c r="AE147" s="1112">
        <v>1.2415051337010823</v>
      </c>
      <c r="AF147" s="1112">
        <v>1.1634429137137015E-3</v>
      </c>
      <c r="AG147" s="1112">
        <v>0.48129913738814045</v>
      </c>
      <c r="AH147" s="1112">
        <v>0.99147138832955228</v>
      </c>
      <c r="AI147" s="1112">
        <v>0.98885108666082022</v>
      </c>
      <c r="AJ147" s="1112">
        <v>0.49017378017107849</v>
      </c>
      <c r="AK147" s="1112">
        <v>0.70709273904634029</v>
      </c>
      <c r="AL147" s="1112">
        <v>0.40695311627030611</v>
      </c>
      <c r="AM147" s="1112">
        <v>0.45477245843382508</v>
      </c>
      <c r="AN147" s="1112">
        <v>0.76390993661533313</v>
      </c>
      <c r="AO147" s="1112">
        <v>1.4604805946150077</v>
      </c>
      <c r="AP147" s="1112">
        <v>1.0558853994125366</v>
      </c>
      <c r="AQ147" s="1112">
        <v>0.51052687552781928</v>
      </c>
      <c r="AR147" s="1112">
        <v>0.6814233565280241</v>
      </c>
      <c r="AS147" s="1112">
        <v>0.41987182739095219</v>
      </c>
      <c r="AT147" s="1112">
        <v>0.78218734218514596</v>
      </c>
      <c r="AU147" s="1112">
        <v>0.68520716946974203</v>
      </c>
      <c r="AV147" s="1118">
        <f ca="1">Calc!BC45</f>
        <v>0.68520716946974203</v>
      </c>
      <c r="AW147" s="275"/>
      <c r="AX147" s="86" t="str">
        <f t="shared" ca="1" si="10"/>
        <v>TSLA</v>
      </c>
      <c r="BA147" s="249">
        <v>5747</v>
      </c>
      <c r="CP147" s="273"/>
      <c r="EH147" s="108"/>
    </row>
    <row r="148" spans="1:138" hidden="1">
      <c r="A148" s="237" t="str">
        <f t="shared" ca="1" si="9"/>
        <v>TSM</v>
      </c>
      <c r="B148" s="246" t="str">
        <f ca="1">[1]ExtEntry!$D48</f>
        <v>USD</v>
      </c>
      <c r="C148" s="247"/>
      <c r="D148" s="818">
        <f>ROW()</f>
        <v>148</v>
      </c>
      <c r="E148" s="248"/>
      <c r="F148" s="249">
        <v>292.62</v>
      </c>
      <c r="G148" s="249">
        <v>294.10000000000002</v>
      </c>
      <c r="H148" s="249">
        <v>285.10500000000002</v>
      </c>
      <c r="I148" s="249">
        <v>275.91000000000003</v>
      </c>
      <c r="J148" s="249">
        <v>277.55</v>
      </c>
      <c r="K148" s="249">
        <v>277.11</v>
      </c>
      <c r="L148" s="249">
        <v>292.20999999999998</v>
      </c>
      <c r="M148" s="249">
        <v>272.66000000000003</v>
      </c>
      <c r="N148" s="249">
        <v>289.52</v>
      </c>
      <c r="O148" s="249">
        <v>289.10250000000002</v>
      </c>
      <c r="P148" s="249">
        <v>292.48</v>
      </c>
      <c r="Q148" s="249">
        <v>287.12</v>
      </c>
      <c r="R148" s="249">
        <v>292.03500000000003</v>
      </c>
      <c r="S148" s="249">
        <v>292.33499999999998</v>
      </c>
      <c r="T148" s="249">
        <v>292.18</v>
      </c>
      <c r="U148" s="249">
        <v>294.7</v>
      </c>
      <c r="V148" s="249">
        <v>296.05</v>
      </c>
      <c r="W148" s="249">
        <v>299.99</v>
      </c>
      <c r="X148" s="249">
        <v>305.37</v>
      </c>
      <c r="Y148" s="249">
        <v>305.32</v>
      </c>
      <c r="Z148" s="243">
        <f ca="1">[1]ExtEntry!$G46</f>
        <v>305.32</v>
      </c>
      <c r="AA148" s="273"/>
      <c r="AB148" s="1112">
        <v>0.71086516188999471</v>
      </c>
      <c r="AC148" s="1112">
        <v>0.6648420911837325</v>
      </c>
      <c r="AD148" s="1112">
        <v>0.9367792081917965</v>
      </c>
      <c r="AE148" s="1112">
        <v>0.78947522286431715</v>
      </c>
      <c r="AF148" s="1112">
        <v>2.2312176438479335E-3</v>
      </c>
      <c r="AG148" s="1112">
        <v>0.40744502227916013</v>
      </c>
      <c r="AH148" s="1112">
        <v>0.76397001003705833</v>
      </c>
      <c r="AI148" s="1112">
        <v>1.350477373134253</v>
      </c>
      <c r="AJ148" s="1112">
        <v>0.6030322989681467</v>
      </c>
      <c r="AK148" s="1112">
        <v>0.94738530944359245</v>
      </c>
      <c r="AL148" s="1112">
        <v>0.43128929295928425</v>
      </c>
      <c r="AM148" s="1112">
        <v>0.36271559848365159</v>
      </c>
      <c r="AN148" s="1112">
        <v>0.74570130490915665</v>
      </c>
      <c r="AO148" s="1112">
        <v>1.0418601124406053</v>
      </c>
      <c r="AP148" s="1112">
        <v>0.76940959621714933</v>
      </c>
      <c r="AQ148" s="1112">
        <v>0.27634134136934424</v>
      </c>
      <c r="AR148" s="1112">
        <v>0.85946084296661418</v>
      </c>
      <c r="AS148" s="1112">
        <v>0.32291284890216648</v>
      </c>
      <c r="AT148" s="1112">
        <v>1.0422893793254817</v>
      </c>
      <c r="AU148" s="1112">
        <v>1.2628860762769001</v>
      </c>
      <c r="AV148" s="1118">
        <f ca="1">Calc!BC46</f>
        <v>1.2628860762769001</v>
      </c>
      <c r="AW148" s="275"/>
      <c r="AX148" s="86" t="str">
        <f t="shared" ca="1" si="10"/>
        <v>TSM</v>
      </c>
      <c r="BA148" s="249">
        <v>5846</v>
      </c>
      <c r="CP148" s="273"/>
      <c r="EH148" s="108"/>
    </row>
    <row r="149" spans="1:138" hidden="1">
      <c r="A149" s="237" t="str">
        <f t="shared" ca="1" si="9"/>
        <v>UN0</v>
      </c>
      <c r="B149" s="238" t="e">
        <f>[1]ExtEntry!#REF!</f>
        <v>#REF!</v>
      </c>
      <c r="C149" s="239"/>
      <c r="D149" s="1063">
        <f>ROW()</f>
        <v>149</v>
      </c>
      <c r="E149" s="240"/>
      <c r="F149" s="249">
        <v>29.5</v>
      </c>
      <c r="G149" s="249">
        <v>28.9</v>
      </c>
      <c r="H149" s="249">
        <v>28.4</v>
      </c>
      <c r="I149" s="249">
        <v>28.45</v>
      </c>
      <c r="J149" s="249">
        <v>29.55</v>
      </c>
      <c r="K149" s="249">
        <v>29.55</v>
      </c>
      <c r="L149" s="249">
        <v>30.55</v>
      </c>
      <c r="M149" s="249">
        <v>30.7</v>
      </c>
      <c r="N149" s="249">
        <v>32.6</v>
      </c>
      <c r="O149" s="249">
        <v>33.450000000000003</v>
      </c>
      <c r="P149" s="249">
        <v>34.200000000000003</v>
      </c>
      <c r="Q149" s="249">
        <v>34.549999999999997</v>
      </c>
      <c r="R149" s="249">
        <v>33.65</v>
      </c>
      <c r="S149" s="249">
        <v>33.4</v>
      </c>
      <c r="T149" s="249">
        <v>33.4</v>
      </c>
      <c r="U149" s="249">
        <v>33.65</v>
      </c>
      <c r="V149" s="249">
        <v>33.950000000000003</v>
      </c>
      <c r="W149" s="249">
        <v>36.15</v>
      </c>
      <c r="X149" s="249">
        <v>38.15</v>
      </c>
      <c r="Y149" s="249">
        <v>38.75</v>
      </c>
      <c r="Z149" s="243">
        <f ca="1">[1]ExtEntry!$G47</f>
        <v>38.75</v>
      </c>
      <c r="AA149" s="273"/>
      <c r="AB149" s="1112">
        <v>8.608534322820037E-2</v>
      </c>
      <c r="AC149" s="1112">
        <v>5.0092764378478663E-2</v>
      </c>
      <c r="AD149" s="1112">
        <v>1.1342155009451797E-2</v>
      </c>
      <c r="AE149" s="1112">
        <v>1.5023474178403756E-2</v>
      </c>
      <c r="AF149" s="1112">
        <v>1.5643492163968318</v>
      </c>
      <c r="AG149" s="1112">
        <v>1.1235955056179776E-3</v>
      </c>
      <c r="AH149" s="1112">
        <v>2.6030368763557484E-3</v>
      </c>
      <c r="AI149" s="1112">
        <v>2.2004357298474945E-2</v>
      </c>
      <c r="AJ149" s="1112">
        <v>2.5915492957746478E-2</v>
      </c>
      <c r="AK149" s="1112">
        <v>1.9900497512437811E-2</v>
      </c>
      <c r="AL149" s="1112">
        <v>1.8905472636815919E-2</v>
      </c>
      <c r="AM149" s="1112">
        <v>2.3162583518930958E-2</v>
      </c>
      <c r="AN149" s="1112">
        <v>0.49109131403118039</v>
      </c>
      <c r="AO149" s="1112">
        <v>3.8136526354823432E-3</v>
      </c>
      <c r="AP149" s="1112">
        <v>3.6144578313253013E-3</v>
      </c>
      <c r="AQ149" s="1112">
        <v>1.9866071428571427E-2</v>
      </c>
      <c r="AR149" s="1112">
        <v>1.4578587699316629E-2</v>
      </c>
      <c r="AS149" s="1112">
        <v>0.27625570776255709</v>
      </c>
      <c r="AT149" s="1112">
        <v>0.25809128630705397</v>
      </c>
      <c r="AU149" s="1112">
        <v>9.2452830188679246E-3</v>
      </c>
      <c r="AV149" s="1118">
        <f ca="1">Calc!BC47</f>
        <v>9.2452830188679246E-3</v>
      </c>
      <c r="AW149" s="275"/>
      <c r="AX149" s="86" t="str">
        <f t="shared" ca="1" si="10"/>
        <v>UN0</v>
      </c>
      <c r="BA149" s="249">
        <v>5945</v>
      </c>
      <c r="CP149" s="273"/>
      <c r="EH149" s="108"/>
    </row>
    <row r="150" spans="1:138" hidden="1">
      <c r="A150" s="237" t="str">
        <f t="shared" ca="1" si="9"/>
        <v>UNIT</v>
      </c>
      <c r="B150" s="246" t="e">
        <f>[1]ExtEntry!#REF!</f>
        <v>#REF!</v>
      </c>
      <c r="C150" s="247"/>
      <c r="D150" s="818">
        <f>ROW()</f>
        <v>150</v>
      </c>
      <c r="E150" s="248"/>
      <c r="F150" s="249">
        <v>6</v>
      </c>
      <c r="G150" s="249">
        <v>6.34</v>
      </c>
      <c r="H150" s="249">
        <v>6.24</v>
      </c>
      <c r="I150" s="249">
        <v>5.9</v>
      </c>
      <c r="J150" s="249">
        <v>6.27</v>
      </c>
      <c r="K150" s="249">
        <v>6.18</v>
      </c>
      <c r="L150" s="249">
        <v>6.07</v>
      </c>
      <c r="M150" s="249">
        <v>5.85</v>
      </c>
      <c r="N150" s="249">
        <v>6.29</v>
      </c>
      <c r="O150" s="249">
        <v>6.29</v>
      </c>
      <c r="P150" s="249">
        <v>6.27</v>
      </c>
      <c r="Q150" s="249">
        <v>6.27</v>
      </c>
      <c r="R150" s="249">
        <v>6.5</v>
      </c>
      <c r="S150" s="249">
        <v>6.62</v>
      </c>
      <c r="T150" s="249">
        <v>6.62</v>
      </c>
      <c r="U150" s="249">
        <v>6.65</v>
      </c>
      <c r="V150" s="249">
        <v>6.57</v>
      </c>
      <c r="W150" s="249">
        <v>6.49</v>
      </c>
      <c r="X150" s="249">
        <v>6.48</v>
      </c>
      <c r="Y150" s="249">
        <v>6.78</v>
      </c>
      <c r="Z150" s="243">
        <f ca="1">[1]ExtEntry!$G48</f>
        <v>6.78</v>
      </c>
      <c r="AA150" s="273"/>
      <c r="AB150" s="1112">
        <v>1.7685368312762075</v>
      </c>
      <c r="AC150" s="1112">
        <v>0.82936536586440945</v>
      </c>
      <c r="AD150" s="1112">
        <v>0.91417887555869204</v>
      </c>
      <c r="AE150" s="1112">
        <v>0.898275610340179</v>
      </c>
      <c r="AF150" s="1112">
        <v>0.78077286213542829</v>
      </c>
      <c r="AG150" s="1112">
        <v>0.26303192443508255</v>
      </c>
      <c r="AH150" s="1112">
        <v>0.3119875997539564</v>
      </c>
      <c r="AI150" s="1112">
        <v>0.52483910207759565</v>
      </c>
      <c r="AJ150" s="1112">
        <v>0.40822980404917097</v>
      </c>
      <c r="AK150" s="1112">
        <v>1.1241651406986721</v>
      </c>
      <c r="AL150" s="1112">
        <v>0.32769000976185886</v>
      </c>
      <c r="AM150" s="1112">
        <v>0.16650031866200582</v>
      </c>
      <c r="AN150" s="1112">
        <v>0.98056646689912907</v>
      </c>
      <c r="AO150" s="1112">
        <v>0.36829175993972524</v>
      </c>
      <c r="AP150" s="1112">
        <v>0.65052426889199666</v>
      </c>
      <c r="AQ150" s="1112">
        <v>0.17862789449188185</v>
      </c>
      <c r="AR150" s="1112">
        <v>0.61526410659085029</v>
      </c>
      <c r="AS150" s="1112">
        <v>0.15328516497482519</v>
      </c>
      <c r="AT150" s="1112">
        <v>0.85216072690658073</v>
      </c>
      <c r="AU150" s="1112">
        <v>1.8710369154732505</v>
      </c>
      <c r="AV150" s="1118">
        <f ca="1">Calc!BC48</f>
        <v>1.8710369154732505</v>
      </c>
      <c r="AW150" s="275"/>
      <c r="AX150" s="86" t="str">
        <f t="shared" ca="1" si="10"/>
        <v>UNIT</v>
      </c>
      <c r="BA150" s="249">
        <v>6044</v>
      </c>
      <c r="CP150" s="273"/>
      <c r="EH150" s="108"/>
    </row>
    <row r="151" spans="1:138" hidden="1">
      <c r="A151" s="237" t="str">
        <f t="shared" ca="1" si="9"/>
        <v>VLVLY</v>
      </c>
      <c r="B151" s="238" t="str">
        <f ca="1">[1]ExtEntry!$D49</f>
        <v>USD</v>
      </c>
      <c r="C151" s="239"/>
      <c r="D151" s="1063">
        <f>ROW()</f>
        <v>151</v>
      </c>
      <c r="E151" s="240"/>
      <c r="F151" s="249">
        <v>27.375</v>
      </c>
      <c r="G151" s="249">
        <v>27.68</v>
      </c>
      <c r="H151" s="249">
        <v>27.04</v>
      </c>
      <c r="I151" s="249">
        <v>27.82</v>
      </c>
      <c r="J151" s="249">
        <v>26.96</v>
      </c>
      <c r="K151" s="249">
        <v>28.06</v>
      </c>
      <c r="L151" s="249">
        <v>27.9</v>
      </c>
      <c r="M151" s="249">
        <v>27.87</v>
      </c>
      <c r="N151" s="249">
        <v>29.72</v>
      </c>
      <c r="O151" s="249">
        <v>29.72</v>
      </c>
      <c r="P151" s="249">
        <v>29.86</v>
      </c>
      <c r="Q151" s="249">
        <v>29.8</v>
      </c>
      <c r="R151" s="249">
        <v>29.9</v>
      </c>
      <c r="S151" s="249">
        <v>29.61</v>
      </c>
      <c r="T151" s="249">
        <v>29.61</v>
      </c>
      <c r="U151" s="249">
        <v>30.69</v>
      </c>
      <c r="V151" s="249">
        <v>31.48</v>
      </c>
      <c r="W151" s="249">
        <v>30.87</v>
      </c>
      <c r="X151" s="249">
        <v>30.88</v>
      </c>
      <c r="Y151" s="249">
        <v>31.94</v>
      </c>
      <c r="Z151" s="243">
        <f ca="1">[1]ExtEntry!$G49</f>
        <v>31.94</v>
      </c>
      <c r="AA151" s="273"/>
      <c r="AB151" s="1112">
        <v>3.8938710602466176E-2</v>
      </c>
      <c r="AC151" s="1112">
        <v>4.5936744645277271E-2</v>
      </c>
      <c r="AD151" s="1112">
        <v>2.7336551328617856E-2</v>
      </c>
      <c r="AE151" s="1112">
        <v>3.3097397679942173E-2</v>
      </c>
      <c r="AF151" s="1112">
        <v>4.8701576500033983E-2</v>
      </c>
      <c r="AG151" s="1112">
        <v>1.0111510489342732E-2</v>
      </c>
      <c r="AH151" s="1112">
        <v>2.6568279553724476E-2</v>
      </c>
      <c r="AI151" s="1112">
        <v>4.1512727586194509E-2</v>
      </c>
      <c r="AJ151" s="1112">
        <v>1.1142414958466252E-2</v>
      </c>
      <c r="AK151" s="1112">
        <v>1.6300241127827336E-2</v>
      </c>
      <c r="AL151" s="1112">
        <v>1.1502021131195065E-2</v>
      </c>
      <c r="AM151" s="1112">
        <v>1.0691121878620292E-2</v>
      </c>
      <c r="AN151" s="1112">
        <v>1.6973484303959455E-2</v>
      </c>
      <c r="AO151" s="1112">
        <v>1.1719136890886578E-2</v>
      </c>
      <c r="AP151" s="1112">
        <v>1.6294049475627029E-2</v>
      </c>
      <c r="AQ151" s="1112">
        <v>6.8859577635014407E-3</v>
      </c>
      <c r="AR151" s="1112">
        <v>4.6789162899293094E-2</v>
      </c>
      <c r="AS151" s="1112">
        <v>5.4649286157666043E-3</v>
      </c>
      <c r="AT151" s="1112">
        <v>5.533045941790956E-2</v>
      </c>
      <c r="AU151" s="1112">
        <v>1.4284331856694336E-2</v>
      </c>
      <c r="AV151" s="1071">
        <f ca="1">Calc!BC49</f>
        <v>1.4284331856694336E-2</v>
      </c>
      <c r="AW151" s="275"/>
      <c r="AX151" s="86" t="str">
        <f t="shared" ca="1" si="10"/>
        <v>VLVLY</v>
      </c>
      <c r="BA151" s="249">
        <v>6143</v>
      </c>
      <c r="CP151" s="273"/>
      <c r="EH151" s="108"/>
    </row>
    <row r="152" spans="1:138" hidden="1">
      <c r="A152" s="237" t="str">
        <f t="shared" ca="1" si="9"/>
        <v>VONN</v>
      </c>
      <c r="B152" s="246" t="str">
        <f ca="1">[1]ExtEntry!$D50</f>
        <v>CHF</v>
      </c>
      <c r="C152" s="247"/>
      <c r="D152" s="818">
        <f>ROW()</f>
        <v>152</v>
      </c>
      <c r="E152" s="248"/>
      <c r="F152" s="249">
        <v>59.3</v>
      </c>
      <c r="G152" s="249">
        <v>59</v>
      </c>
      <c r="H152" s="249">
        <v>58.4</v>
      </c>
      <c r="I152" s="249">
        <v>60</v>
      </c>
      <c r="J152" s="249">
        <v>58.4</v>
      </c>
      <c r="K152" s="249">
        <v>58.4</v>
      </c>
      <c r="L152" s="249">
        <v>59.7</v>
      </c>
      <c r="M152" s="249">
        <v>59.2</v>
      </c>
      <c r="N152" s="249">
        <v>59.8</v>
      </c>
      <c r="O152" s="249">
        <v>60</v>
      </c>
      <c r="P152" s="249">
        <v>60.3</v>
      </c>
      <c r="Q152" s="249">
        <v>60.8</v>
      </c>
      <c r="R152" s="249">
        <v>60.7</v>
      </c>
      <c r="S152" s="249">
        <v>61</v>
      </c>
      <c r="T152" s="249">
        <v>61</v>
      </c>
      <c r="U152" s="249">
        <v>60.8</v>
      </c>
      <c r="V152" s="249">
        <v>60.6</v>
      </c>
      <c r="W152" s="249">
        <v>61.3</v>
      </c>
      <c r="X152" s="249">
        <v>61.3</v>
      </c>
      <c r="Y152" s="249">
        <v>60.9</v>
      </c>
      <c r="Z152" s="243">
        <f ca="1">[1]ExtEntry!$G50</f>
        <v>60.9</v>
      </c>
      <c r="AA152" s="273"/>
      <c r="AB152" s="1112">
        <v>0.71565656565656566</v>
      </c>
      <c r="AC152" s="1112">
        <v>0.85954785954785951</v>
      </c>
      <c r="AD152" s="1112">
        <v>0.76176321138211378</v>
      </c>
      <c r="AE152" s="1112">
        <v>0.73185011709601877</v>
      </c>
      <c r="AF152" s="1112">
        <v>1.6712383588890012</v>
      </c>
      <c r="AG152" s="1112">
        <v>1.2246027397260273</v>
      </c>
      <c r="AH152" s="1112">
        <v>1.1453643322937341</v>
      </c>
      <c r="AI152" s="1112">
        <v>0.80609357997823716</v>
      </c>
      <c r="AJ152" s="1112">
        <v>0.81096707285455016</v>
      </c>
      <c r="AK152" s="1112">
        <v>0.7482189628077528</v>
      </c>
      <c r="AL152" s="1112">
        <v>0.86793435790570461</v>
      </c>
      <c r="AM152" s="1112">
        <v>1.2919301796104226</v>
      </c>
      <c r="AN152" s="1112">
        <v>0.75137869972173033</v>
      </c>
      <c r="AO152" s="1112">
        <v>0.35441294054382294</v>
      </c>
      <c r="AP152" s="1112">
        <v>0.8162962962962963</v>
      </c>
      <c r="AQ152" s="1112">
        <v>0.99720543806646522</v>
      </c>
      <c r="AR152" s="1112">
        <v>1.0956172199170124</v>
      </c>
      <c r="AS152" s="1112">
        <v>1.2349018621036738</v>
      </c>
      <c r="AT152" s="1112">
        <v>1.016429147620328</v>
      </c>
      <c r="AU152" s="1112">
        <v>1.5685418415897006</v>
      </c>
      <c r="AV152" s="1071">
        <f ca="1">Calc!BC50</f>
        <v>1.5685418415897006</v>
      </c>
      <c r="AW152" s="275"/>
      <c r="AX152" s="86" t="str">
        <f t="shared" ca="1" si="10"/>
        <v>VONN</v>
      </c>
      <c r="BA152" s="249">
        <v>6242</v>
      </c>
      <c r="CP152" s="273"/>
      <c r="EH152" s="108"/>
    </row>
    <row r="153" spans="1:138" hidden="1">
      <c r="A153" s="237" t="str">
        <f t="shared" ca="1" si="9"/>
        <v>VTRS</v>
      </c>
      <c r="B153" s="238" t="str">
        <f ca="1">[1]ExtEntry!$D51</f>
        <v>USD</v>
      </c>
      <c r="C153" s="239"/>
      <c r="D153" s="1063">
        <f>ROW()</f>
        <v>153</v>
      </c>
      <c r="E153" s="240"/>
      <c r="F153" s="249">
        <v>10.45</v>
      </c>
      <c r="G153" s="249">
        <v>10.75</v>
      </c>
      <c r="H153" s="249">
        <v>10.07</v>
      </c>
      <c r="I153" s="249">
        <v>10.83</v>
      </c>
      <c r="J153" s="249">
        <v>10.64</v>
      </c>
      <c r="K153" s="249">
        <v>10.68</v>
      </c>
      <c r="L153" s="249">
        <v>10.48</v>
      </c>
      <c r="M153" s="249">
        <v>10.23</v>
      </c>
      <c r="N153" s="249">
        <v>10.57</v>
      </c>
      <c r="O153" s="249">
        <v>10.595000000000001</v>
      </c>
      <c r="P153" s="249">
        <v>10.65</v>
      </c>
      <c r="Q153" s="249">
        <v>10.65</v>
      </c>
      <c r="R153" s="249">
        <v>10.73</v>
      </c>
      <c r="S153" s="249">
        <v>10.75</v>
      </c>
      <c r="T153" s="249">
        <v>10.75</v>
      </c>
      <c r="U153" s="249">
        <v>10.86</v>
      </c>
      <c r="V153" s="249">
        <v>10.8</v>
      </c>
      <c r="W153" s="249">
        <v>11.11</v>
      </c>
      <c r="X153" s="249">
        <v>11.2</v>
      </c>
      <c r="Y153" s="249">
        <v>11.6</v>
      </c>
      <c r="Z153" s="243">
        <f ca="1">[1]ExtEntry!$G51</f>
        <v>11.6</v>
      </c>
      <c r="AA153" s="273"/>
      <c r="AB153" s="1112">
        <v>2.3721269171062245</v>
      </c>
      <c r="AC153" s="1112">
        <v>1.8114957337165822</v>
      </c>
      <c r="AD153" s="1112">
        <v>1.133621174719351</v>
      </c>
      <c r="AE153" s="1112">
        <v>0.83134752986065796</v>
      </c>
      <c r="AF153" s="1112">
        <v>0.87498047687430502</v>
      </c>
      <c r="AG153" s="1112">
        <v>0.24387796432297706</v>
      </c>
      <c r="AH153" s="1112">
        <v>0.35894730787525042</v>
      </c>
      <c r="AI153" s="1112">
        <v>0.53096360900037276</v>
      </c>
      <c r="AJ153" s="1112">
        <v>0.31760542502129702</v>
      </c>
      <c r="AK153" s="1112">
        <v>0.70334045825754055</v>
      </c>
      <c r="AL153" s="1112">
        <v>0.29222170509527429</v>
      </c>
      <c r="AM153" s="1112">
        <v>0.28471434532450207</v>
      </c>
      <c r="AN153" s="1112">
        <v>0.53544503664101306</v>
      </c>
      <c r="AO153" s="1112">
        <v>0.36210572906909838</v>
      </c>
      <c r="AP153" s="1112">
        <v>0.59890128464277892</v>
      </c>
      <c r="AQ153" s="1112">
        <v>0.17332022006244552</v>
      </c>
      <c r="AR153" s="1112">
        <v>0.64088586202194253</v>
      </c>
      <c r="AS153" s="1112">
        <v>0.50985805685233998</v>
      </c>
      <c r="AT153" s="1112">
        <v>1.0854417056751762</v>
      </c>
      <c r="AU153" s="1112">
        <v>0.70274789932397963</v>
      </c>
      <c r="AV153" s="1071">
        <f ca="1">Calc!BC51</f>
        <v>0.70274789932397963</v>
      </c>
      <c r="AW153" s="275"/>
      <c r="AX153" s="86" t="str">
        <f t="shared" ca="1" si="10"/>
        <v>VTRS</v>
      </c>
      <c r="BA153" s="249">
        <v>6341</v>
      </c>
      <c r="CP153" s="273"/>
      <c r="EH153" s="108"/>
    </row>
    <row r="154" spans="1:138" hidden="1">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14.986033366586197</v>
      </c>
      <c r="AO154" s="1112">
        <v>62.601206915169634</v>
      </c>
      <c r="AP154" s="1112">
        <v>14.986033366586197</v>
      </c>
      <c r="AQ154" s="1112">
        <v>14.986033366586197</v>
      </c>
      <c r="AR154" s="1112">
        <v>14.986033366586197</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3">
        <f>ROW()</f>
        <v>155</v>
      </c>
      <c r="E155" s="240"/>
      <c r="F155" s="249">
        <v>114.09</v>
      </c>
      <c r="G155" s="249">
        <v>113.6</v>
      </c>
      <c r="H155" s="249">
        <v>115.17</v>
      </c>
      <c r="I155" s="249">
        <v>118.45</v>
      </c>
      <c r="J155" s="249">
        <v>117.26</v>
      </c>
      <c r="K155" s="249">
        <v>116.93</v>
      </c>
      <c r="L155" s="249">
        <v>118</v>
      </c>
      <c r="M155" s="249">
        <v>117.04</v>
      </c>
      <c r="N155" s="249">
        <v>114.66</v>
      </c>
      <c r="O155" s="249">
        <v>114.41</v>
      </c>
      <c r="P155" s="249">
        <v>114.95</v>
      </c>
      <c r="Q155" s="249">
        <v>116.31</v>
      </c>
      <c r="R155" s="249">
        <v>116.44</v>
      </c>
      <c r="S155" s="249">
        <v>115.95</v>
      </c>
      <c r="T155" s="249">
        <v>115.94499999999999</v>
      </c>
      <c r="U155" s="249">
        <v>117.63</v>
      </c>
      <c r="V155" s="249">
        <v>116.75</v>
      </c>
      <c r="W155" s="249">
        <v>116.92</v>
      </c>
      <c r="X155" s="249">
        <v>118.72499999999999</v>
      </c>
      <c r="Y155" s="249">
        <v>119.25</v>
      </c>
      <c r="Z155" s="243">
        <f ca="1">[1]ExtEntry!$G53</f>
        <v>119.25</v>
      </c>
      <c r="AA155" s="273"/>
      <c r="AB155" s="1112">
        <v>0.97546767920130895</v>
      </c>
      <c r="AC155" s="1112">
        <v>0.64944720493180497</v>
      </c>
      <c r="AD155" s="1112">
        <v>0.81372672061593609</v>
      </c>
      <c r="AE155" s="1112">
        <v>1.285187847355838</v>
      </c>
      <c r="AF155" s="1112">
        <v>1.7673554488411832E-5</v>
      </c>
      <c r="AG155" s="1112">
        <v>0.38161593020093482</v>
      </c>
      <c r="AH155" s="1112">
        <v>0.49918611725465778</v>
      </c>
      <c r="AI155" s="1112">
        <v>0.61467519443662189</v>
      </c>
      <c r="AJ155" s="1112">
        <v>0.34632604630635089</v>
      </c>
      <c r="AK155" s="1112">
        <v>0.79179846207316606</v>
      </c>
      <c r="AL155" s="1112">
        <v>0.49373240672880858</v>
      </c>
      <c r="AM155" s="1112">
        <v>0.37523598372509215</v>
      </c>
      <c r="AN155" s="1112">
        <v>0.79930938977242172</v>
      </c>
      <c r="AO155" s="1112">
        <v>1.1647539336499868</v>
      </c>
      <c r="AP155" s="1112">
        <v>1.0414835494911856</v>
      </c>
      <c r="AQ155" s="1112">
        <v>0.33084379606843739</v>
      </c>
      <c r="AR155" s="1112">
        <v>0.83764041018793811</v>
      </c>
      <c r="AS155" s="1112">
        <v>0.89732408490884163</v>
      </c>
      <c r="AT155" s="1112">
        <v>1.318421973763817</v>
      </c>
      <c r="AU155" s="1112">
        <v>0.89778480211282241</v>
      </c>
      <c r="AV155" s="1071">
        <f ca="1">Calc!BC53</f>
        <v>0.89778480211282241</v>
      </c>
      <c r="AW155" s="275"/>
      <c r="AX155" s="86" t="str">
        <f t="shared" ca="1" si="10"/>
        <v>XOM</v>
      </c>
      <c r="BA155" s="249">
        <v>6539</v>
      </c>
      <c r="CP155" s="273"/>
      <c r="EH155" s="108"/>
    </row>
    <row r="156" spans="1:138" hidden="1">
      <c r="A156" s="237" t="str">
        <f t="shared" ca="1" si="9"/>
        <v>XPER</v>
      </c>
      <c r="B156" s="246" t="str">
        <f ca="1">[1]ExtEntry!$D54</f>
        <v>USD</v>
      </c>
      <c r="C156" s="247"/>
      <c r="D156" s="818">
        <f>ROW()</f>
        <v>156</v>
      </c>
      <c r="E156" s="248"/>
      <c r="F156" s="249">
        <v>6.4</v>
      </c>
      <c r="G156" s="249">
        <v>7.02</v>
      </c>
      <c r="H156" s="249">
        <v>6.6749999999999998</v>
      </c>
      <c r="I156" s="249">
        <v>6.21</v>
      </c>
      <c r="J156" s="249">
        <v>5.93</v>
      </c>
      <c r="K156" s="249">
        <v>5.82</v>
      </c>
      <c r="L156" s="249">
        <v>5.7050000000000001</v>
      </c>
      <c r="M156" s="249">
        <v>5.45</v>
      </c>
      <c r="N156" s="249">
        <v>5.71</v>
      </c>
      <c r="O156" s="249">
        <v>5.71</v>
      </c>
      <c r="P156" s="249">
        <v>5.75</v>
      </c>
      <c r="Q156" s="249">
        <v>5.68</v>
      </c>
      <c r="R156" s="249">
        <v>5.7750000000000004</v>
      </c>
      <c r="S156" s="249">
        <v>5.84</v>
      </c>
      <c r="T156" s="249">
        <v>5.84</v>
      </c>
      <c r="U156" s="249">
        <v>6.06</v>
      </c>
      <c r="V156" s="249">
        <v>5.83</v>
      </c>
      <c r="W156" s="249">
        <v>6.02</v>
      </c>
      <c r="X156" s="249">
        <v>6.15</v>
      </c>
      <c r="Y156" s="249">
        <v>6.2549999999999999</v>
      </c>
      <c r="Z156" s="243">
        <f ca="1">[1]ExtEntry!$G54</f>
        <v>6.2549999999999999</v>
      </c>
      <c r="AA156" s="273"/>
      <c r="AB156" s="1112">
        <v>1.555800804217143</v>
      </c>
      <c r="AC156" s="1112">
        <v>1.6525971596294879</v>
      </c>
      <c r="AD156" s="1112">
        <v>0.78591379491869373</v>
      </c>
      <c r="AE156" s="1112">
        <v>1.1060872052413513</v>
      </c>
      <c r="AF156" s="1112">
        <v>1.0295746529912848</v>
      </c>
      <c r="AG156" s="1112">
        <v>0.4082525686653613</v>
      </c>
      <c r="AH156" s="1112">
        <v>0.53198578007399677</v>
      </c>
      <c r="AI156" s="1112">
        <v>0.47967282134826761</v>
      </c>
      <c r="AJ156" s="1112">
        <v>0.29136290718100127</v>
      </c>
      <c r="AK156" s="1112">
        <v>0.76194895863660428</v>
      </c>
      <c r="AL156" s="1112">
        <v>0.34886121052301122</v>
      </c>
      <c r="AM156" s="1112">
        <v>0.62325692082175943</v>
      </c>
      <c r="AN156" s="1112">
        <v>0.60064553934235676</v>
      </c>
      <c r="AO156" s="1112">
        <v>0.21302877132923209</v>
      </c>
      <c r="AP156" s="1112">
        <v>0.72466271119616121</v>
      </c>
      <c r="AQ156" s="1112">
        <v>0.21852798048833197</v>
      </c>
      <c r="AR156" s="1112">
        <v>1.0009940222232183</v>
      </c>
      <c r="AS156" s="1112">
        <v>0.18911121176910806</v>
      </c>
      <c r="AT156" s="1112">
        <v>0.99053634637566845</v>
      </c>
      <c r="AU156" s="1112">
        <v>0.65766770373662653</v>
      </c>
      <c r="AV156" s="1071">
        <f ca="1">Calc!BC54</f>
        <v>0.65766770373662653</v>
      </c>
      <c r="AW156" s="275"/>
      <c r="AX156" s="86" t="str">
        <f t="shared" ca="1" si="10"/>
        <v>XPER</v>
      </c>
      <c r="BA156" s="249">
        <v>6638</v>
      </c>
      <c r="CP156" s="273"/>
      <c r="EH156" s="108"/>
    </row>
    <row r="157" spans="1:138" hidden="1">
      <c r="A157" s="237" t="str">
        <f t="shared" ca="1" si="9"/>
        <v>MVEALDNE</v>
      </c>
      <c r="B157" s="238" t="str">
        <f ca="1">[1]ExtEntry!$D55</f>
        <v>EUR</v>
      </c>
      <c r="C157" s="239"/>
      <c r="D157" s="1063">
        <f>ROW()</f>
        <v>157</v>
      </c>
      <c r="E157" s="240"/>
      <c r="F157" s="249">
        <v>0.78800000000000003</v>
      </c>
      <c r="G157" s="249">
        <v>0.78</v>
      </c>
      <c r="H157" s="249">
        <v>0.78</v>
      </c>
      <c r="I157" s="249">
        <v>0.72</v>
      </c>
      <c r="J157" s="249">
        <v>0.68200000000000005</v>
      </c>
      <c r="K157" s="249">
        <v>0.68200000000000005</v>
      </c>
      <c r="L157" s="249">
        <v>0.69</v>
      </c>
      <c r="M157" s="249">
        <v>0.66800000000000004</v>
      </c>
      <c r="N157" s="249">
        <v>0.66</v>
      </c>
      <c r="O157" s="249">
        <v>0.62</v>
      </c>
      <c r="P157" s="249">
        <v>0.63200000000000001</v>
      </c>
      <c r="Q157" s="249">
        <v>0.62</v>
      </c>
      <c r="R157" s="249">
        <v>0.61799999999999999</v>
      </c>
      <c r="S157" s="249">
        <v>0.62</v>
      </c>
      <c r="T157" s="249">
        <v>0.62</v>
      </c>
      <c r="U157" s="249">
        <v>0.63</v>
      </c>
      <c r="V157" s="249">
        <v>0.622</v>
      </c>
      <c r="W157" s="249">
        <v>0.6</v>
      </c>
      <c r="X157" s="249">
        <v>0.59199999999999997</v>
      </c>
      <c r="Y157" s="249">
        <v>0.58599999999999997</v>
      </c>
      <c r="Z157" s="243">
        <f ca="1">[1]ExtEntry!$G55</f>
        <v>0.58599999999999997</v>
      </c>
      <c r="AA157" s="273"/>
      <c r="AB157" s="1112">
        <v>0.40250737463126846</v>
      </c>
      <c r="AC157" s="1112">
        <v>0.29159292035398232</v>
      </c>
      <c r="AD157" s="1112">
        <v>0.32673879443585779</v>
      </c>
      <c r="AE157" s="1112">
        <v>2.0120065789473682</v>
      </c>
      <c r="AF157" s="1112">
        <v>2.0191582934982475</v>
      </c>
      <c r="AG157" s="1112">
        <v>0.55366568914956016</v>
      </c>
      <c r="AH157" s="1112">
        <v>0.78386023294509155</v>
      </c>
      <c r="AI157" s="1112">
        <v>4.6677621283255082</v>
      </c>
      <c r="AJ157" s="1112">
        <v>3.5876629889669007</v>
      </c>
      <c r="AK157" s="1112">
        <v>1.2231031543052004</v>
      </c>
      <c r="AL157" s="1112">
        <v>0.77732310315430519</v>
      </c>
      <c r="AM157" s="1112">
        <v>0.53361415332771689</v>
      </c>
      <c r="AN157" s="1112">
        <v>3.0075821398483572E-2</v>
      </c>
      <c r="AO157" s="1112">
        <v>0.14445980641433318</v>
      </c>
      <c r="AP157" s="1112">
        <v>0.15145395799676897</v>
      </c>
      <c r="AQ157" s="1112">
        <v>0.10700896495517523</v>
      </c>
      <c r="AR157" s="1112">
        <v>0.25689948892674619</v>
      </c>
      <c r="AS157" s="1112">
        <v>0.53852097130242826</v>
      </c>
      <c r="AT157" s="1112">
        <v>2.4079089924160346</v>
      </c>
      <c r="AU157" s="1112">
        <v>0.95520716685330342</v>
      </c>
      <c r="AV157" s="1071">
        <f ca="1">Calc!BC55</f>
        <v>0.95520716685330342</v>
      </c>
      <c r="AW157" s="275"/>
      <c r="AX157" s="86" t="str">
        <f t="shared" ca="1" si="10"/>
        <v>MVEALDNE</v>
      </c>
      <c r="BA157" s="249">
        <v>6737</v>
      </c>
      <c r="CP157" s="273"/>
      <c r="EH157" s="108"/>
    </row>
    <row r="158" spans="1:138" hidden="1">
      <c r="A158" s="237" t="str">
        <f t="shared" ca="1" si="9"/>
        <v>MVEDDD</v>
      </c>
      <c r="B158" s="246" t="str">
        <f ca="1">[1]ExtEntry!$D56</f>
        <v>USD</v>
      </c>
      <c r="C158" s="247"/>
      <c r="D158" s="818">
        <f>ROW()</f>
        <v>158</v>
      </c>
      <c r="E158" s="248"/>
      <c r="F158" s="249">
        <v>2.5</v>
      </c>
      <c r="G158" s="249">
        <v>2.6</v>
      </c>
      <c r="H158" s="249">
        <v>2.2200000000000002</v>
      </c>
      <c r="I158" s="249">
        <v>2.085</v>
      </c>
      <c r="J158" s="249">
        <v>2.0499999999999998</v>
      </c>
      <c r="K158" s="249">
        <v>2.1</v>
      </c>
      <c r="L158" s="249">
        <v>2.0299999999999998</v>
      </c>
      <c r="M158" s="249">
        <v>1.87</v>
      </c>
      <c r="N158" s="249">
        <v>2</v>
      </c>
      <c r="O158" s="249">
        <v>2.02</v>
      </c>
      <c r="P158" s="249">
        <v>2.09</v>
      </c>
      <c r="Q158" s="249">
        <v>2.02</v>
      </c>
      <c r="R158" s="249">
        <v>1.9850000000000001</v>
      </c>
      <c r="S158" s="249">
        <v>2.0499999999999998</v>
      </c>
      <c r="T158" s="249">
        <v>2.0499999999999998</v>
      </c>
      <c r="U158" s="249">
        <v>2.1800000000000002</v>
      </c>
      <c r="V158" s="249">
        <v>2.23</v>
      </c>
      <c r="W158" s="249">
        <v>1.78</v>
      </c>
      <c r="X158" s="249">
        <v>1.81</v>
      </c>
      <c r="Y158" s="249">
        <v>1.79</v>
      </c>
      <c r="Z158" s="243">
        <f ca="1">[1]ExtEntry!$G56</f>
        <v>1.79</v>
      </c>
      <c r="AA158" s="273"/>
      <c r="AB158" s="1112">
        <v>1.2252003181089997</v>
      </c>
      <c r="AC158" s="1112">
        <v>0.8139190547095726</v>
      </c>
      <c r="AD158" s="1112">
        <v>0.54788075577674089</v>
      </c>
      <c r="AE158" s="1112">
        <v>0.41848479514912329</v>
      </c>
      <c r="AF158" s="1112">
        <v>2.6589571091605594E-6</v>
      </c>
      <c r="AG158" s="1112">
        <v>0.20013259900261549</v>
      </c>
      <c r="AH158" s="1112">
        <v>0.60223773092482691</v>
      </c>
      <c r="AI158" s="1112">
        <v>1.1781840228772786</v>
      </c>
      <c r="AJ158" s="1112">
        <v>0.22748029768634928</v>
      </c>
      <c r="AK158" s="1112">
        <v>0.43787906913951097</v>
      </c>
      <c r="AL158" s="1112">
        <v>0.26308962086452237</v>
      </c>
      <c r="AM158" s="1112">
        <v>0.21596900337137373</v>
      </c>
      <c r="AN158" s="1112">
        <v>0.35917485722379316</v>
      </c>
      <c r="AO158" s="1112">
        <v>0.42137914653428438</v>
      </c>
      <c r="AP158" s="1112">
        <v>0.55854140393622309</v>
      </c>
      <c r="AQ158" s="1112">
        <v>0.24165393846825223</v>
      </c>
      <c r="AR158" s="1112">
        <v>0.50362175307758272</v>
      </c>
      <c r="AS158" s="1112">
        <v>3.9188617124346234</v>
      </c>
      <c r="AT158" s="1112">
        <v>1.8426885952927288</v>
      </c>
      <c r="AU158" s="1112">
        <v>1.5342978323128995</v>
      </c>
      <c r="AV158" s="1071">
        <f ca="1">Calc!BC56</f>
        <v>1.5342978323128995</v>
      </c>
      <c r="AW158" s="275"/>
      <c r="AX158" s="86" t="str">
        <f t="shared" ca="1" si="10"/>
        <v>MVEDDD</v>
      </c>
      <c r="BA158" s="249">
        <v>6836</v>
      </c>
      <c r="CP158" s="273"/>
      <c r="EH158" s="108"/>
    </row>
    <row r="159" spans="1:138" hidden="1">
      <c r="A159" s="237" t="str">
        <f t="shared" ca="1" si="9"/>
        <v>MVEDSY</v>
      </c>
      <c r="B159" s="238" t="str">
        <f ca="1">[1]ExtEntry!$D57</f>
        <v>EUR</v>
      </c>
      <c r="C159" s="239"/>
      <c r="D159" s="1063">
        <f>ROW()</f>
        <v>159</v>
      </c>
      <c r="E159" s="240"/>
      <c r="F159" s="249">
        <v>23.86</v>
      </c>
      <c r="G159" s="249">
        <v>23.83</v>
      </c>
      <c r="H159" s="249">
        <v>23.34</v>
      </c>
      <c r="I159" s="249">
        <v>24.01</v>
      </c>
      <c r="J159" s="249">
        <v>23.2</v>
      </c>
      <c r="K159" s="249">
        <v>23.2</v>
      </c>
      <c r="L159" s="249">
        <v>23.41</v>
      </c>
      <c r="M159" s="249">
        <v>23</v>
      </c>
      <c r="N159" s="249">
        <v>24.12</v>
      </c>
      <c r="O159" s="249">
        <v>24.08</v>
      </c>
      <c r="P159" s="249">
        <v>24.16</v>
      </c>
      <c r="Q159" s="249">
        <v>24.04</v>
      </c>
      <c r="R159" s="249">
        <v>23.8</v>
      </c>
      <c r="S159" s="249">
        <v>23.4</v>
      </c>
      <c r="T159" s="249">
        <v>23.4</v>
      </c>
      <c r="U159" s="249">
        <v>23.4</v>
      </c>
      <c r="V159" s="249">
        <v>23.81</v>
      </c>
      <c r="W159" s="249">
        <v>23.41</v>
      </c>
      <c r="X159" s="249">
        <v>23.28</v>
      </c>
      <c r="Y159" s="249">
        <v>22.9</v>
      </c>
      <c r="Z159" s="243">
        <f ca="1">[1]ExtEntry!$G57</f>
        <v>22.9</v>
      </c>
      <c r="AA159" s="273"/>
      <c r="AB159" s="1112">
        <v>0.51993470790378005</v>
      </c>
      <c r="AC159" s="1112">
        <v>0.7400236731576938</v>
      </c>
      <c r="AD159" s="1112">
        <v>0.97018179551316519</v>
      </c>
      <c r="AE159" s="1112">
        <v>1.2360891553533109</v>
      </c>
      <c r="AF159" s="1112">
        <v>0.42472573240049966</v>
      </c>
      <c r="AG159" s="1112">
        <v>1.4375302511891848</v>
      </c>
      <c r="AH159" s="1112">
        <v>1.2142386954781912</v>
      </c>
      <c r="AI159" s="1112">
        <v>1.7670925539063536</v>
      </c>
      <c r="AJ159" s="1112">
        <v>1.0414933872078009</v>
      </c>
      <c r="AK159" s="1112">
        <v>0.47194177508086793</v>
      </c>
      <c r="AL159" s="1112">
        <v>0.52123737791104918</v>
      </c>
      <c r="AM159" s="1112">
        <v>0.90742459008156495</v>
      </c>
      <c r="AN159" s="1112">
        <v>1.1703246687993032</v>
      </c>
      <c r="AO159" s="1112">
        <v>0.38957432551803883</v>
      </c>
      <c r="AP159" s="1112">
        <v>0.91897776994082647</v>
      </c>
      <c r="AQ159" s="1112">
        <v>0.98242062371404371</v>
      </c>
      <c r="AR159" s="1112">
        <v>1.0774896517638337</v>
      </c>
      <c r="AS159" s="1112">
        <v>0.75997116791649122</v>
      </c>
      <c r="AT159" s="1112">
        <v>0.93128371089536133</v>
      </c>
      <c r="AU159" s="1112">
        <v>1.1231597996094751</v>
      </c>
      <c r="AV159" s="1071">
        <f ca="1">Calc!BC57</f>
        <v>1.1231597996094751</v>
      </c>
      <c r="AW159" s="275"/>
      <c r="AX159" s="86" t="str">
        <f t="shared" ca="1" si="10"/>
        <v>MVEDSY</v>
      </c>
      <c r="BA159" s="249">
        <v>6935</v>
      </c>
      <c r="CP159" s="273"/>
      <c r="EH159" s="108"/>
    </row>
    <row r="160" spans="1:138" hidden="1">
      <c r="A160" s="237" t="str">
        <f t="shared" ca="1" si="9"/>
        <v>MVEEOAN</v>
      </c>
      <c r="B160" s="246" t="str">
        <f ca="1">[1]ExtEntry!$D58</f>
        <v>EUR</v>
      </c>
      <c r="C160" s="247"/>
      <c r="D160" s="818">
        <f>ROW()</f>
        <v>160</v>
      </c>
      <c r="E160" s="248"/>
      <c r="F160" s="249">
        <v>15.824999999999999</v>
      </c>
      <c r="G160" s="249">
        <v>16.004999999999999</v>
      </c>
      <c r="H160" s="249">
        <v>16.105</v>
      </c>
      <c r="I160" s="249">
        <v>15.225</v>
      </c>
      <c r="J160" s="249">
        <v>15.315</v>
      </c>
      <c r="K160" s="249">
        <v>15.315</v>
      </c>
      <c r="L160" s="249">
        <v>15.345000000000001</v>
      </c>
      <c r="M160" s="249">
        <v>15.365</v>
      </c>
      <c r="N160" s="249">
        <v>15.365</v>
      </c>
      <c r="O160" s="249">
        <v>15.46</v>
      </c>
      <c r="P160" s="249">
        <v>15.275</v>
      </c>
      <c r="Q160" s="249">
        <v>15.335000000000001</v>
      </c>
      <c r="R160" s="249">
        <v>15.19</v>
      </c>
      <c r="S160" s="249">
        <v>15.44</v>
      </c>
      <c r="T160" s="249">
        <v>15.44</v>
      </c>
      <c r="U160" s="249">
        <v>15.8</v>
      </c>
      <c r="V160" s="249">
        <v>15.565</v>
      </c>
      <c r="W160" s="249">
        <v>15.484999999999999</v>
      </c>
      <c r="X160" s="249">
        <v>15.555</v>
      </c>
      <c r="Y160" s="249">
        <v>15.46</v>
      </c>
      <c r="Z160" s="243">
        <f ca="1">[1]ExtEntry!$G58</f>
        <v>15.46</v>
      </c>
      <c r="AA160" s="273"/>
      <c r="AB160" s="1112">
        <v>1.4626982707625427E-3</v>
      </c>
      <c r="AC160" s="1112">
        <v>1.3417069156255903E-3</v>
      </c>
      <c r="AD160" s="1112">
        <v>1.3773604663339033E-3</v>
      </c>
      <c r="AE160" s="1112">
        <v>4.2504365405498928E-3</v>
      </c>
      <c r="AF160" s="1112">
        <v>4.4907760902519392E-4</v>
      </c>
      <c r="AG160" s="1112">
        <v>3.4286087467618696E-4</v>
      </c>
      <c r="AH160" s="1112">
        <v>1.6840130332527601E-2</v>
      </c>
      <c r="AI160" s="1112">
        <v>5.1059888618476181E-3</v>
      </c>
      <c r="AJ160" s="1112">
        <v>1.3752160234386606E-3</v>
      </c>
      <c r="AK160" s="1112">
        <v>2.6971350856452056E-3</v>
      </c>
      <c r="AL160" s="1112">
        <v>6.1022764646796865E-4</v>
      </c>
      <c r="AM160" s="1112">
        <v>1.0961321012204156E-3</v>
      </c>
      <c r="AN160" s="1112">
        <v>1.8481693765352674E-3</v>
      </c>
      <c r="AO160" s="1112">
        <v>1.4096848131515344E-3</v>
      </c>
      <c r="AP160" s="1112">
        <v>1.4414684506511028E-3</v>
      </c>
      <c r="AQ160" s="1112">
        <v>3.6707673436992675E-3</v>
      </c>
      <c r="AR160" s="1112">
        <v>1.1618039477298591E-3</v>
      </c>
      <c r="AS160" s="1112">
        <v>5.6589092452429793E-4</v>
      </c>
      <c r="AT160" s="1112">
        <v>2.3529188450441461E-3</v>
      </c>
      <c r="AU160" s="1112">
        <v>8.077429734486519E-3</v>
      </c>
      <c r="AV160" s="1071">
        <f ca="1">Calc!BC58</f>
        <v>8.077429734486519E-3</v>
      </c>
      <c r="AW160" s="275"/>
      <c r="AX160" s="86" t="str">
        <f t="shared" ca="1" si="10"/>
        <v>MVEEOAN</v>
      </c>
      <c r="BA160" s="249">
        <v>7034</v>
      </c>
      <c r="CP160" s="273"/>
      <c r="EH160" s="108"/>
    </row>
    <row r="161" spans="1:138" hidden="1">
      <c r="A161" s="237" t="str">
        <f t="shared" ca="1" si="9"/>
        <v>MVEENI</v>
      </c>
      <c r="B161" s="238" t="str">
        <f ca="1">[1]ExtEntry!$D59</f>
        <v>EUR</v>
      </c>
      <c r="C161" s="239"/>
      <c r="D161" s="1063">
        <f>ROW()</f>
        <v>161</v>
      </c>
      <c r="E161" s="240"/>
      <c r="F161" s="249">
        <v>15.848000000000001</v>
      </c>
      <c r="G161" s="249">
        <v>15.901999999999999</v>
      </c>
      <c r="H161" s="249">
        <v>16.010000000000002</v>
      </c>
      <c r="I161" s="249">
        <v>16.457999999999998</v>
      </c>
      <c r="J161" s="249">
        <v>16.38</v>
      </c>
      <c r="K161" s="249">
        <v>16.38</v>
      </c>
      <c r="L161" s="249">
        <v>16.324000000000002</v>
      </c>
      <c r="M161" s="249">
        <v>16.096</v>
      </c>
      <c r="N161" s="249">
        <v>15.95</v>
      </c>
      <c r="O161" s="249">
        <v>15.988</v>
      </c>
      <c r="P161" s="249">
        <v>15.93</v>
      </c>
      <c r="Q161" s="249">
        <v>16.042000000000002</v>
      </c>
      <c r="R161" s="249">
        <v>16.178000000000001</v>
      </c>
      <c r="S161" s="249">
        <v>16.167999999999999</v>
      </c>
      <c r="T161" s="249">
        <v>16.167999999999999</v>
      </c>
      <c r="U161" s="249">
        <v>16.420000000000002</v>
      </c>
      <c r="V161" s="249">
        <v>16</v>
      </c>
      <c r="W161" s="249">
        <v>16.018000000000001</v>
      </c>
      <c r="X161" s="249">
        <v>16.12</v>
      </c>
      <c r="Y161" s="249">
        <v>16</v>
      </c>
      <c r="Z161" s="243">
        <f ca="1">[1]ExtEntry!$G59</f>
        <v>16</v>
      </c>
      <c r="AA161" s="273"/>
      <c r="AB161" s="1112">
        <v>0.56816166587431072</v>
      </c>
      <c r="AC161" s="1112">
        <v>0.5806903730260059</v>
      </c>
      <c r="AD161" s="1112">
        <v>0.59620640604938813</v>
      </c>
      <c r="AE161" s="1112">
        <v>0.84320123827020799</v>
      </c>
      <c r="AF161" s="1112">
        <v>0.62246323860563713</v>
      </c>
      <c r="AG161" s="1112">
        <v>0.92243783340360397</v>
      </c>
      <c r="AH161" s="1112">
        <v>0.82987560394088211</v>
      </c>
      <c r="AI161" s="1112">
        <v>1.4309380843428068</v>
      </c>
      <c r="AJ161" s="1112">
        <v>0.88516477696405138</v>
      </c>
      <c r="AK161" s="1112">
        <v>0.55103470909096919</v>
      </c>
      <c r="AL161" s="1112">
        <v>0.81564832996157632</v>
      </c>
      <c r="AM161" s="1112">
        <v>0.86380198414654363</v>
      </c>
      <c r="AN161" s="1112">
        <v>0.83334782160604748</v>
      </c>
      <c r="AO161" s="1112">
        <v>0.57464168534064819</v>
      </c>
      <c r="AP161" s="1112">
        <v>0.87273246873886756</v>
      </c>
      <c r="AQ161" s="1112">
        <v>0.76215077348680449</v>
      </c>
      <c r="AR161" s="1112">
        <v>1.5677552095373146</v>
      </c>
      <c r="AS161" s="1112">
        <v>0.75560796944151498</v>
      </c>
      <c r="AT161" s="1112">
        <v>0.97458867117241244</v>
      </c>
      <c r="AU161" s="1112">
        <v>1.121580663028575</v>
      </c>
      <c r="AV161" s="1071">
        <f ca="1">Calc!BC59</f>
        <v>1.121580663028575</v>
      </c>
      <c r="AW161" s="275"/>
      <c r="AX161" s="86" t="str">
        <f t="shared" ca="1" si="10"/>
        <v>MVEENI</v>
      </c>
      <c r="BA161" s="249">
        <v>7133</v>
      </c>
      <c r="CP161" s="273"/>
      <c r="EH161" s="108"/>
    </row>
    <row r="162" spans="1:138" hidden="1">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1.8522760022071003</v>
      </c>
      <c r="AO162" s="1112">
        <v>7.7375186910173186</v>
      </c>
      <c r="AP162" s="1112">
        <v>1.8522760022071003</v>
      </c>
      <c r="AQ162" s="1112">
        <v>1.8522760022071003</v>
      </c>
      <c r="AR162" s="1112">
        <v>1.8522760022071003</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3">
        <f>ROW()</f>
        <v>163</v>
      </c>
      <c r="E163" s="240"/>
      <c r="F163" s="249">
        <v>53.96</v>
      </c>
      <c r="G163" s="249">
        <v>54.8</v>
      </c>
      <c r="H163" s="249">
        <v>56.08</v>
      </c>
      <c r="I163" s="249">
        <v>58.72</v>
      </c>
      <c r="J163" s="249">
        <v>56.42</v>
      </c>
      <c r="K163" s="249">
        <v>56.42</v>
      </c>
      <c r="L163" s="249">
        <v>57.4</v>
      </c>
      <c r="M163" s="249">
        <v>56</v>
      </c>
      <c r="N163" s="249">
        <v>58.76</v>
      </c>
      <c r="O163" s="249">
        <v>59.42</v>
      </c>
      <c r="P163" s="249">
        <v>59.8</v>
      </c>
      <c r="Q163" s="249">
        <v>59.66</v>
      </c>
      <c r="R163" s="249">
        <v>59.72</v>
      </c>
      <c r="S163" s="249">
        <v>61.04</v>
      </c>
      <c r="T163" s="249">
        <v>61.04</v>
      </c>
      <c r="U163" s="249">
        <v>61.9</v>
      </c>
      <c r="V163" s="249">
        <v>63</v>
      </c>
      <c r="W163" s="249">
        <v>62.54</v>
      </c>
      <c r="X163" s="249">
        <v>62.9</v>
      </c>
      <c r="Y163" s="249">
        <v>63.3</v>
      </c>
      <c r="Z163" s="243">
        <f ca="1">[1]ExtEntry!$G61</f>
        <v>63.3</v>
      </c>
      <c r="AA163" s="273"/>
      <c r="AB163" s="1112">
        <v>0.80030734555885663</v>
      </c>
      <c r="AC163" s="1112">
        <v>1.1191914852536564</v>
      </c>
      <c r="AD163" s="1112">
        <v>0.71645315441424917</v>
      </c>
      <c r="AE163" s="1112">
        <v>0.90405480216789558</v>
      </c>
      <c r="AF163" s="1112">
        <v>0.57417620165699945</v>
      </c>
      <c r="AG163" s="1112">
        <v>1.1777482661130008</v>
      </c>
      <c r="AH163" s="1112">
        <v>0.98374356490888226</v>
      </c>
      <c r="AI163" s="1112">
        <v>1.0302804543915278</v>
      </c>
      <c r="AJ163" s="1112">
        <v>0.81504151119594026</v>
      </c>
      <c r="AK163" s="1112">
        <v>0.58773166785220154</v>
      </c>
      <c r="AL163" s="1112">
        <v>0.57786001828358813</v>
      </c>
      <c r="AM163" s="1112">
        <v>0.61628884287713492</v>
      </c>
      <c r="AN163" s="1112">
        <v>0.66647253426105046</v>
      </c>
      <c r="AO163" s="1112">
        <v>0.31616610217313673</v>
      </c>
      <c r="AP163" s="1112">
        <v>0.84850614669377911</v>
      </c>
      <c r="AQ163" s="1112">
        <v>1.4078236400914621</v>
      </c>
      <c r="AR163" s="1112">
        <v>0.65997285483323687</v>
      </c>
      <c r="AS163" s="1112">
        <v>0.49654111225390551</v>
      </c>
      <c r="AT163" s="1112">
        <v>0.74182855461814057</v>
      </c>
      <c r="AU163" s="1112">
        <v>1.0644112472996281</v>
      </c>
      <c r="AV163" s="1071">
        <f ca="1">Calc!BC61</f>
        <v>1.0644112472996281</v>
      </c>
      <c r="AW163" s="275"/>
      <c r="AX163" s="86" t="str">
        <f t="shared" ca="1" si="10"/>
        <v>MVEGLE</v>
      </c>
      <c r="BA163" s="249">
        <v>7331</v>
      </c>
      <c r="CP163" s="273"/>
      <c r="EH163" s="108"/>
    </row>
    <row r="164" spans="1:138" hidden="1">
      <c r="A164" s="237" t="str">
        <f t="shared" ca="1" si="9"/>
        <v>MVEORA</v>
      </c>
      <c r="B164" s="246" t="str">
        <f ca="1">[1]ExtEntry!$D62</f>
        <v>EUR</v>
      </c>
      <c r="C164" s="247"/>
      <c r="D164" s="818">
        <f>ROW()</f>
        <v>164</v>
      </c>
      <c r="E164" s="248"/>
      <c r="F164" s="249">
        <v>13.73</v>
      </c>
      <c r="G164" s="249">
        <v>13.83</v>
      </c>
      <c r="H164" s="249">
        <v>13.95</v>
      </c>
      <c r="I164" s="249">
        <v>14.35</v>
      </c>
      <c r="J164" s="249">
        <v>13.994999999999999</v>
      </c>
      <c r="K164" s="249">
        <v>13.994999999999999</v>
      </c>
      <c r="L164" s="249">
        <v>13.785</v>
      </c>
      <c r="M164" s="249">
        <v>13.64</v>
      </c>
      <c r="N164" s="249">
        <v>13.965</v>
      </c>
      <c r="O164" s="249">
        <v>14.065</v>
      </c>
      <c r="P164" s="249">
        <v>14.135</v>
      </c>
      <c r="Q164" s="249">
        <v>14.154999999999999</v>
      </c>
      <c r="R164" s="249">
        <v>13.87</v>
      </c>
      <c r="S164" s="249">
        <v>14.03</v>
      </c>
      <c r="T164" s="249">
        <v>14.03</v>
      </c>
      <c r="U164" s="249">
        <v>14.035</v>
      </c>
      <c r="V164" s="249">
        <v>14.025</v>
      </c>
      <c r="W164" s="249">
        <v>13.734999999999999</v>
      </c>
      <c r="X164" s="249">
        <v>13.68</v>
      </c>
      <c r="Y164" s="249">
        <v>13.645</v>
      </c>
      <c r="Z164" s="243">
        <f ca="1">[1]ExtEntry!$G62</f>
        <v>13.645</v>
      </c>
      <c r="AA164" s="273"/>
      <c r="AB164" s="1112">
        <v>0.93614477517696715</v>
      </c>
      <c r="AC164" s="1112">
        <v>1.0147540298657129</v>
      </c>
      <c r="AD164" s="1112">
        <v>1.0808883296742351</v>
      </c>
      <c r="AE164" s="1112">
        <v>1.3060037337623358</v>
      </c>
      <c r="AF164" s="1112">
        <v>0.68889065677858563</v>
      </c>
      <c r="AG164" s="1112">
        <v>1.2898279166741773</v>
      </c>
      <c r="AH164" s="1112">
        <v>0.91478384876217689</v>
      </c>
      <c r="AI164" s="1112">
        <v>0.98428640913537802</v>
      </c>
      <c r="AJ164" s="1112">
        <v>0.89969813637275442</v>
      </c>
      <c r="AK164" s="1112">
        <v>0.41164661381076584</v>
      </c>
      <c r="AL164" s="1112">
        <v>0.68097281898661932</v>
      </c>
      <c r="AM164" s="1112">
        <v>0.72875877013001311</v>
      </c>
      <c r="AN164" s="1112">
        <v>0.95843383743857158</v>
      </c>
      <c r="AO164" s="1112">
        <v>0.24259168709785756</v>
      </c>
      <c r="AP164" s="1112">
        <v>1.0882888160149795</v>
      </c>
      <c r="AQ164" s="1112">
        <v>0.93001171553254514</v>
      </c>
      <c r="AR164" s="1112">
        <v>0.91897946720657209</v>
      </c>
      <c r="AS164" s="1112">
        <v>0.89161090549398281</v>
      </c>
      <c r="AT164" s="1112">
        <v>0.97772873697252383</v>
      </c>
      <c r="AU164" s="1112">
        <v>0.67743021645652646</v>
      </c>
      <c r="AV164" s="1071">
        <f ca="1">Calc!BC62</f>
        <v>0.67743021645652646</v>
      </c>
      <c r="AW164" s="275"/>
      <c r="AX164" s="86" t="str">
        <f t="shared" ca="1" si="10"/>
        <v>MVEORA</v>
      </c>
      <c r="BA164" s="249">
        <v>7430</v>
      </c>
      <c r="CP164" s="273"/>
      <c r="EH164" s="108"/>
    </row>
    <row r="165" spans="1:138" hidden="1">
      <c r="A165" s="237" t="str">
        <f t="shared" ca="1" si="9"/>
        <v>MVERWE</v>
      </c>
      <c r="B165" s="238" t="str">
        <f ca="1">[1]ExtEntry!$D63</f>
        <v>EUR</v>
      </c>
      <c r="C165" s="239"/>
      <c r="D165" s="1063">
        <f>ROW()</f>
        <v>165</v>
      </c>
      <c r="E165" s="240"/>
      <c r="F165" s="249">
        <v>42.28</v>
      </c>
      <c r="G165" s="249">
        <v>42.5</v>
      </c>
      <c r="H165" s="249">
        <v>43.11</v>
      </c>
      <c r="I165" s="249">
        <v>45.45</v>
      </c>
      <c r="J165" s="249">
        <v>44.96</v>
      </c>
      <c r="K165" s="249">
        <v>44.96</v>
      </c>
      <c r="L165" s="249">
        <v>44.07</v>
      </c>
      <c r="M165" s="249">
        <v>44.73</v>
      </c>
      <c r="N165" s="249">
        <v>43.37</v>
      </c>
      <c r="O165" s="249">
        <v>44.03</v>
      </c>
      <c r="P165" s="249">
        <v>43.48</v>
      </c>
      <c r="Q165" s="249">
        <v>43.79</v>
      </c>
      <c r="R165" s="249">
        <v>43.43</v>
      </c>
      <c r="S165" s="249">
        <v>43.43</v>
      </c>
      <c r="T165" s="249">
        <v>43.43</v>
      </c>
      <c r="U165" s="249">
        <v>43.83</v>
      </c>
      <c r="V165" s="249">
        <v>43.5</v>
      </c>
      <c r="W165" s="249">
        <v>43.44</v>
      </c>
      <c r="X165" s="249">
        <v>43.54</v>
      </c>
      <c r="Y165" s="249">
        <v>43.39</v>
      </c>
      <c r="Z165" s="243">
        <f ca="1">[1]ExtEntry!$G63</f>
        <v>43.39</v>
      </c>
      <c r="AA165" s="273"/>
      <c r="AB165" s="1112">
        <v>3.2275726924296129E-3</v>
      </c>
      <c r="AC165" s="1112">
        <v>5.2418769337309696E-3</v>
      </c>
      <c r="AD165" s="1112">
        <v>4.4524727823072796E-3</v>
      </c>
      <c r="AE165" s="1112">
        <v>2.8542469819550775E-3</v>
      </c>
      <c r="AF165" s="1112">
        <v>7.7837800651932073E-3</v>
      </c>
      <c r="AG165" s="1112">
        <v>5.5391708193498089E-3</v>
      </c>
      <c r="AH165" s="1112">
        <v>2.7171301287129998E-3</v>
      </c>
      <c r="AI165" s="1112">
        <v>1.7553475994925361E-3</v>
      </c>
      <c r="AJ165" s="1112">
        <v>1.132454478176362E-3</v>
      </c>
      <c r="AK165" s="1112">
        <v>8.5021752641392168E-4</v>
      </c>
      <c r="AL165" s="1112">
        <v>6.9160969546302054E-4</v>
      </c>
      <c r="AM165" s="1112">
        <v>1.0648317432880143E-3</v>
      </c>
      <c r="AN165" s="1112">
        <v>6.6648937938370504E-4</v>
      </c>
      <c r="AO165" s="1112">
        <v>6.6308395051431512E-4</v>
      </c>
      <c r="AP165" s="1112">
        <v>7.087944441081462E-4</v>
      </c>
      <c r="AQ165" s="1112">
        <v>1.0387898928550965E-3</v>
      </c>
      <c r="AR165" s="1112">
        <v>1.3616777755335622E-3</v>
      </c>
      <c r="AS165" s="1112">
        <v>8.5627899462229092E-4</v>
      </c>
      <c r="AT165" s="1112">
        <v>2.0413610853447757E-3</v>
      </c>
      <c r="AU165" s="1112">
        <v>3.1362675405888028E-3</v>
      </c>
      <c r="AV165" s="1071">
        <f ca="1">Calc!BC63</f>
        <v>3.1362675405888028E-3</v>
      </c>
      <c r="AW165" s="275"/>
      <c r="AX165" s="86" t="str">
        <f t="shared" ca="1" si="10"/>
        <v>MVERWE</v>
      </c>
      <c r="BA165" s="249">
        <v>7529</v>
      </c>
      <c r="CP165" s="273"/>
      <c r="EH165" s="108"/>
    </row>
    <row r="166" spans="1:138" hidden="1">
      <c r="A166" s="237" t="str">
        <f t="shared" ca="1" si="9"/>
        <v>MVESAP</v>
      </c>
      <c r="B166" s="246" t="str">
        <f ca="1">[1]ExtEntry!$D64</f>
        <v>EUR</v>
      </c>
      <c r="C166" s="247"/>
      <c r="D166" s="818">
        <f>ROW()</f>
        <v>166</v>
      </c>
      <c r="E166" s="248"/>
      <c r="F166" s="249">
        <v>224.95</v>
      </c>
      <c r="G166" s="249">
        <v>225.6</v>
      </c>
      <c r="H166" s="249">
        <v>219.65</v>
      </c>
      <c r="I166" s="249">
        <v>213.75</v>
      </c>
      <c r="J166" s="249">
        <v>205.2</v>
      </c>
      <c r="K166" s="249">
        <v>205.2</v>
      </c>
      <c r="L166" s="249">
        <v>206.95</v>
      </c>
      <c r="M166" s="249">
        <v>204</v>
      </c>
      <c r="N166" s="249">
        <v>205.5</v>
      </c>
      <c r="O166" s="249">
        <v>207.2</v>
      </c>
      <c r="P166" s="249">
        <v>206.85</v>
      </c>
      <c r="Q166" s="249">
        <v>208.6</v>
      </c>
      <c r="R166" s="249">
        <v>207.55</v>
      </c>
      <c r="S166" s="249">
        <v>208.25</v>
      </c>
      <c r="T166" s="249">
        <v>208.25</v>
      </c>
      <c r="U166" s="249">
        <v>208.75</v>
      </c>
      <c r="V166" s="249">
        <v>211.25</v>
      </c>
      <c r="W166" s="249">
        <v>209.15</v>
      </c>
      <c r="X166" s="249">
        <v>210.55</v>
      </c>
      <c r="Y166" s="249">
        <v>204</v>
      </c>
      <c r="Z166" s="243">
        <f ca="1">[1]ExtEntry!$G64</f>
        <v>204</v>
      </c>
      <c r="AA166" s="273"/>
      <c r="AB166" s="1112">
        <v>0.60507338761860219</v>
      </c>
      <c r="AC166" s="1112">
        <v>0.85338166536039561</v>
      </c>
      <c r="AD166" s="1112">
        <v>1.1597733249552002</v>
      </c>
      <c r="AE166" s="1112">
        <v>1.9349794493852532</v>
      </c>
      <c r="AF166" s="1112">
        <v>0.61255694363384539</v>
      </c>
      <c r="AG166" s="1112">
        <v>0.93717056647786734</v>
      </c>
      <c r="AH166" s="1112">
        <v>0.84766079602762046</v>
      </c>
      <c r="AI166" s="1112">
        <v>1.1593157284869184</v>
      </c>
      <c r="AJ166" s="1112">
        <v>0.85631439647844987</v>
      </c>
      <c r="AK166" s="1112">
        <v>0.31903639766774838</v>
      </c>
      <c r="AL166" s="1112">
        <v>0.62728949841623449</v>
      </c>
      <c r="AM166" s="1112">
        <v>0.81715528510599267</v>
      </c>
      <c r="AN166" s="1112">
        <v>0.70419150463468683</v>
      </c>
      <c r="AO166" s="1112">
        <v>0.33226136644192772</v>
      </c>
      <c r="AP166" s="1112">
        <v>0.80680965320910969</v>
      </c>
      <c r="AQ166" s="1112">
        <v>1.4236995341614906</v>
      </c>
      <c r="AR166" s="1112">
        <v>0.79724600822853231</v>
      </c>
      <c r="AS166" s="1112">
        <v>0.64595130237825593</v>
      </c>
      <c r="AT166" s="1112">
        <v>1.2417306662773153</v>
      </c>
      <c r="AU166" s="1112">
        <v>1.6723113482056255</v>
      </c>
      <c r="AV166" s="1071">
        <f ca="1">Calc!BC64</f>
        <v>1.6723113482056255</v>
      </c>
      <c r="AW166" s="275"/>
      <c r="AX166" s="86" t="str">
        <f t="shared" ca="1" si="10"/>
        <v>MVESAP</v>
      </c>
      <c r="BA166" s="249">
        <v>7628</v>
      </c>
      <c r="CP166" s="273"/>
      <c r="EH166" s="108"/>
    </row>
    <row r="167" spans="1:138" hidden="1">
      <c r="A167" s="237" t="str">
        <f t="shared" ca="1" si="9"/>
        <v>MVEUN0</v>
      </c>
      <c r="B167" s="238" t="str">
        <f ca="1">[1]ExtEntry!$D65</f>
        <v>EUR</v>
      </c>
      <c r="C167" s="239"/>
      <c r="D167" s="1063">
        <f>ROW()</f>
        <v>167</v>
      </c>
      <c r="E167" s="240"/>
      <c r="F167" s="249">
        <v>29.5</v>
      </c>
      <c r="G167" s="249">
        <v>28.9</v>
      </c>
      <c r="H167" s="249">
        <v>28.4</v>
      </c>
      <c r="I167" s="249">
        <v>28.45</v>
      </c>
      <c r="J167" s="249">
        <v>29.55</v>
      </c>
      <c r="K167" s="249">
        <v>29.55</v>
      </c>
      <c r="L167" s="249">
        <v>30.55</v>
      </c>
      <c r="M167" s="249">
        <v>30.7</v>
      </c>
      <c r="N167" s="249">
        <v>32.6</v>
      </c>
      <c r="O167" s="249">
        <v>33.450000000000003</v>
      </c>
      <c r="P167" s="249">
        <v>34.200000000000003</v>
      </c>
      <c r="Q167" s="249">
        <v>34.549999999999997</v>
      </c>
      <c r="R167" s="249">
        <v>33.65</v>
      </c>
      <c r="S167" s="249">
        <v>33.4</v>
      </c>
      <c r="T167" s="249">
        <v>33.4</v>
      </c>
      <c r="U167" s="249">
        <v>33.65</v>
      </c>
      <c r="V167" s="249">
        <v>33.950000000000003</v>
      </c>
      <c r="W167" s="249">
        <v>36.15</v>
      </c>
      <c r="X167" s="249">
        <v>38.15</v>
      </c>
      <c r="Y167" s="249">
        <v>38.75</v>
      </c>
      <c r="Z167" s="243">
        <f ca="1">[1]ExtEntry!$G65</f>
        <v>38.75</v>
      </c>
      <c r="AA167" s="273"/>
      <c r="AB167" s="1112">
        <v>8.608534322820037E-2</v>
      </c>
      <c r="AC167" s="1112">
        <v>5.0092764378478663E-2</v>
      </c>
      <c r="AD167" s="1112">
        <v>1.1342155009451797E-2</v>
      </c>
      <c r="AE167" s="1112">
        <v>1.5023474178403756E-2</v>
      </c>
      <c r="AF167" s="1112">
        <v>1.5643492163968318</v>
      </c>
      <c r="AG167" s="1112">
        <v>1.1235955056179776E-3</v>
      </c>
      <c r="AH167" s="1112">
        <v>2.6030368763557484E-3</v>
      </c>
      <c r="AI167" s="1112">
        <v>2.2004357298474945E-2</v>
      </c>
      <c r="AJ167" s="1112">
        <v>2.5915492957746478E-2</v>
      </c>
      <c r="AK167" s="1112">
        <v>1.9900497512437811E-2</v>
      </c>
      <c r="AL167" s="1112">
        <v>1.8905472636815919E-2</v>
      </c>
      <c r="AM167" s="1112">
        <v>2.3162583518930958E-2</v>
      </c>
      <c r="AN167" s="1112">
        <v>0.49109131403118039</v>
      </c>
      <c r="AO167" s="1112">
        <v>3.8136526354823432E-3</v>
      </c>
      <c r="AP167" s="1112">
        <v>3.6144578313253013E-3</v>
      </c>
      <c r="AQ167" s="1112">
        <v>1.9866071428571427E-2</v>
      </c>
      <c r="AR167" s="1112">
        <v>1.4578587699316629E-2</v>
      </c>
      <c r="AS167" s="1112">
        <v>0.27625570776255709</v>
      </c>
      <c r="AT167" s="1112">
        <v>0.25809128630705397</v>
      </c>
      <c r="AU167" s="1112">
        <v>9.2452830188679246E-3</v>
      </c>
      <c r="AV167" s="1071">
        <f ca="1">Calc!BC65</f>
        <v>9.2452830188679246E-3</v>
      </c>
      <c r="AW167" s="275"/>
      <c r="AX167" s="86" t="str">
        <f t="shared" ca="1" si="10"/>
        <v>MVEUN0</v>
      </c>
      <c r="BA167" s="249">
        <v>7727</v>
      </c>
      <c r="CP167" s="273"/>
      <c r="EH167" s="108"/>
    </row>
    <row r="168" spans="1:138" hidden="1">
      <c r="A168" s="237" t="str">
        <f t="shared" ca="1" si="9"/>
        <v>SAFAAPL</v>
      </c>
      <c r="B168" s="246" t="str">
        <f ca="1">[1]ExtEntry!$D66</f>
        <v>USD</v>
      </c>
      <c r="C168" s="247"/>
      <c r="D168" s="818">
        <f>ROW()</f>
        <v>168</v>
      </c>
      <c r="E168" s="248"/>
      <c r="F168" s="249">
        <v>268.61</v>
      </c>
      <c r="G168" s="249">
        <v>268.2</v>
      </c>
      <c r="H168" s="249">
        <v>269.77</v>
      </c>
      <c r="I168" s="249">
        <v>271.05</v>
      </c>
      <c r="J168" s="249">
        <v>269.99</v>
      </c>
      <c r="K168" s="249">
        <v>265.5</v>
      </c>
      <c r="L168" s="249">
        <v>271.02999999999997</v>
      </c>
      <c r="M168" s="249">
        <v>266.02</v>
      </c>
      <c r="N168" s="249">
        <v>276.97000000000003</v>
      </c>
      <c r="O168" s="249">
        <v>276.95999999999998</v>
      </c>
      <c r="P168" s="249">
        <v>277.26</v>
      </c>
      <c r="Q168" s="249">
        <v>278.12</v>
      </c>
      <c r="R168" s="249">
        <v>283.10000000000002</v>
      </c>
      <c r="S168" s="249">
        <v>286.19</v>
      </c>
      <c r="T168" s="249">
        <v>286.2</v>
      </c>
      <c r="U168" s="249">
        <v>284.05</v>
      </c>
      <c r="V168" s="249">
        <v>280.54000000000002</v>
      </c>
      <c r="W168" s="249">
        <v>278.2</v>
      </c>
      <c r="X168" s="249">
        <v>277.75</v>
      </c>
      <c r="Y168" s="249">
        <v>278.99</v>
      </c>
      <c r="Z168" s="243">
        <f ca="1">[1]ExtEntry!$G66</f>
        <v>278.99</v>
      </c>
      <c r="AA168" s="273"/>
      <c r="AB168" s="1112">
        <v>0.91183594378728339</v>
      </c>
      <c r="AC168" s="1112">
        <v>0.67764877152594571</v>
      </c>
      <c r="AD168" s="1112">
        <v>0.75361006056948199</v>
      </c>
      <c r="AE168" s="1112">
        <v>0.96101685205948351</v>
      </c>
      <c r="AF168" s="1112">
        <v>2.7084323056126642E-4</v>
      </c>
      <c r="AG168" s="1112">
        <v>0.30565067320598954</v>
      </c>
      <c r="AH168" s="1112">
        <v>0.56060485199423771</v>
      </c>
      <c r="AI168" s="1112">
        <v>0.7823520188145805</v>
      </c>
      <c r="AJ168" s="1112">
        <v>0.35232478510987075</v>
      </c>
      <c r="AK168" s="1112">
        <v>0.67751835448395614</v>
      </c>
      <c r="AL168" s="1112">
        <v>0.41136127611243917</v>
      </c>
      <c r="AM168" s="1112">
        <v>0.35117333743510781</v>
      </c>
      <c r="AN168" s="1112">
        <v>0.80410175734668121</v>
      </c>
      <c r="AO168" s="1112">
        <v>0.85904636833432957</v>
      </c>
      <c r="AP168" s="1112">
        <v>0.87960018936647633</v>
      </c>
      <c r="AQ168" s="1112">
        <v>0.31610571246173452</v>
      </c>
      <c r="AR168" s="1112">
        <v>0.96743882043878715</v>
      </c>
      <c r="AS168" s="1112">
        <v>0.27612989336753674</v>
      </c>
      <c r="AT168" s="1112">
        <v>0.7285880483121363</v>
      </c>
      <c r="AU168" s="1112">
        <v>0.70047433150034832</v>
      </c>
      <c r="AV168" s="1071">
        <f ca="1">Calc!BC66</f>
        <v>0.70047433150034832</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3">
        <f>ROW()</f>
        <v>169</v>
      </c>
      <c r="E169" s="240"/>
      <c r="F169" s="249">
        <v>249.03</v>
      </c>
      <c r="G169" s="249">
        <v>249.15</v>
      </c>
      <c r="H169" s="249">
        <v>243</v>
      </c>
      <c r="I169" s="249">
        <v>235.06</v>
      </c>
      <c r="J169" s="249">
        <v>228.1</v>
      </c>
      <c r="K169" s="249">
        <v>223.59</v>
      </c>
      <c r="L169" s="249">
        <v>226.61</v>
      </c>
      <c r="M169" s="249">
        <v>216.21</v>
      </c>
      <c r="N169" s="249">
        <v>230.71</v>
      </c>
      <c r="O169" s="249">
        <v>230.74</v>
      </c>
      <c r="P169" s="249">
        <v>231.24</v>
      </c>
      <c r="Q169" s="249">
        <v>233.22</v>
      </c>
      <c r="R169" s="249">
        <v>235</v>
      </c>
      <c r="S169" s="249">
        <v>233.38</v>
      </c>
      <c r="T169" s="249">
        <v>233.35</v>
      </c>
      <c r="U169" s="249">
        <v>232.77</v>
      </c>
      <c r="V169" s="249">
        <v>230.32</v>
      </c>
      <c r="W169" s="249">
        <v>226.86</v>
      </c>
      <c r="X169" s="249">
        <v>228.80500000000001</v>
      </c>
      <c r="Y169" s="249">
        <v>230.95</v>
      </c>
      <c r="Z169" s="243">
        <f ca="1">[1]ExtEntry!$G67</f>
        <v>230.95</v>
      </c>
      <c r="AA169" s="273"/>
      <c r="AB169" s="1112">
        <v>0.75409060425367169</v>
      </c>
      <c r="AC169" s="1112">
        <v>0.61932402019166766</v>
      </c>
      <c r="AD169" s="1112">
        <v>0.6942070189669548</v>
      </c>
      <c r="AE169" s="1112">
        <v>0.7408131718550709</v>
      </c>
      <c r="AF169" s="1112">
        <v>8.3155655847150288E-4</v>
      </c>
      <c r="AG169" s="1112">
        <v>0.55227376593669197</v>
      </c>
      <c r="AH169" s="1112">
        <v>0.58816802050470518</v>
      </c>
      <c r="AI169" s="1112">
        <v>0.95716290799595294</v>
      </c>
      <c r="AJ169" s="1112">
        <v>0.3741953477501298</v>
      </c>
      <c r="AK169" s="1112">
        <v>0.70560027225543975</v>
      </c>
      <c r="AL169" s="1112">
        <v>0.37294022112055786</v>
      </c>
      <c r="AM169" s="1112">
        <v>0.40461857351788738</v>
      </c>
      <c r="AN169" s="1112">
        <v>0.69253619306917413</v>
      </c>
      <c r="AO169" s="1112">
        <v>0.77380795802490232</v>
      </c>
      <c r="AP169" s="1112">
        <v>0.64904799532859592</v>
      </c>
      <c r="AQ169" s="1112">
        <v>0.43672066799835479</v>
      </c>
      <c r="AR169" s="1112">
        <v>0.61752315228620347</v>
      </c>
      <c r="AS169" s="1112">
        <v>0.22745038645323928</v>
      </c>
      <c r="AT169" s="1112">
        <v>0.90537569608369972</v>
      </c>
      <c r="AU169" s="1112">
        <v>0.6326482224746578</v>
      </c>
      <c r="AV169" s="1071">
        <f ca="1">Calc!BC67</f>
        <v>0.6326482224746578</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8">
        <f>ROW()</f>
        <v>170</v>
      </c>
      <c r="E170" s="248"/>
      <c r="F170" s="249">
        <v>882.9</v>
      </c>
      <c r="G170" s="249">
        <v>901.1</v>
      </c>
      <c r="H170" s="249">
        <v>899</v>
      </c>
      <c r="I170" s="249">
        <v>866.9</v>
      </c>
      <c r="J170" s="249">
        <v>861.1</v>
      </c>
      <c r="K170" s="249">
        <v>861.1</v>
      </c>
      <c r="L170" s="249">
        <v>908.8</v>
      </c>
      <c r="M170" s="249">
        <v>839.2</v>
      </c>
      <c r="N170" s="249">
        <v>875</v>
      </c>
      <c r="O170" s="249">
        <v>901.2</v>
      </c>
      <c r="P170" s="249">
        <v>896</v>
      </c>
      <c r="Q170" s="249">
        <v>910</v>
      </c>
      <c r="R170" s="249">
        <v>930</v>
      </c>
      <c r="S170" s="249">
        <v>962</v>
      </c>
      <c r="T170" s="249">
        <v>962</v>
      </c>
      <c r="U170" s="249">
        <v>975</v>
      </c>
      <c r="V170" s="249">
        <v>960.6</v>
      </c>
      <c r="W170" s="249">
        <v>964</v>
      </c>
      <c r="X170" s="249">
        <v>964.1</v>
      </c>
      <c r="Y170" s="249">
        <v>945.1</v>
      </c>
      <c r="Z170" s="243">
        <f ca="1">[1]ExtEntry!$G68</f>
        <v>945.1</v>
      </c>
      <c r="AA170" s="273"/>
      <c r="AB170" s="1112">
        <v>1.2120666350052971</v>
      </c>
      <c r="AC170" s="1112">
        <v>0.8690636176438713</v>
      </c>
      <c r="AD170" s="1112">
        <v>1.4227731762002704</v>
      </c>
      <c r="AE170" s="1112">
        <v>1.221879975841432</v>
      </c>
      <c r="AF170" s="1112">
        <v>0.31928218946295994</v>
      </c>
      <c r="AG170" s="1112">
        <v>1.0213644846396783</v>
      </c>
      <c r="AH170" s="1112">
        <v>1.1913005800792302</v>
      </c>
      <c r="AI170" s="1112">
        <v>1.7569881836657615</v>
      </c>
      <c r="AJ170" s="1112">
        <v>0.99978677104175495</v>
      </c>
      <c r="AK170" s="1112">
        <v>0.34477098750583673</v>
      </c>
      <c r="AL170" s="1112">
        <v>0.67527061253944221</v>
      </c>
      <c r="AM170" s="1112">
        <v>0.98847988989142066</v>
      </c>
      <c r="AN170" s="1112">
        <v>0.87002591676844709</v>
      </c>
      <c r="AO170" s="1112">
        <v>0.50818429492522532</v>
      </c>
      <c r="AP170" s="1112">
        <v>0.88105040199281037</v>
      </c>
      <c r="AQ170" s="1112">
        <v>0.70330842320371112</v>
      </c>
      <c r="AR170" s="1112">
        <v>0.53415656828488589</v>
      </c>
      <c r="AS170" s="1112">
        <v>0.5646821768431034</v>
      </c>
      <c r="AT170" s="1112">
        <v>0.764207776549784</v>
      </c>
      <c r="AU170" s="1112">
        <v>0.96938852069526071</v>
      </c>
      <c r="AV170" s="1071">
        <f ca="1">Calc!BC68</f>
        <v>0.96938852069526071</v>
      </c>
      <c r="AW170" s="275"/>
      <c r="AX170" s="86" t="str">
        <f t="shared" ca="1" si="12"/>
        <v>SAFASML</v>
      </c>
      <c r="BA170" s="249">
        <v>8024</v>
      </c>
      <c r="CP170" s="273"/>
      <c r="EH170" s="108"/>
    </row>
    <row r="171" spans="1:138" hidden="1">
      <c r="A171" s="237" t="str">
        <f t="shared" ca="1" si="11"/>
        <v>SAFDDD</v>
      </c>
      <c r="B171" s="238" t="str">
        <f ca="1">[1]ExtEntry!$D69</f>
        <v>USD</v>
      </c>
      <c r="C171" s="239"/>
      <c r="D171" s="1063">
        <f>ROW()</f>
        <v>171</v>
      </c>
      <c r="E171" s="240"/>
      <c r="F171" s="249">
        <v>2.5</v>
      </c>
      <c r="G171" s="249">
        <v>2.6</v>
      </c>
      <c r="H171" s="249">
        <v>2.2200000000000002</v>
      </c>
      <c r="I171" s="249">
        <v>2.085</v>
      </c>
      <c r="J171" s="249">
        <v>2.0499999999999998</v>
      </c>
      <c r="K171" s="249">
        <v>2.1</v>
      </c>
      <c r="L171" s="249">
        <v>2.0299999999999998</v>
      </c>
      <c r="M171" s="249">
        <v>1.87</v>
      </c>
      <c r="N171" s="249">
        <v>2</v>
      </c>
      <c r="O171" s="249">
        <v>2.02</v>
      </c>
      <c r="P171" s="249">
        <v>2.09</v>
      </c>
      <c r="Q171" s="249">
        <v>2.02</v>
      </c>
      <c r="R171" s="249">
        <v>1.9850000000000001</v>
      </c>
      <c r="S171" s="249">
        <v>2.0499999999999998</v>
      </c>
      <c r="T171" s="249">
        <v>2.0499999999999998</v>
      </c>
      <c r="U171" s="249">
        <v>2.1800000000000002</v>
      </c>
      <c r="V171" s="249">
        <v>2.23</v>
      </c>
      <c r="W171" s="249">
        <v>1.78</v>
      </c>
      <c r="X171" s="249">
        <v>1.81</v>
      </c>
      <c r="Y171" s="249">
        <v>1.79</v>
      </c>
      <c r="Z171" s="243">
        <f ca="1">[1]ExtEntry!$G69</f>
        <v>1.79</v>
      </c>
      <c r="AA171" s="273"/>
      <c r="AB171" s="1112">
        <v>1.2252003181089997</v>
      </c>
      <c r="AC171" s="1112">
        <v>0.8139190547095726</v>
      </c>
      <c r="AD171" s="1112">
        <v>0.54788075577674089</v>
      </c>
      <c r="AE171" s="1112">
        <v>0.41848479514912329</v>
      </c>
      <c r="AF171" s="1112">
        <v>2.6589571091605594E-6</v>
      </c>
      <c r="AG171" s="1112">
        <v>0.20013259900261549</v>
      </c>
      <c r="AH171" s="1112">
        <v>0.60223773092482691</v>
      </c>
      <c r="AI171" s="1112">
        <v>1.1781840228772786</v>
      </c>
      <c r="AJ171" s="1112">
        <v>0.22748029768634928</v>
      </c>
      <c r="AK171" s="1112">
        <v>0.43787906913951097</v>
      </c>
      <c r="AL171" s="1112">
        <v>0.26308962086452237</v>
      </c>
      <c r="AM171" s="1112">
        <v>0.21596900337137373</v>
      </c>
      <c r="AN171" s="1112">
        <v>0.35917485722379316</v>
      </c>
      <c r="AO171" s="1112">
        <v>0.42137914653428438</v>
      </c>
      <c r="AP171" s="1112">
        <v>0.55854140393622309</v>
      </c>
      <c r="AQ171" s="1112">
        <v>0.24165393846825223</v>
      </c>
      <c r="AR171" s="1112">
        <v>0.50362175307758272</v>
      </c>
      <c r="AS171" s="1112">
        <v>3.9188617124346234</v>
      </c>
      <c r="AT171" s="1112">
        <v>1.8426885952927288</v>
      </c>
      <c r="AU171" s="1112">
        <v>1.5342978323128995</v>
      </c>
      <c r="AV171" s="1071">
        <f ca="1">Calc!BC69</f>
        <v>1.5342978323128995</v>
      </c>
      <c r="AW171" s="275"/>
      <c r="AX171" s="86" t="str">
        <f t="shared" ca="1" si="12"/>
        <v>SAFDDD</v>
      </c>
      <c r="BA171" s="249">
        <v>8123</v>
      </c>
      <c r="CP171" s="273"/>
      <c r="EH171" s="108"/>
    </row>
    <row r="172" spans="1:138" hidden="1">
      <c r="A172" s="237" t="str">
        <f t="shared" ca="1" si="11"/>
        <v>SAFDIS</v>
      </c>
      <c r="B172" s="246" t="str">
        <f ca="1">[1]ExtEntry!$D70</f>
        <v>USD</v>
      </c>
      <c r="C172" s="247"/>
      <c r="D172" s="818">
        <f>ROW()</f>
        <v>172</v>
      </c>
      <c r="E172" s="248"/>
      <c r="F172" s="249">
        <v>111.35</v>
      </c>
      <c r="G172" s="249">
        <v>111.49</v>
      </c>
      <c r="H172" s="249">
        <v>110.35</v>
      </c>
      <c r="I172" s="249">
        <v>107.52</v>
      </c>
      <c r="J172" s="249">
        <v>105.1</v>
      </c>
      <c r="K172" s="249">
        <v>106.065</v>
      </c>
      <c r="L172" s="249">
        <v>105.37</v>
      </c>
      <c r="M172" s="249">
        <v>103.48</v>
      </c>
      <c r="N172" s="249">
        <v>103.26</v>
      </c>
      <c r="O172" s="249">
        <v>103.315</v>
      </c>
      <c r="P172" s="249">
        <v>103.3</v>
      </c>
      <c r="Q172" s="249">
        <v>104.8</v>
      </c>
      <c r="R172" s="249">
        <v>106.53</v>
      </c>
      <c r="S172" s="249">
        <v>105.17</v>
      </c>
      <c r="T172" s="249">
        <v>104.9</v>
      </c>
      <c r="U172" s="249">
        <v>105.84</v>
      </c>
      <c r="V172" s="249">
        <v>105.18</v>
      </c>
      <c r="W172" s="249">
        <v>107.72</v>
      </c>
      <c r="X172" s="249">
        <v>107.12</v>
      </c>
      <c r="Y172" s="249">
        <v>109.12</v>
      </c>
      <c r="Z172" s="243">
        <f ca="1">[1]ExtEntry!$G70</f>
        <v>109.12</v>
      </c>
      <c r="AA172" s="273"/>
      <c r="AB172" s="1112">
        <v>0.75299585026129023</v>
      </c>
      <c r="AC172" s="1112">
        <v>0.99298904622139816</v>
      </c>
      <c r="AD172" s="1112">
        <v>0.86820077434090825</v>
      </c>
      <c r="AE172" s="1112">
        <v>1.7119132694577612</v>
      </c>
      <c r="AF172" s="1112">
        <v>1.2954188458828137E-4</v>
      </c>
      <c r="AG172" s="1112">
        <v>0.43204780109496366</v>
      </c>
      <c r="AH172" s="1112">
        <v>0.54132112605025029</v>
      </c>
      <c r="AI172" s="1112">
        <v>0.66506619422509894</v>
      </c>
      <c r="AJ172" s="1112">
        <v>0.43610654642708108</v>
      </c>
      <c r="AK172" s="1112">
        <v>0.90521187133577996</v>
      </c>
      <c r="AL172" s="1112">
        <v>0.57756134120115332</v>
      </c>
      <c r="AM172" s="1112">
        <v>0.53299339740977691</v>
      </c>
      <c r="AN172" s="1112">
        <v>0.49875359682785453</v>
      </c>
      <c r="AO172" s="1112">
        <v>0.59707484450339621</v>
      </c>
      <c r="AP172" s="1112">
        <v>0.84380195560454974</v>
      </c>
      <c r="AQ172" s="1112">
        <v>0.28113507787763803</v>
      </c>
      <c r="AR172" s="1112">
        <v>0.89435469405453427</v>
      </c>
      <c r="AS172" s="1112">
        <v>0.2976353042821831</v>
      </c>
      <c r="AT172" s="1112">
        <v>0.91819220481398633</v>
      </c>
      <c r="AU172" s="1112">
        <v>0.95490146509038409</v>
      </c>
      <c r="AV172" s="1071">
        <f ca="1">Calc!BC70</f>
        <v>0.95490146509038409</v>
      </c>
      <c r="AW172" s="275"/>
      <c r="AX172" s="86" t="str">
        <f t="shared" ca="1" si="12"/>
        <v>SAFDIS</v>
      </c>
      <c r="BA172" s="249">
        <v>8222</v>
      </c>
      <c r="CP172" s="273"/>
      <c r="EH172" s="108"/>
    </row>
    <row r="173" spans="1:138" hidden="1">
      <c r="A173" s="237" t="str">
        <f t="shared" ca="1" si="11"/>
        <v>SAFGM</v>
      </c>
      <c r="B173" s="238" t="str">
        <f ca="1">[1]ExtEntry!$D71</f>
        <v>USD</v>
      </c>
      <c r="C173" s="239"/>
      <c r="D173" s="1063">
        <f>ROW()</f>
        <v>173</v>
      </c>
      <c r="E173" s="240"/>
      <c r="F173" s="249">
        <v>67.040000000000006</v>
      </c>
      <c r="G173" s="249">
        <v>68.73</v>
      </c>
      <c r="H173" s="249">
        <v>68.94</v>
      </c>
      <c r="I173" s="249">
        <v>71.36</v>
      </c>
      <c r="J173" s="249">
        <v>67.83</v>
      </c>
      <c r="K173" s="249">
        <v>68.06</v>
      </c>
      <c r="L173" s="249">
        <v>68.849999999999994</v>
      </c>
      <c r="M173" s="249">
        <v>68.5</v>
      </c>
      <c r="N173" s="249">
        <v>72.400000000000006</v>
      </c>
      <c r="O173" s="249">
        <v>72.44</v>
      </c>
      <c r="P173" s="249">
        <v>72.94</v>
      </c>
      <c r="Q173" s="249">
        <v>73.09</v>
      </c>
      <c r="R173" s="249">
        <v>73.099999999999994</v>
      </c>
      <c r="S173" s="249">
        <v>73.69</v>
      </c>
      <c r="T173" s="249">
        <v>73.61</v>
      </c>
      <c r="U173" s="249">
        <v>74.989999999999995</v>
      </c>
      <c r="V173" s="249">
        <v>75.08</v>
      </c>
      <c r="W173" s="249">
        <v>75.885000000000005</v>
      </c>
      <c r="X173" s="249">
        <v>77.16</v>
      </c>
      <c r="Y173" s="249">
        <v>80.44</v>
      </c>
      <c r="Z173" s="243">
        <f ca="1">[1]ExtEntry!$G71</f>
        <v>80.44</v>
      </c>
      <c r="AA173" s="273"/>
      <c r="AB173" s="1112">
        <v>0.73294563061293616</v>
      </c>
      <c r="AC173" s="1112">
        <v>0.39916381824005581</v>
      </c>
      <c r="AD173" s="1112">
        <v>0.5369764209337996</v>
      </c>
      <c r="AE173" s="1112">
        <v>0.68196638139848331</v>
      </c>
      <c r="AF173" s="1112">
        <v>3.7223569174410375E-5</v>
      </c>
      <c r="AG173" s="1112">
        <v>0.29901271886794123</v>
      </c>
      <c r="AH173" s="1112">
        <v>0.52622361974694909</v>
      </c>
      <c r="AI173" s="1112">
        <v>0.62821133819906561</v>
      </c>
      <c r="AJ173" s="1112">
        <v>0.39353096248081282</v>
      </c>
      <c r="AK173" s="1112">
        <v>0.78996976194064972</v>
      </c>
      <c r="AL173" s="1112">
        <v>0.4033552060025532</v>
      </c>
      <c r="AM173" s="1112">
        <v>0.48549344948702039</v>
      </c>
      <c r="AN173" s="1112">
        <v>0.73010001184114137</v>
      </c>
      <c r="AO173" s="1112">
        <v>0.62676639158959302</v>
      </c>
      <c r="AP173" s="1112">
        <v>0.95149721800134135</v>
      </c>
      <c r="AQ173" s="1112">
        <v>0.48631164842376329</v>
      </c>
      <c r="AR173" s="1112">
        <v>1.012592008720115</v>
      </c>
      <c r="AS173" s="1112">
        <v>0.42087470458490978</v>
      </c>
      <c r="AT173" s="1112">
        <v>1.6406716394133567</v>
      </c>
      <c r="AU173" s="1112">
        <v>1.0689103082554057</v>
      </c>
      <c r="AV173" s="1071">
        <f ca="1">Calc!BC71</f>
        <v>1.0689103082554057</v>
      </c>
      <c r="AW173" s="275"/>
      <c r="AX173" s="86" t="str">
        <f t="shared" ca="1" si="12"/>
        <v>SAFGM</v>
      </c>
      <c r="BA173" s="249">
        <v>8321</v>
      </c>
      <c r="CP173" s="273"/>
      <c r="EH173" s="108"/>
    </row>
    <row r="174" spans="1:138" hidden="1">
      <c r="A174" s="237" t="str">
        <f t="shared" ca="1" si="11"/>
        <v>SAFIAG</v>
      </c>
      <c r="B174" s="246" t="str">
        <f ca="1">[1]ExtEntry!$D72</f>
        <v>GBp</v>
      </c>
      <c r="C174" s="247"/>
      <c r="D174" s="818">
        <f>ROW()</f>
        <v>174</v>
      </c>
      <c r="E174" s="248"/>
      <c r="F174" s="249">
        <v>421.1</v>
      </c>
      <c r="G174" s="249">
        <v>422.8</v>
      </c>
      <c r="H174" s="249">
        <v>388</v>
      </c>
      <c r="I174" s="249">
        <v>391</v>
      </c>
      <c r="J174" s="249">
        <v>371</v>
      </c>
      <c r="K174" s="249">
        <v>371</v>
      </c>
      <c r="L174" s="249">
        <v>382.7</v>
      </c>
      <c r="M174" s="249">
        <v>375.7</v>
      </c>
      <c r="N174" s="249">
        <v>394.1</v>
      </c>
      <c r="O174" s="249">
        <v>397.5</v>
      </c>
      <c r="P174" s="249">
        <v>397.1</v>
      </c>
      <c r="Q174" s="249">
        <v>393.8</v>
      </c>
      <c r="R174" s="249">
        <v>393.3</v>
      </c>
      <c r="S174" s="249">
        <v>391.4</v>
      </c>
      <c r="T174" s="249">
        <v>391.4</v>
      </c>
      <c r="U174" s="249">
        <v>392.4</v>
      </c>
      <c r="V174" s="249">
        <v>388.5</v>
      </c>
      <c r="W174" s="249">
        <v>389.7</v>
      </c>
      <c r="X174" s="249">
        <v>386.3</v>
      </c>
      <c r="Y174" s="249">
        <v>388.9</v>
      </c>
      <c r="Z174" s="243">
        <f ca="1">[1]ExtEntry!$G72</f>
        <v>388.9</v>
      </c>
      <c r="AA174" s="273"/>
      <c r="AB174" s="1112">
        <v>0.84687004418415468</v>
      </c>
      <c r="AC174" s="1112">
        <v>1.6734616290843325</v>
      </c>
      <c r="AD174" s="1112">
        <v>3.8509130711539581</v>
      </c>
      <c r="AE174" s="1112">
        <v>0.58691016038586719</v>
      </c>
      <c r="AF174" s="1112">
        <v>0.27463843313132724</v>
      </c>
      <c r="AG174" s="1112">
        <v>0.83798052886889074</v>
      </c>
      <c r="AH174" s="1112">
        <v>0.50410180268429416</v>
      </c>
      <c r="AI174" s="1112">
        <v>0.41095541613131709</v>
      </c>
      <c r="AJ174" s="1112">
        <v>0.65857198894800162</v>
      </c>
      <c r="AK174" s="1112">
        <v>0.5527537069189955</v>
      </c>
      <c r="AL174" s="1112">
        <v>0.48634088141748172</v>
      </c>
      <c r="AM174" s="1112">
        <v>1.9233427745722642</v>
      </c>
      <c r="AN174" s="1112">
        <v>2.009517470577554</v>
      </c>
      <c r="AO174" s="1112">
        <v>1.3971350426395153</v>
      </c>
      <c r="AP174" s="1112">
        <v>2.9699377141139802</v>
      </c>
      <c r="AQ174" s="1112">
        <v>0.48670186004700594</v>
      </c>
      <c r="AR174" s="1112">
        <v>0.2451874881619179</v>
      </c>
      <c r="AS174" s="1112">
        <v>0.55204168500725748</v>
      </c>
      <c r="AT174" s="1112">
        <v>0.33289346895378025</v>
      </c>
      <c r="AU174" s="1112">
        <v>0.83897669667496144</v>
      </c>
      <c r="AV174" s="1071">
        <f ca="1">Calc!BC72</f>
        <v>0.83897669667496144</v>
      </c>
      <c r="AW174" s="275"/>
      <c r="AX174" s="86" t="str">
        <f t="shared" ca="1" si="12"/>
        <v>SAFIAG</v>
      </c>
      <c r="BA174" s="249">
        <v>8420</v>
      </c>
      <c r="CP174" s="273"/>
      <c r="EH174" s="108"/>
    </row>
    <row r="175" spans="1:138" hidden="1">
      <c r="A175" s="237" t="str">
        <f t="shared" ca="1" si="11"/>
        <v>SAFMRNA</v>
      </c>
      <c r="B175" s="238" t="str">
        <f ca="1">[1]ExtEntry!$D73</f>
        <v>USD</v>
      </c>
      <c r="C175" s="239"/>
      <c r="D175" s="1063">
        <f>ROW()</f>
        <v>175</v>
      </c>
      <c r="E175" s="240"/>
      <c r="F175" s="249">
        <v>23.914999999999999</v>
      </c>
      <c r="G175" s="249">
        <v>25.19</v>
      </c>
      <c r="H175" s="249">
        <v>23.87</v>
      </c>
      <c r="I175" s="249">
        <v>24.434999999999999</v>
      </c>
      <c r="J175" s="249">
        <v>24.49</v>
      </c>
      <c r="K175" s="249">
        <v>24.95</v>
      </c>
      <c r="L175" s="249">
        <v>24.45</v>
      </c>
      <c r="M175" s="249">
        <v>22.39</v>
      </c>
      <c r="N175" s="249">
        <v>24.77</v>
      </c>
      <c r="O175" s="249">
        <v>24.78</v>
      </c>
      <c r="P175" s="249">
        <v>25.01</v>
      </c>
      <c r="Q175" s="249">
        <v>25.11</v>
      </c>
      <c r="R175" s="249">
        <v>24.16</v>
      </c>
      <c r="S175" s="249">
        <v>24.02</v>
      </c>
      <c r="T175" s="249">
        <v>24.04</v>
      </c>
      <c r="U175" s="249">
        <v>25.25</v>
      </c>
      <c r="V175" s="249">
        <v>25.58</v>
      </c>
      <c r="W175" s="249">
        <v>27.6</v>
      </c>
      <c r="X175" s="249">
        <v>28.22</v>
      </c>
      <c r="Y175" s="249">
        <v>29</v>
      </c>
      <c r="Z175" s="243">
        <f ca="1">[1]ExtEntry!$G73</f>
        <v>29</v>
      </c>
      <c r="AA175" s="273"/>
      <c r="AB175" s="1112">
        <v>0.99724643164088633</v>
      </c>
      <c r="AC175" s="1112">
        <v>1.4043350353151909</v>
      </c>
      <c r="AD175" s="1112">
        <v>0.77200431078922915</v>
      </c>
      <c r="AE175" s="1112">
        <v>0.77376277633751334</v>
      </c>
      <c r="AF175" s="1112">
        <v>1.6918018212364272E-4</v>
      </c>
      <c r="AG175" s="1112">
        <v>0.28173453881169197</v>
      </c>
      <c r="AH175" s="1112">
        <v>0.98278250092296537</v>
      </c>
      <c r="AI175" s="1112">
        <v>0.85136192546962008</v>
      </c>
      <c r="AJ175" s="1112">
        <v>0.32318448487977369</v>
      </c>
      <c r="AK175" s="1112">
        <v>0.53739330293651166</v>
      </c>
      <c r="AL175" s="1112">
        <v>0.35520174684669387</v>
      </c>
      <c r="AM175" s="1112">
        <v>0.47176961679705715</v>
      </c>
      <c r="AN175" s="1112">
        <v>0.7591366157433499</v>
      </c>
      <c r="AO175" s="1112">
        <v>0.70344538836505044</v>
      </c>
      <c r="AP175" s="1112">
        <v>0.63756536057278534</v>
      </c>
      <c r="AQ175" s="1112">
        <v>0.40183823100371724</v>
      </c>
      <c r="AR175" s="1112">
        <v>1.3692854355178135</v>
      </c>
      <c r="AS175" s="1112">
        <v>0.33194013660593497</v>
      </c>
      <c r="AT175" s="1112">
        <v>0.73292572321559546</v>
      </c>
      <c r="AU175" s="1112">
        <v>0.78849697446149747</v>
      </c>
      <c r="AV175" s="1071">
        <f ca="1">Calc!BC73</f>
        <v>0.78849697446149747</v>
      </c>
      <c r="AW175" s="275"/>
      <c r="AX175" s="86" t="str">
        <f t="shared" ca="1" si="12"/>
        <v>SAFMRNA</v>
      </c>
      <c r="BA175" s="249">
        <v>8519</v>
      </c>
      <c r="CP175" s="273"/>
      <c r="EH175" s="108"/>
    </row>
    <row r="176" spans="1:138" hidden="1">
      <c r="A176" s="237" t="str">
        <f t="shared" ca="1" si="11"/>
        <v>BLNK</v>
      </c>
      <c r="B176" s="246" t="str">
        <f ca="1">[1]ExtEntry!$D74</f>
        <v>USD</v>
      </c>
      <c r="C176" s="247"/>
      <c r="D176" s="818">
        <f>ROW()</f>
        <v>176</v>
      </c>
      <c r="E176" s="248"/>
      <c r="F176" s="249">
        <v>1.5</v>
      </c>
      <c r="G176" s="249">
        <v>1.63</v>
      </c>
      <c r="H176" s="249">
        <v>1.37</v>
      </c>
      <c r="I176" s="249">
        <v>1.4</v>
      </c>
      <c r="J176" s="249">
        <v>1.345</v>
      </c>
      <c r="K176" s="249">
        <v>1.41</v>
      </c>
      <c r="L176" s="249">
        <v>1.4</v>
      </c>
      <c r="M176" s="249">
        <v>1.31</v>
      </c>
      <c r="N176" s="249">
        <v>1.27</v>
      </c>
      <c r="O176" s="249">
        <v>1.27</v>
      </c>
      <c r="P176" s="249">
        <v>1.29</v>
      </c>
      <c r="Q176" s="249">
        <v>1.27</v>
      </c>
      <c r="R176" s="249">
        <v>1.25</v>
      </c>
      <c r="S176" s="249">
        <v>1.25</v>
      </c>
      <c r="T176" s="249">
        <v>1.25</v>
      </c>
      <c r="U176" s="249">
        <v>1.35</v>
      </c>
      <c r="V176" s="249">
        <v>1.375</v>
      </c>
      <c r="W176" s="249">
        <v>1.08</v>
      </c>
      <c r="X176" s="249">
        <v>1.01</v>
      </c>
      <c r="Y176" s="249">
        <v>0.89549999999999996</v>
      </c>
      <c r="Z176" s="243">
        <f ca="1">[1]ExtEntry!$G74</f>
        <v>0.89549999999999996</v>
      </c>
      <c r="AA176" s="273"/>
      <c r="AB176" s="1112">
        <v>0.4251459375099001</v>
      </c>
      <c r="AC176" s="1112">
        <v>0.41471836327748468</v>
      </c>
      <c r="AD176" s="1112">
        <v>0.47099359807750735</v>
      </c>
      <c r="AE176" s="1112">
        <v>0.62442709245049166</v>
      </c>
      <c r="AF176" s="1112">
        <v>1.5247672519028333E-4</v>
      </c>
      <c r="AG176" s="1112">
        <v>0.25815887401400817</v>
      </c>
      <c r="AH176" s="1112">
        <v>0.55147952357962804</v>
      </c>
      <c r="AI176" s="1112">
        <v>1.2553295238477404</v>
      </c>
      <c r="AJ176" s="1112">
        <v>0.34898029990278612</v>
      </c>
      <c r="AK176" s="1112">
        <v>0.5849822284948355</v>
      </c>
      <c r="AL176" s="1112">
        <v>0.38744037005010123</v>
      </c>
      <c r="AM176" s="1112">
        <v>0.32370633423706296</v>
      </c>
      <c r="AN176" s="1112">
        <v>0.44068968959393079</v>
      </c>
      <c r="AO176" s="1112">
        <v>0.35834862615824686</v>
      </c>
      <c r="AP176" s="1112">
        <v>0.72445145931631583</v>
      </c>
      <c r="AQ176" s="1112">
        <v>0.40094255444711835</v>
      </c>
      <c r="AR176" s="1112">
        <v>3.6083898992165135</v>
      </c>
      <c r="AS176" s="1112">
        <v>2.5393061129905443</v>
      </c>
      <c r="AT176" s="1112">
        <v>8.6794766840124318</v>
      </c>
      <c r="AU176" s="1112">
        <v>4.923244086017772</v>
      </c>
      <c r="AV176" s="1071">
        <f ca="1">Calc!BC74</f>
        <v>4.923244086017772</v>
      </c>
      <c r="AW176" s="275"/>
      <c r="AX176" s="86" t="str">
        <f t="shared" ca="1" si="12"/>
        <v>BLNK</v>
      </c>
      <c r="BA176" s="249">
        <v>8618</v>
      </c>
      <c r="CP176" s="273"/>
      <c r="EH176" s="108"/>
    </row>
    <row r="177" spans="1:138" hidden="1">
      <c r="A177" s="237" t="str">
        <f t="shared" ca="1" si="11"/>
        <v>ENI</v>
      </c>
      <c r="B177" s="238" t="str">
        <f ca="1">[1]ExtEntry!$D75</f>
        <v>EUR</v>
      </c>
      <c r="C177" s="239"/>
      <c r="D177" s="1063">
        <f>ROW()</f>
        <v>177</v>
      </c>
      <c r="E177" s="240"/>
      <c r="F177" s="249">
        <v>15.848000000000001</v>
      </c>
      <c r="G177" s="249">
        <v>15.901999999999999</v>
      </c>
      <c r="H177" s="249">
        <v>16.010000000000002</v>
      </c>
      <c r="I177" s="249">
        <v>16.457999999999998</v>
      </c>
      <c r="J177" s="249">
        <v>16.38</v>
      </c>
      <c r="K177" s="249">
        <v>16.38</v>
      </c>
      <c r="L177" s="249">
        <v>16.324000000000002</v>
      </c>
      <c r="M177" s="249">
        <v>16.096</v>
      </c>
      <c r="N177" s="249">
        <v>15.95</v>
      </c>
      <c r="O177" s="249">
        <v>15.988</v>
      </c>
      <c r="P177" s="249">
        <v>15.93</v>
      </c>
      <c r="Q177" s="249">
        <v>16.042000000000002</v>
      </c>
      <c r="R177" s="249">
        <v>16.178000000000001</v>
      </c>
      <c r="S177" s="249">
        <v>16.167999999999999</v>
      </c>
      <c r="T177" s="249">
        <v>16.167999999999999</v>
      </c>
      <c r="U177" s="249">
        <v>16.420000000000002</v>
      </c>
      <c r="V177" s="249">
        <v>16</v>
      </c>
      <c r="W177" s="249">
        <v>16.018000000000001</v>
      </c>
      <c r="X177" s="249">
        <v>16.12</v>
      </c>
      <c r="Y177" s="249">
        <v>16</v>
      </c>
      <c r="Z177" s="243">
        <f ca="1">[1]ExtEntry!$G75</f>
        <v>16</v>
      </c>
      <c r="AA177" s="273"/>
      <c r="AB177" s="1112">
        <v>0.56816166587431072</v>
      </c>
      <c r="AC177" s="1112">
        <v>0.5806903730260059</v>
      </c>
      <c r="AD177" s="1112">
        <v>0.59620640604938813</v>
      </c>
      <c r="AE177" s="1112">
        <v>0.84320123827020799</v>
      </c>
      <c r="AF177" s="1112">
        <v>0.62246323860563713</v>
      </c>
      <c r="AG177" s="1112">
        <v>0.92243783340360397</v>
      </c>
      <c r="AH177" s="1112">
        <v>0.82987560394088211</v>
      </c>
      <c r="AI177" s="1112">
        <v>1.4309380843428068</v>
      </c>
      <c r="AJ177" s="1112">
        <v>0.88516477696405138</v>
      </c>
      <c r="AK177" s="1112">
        <v>0.55103470909096919</v>
      </c>
      <c r="AL177" s="1112">
        <v>0.81564832996157632</v>
      </c>
      <c r="AM177" s="1112">
        <v>0.86380198414654363</v>
      </c>
      <c r="AN177" s="1112">
        <v>0.83334782160604748</v>
      </c>
      <c r="AO177" s="1112">
        <v>0.57464168534064819</v>
      </c>
      <c r="AP177" s="1112">
        <v>0.87273246873886756</v>
      </c>
      <c r="AQ177" s="1112">
        <v>0.76215077348680449</v>
      </c>
      <c r="AR177" s="1112">
        <v>1.5677552095373146</v>
      </c>
      <c r="AS177" s="1112">
        <v>0.75560796944151498</v>
      </c>
      <c r="AT177" s="1112">
        <v>0.97458867117241244</v>
      </c>
      <c r="AU177" s="1112">
        <v>1.121580663028575</v>
      </c>
      <c r="AV177" s="1071">
        <f ca="1">Calc!BC75</f>
        <v>1.121580663028575</v>
      </c>
      <c r="AW177" s="275"/>
      <c r="AX177" s="86" t="str">
        <f t="shared" ca="1" si="12"/>
        <v>ENI</v>
      </c>
      <c r="BA177" s="249">
        <v>8717</v>
      </c>
      <c r="CP177" s="273"/>
      <c r="EH177" s="108"/>
    </row>
    <row r="178" spans="1:138" hidden="1">
      <c r="A178" s="237" t="str">
        <f t="shared" ca="1" si="11"/>
        <v>EZJ</v>
      </c>
      <c r="B178" s="246" t="str">
        <f ca="1">[1]ExtEntry!$D76</f>
        <v>GBp</v>
      </c>
      <c r="C178" s="247"/>
      <c r="D178" s="818">
        <f>ROW()</f>
        <v>178</v>
      </c>
      <c r="E178" s="248"/>
      <c r="F178" s="249">
        <v>478.3</v>
      </c>
      <c r="G178" s="249">
        <v>486.6</v>
      </c>
      <c r="H178" s="249">
        <v>478.5</v>
      </c>
      <c r="I178" s="249">
        <v>472.2</v>
      </c>
      <c r="J178" s="249">
        <v>457.5</v>
      </c>
      <c r="K178" s="249">
        <v>457.5</v>
      </c>
      <c r="L178" s="249">
        <v>467.3</v>
      </c>
      <c r="M178" s="249">
        <v>454.8</v>
      </c>
      <c r="N178" s="249">
        <v>468.9</v>
      </c>
      <c r="O178" s="249">
        <v>484.3</v>
      </c>
      <c r="P178" s="249">
        <v>496.5</v>
      </c>
      <c r="Q178" s="249">
        <v>493.1</v>
      </c>
      <c r="R178" s="249">
        <v>493</v>
      </c>
      <c r="S178" s="249">
        <v>494.7</v>
      </c>
      <c r="T178" s="249">
        <v>494.7</v>
      </c>
      <c r="U178" s="249">
        <v>488</v>
      </c>
      <c r="V178" s="249">
        <v>491.5</v>
      </c>
      <c r="W178" s="249">
        <v>485.5</v>
      </c>
      <c r="X178" s="249">
        <v>476</v>
      </c>
      <c r="Y178" s="249">
        <v>476.3</v>
      </c>
      <c r="Z178" s="243">
        <f ca="1">[1]ExtEntry!$G76</f>
        <v>476.3</v>
      </c>
      <c r="AA178" s="273"/>
      <c r="AB178" s="1112">
        <v>0.75620665732125469</v>
      </c>
      <c r="AC178" s="1112">
        <v>0.99111127502323459</v>
      </c>
      <c r="AD178" s="1112">
        <v>1.0236134740717646</v>
      </c>
      <c r="AE178" s="1112">
        <v>0.6701518140492323</v>
      </c>
      <c r="AF178" s="1112">
        <v>0.27065177514157479</v>
      </c>
      <c r="AG178" s="1112">
        <v>1.0172654070187122</v>
      </c>
      <c r="AH178" s="1112">
        <v>0.77516531181752002</v>
      </c>
      <c r="AI178" s="1112">
        <v>0.57842491956119679</v>
      </c>
      <c r="AJ178" s="1112">
        <v>1.2277687383935556</v>
      </c>
      <c r="AK178" s="1112">
        <v>0.52277197428904587</v>
      </c>
      <c r="AL178" s="1112">
        <v>1.3283914271121433</v>
      </c>
      <c r="AM178" s="1112">
        <v>0.90551299646114369</v>
      </c>
      <c r="AN178" s="1112">
        <v>1.6770999863472811</v>
      </c>
      <c r="AO178" s="1112">
        <v>0.2388839532425443</v>
      </c>
      <c r="AP178" s="1112">
        <v>0.50059719634811795</v>
      </c>
      <c r="AQ178" s="1112">
        <v>0.41602045782829866</v>
      </c>
      <c r="AR178" s="1112">
        <v>0.43864545448357695</v>
      </c>
      <c r="AS178" s="1112">
        <v>0.51372332512508723</v>
      </c>
      <c r="AT178" s="1112">
        <v>0.76825449466353268</v>
      </c>
      <c r="AU178" s="1112">
        <v>0.58216563357609563</v>
      </c>
      <c r="AV178" s="1071">
        <f ca="1">Calc!BC76</f>
        <v>0.58216563357609563</v>
      </c>
      <c r="AW178" s="275"/>
      <c r="AX178" s="86" t="str">
        <f t="shared" ca="1" si="12"/>
        <v>EZJ</v>
      </c>
      <c r="BA178" s="249">
        <v>8816</v>
      </c>
      <c r="CP178" s="273"/>
      <c r="EH178" s="108"/>
    </row>
    <row r="179" spans="1:138" hidden="1">
      <c r="A179" s="237" t="str">
        <f t="shared" ca="1" si="11"/>
        <v>F</v>
      </c>
      <c r="B179" s="238" t="str">
        <f ca="1">[1]ExtEntry!$D77</f>
        <v>USD</v>
      </c>
      <c r="C179" s="239"/>
      <c r="D179" s="1063">
        <f>ROW()</f>
        <v>179</v>
      </c>
      <c r="E179" s="240"/>
      <c r="F179" s="249">
        <v>12.92</v>
      </c>
      <c r="G179" s="249">
        <v>13.15</v>
      </c>
      <c r="H179" s="249">
        <v>12.95</v>
      </c>
      <c r="I179" s="249">
        <v>13.18</v>
      </c>
      <c r="J179" s="249">
        <v>12.87</v>
      </c>
      <c r="K179" s="249">
        <v>13.04</v>
      </c>
      <c r="L179" s="249">
        <v>12.9</v>
      </c>
      <c r="M179" s="249">
        <v>12.51</v>
      </c>
      <c r="N179" s="249">
        <v>13.16</v>
      </c>
      <c r="O179" s="249">
        <v>13.17</v>
      </c>
      <c r="P179" s="249">
        <v>13.205</v>
      </c>
      <c r="Q179" s="249">
        <v>13.19</v>
      </c>
      <c r="R179" s="249">
        <v>13.18</v>
      </c>
      <c r="S179" s="249">
        <v>12.99</v>
      </c>
      <c r="T179" s="249">
        <v>12.99</v>
      </c>
      <c r="U179" s="249">
        <v>13.18</v>
      </c>
      <c r="V179" s="249">
        <v>13.15</v>
      </c>
      <c r="W179" s="249">
        <v>13.15</v>
      </c>
      <c r="X179" s="249">
        <v>13.08</v>
      </c>
      <c r="Y179" s="249">
        <v>13.39</v>
      </c>
      <c r="Z179" s="243">
        <f ca="1">[1]ExtEntry!$G77</f>
        <v>13.39</v>
      </c>
      <c r="AA179" s="273"/>
      <c r="AB179" s="1112">
        <v>0.57673994533196105</v>
      </c>
      <c r="AC179" s="1112">
        <v>0.5190124489209953</v>
      </c>
      <c r="AD179" s="1112">
        <v>0.50174709695241093</v>
      </c>
      <c r="AE179" s="1112">
        <v>0.51397900098943639</v>
      </c>
      <c r="AF179" s="1112">
        <v>3.423488285332807E-6</v>
      </c>
      <c r="AG179" s="1112">
        <v>0.14782518890528135</v>
      </c>
      <c r="AH179" s="1112">
        <v>0.54762764146354759</v>
      </c>
      <c r="AI179" s="1112">
        <v>0.4596062859089779</v>
      </c>
      <c r="AJ179" s="1112">
        <v>0.23555480714427321</v>
      </c>
      <c r="AK179" s="1112">
        <v>0.38580401968853528</v>
      </c>
      <c r="AL179" s="1112">
        <v>0.29034251223261487</v>
      </c>
      <c r="AM179" s="1112">
        <v>0.37009078868895418</v>
      </c>
      <c r="AN179" s="1112">
        <v>0.70482295008300744</v>
      </c>
      <c r="AO179" s="1112">
        <v>0.38931515089900071</v>
      </c>
      <c r="AP179" s="1112">
        <v>0.6412510296474615</v>
      </c>
      <c r="AQ179" s="1112">
        <v>0.27687469933072484</v>
      </c>
      <c r="AR179" s="1112">
        <v>0.82949163016975447</v>
      </c>
      <c r="AS179" s="1112">
        <v>0.22809557189266638</v>
      </c>
      <c r="AT179" s="1112">
        <v>1.1768943025015</v>
      </c>
      <c r="AU179" s="1112">
        <v>0.95151912282576889</v>
      </c>
      <c r="AV179" s="1071">
        <f ca="1">Calc!BC77</f>
        <v>0.95151912282576889</v>
      </c>
      <c r="AW179" s="275"/>
      <c r="AX179" s="86" t="str">
        <f t="shared" ca="1" si="12"/>
        <v>F</v>
      </c>
      <c r="BA179" s="249">
        <v>8915</v>
      </c>
      <c r="CP179" s="273"/>
      <c r="EH179" s="108"/>
    </row>
    <row r="180" spans="1:138" hidden="1">
      <c r="A180" s="237" t="str">
        <f t="shared" ca="1" si="11"/>
        <v>GLE</v>
      </c>
      <c r="B180" s="246" t="str">
        <f ca="1">[1]ExtEntry!$D78</f>
        <v>EUR</v>
      </c>
      <c r="C180" s="247"/>
      <c r="D180" s="818">
        <f>ROW()</f>
        <v>180</v>
      </c>
      <c r="E180" s="248"/>
      <c r="F180" s="249">
        <v>53.96</v>
      </c>
      <c r="G180" s="249">
        <v>54.8</v>
      </c>
      <c r="H180" s="249">
        <v>56.08</v>
      </c>
      <c r="I180" s="249">
        <v>58.72</v>
      </c>
      <c r="J180" s="249">
        <v>56.42</v>
      </c>
      <c r="K180" s="249">
        <v>56.42</v>
      </c>
      <c r="L180" s="249">
        <v>57.4</v>
      </c>
      <c r="M180" s="249">
        <v>56</v>
      </c>
      <c r="N180" s="249">
        <v>58.76</v>
      </c>
      <c r="O180" s="249">
        <v>59.42</v>
      </c>
      <c r="P180" s="249">
        <v>59.8</v>
      </c>
      <c r="Q180" s="249">
        <v>59.66</v>
      </c>
      <c r="R180" s="249">
        <v>59.72</v>
      </c>
      <c r="S180" s="249">
        <v>61.04</v>
      </c>
      <c r="T180" s="249">
        <v>61.04</v>
      </c>
      <c r="U180" s="249">
        <v>61.9</v>
      </c>
      <c r="V180" s="249">
        <v>63</v>
      </c>
      <c r="W180" s="249">
        <v>62.54</v>
      </c>
      <c r="X180" s="249">
        <v>62.9</v>
      </c>
      <c r="Y180" s="249">
        <v>63.3</v>
      </c>
      <c r="Z180" s="243">
        <f ca="1">[1]ExtEntry!$G78</f>
        <v>63.3</v>
      </c>
      <c r="AA180" s="273"/>
      <c r="AB180" s="1112">
        <v>0.80030734555885663</v>
      </c>
      <c r="AC180" s="1112">
        <v>1.1191914852536564</v>
      </c>
      <c r="AD180" s="1112">
        <v>0.71645315441424917</v>
      </c>
      <c r="AE180" s="1112">
        <v>0.90405480216789558</v>
      </c>
      <c r="AF180" s="1112">
        <v>0.57417620165699945</v>
      </c>
      <c r="AG180" s="1112">
        <v>1.1777482661130008</v>
      </c>
      <c r="AH180" s="1112">
        <v>0.98374356490888226</v>
      </c>
      <c r="AI180" s="1112">
        <v>1.0302804543915278</v>
      </c>
      <c r="AJ180" s="1112">
        <v>0.81504151119594026</v>
      </c>
      <c r="AK180" s="1112">
        <v>0.58773166785220154</v>
      </c>
      <c r="AL180" s="1112">
        <v>0.57786001828358813</v>
      </c>
      <c r="AM180" s="1112">
        <v>0.61628884287713492</v>
      </c>
      <c r="AN180" s="1112">
        <v>0.66647253426105046</v>
      </c>
      <c r="AO180" s="1112">
        <v>0.31616610217313673</v>
      </c>
      <c r="AP180" s="1112">
        <v>0.84850614669377911</v>
      </c>
      <c r="AQ180" s="1112">
        <v>1.4078236400914621</v>
      </c>
      <c r="AR180" s="1112">
        <v>0.65997285483323687</v>
      </c>
      <c r="AS180" s="1112">
        <v>0.49654111225390551</v>
      </c>
      <c r="AT180" s="1112">
        <v>0.74182855461814057</v>
      </c>
      <c r="AU180" s="1112">
        <v>1.0644112472996281</v>
      </c>
      <c r="AV180" s="1071">
        <f ca="1">Calc!BC78</f>
        <v>1.0644112472996281</v>
      </c>
      <c r="AW180" s="275"/>
      <c r="AX180" s="86" t="str">
        <f t="shared" ca="1" si="12"/>
        <v>GLE</v>
      </c>
      <c r="BA180" s="249">
        <v>9014</v>
      </c>
      <c r="CP180" s="273"/>
      <c r="EH180" s="108"/>
    </row>
    <row r="181" spans="1:138" hidden="1">
      <c r="A181" s="237" t="str">
        <f t="shared" ca="1" si="11"/>
        <v>GNRC</v>
      </c>
      <c r="B181" s="238" t="str">
        <f ca="1">[1]ExtEntry!$D79</f>
        <v>USD</v>
      </c>
      <c r="C181" s="239"/>
      <c r="D181" s="1063">
        <f>ROW()</f>
        <v>181</v>
      </c>
      <c r="E181" s="240"/>
      <c r="F181" s="249">
        <v>156.53</v>
      </c>
      <c r="G181" s="249">
        <v>158.5</v>
      </c>
      <c r="H181" s="249">
        <v>152.28</v>
      </c>
      <c r="I181" s="249">
        <v>150.91</v>
      </c>
      <c r="J181" s="249">
        <v>139.11000000000001</v>
      </c>
      <c r="K181" s="249">
        <v>144</v>
      </c>
      <c r="L181" s="249">
        <v>151.99</v>
      </c>
      <c r="M181" s="249">
        <v>140.44999999999999</v>
      </c>
      <c r="N181" s="249">
        <v>148.53</v>
      </c>
      <c r="O181" s="249">
        <v>148.13</v>
      </c>
      <c r="P181" s="249">
        <v>149.49</v>
      </c>
      <c r="Q181" s="249">
        <v>148.875</v>
      </c>
      <c r="R181" s="249">
        <v>150.13</v>
      </c>
      <c r="S181" s="249">
        <v>155.02000000000001</v>
      </c>
      <c r="T181" s="249">
        <v>154.94</v>
      </c>
      <c r="U181" s="249">
        <v>159.44</v>
      </c>
      <c r="V181" s="249">
        <v>162.69999999999999</v>
      </c>
      <c r="W181" s="249">
        <v>163.49</v>
      </c>
      <c r="X181" s="249">
        <v>161.13999999999999</v>
      </c>
      <c r="Y181" s="249">
        <v>166.55</v>
      </c>
      <c r="Z181" s="243">
        <f ca="1">[1]ExtEntry!$G79</f>
        <v>166.55</v>
      </c>
      <c r="AA181" s="273"/>
      <c r="AB181" s="1112">
        <v>0.71401952325311135</v>
      </c>
      <c r="AC181" s="1112">
        <v>0.72298706321580508</v>
      </c>
      <c r="AD181" s="1112">
        <v>0.73573772972622398</v>
      </c>
      <c r="AE181" s="1112">
        <v>0.91801500009706705</v>
      </c>
      <c r="AF181" s="1112">
        <v>1.1191190522232712</v>
      </c>
      <c r="AG181" s="1112">
        <v>0.30248791926879282</v>
      </c>
      <c r="AH181" s="1112">
        <v>0.58693219797672269</v>
      </c>
      <c r="AI181" s="1112">
        <v>0.61906675311568693</v>
      </c>
      <c r="AJ181" s="1112">
        <v>0.14872948134506755</v>
      </c>
      <c r="AK181" s="1112">
        <v>0.39633807306146301</v>
      </c>
      <c r="AL181" s="1112">
        <v>0.21140963716865044</v>
      </c>
      <c r="AM181" s="1112">
        <v>0.14222547430377327</v>
      </c>
      <c r="AN181" s="1112">
        <v>0.83729979087490258</v>
      </c>
      <c r="AO181" s="1112">
        <v>0.41908468313244329</v>
      </c>
      <c r="AP181" s="1112">
        <v>0.5968439331704265</v>
      </c>
      <c r="AQ181" s="1112">
        <v>0.16478693532907732</v>
      </c>
      <c r="AR181" s="1112">
        <v>0.64988936406241893</v>
      </c>
      <c r="AS181" s="1112">
        <v>0.13249217214956674</v>
      </c>
      <c r="AT181" s="1112">
        <v>0.73115182527749834</v>
      </c>
      <c r="AU181" s="1112">
        <v>0.45658747132549016</v>
      </c>
      <c r="AV181" s="1071">
        <f ca="1">Calc!BC79</f>
        <v>0.45658747132549016</v>
      </c>
      <c r="AW181" s="275"/>
      <c r="AX181" s="86" t="str">
        <f t="shared" ca="1" si="12"/>
        <v>GNRC</v>
      </c>
      <c r="BA181" s="249">
        <v>9113</v>
      </c>
      <c r="CP181" s="273"/>
      <c r="EH181" s="108"/>
    </row>
    <row r="182" spans="1:138" hidden="1">
      <c r="A182" s="237" t="str">
        <f t="shared" ca="1" si="11"/>
        <v>GS</v>
      </c>
      <c r="B182" s="246" t="str">
        <f ca="1">[1]ExtEntry!$D80</f>
        <v>USD</v>
      </c>
      <c r="C182" s="247"/>
      <c r="D182" s="818">
        <f>ROW()</f>
        <v>182</v>
      </c>
      <c r="E182" s="248"/>
      <c r="F182" s="249">
        <v>790.44</v>
      </c>
      <c r="G182" s="249">
        <v>793.09</v>
      </c>
      <c r="H182" s="249">
        <v>782.4</v>
      </c>
      <c r="I182" s="249">
        <v>795.55</v>
      </c>
      <c r="J182" s="249">
        <v>772.06</v>
      </c>
      <c r="K182" s="249">
        <v>776.73</v>
      </c>
      <c r="L182" s="249">
        <v>796.95</v>
      </c>
      <c r="M182" s="249">
        <v>777.06</v>
      </c>
      <c r="N182" s="249">
        <v>806</v>
      </c>
      <c r="O182" s="249">
        <v>805.84</v>
      </c>
      <c r="P182" s="249">
        <v>820</v>
      </c>
      <c r="Q182" s="249">
        <v>819.16</v>
      </c>
      <c r="R182" s="249">
        <v>812.94</v>
      </c>
      <c r="S182" s="249">
        <v>813.76</v>
      </c>
      <c r="T182" s="249">
        <v>812.95</v>
      </c>
      <c r="U182" s="249">
        <v>835.99</v>
      </c>
      <c r="V182" s="249">
        <v>837.26</v>
      </c>
      <c r="W182" s="249">
        <v>865.93</v>
      </c>
      <c r="X182" s="249">
        <v>871.35</v>
      </c>
      <c r="Y182" s="249">
        <v>889.16</v>
      </c>
      <c r="Z182" s="243">
        <f ca="1">[1]ExtEntry!$G80</f>
        <v>889.16</v>
      </c>
      <c r="AA182" s="273"/>
      <c r="AB182" s="1112">
        <v>0.87130723658501563</v>
      </c>
      <c r="AC182" s="1112">
        <v>0.5143098986536554</v>
      </c>
      <c r="AD182" s="1112">
        <v>0.79592194313113518</v>
      </c>
      <c r="AE182" s="1112">
        <v>1.1535218906349571</v>
      </c>
      <c r="AF182" s="1112">
        <v>1.1469184137292556E-5</v>
      </c>
      <c r="AG182" s="1112">
        <v>0.30271831547034872</v>
      </c>
      <c r="AH182" s="1112">
        <v>0.87060033450445062</v>
      </c>
      <c r="AI182" s="1112">
        <v>0.84264371326404564</v>
      </c>
      <c r="AJ182" s="1112">
        <v>0.37970210206567501</v>
      </c>
      <c r="AK182" s="1112">
        <v>0.94155610478486551</v>
      </c>
      <c r="AL182" s="1112">
        <v>0.4411849619902124</v>
      </c>
      <c r="AM182" s="1112">
        <v>0.4992237451406652</v>
      </c>
      <c r="AN182" s="1112">
        <v>0.77193046331265136</v>
      </c>
      <c r="AO182" s="1112">
        <v>0.66384301517123911</v>
      </c>
      <c r="AP182" s="1112">
        <v>1.1504435323780433</v>
      </c>
      <c r="AQ182" s="1112">
        <v>0.40624612360569079</v>
      </c>
      <c r="AR182" s="1112">
        <v>1.1572770108114891</v>
      </c>
      <c r="AS182" s="1112">
        <v>0.39212624356368181</v>
      </c>
      <c r="AT182" s="1112">
        <v>1.1675077516695715</v>
      </c>
      <c r="AU182" s="1112">
        <v>1.2888796962689482</v>
      </c>
      <c r="AV182" s="1071">
        <f ca="1">Calc!BC80</f>
        <v>1.2888796962689482</v>
      </c>
      <c r="AW182" s="275"/>
      <c r="AX182" s="86" t="str">
        <f t="shared" ca="1" si="12"/>
        <v>GS</v>
      </c>
      <c r="BA182" s="249">
        <v>9212</v>
      </c>
      <c r="CP182" s="273"/>
      <c r="EH182" s="108"/>
    </row>
    <row r="183" spans="1:138" hidden="1">
      <c r="A183" s="237" t="str">
        <f t="shared" ca="1" si="11"/>
        <v>LAZR</v>
      </c>
      <c r="B183" s="238" t="str">
        <f ca="1">[1]ExtEntry!$D81</f>
        <v>USD</v>
      </c>
      <c r="C183" s="239"/>
      <c r="D183" s="1063">
        <f>ROW()</f>
        <v>183</v>
      </c>
      <c r="E183" s="240"/>
      <c r="F183" s="249">
        <v>1.34</v>
      </c>
      <c r="G183" s="249">
        <v>1.24</v>
      </c>
      <c r="H183" s="249">
        <v>1.1599999999999999</v>
      </c>
      <c r="I183" s="249">
        <v>1.1499999999999999</v>
      </c>
      <c r="J183" s="249">
        <v>0.86990000000000001</v>
      </c>
      <c r="K183" s="249">
        <v>0.9</v>
      </c>
      <c r="L183" s="249">
        <v>0.91</v>
      </c>
      <c r="M183" s="249">
        <v>0.90500000000000003</v>
      </c>
      <c r="N183" s="249">
        <v>0.78</v>
      </c>
      <c r="O183" s="249">
        <v>0.78</v>
      </c>
      <c r="P183" s="249">
        <v>0.8</v>
      </c>
      <c r="Q183" s="249">
        <v>0.88260000000000005</v>
      </c>
      <c r="R183" s="249">
        <v>0.85</v>
      </c>
      <c r="S183" s="249">
        <v>0.81879999999999997</v>
      </c>
      <c r="T183" s="249">
        <v>0.81879999999999997</v>
      </c>
      <c r="U183" s="249">
        <v>0.89</v>
      </c>
      <c r="V183" s="249">
        <v>1.05</v>
      </c>
      <c r="W183" s="249">
        <v>0.85</v>
      </c>
      <c r="X183" s="249">
        <v>0.86299999999999999</v>
      </c>
      <c r="Y183" s="249">
        <v>0.87</v>
      </c>
      <c r="Z183" s="243">
        <f ca="1">[1]ExtEntry!$G81</f>
        <v>0.87</v>
      </c>
      <c r="AA183" s="273"/>
      <c r="AB183" s="1112">
        <v>0.62008787944104105</v>
      </c>
      <c r="AC183" s="1112">
        <v>0.42837500097967723</v>
      </c>
      <c r="AD183" s="1112">
        <v>0.35601021921338849</v>
      </c>
      <c r="AE183" s="1112">
        <v>0.92710069242185555</v>
      </c>
      <c r="AF183" s="1112">
        <v>2.6984428648806833E-5</v>
      </c>
      <c r="AG183" s="1112">
        <v>0.3115700601485013</v>
      </c>
      <c r="AH183" s="1112">
        <v>0.67016815259742568</v>
      </c>
      <c r="AI183" s="1112">
        <v>0.27285872274698081</v>
      </c>
      <c r="AJ183" s="1112">
        <v>0.20624105828247016</v>
      </c>
      <c r="AK183" s="1112">
        <v>0.3248879620558513</v>
      </c>
      <c r="AL183" s="1112">
        <v>0.32664861053970623</v>
      </c>
      <c r="AM183" s="1112">
        <v>0.13053546889785503</v>
      </c>
      <c r="AN183" s="1112">
        <v>0.13689937686856915</v>
      </c>
      <c r="AO183" s="1112">
        <v>0.3702420175509526</v>
      </c>
      <c r="AP183" s="1112">
        <v>0.24677558760430574</v>
      </c>
      <c r="AQ183" s="1112">
        <v>1.5069520230038578</v>
      </c>
      <c r="AR183" s="1112">
        <v>0.88562141040357556</v>
      </c>
      <c r="AS183" s="1112">
        <v>0.21305674879708567</v>
      </c>
      <c r="AT183" s="1112">
        <v>0.37875344456351884</v>
      </c>
      <c r="AU183" s="1112">
        <v>1.5841251522935991</v>
      </c>
      <c r="AV183" s="1071">
        <f ca="1">Calc!BC81</f>
        <v>1.5841251522935991</v>
      </c>
      <c r="AW183" s="275"/>
      <c r="AX183" s="86" t="str">
        <f t="shared" ca="1" si="12"/>
        <v>LAZR</v>
      </c>
      <c r="BA183" s="249">
        <v>9311</v>
      </c>
      <c r="CP183" s="273"/>
      <c r="EH183" s="108"/>
    </row>
    <row r="184" spans="1:138" hidden="1">
      <c r="A184" s="237" t="str">
        <f t="shared" ca="1" si="11"/>
        <v>LUV</v>
      </c>
      <c r="B184" s="246" t="str">
        <f ca="1">[1]ExtEntry!$D82</f>
        <v>USD</v>
      </c>
      <c r="C184" s="247"/>
      <c r="D184" s="818">
        <f>ROW()</f>
        <v>184</v>
      </c>
      <c r="E184" s="248"/>
      <c r="F184" s="249">
        <v>29.8</v>
      </c>
      <c r="G184" s="249">
        <v>31.43</v>
      </c>
      <c r="H184" s="249">
        <v>31.16</v>
      </c>
      <c r="I184" s="249">
        <v>32.549999999999997</v>
      </c>
      <c r="J184" s="249">
        <v>31.66</v>
      </c>
      <c r="K184" s="249">
        <v>32.35</v>
      </c>
      <c r="L184" s="249">
        <v>32.28</v>
      </c>
      <c r="M184" s="249">
        <v>31.47</v>
      </c>
      <c r="N184" s="249">
        <v>34.299999999999997</v>
      </c>
      <c r="O184" s="249">
        <v>34.36</v>
      </c>
      <c r="P184" s="249">
        <v>35.049999999999997</v>
      </c>
      <c r="Q184" s="249">
        <v>34.450000000000003</v>
      </c>
      <c r="R184" s="249">
        <v>34.884999999999998</v>
      </c>
      <c r="S184" s="249">
        <v>35.43</v>
      </c>
      <c r="T184" s="249">
        <v>35.42</v>
      </c>
      <c r="U184" s="249">
        <v>35.575000000000003</v>
      </c>
      <c r="V184" s="249">
        <v>35.31</v>
      </c>
      <c r="W184" s="249">
        <v>37.634999999999998</v>
      </c>
      <c r="X184" s="249">
        <v>38.200000000000003</v>
      </c>
      <c r="Y184" s="249">
        <v>39.83</v>
      </c>
      <c r="Z184" s="243">
        <f ca="1">[1]ExtEntry!$G82</f>
        <v>39.83</v>
      </c>
      <c r="AA184" s="273"/>
      <c r="AB184" s="1112">
        <v>0.91160415755727153</v>
      </c>
      <c r="AC184" s="1112">
        <v>0.53316593169016746</v>
      </c>
      <c r="AD184" s="1112">
        <v>0.64167079567908047</v>
      </c>
      <c r="AE184" s="1112">
        <v>0.77448041986273719</v>
      </c>
      <c r="AF184" s="1112">
        <v>1.5104692131633566E-5</v>
      </c>
      <c r="AG184" s="1112">
        <v>0.20642376670487633</v>
      </c>
      <c r="AH184" s="1112">
        <v>0.39270624402554832</v>
      </c>
      <c r="AI184" s="1112">
        <v>0.45894134199839703</v>
      </c>
      <c r="AJ184" s="1112">
        <v>0.27130598548910939</v>
      </c>
      <c r="AK184" s="1112">
        <v>0.5082816160015442</v>
      </c>
      <c r="AL184" s="1112">
        <v>0.27840596875410417</v>
      </c>
      <c r="AM184" s="1112">
        <v>0.36761561216303168</v>
      </c>
      <c r="AN184" s="1112">
        <v>0.58763074282129302</v>
      </c>
      <c r="AO184" s="1112">
        <v>0.513132797406334</v>
      </c>
      <c r="AP184" s="1112">
        <v>0.84934863933694194</v>
      </c>
      <c r="AQ184" s="1112">
        <v>0.42162071343603036</v>
      </c>
      <c r="AR184" s="1112">
        <v>2.0275059003285629</v>
      </c>
      <c r="AS184" s="1112">
        <v>0.38898008600488154</v>
      </c>
      <c r="AT184" s="1112">
        <v>2.1445326332834367</v>
      </c>
      <c r="AU184" s="1112">
        <v>2.7751078974989354</v>
      </c>
      <c r="AV184" s="1071">
        <f ca="1">Calc!BC82</f>
        <v>2.7751078974989354</v>
      </c>
      <c r="AW184" s="275"/>
      <c r="AX184" s="86" t="str">
        <f t="shared" ca="1" si="12"/>
        <v>LUV</v>
      </c>
      <c r="BA184" s="249">
        <v>9410</v>
      </c>
      <c r="CP184" s="273"/>
      <c r="EH184" s="108"/>
    </row>
    <row r="185" spans="1:138" hidden="1">
      <c r="A185" s="237" t="str">
        <f t="shared" ca="1" si="11"/>
        <v>MA</v>
      </c>
      <c r="B185" s="238" t="str">
        <f ca="1">[1]ExtEntry!$D83</f>
        <v>USD</v>
      </c>
      <c r="C185" s="239"/>
      <c r="D185" s="1063">
        <f>ROW()</f>
        <v>185</v>
      </c>
      <c r="E185" s="240"/>
      <c r="F185" s="249">
        <v>553</v>
      </c>
      <c r="G185" s="249">
        <v>550.66999999999996</v>
      </c>
      <c r="H185" s="249">
        <v>553.75</v>
      </c>
      <c r="I185" s="249">
        <v>556.04</v>
      </c>
      <c r="J185" s="249">
        <v>533.55999999999995</v>
      </c>
      <c r="K185" s="249">
        <v>528.29999999999995</v>
      </c>
      <c r="L185" s="249">
        <v>533.01</v>
      </c>
      <c r="M185" s="249">
        <v>532.5</v>
      </c>
      <c r="N185" s="249">
        <v>546.26</v>
      </c>
      <c r="O185" s="249">
        <v>548.47500000000002</v>
      </c>
      <c r="P185" s="249">
        <v>548.125</v>
      </c>
      <c r="Q185" s="249">
        <v>547</v>
      </c>
      <c r="R185" s="249">
        <v>546.59</v>
      </c>
      <c r="S185" s="249">
        <v>547.28</v>
      </c>
      <c r="T185" s="249">
        <v>547.32000000000005</v>
      </c>
      <c r="U185" s="249">
        <v>556.82500000000005</v>
      </c>
      <c r="V185" s="249">
        <v>541.71</v>
      </c>
      <c r="W185" s="249">
        <v>538.77</v>
      </c>
      <c r="X185" s="249">
        <v>538.09</v>
      </c>
      <c r="Y185" s="249">
        <v>543.78</v>
      </c>
      <c r="Z185" s="243">
        <f ca="1">[1]ExtEntry!$G83</f>
        <v>543.78</v>
      </c>
      <c r="AA185" s="273"/>
      <c r="AB185" s="1112">
        <v>0.79567124822572854</v>
      </c>
      <c r="AC185" s="1112">
        <v>0.57069141843696192</v>
      </c>
      <c r="AD185" s="1112">
        <v>0.61408189407985569</v>
      </c>
      <c r="AE185" s="1112">
        <v>0.96862293618852791</v>
      </c>
      <c r="AF185" s="1112">
        <v>1.1526595402237701E-4</v>
      </c>
      <c r="AG185" s="1112">
        <v>0.37491543836259045</v>
      </c>
      <c r="AH185" s="1112">
        <v>0.44840785617803253</v>
      </c>
      <c r="AI185" s="1112">
        <v>0.89779877592894008</v>
      </c>
      <c r="AJ185" s="1112">
        <v>0.30157287676288869</v>
      </c>
      <c r="AK185" s="1112">
        <v>0.76234549704852306</v>
      </c>
      <c r="AL185" s="1112">
        <v>0.43548873579240271</v>
      </c>
      <c r="AM185" s="1112">
        <v>0.27885839027867204</v>
      </c>
      <c r="AN185" s="1112">
        <v>0.75009949994718983</v>
      </c>
      <c r="AO185" s="1112">
        <v>0.62455346448742022</v>
      </c>
      <c r="AP185" s="1112">
        <v>0.93053762629649495</v>
      </c>
      <c r="AQ185" s="1112">
        <v>0.37020213204315666</v>
      </c>
      <c r="AR185" s="1112">
        <v>0.75451448488146922</v>
      </c>
      <c r="AS185" s="1112">
        <v>0.25005413474081178</v>
      </c>
      <c r="AT185" s="1112">
        <v>1.1455525657531309</v>
      </c>
      <c r="AU185" s="1112">
        <v>1.2355910357032382</v>
      </c>
      <c r="AV185" s="1071">
        <f ca="1">Calc!BC83</f>
        <v>1.2355910357032382</v>
      </c>
      <c r="AW185" s="275"/>
      <c r="AX185" s="86" t="str">
        <f t="shared" ca="1" si="12"/>
        <v>MA</v>
      </c>
      <c r="BA185" s="249">
        <v>9509</v>
      </c>
      <c r="CP185" s="273"/>
      <c r="EH185" s="108"/>
    </row>
    <row r="186" spans="1:138" hidden="1">
      <c r="A186" s="237" t="str">
        <f t="shared" ca="1" si="11"/>
        <v>NVAX</v>
      </c>
      <c r="B186" s="246" t="str">
        <f ca="1">[1]ExtEntry!$D84</f>
        <v>USD</v>
      </c>
      <c r="C186" s="247"/>
      <c r="D186" s="818">
        <f>ROW()</f>
        <v>186</v>
      </c>
      <c r="E186" s="248"/>
      <c r="F186" s="249">
        <v>7.54</v>
      </c>
      <c r="G186" s="249">
        <v>7.48</v>
      </c>
      <c r="H186" s="249">
        <v>7.46</v>
      </c>
      <c r="I186" s="249">
        <v>6.92</v>
      </c>
      <c r="J186" s="249">
        <v>6.61</v>
      </c>
      <c r="K186" s="249">
        <v>6.61</v>
      </c>
      <c r="L186" s="249">
        <v>6.41</v>
      </c>
      <c r="M186" s="249">
        <v>6.25</v>
      </c>
      <c r="N186" s="249">
        <v>6.78</v>
      </c>
      <c r="O186" s="249">
        <v>6.77</v>
      </c>
      <c r="P186" s="249">
        <v>6.97</v>
      </c>
      <c r="Q186" s="249">
        <v>6.87</v>
      </c>
      <c r="R186" s="249">
        <v>6.71</v>
      </c>
      <c r="S186" s="249">
        <v>6.6</v>
      </c>
      <c r="T186" s="249">
        <v>6.6</v>
      </c>
      <c r="U186" s="249">
        <v>6.78</v>
      </c>
      <c r="V186" s="249">
        <v>6.85</v>
      </c>
      <c r="W186" s="249">
        <v>6.71</v>
      </c>
      <c r="X186" s="249">
        <v>6.64</v>
      </c>
      <c r="Y186" s="249">
        <v>6.72</v>
      </c>
      <c r="Z186" s="243">
        <f ca="1">[1]ExtEntry!$G84</f>
        <v>6.72</v>
      </c>
      <c r="AA186" s="273"/>
      <c r="AB186" s="1112">
        <v>1.1353973792746423</v>
      </c>
      <c r="AC186" s="1112">
        <v>1.0585002831016916</v>
      </c>
      <c r="AD186" s="1112">
        <v>0.9044910655758166</v>
      </c>
      <c r="AE186" s="1112">
        <v>0.78601268045620065</v>
      </c>
      <c r="AF186" s="1112">
        <v>7.5113181396309063E-5</v>
      </c>
      <c r="AG186" s="1112">
        <v>0.72210564714953263</v>
      </c>
      <c r="AH186" s="1112">
        <v>0.5544228412309119</v>
      </c>
      <c r="AI186" s="1112">
        <v>0.67612913838442223</v>
      </c>
      <c r="AJ186" s="1112">
        <v>0.32088630611060404</v>
      </c>
      <c r="AK186" s="1112">
        <v>0.65508550703346824</v>
      </c>
      <c r="AL186" s="1112">
        <v>0.3713089824944682</v>
      </c>
      <c r="AM186" s="1112">
        <v>0.35006178310443647</v>
      </c>
      <c r="AN186" s="1112">
        <v>0.5263822877804859</v>
      </c>
      <c r="AO186" s="1112">
        <v>0.86493019869038745</v>
      </c>
      <c r="AP186" s="1112">
        <v>0.83892181922238784</v>
      </c>
      <c r="AQ186" s="1112">
        <v>0.19796116887565338</v>
      </c>
      <c r="AR186" s="1112">
        <v>0.91640597703764493</v>
      </c>
      <c r="AS186" s="1112">
        <v>0.20283305398106424</v>
      </c>
      <c r="AT186" s="1112">
        <v>0.77413912644947869</v>
      </c>
      <c r="AU186" s="1112">
        <v>0.6525138583606388</v>
      </c>
      <c r="AV186" s="1071">
        <f ca="1">Calc!BC84</f>
        <v>0.6525138583606388</v>
      </c>
      <c r="AW186" s="275"/>
      <c r="AX186" s="86" t="str">
        <f t="shared" ca="1" si="12"/>
        <v>NVAX</v>
      </c>
      <c r="BA186" s="249">
        <v>9608</v>
      </c>
      <c r="CP186" s="273"/>
      <c r="EH186" s="108"/>
    </row>
    <row r="187" spans="1:138" hidden="1">
      <c r="A187" s="237" t="str">
        <f t="shared" ca="1" si="11"/>
        <v>NVS</v>
      </c>
      <c r="B187" s="238" t="str">
        <f ca="1">[1]ExtEntry!$D85</f>
        <v>USD</v>
      </c>
      <c r="C187" s="239"/>
      <c r="D187" s="1063">
        <f>ROW()</f>
        <v>187</v>
      </c>
      <c r="E187" s="240"/>
      <c r="F187" s="249">
        <v>124.53</v>
      </c>
      <c r="G187" s="249">
        <v>126.35</v>
      </c>
      <c r="H187" s="249">
        <v>126.47</v>
      </c>
      <c r="I187" s="249">
        <v>132.46</v>
      </c>
      <c r="J187" s="249">
        <v>127.83</v>
      </c>
      <c r="K187" s="249">
        <v>128.19999999999999</v>
      </c>
      <c r="L187" s="249">
        <v>125.61</v>
      </c>
      <c r="M187" s="249">
        <v>126</v>
      </c>
      <c r="N187" s="249">
        <v>129.9</v>
      </c>
      <c r="O187" s="249">
        <v>130.16</v>
      </c>
      <c r="P187" s="249">
        <v>130.21</v>
      </c>
      <c r="Q187" s="249">
        <v>131.02000000000001</v>
      </c>
      <c r="R187" s="249">
        <v>131.52000000000001</v>
      </c>
      <c r="S187" s="249">
        <v>133.54</v>
      </c>
      <c r="T187" s="249">
        <v>133.62</v>
      </c>
      <c r="U187" s="249">
        <v>133.63999999999999</v>
      </c>
      <c r="V187" s="249">
        <v>133.82</v>
      </c>
      <c r="W187" s="249">
        <v>132.55000000000001</v>
      </c>
      <c r="X187" s="249">
        <v>131.05000000000001</v>
      </c>
      <c r="Y187" s="249">
        <v>132.44999999999999</v>
      </c>
      <c r="Z187" s="243">
        <f ca="1">[1]ExtEntry!$G85</f>
        <v>132.44999999999999</v>
      </c>
      <c r="AA187" s="273"/>
      <c r="AB187" s="1112">
        <v>0.67879337974871057</v>
      </c>
      <c r="AC187" s="1112">
        <v>0.51201027711423863</v>
      </c>
      <c r="AD187" s="1112">
        <v>0.69127556692117309</v>
      </c>
      <c r="AE187" s="1112">
        <v>1.0769146692992981</v>
      </c>
      <c r="AF187" s="1112">
        <v>1.8330362412299734E-3</v>
      </c>
      <c r="AG187" s="1112">
        <v>0.44179256424314578</v>
      </c>
      <c r="AH187" s="1112">
        <v>1.0039624638547062</v>
      </c>
      <c r="AI187" s="1112">
        <v>1.0087976657426612</v>
      </c>
      <c r="AJ187" s="1112">
        <v>0.46946905418063833</v>
      </c>
      <c r="AK187" s="1112">
        <v>0.7124595104600806</v>
      </c>
      <c r="AL187" s="1112">
        <v>0.81721784606915315</v>
      </c>
      <c r="AM187" s="1112">
        <v>0.53471779589285973</v>
      </c>
      <c r="AN187" s="1112">
        <v>0.90842546911101729</v>
      </c>
      <c r="AO187" s="1112">
        <v>0.61470863487489391</v>
      </c>
      <c r="AP187" s="1112">
        <v>0.68525297670095442</v>
      </c>
      <c r="AQ187" s="1112">
        <v>0.3409697801681178</v>
      </c>
      <c r="AR187" s="1112">
        <v>1.2111522400658818</v>
      </c>
      <c r="AS187" s="1112">
        <v>0.53047907492307711</v>
      </c>
      <c r="AT187" s="1112">
        <v>1.2332772604134925</v>
      </c>
      <c r="AU187" s="1112">
        <v>1.2135400759484285</v>
      </c>
      <c r="AV187" s="1071">
        <f ca="1">Calc!BC85</f>
        <v>1.2135400759484285</v>
      </c>
      <c r="AW187" s="275"/>
      <c r="AX187" s="86" t="str">
        <f t="shared" ca="1" si="12"/>
        <v>NVS</v>
      </c>
      <c r="BA187" s="249">
        <v>1691</v>
      </c>
      <c r="CP187" s="273"/>
      <c r="EH187" s="108"/>
    </row>
    <row r="188" spans="1:138" hidden="1">
      <c r="A188" s="237" t="str">
        <f t="shared" ca="1" si="11"/>
        <v>ORA</v>
      </c>
      <c r="B188" s="246" t="str">
        <f ca="1">[1]ExtEntry!$D86</f>
        <v>EUR</v>
      </c>
      <c r="C188" s="247"/>
      <c r="D188" s="818">
        <f>ROW()</f>
        <v>188</v>
      </c>
      <c r="E188" s="248"/>
      <c r="F188" s="249">
        <v>13.73</v>
      </c>
      <c r="G188" s="249">
        <v>13.83</v>
      </c>
      <c r="H188" s="249">
        <v>13.95</v>
      </c>
      <c r="I188" s="249">
        <v>14.35</v>
      </c>
      <c r="J188" s="249">
        <v>13.994999999999999</v>
      </c>
      <c r="K188" s="249">
        <v>13.994999999999999</v>
      </c>
      <c r="L188" s="249">
        <v>13.785</v>
      </c>
      <c r="M188" s="249">
        <v>13.64</v>
      </c>
      <c r="N188" s="249">
        <v>13.965</v>
      </c>
      <c r="O188" s="249">
        <v>14.065</v>
      </c>
      <c r="P188" s="249">
        <v>14.135</v>
      </c>
      <c r="Q188" s="249">
        <v>14.154999999999999</v>
      </c>
      <c r="R188" s="249">
        <v>13.87</v>
      </c>
      <c r="S188" s="249">
        <v>14.03</v>
      </c>
      <c r="T188" s="249">
        <v>14.03</v>
      </c>
      <c r="U188" s="249">
        <v>14.035</v>
      </c>
      <c r="V188" s="249">
        <v>14.025</v>
      </c>
      <c r="W188" s="249">
        <v>13.734999999999999</v>
      </c>
      <c r="X188" s="249">
        <v>13.68</v>
      </c>
      <c r="Y188" s="249">
        <v>13.645</v>
      </c>
      <c r="Z188" s="243">
        <f ca="1">[1]ExtEntry!$G86</f>
        <v>13.645</v>
      </c>
      <c r="AA188" s="273"/>
      <c r="AB188" s="1112">
        <v>0.93614477517696715</v>
      </c>
      <c r="AC188" s="1112">
        <v>1.0147540298657129</v>
      </c>
      <c r="AD188" s="1112">
        <v>1.0808883296742351</v>
      </c>
      <c r="AE188" s="1112">
        <v>1.3060037337623358</v>
      </c>
      <c r="AF188" s="1112">
        <v>0.68889065677858563</v>
      </c>
      <c r="AG188" s="1112">
        <v>1.2898279166741773</v>
      </c>
      <c r="AH188" s="1112">
        <v>0.91478384876217689</v>
      </c>
      <c r="AI188" s="1112">
        <v>0.98428640913537802</v>
      </c>
      <c r="AJ188" s="1112">
        <v>0.89969813637275442</v>
      </c>
      <c r="AK188" s="1112">
        <v>0.41164661381076584</v>
      </c>
      <c r="AL188" s="1112">
        <v>0.68097281898661932</v>
      </c>
      <c r="AM188" s="1112">
        <v>0.72875877013001311</v>
      </c>
      <c r="AN188" s="1112">
        <v>0.95843383743857158</v>
      </c>
      <c r="AO188" s="1112">
        <v>0.24259168709785756</v>
      </c>
      <c r="AP188" s="1112">
        <v>1.0882888160149795</v>
      </c>
      <c r="AQ188" s="1112">
        <v>0.93001171553254514</v>
      </c>
      <c r="AR188" s="1112">
        <v>0.91897946720657209</v>
      </c>
      <c r="AS188" s="1112">
        <v>0.89161090549398281</v>
      </c>
      <c r="AT188" s="1112">
        <v>0.97772873697252383</v>
      </c>
      <c r="AU188" s="1112">
        <v>0.67743021645652646</v>
      </c>
      <c r="AV188" s="1071">
        <f ca="1">Calc!BC86</f>
        <v>0.67743021645652646</v>
      </c>
      <c r="AW188" s="275"/>
      <c r="AX188" s="86" t="str">
        <f t="shared" ca="1" si="12"/>
        <v>ORA</v>
      </c>
      <c r="CP188" s="273"/>
      <c r="EH188" s="108"/>
    </row>
    <row r="189" spans="1:138" hidden="1">
      <c r="A189" s="237" t="str">
        <f t="shared" ca="1" si="11"/>
        <v>OXY</v>
      </c>
      <c r="B189" s="238" t="str">
        <f ca="1">[1]ExtEntry!$D87</f>
        <v>USD</v>
      </c>
      <c r="C189" s="239"/>
      <c r="D189" s="1063">
        <f>ROW()</f>
        <v>189</v>
      </c>
      <c r="E189" s="240"/>
      <c r="F189" s="249">
        <v>40.08</v>
      </c>
      <c r="G189" s="249">
        <v>40</v>
      </c>
      <c r="H189" s="249">
        <v>40.42</v>
      </c>
      <c r="I189" s="249">
        <v>42.024999999999999</v>
      </c>
      <c r="J189" s="249">
        <v>41.5</v>
      </c>
      <c r="K189" s="249">
        <v>41.41</v>
      </c>
      <c r="L189" s="249">
        <v>41.77</v>
      </c>
      <c r="M189" s="249">
        <v>40.98</v>
      </c>
      <c r="N189" s="249">
        <v>41.4</v>
      </c>
      <c r="O189" s="249">
        <v>41.39</v>
      </c>
      <c r="P189" s="249">
        <v>41.42</v>
      </c>
      <c r="Q189" s="249">
        <v>42.08</v>
      </c>
      <c r="R189" s="249">
        <v>42.25</v>
      </c>
      <c r="S189" s="249">
        <v>42.284999999999997</v>
      </c>
      <c r="T189" s="249">
        <v>42.29</v>
      </c>
      <c r="U189" s="249">
        <v>42.5</v>
      </c>
      <c r="V189" s="249">
        <v>42.56</v>
      </c>
      <c r="W189" s="249">
        <v>41.07</v>
      </c>
      <c r="X189" s="249">
        <v>41.49</v>
      </c>
      <c r="Y189" s="249">
        <v>41.08</v>
      </c>
      <c r="Z189" s="243">
        <f ca="1">[1]ExtEntry!$G87</f>
        <v>41.08</v>
      </c>
      <c r="AA189" s="273"/>
      <c r="AB189" s="1112">
        <v>0.71260016402092197</v>
      </c>
      <c r="AC189" s="1112">
        <v>0.63212805900613556</v>
      </c>
      <c r="AD189" s="1112">
        <v>0.73549582470054142</v>
      </c>
      <c r="AE189" s="1112">
        <v>0.84502996103642525</v>
      </c>
      <c r="AF189" s="1112">
        <v>2.2063258310121159E-4</v>
      </c>
      <c r="AG189" s="1112">
        <v>0.35175595594262754</v>
      </c>
      <c r="AH189" s="1112">
        <v>0.64403611639008496</v>
      </c>
      <c r="AI189" s="1112">
        <v>0.60651242102928316</v>
      </c>
      <c r="AJ189" s="1112">
        <v>0.44632417159216137</v>
      </c>
      <c r="AK189" s="1112">
        <v>0.73692204266835992</v>
      </c>
      <c r="AL189" s="1112">
        <v>0.43721508822843302</v>
      </c>
      <c r="AM189" s="1112">
        <v>0.43195247702062917</v>
      </c>
      <c r="AN189" s="1112">
        <v>0.75551637775933955</v>
      </c>
      <c r="AO189" s="1112">
        <v>0.52938881184767361</v>
      </c>
      <c r="AP189" s="1112">
        <v>0.77093859248153396</v>
      </c>
      <c r="AQ189" s="1112">
        <v>0.25923581132215506</v>
      </c>
      <c r="AR189" s="1112">
        <v>1.1571078130636048</v>
      </c>
      <c r="AS189" s="1112">
        <v>0.37974100353950796</v>
      </c>
      <c r="AT189" s="1112">
        <v>1.0562857286748419</v>
      </c>
      <c r="AU189" s="1112">
        <v>0.87848413970723505</v>
      </c>
      <c r="AV189" s="1071">
        <f ca="1">Calc!BC87</f>
        <v>0.87848413970723505</v>
      </c>
      <c r="AW189" s="275"/>
      <c r="AX189" s="86" t="str">
        <f t="shared" ca="1" si="12"/>
        <v>OXY</v>
      </c>
      <c r="CP189" s="273"/>
      <c r="EH189" s="108"/>
    </row>
    <row r="190" spans="1:138" hidden="1">
      <c r="A190" s="237" t="str">
        <f t="shared" ca="1" si="11"/>
        <v>PFE</v>
      </c>
      <c r="B190" s="246" t="str">
        <f ca="1">[1]ExtEntry!$D88</f>
        <v>USD</v>
      </c>
      <c r="C190" s="247"/>
      <c r="D190" s="818">
        <f>ROW()</f>
        <v>190</v>
      </c>
      <c r="E190" s="248"/>
      <c r="F190" s="249">
        <v>24.38</v>
      </c>
      <c r="G190" s="249">
        <v>24.72</v>
      </c>
      <c r="H190" s="249">
        <v>24.34</v>
      </c>
      <c r="I190" s="249">
        <v>25.67</v>
      </c>
      <c r="J190" s="249">
        <v>25.05</v>
      </c>
      <c r="K190" s="249">
        <v>25.36</v>
      </c>
      <c r="L190" s="249">
        <v>24.93</v>
      </c>
      <c r="M190" s="249">
        <v>24.66</v>
      </c>
      <c r="N190" s="249">
        <v>25.715</v>
      </c>
      <c r="O190" s="249">
        <v>25.7</v>
      </c>
      <c r="P190" s="249">
        <v>25.85</v>
      </c>
      <c r="Q190" s="249">
        <v>25.81</v>
      </c>
      <c r="R190" s="249">
        <v>25.3</v>
      </c>
      <c r="S190" s="249">
        <v>25.32</v>
      </c>
      <c r="T190" s="249">
        <v>25.32</v>
      </c>
      <c r="U190" s="249">
        <v>25.62</v>
      </c>
      <c r="V190" s="249">
        <v>25.77</v>
      </c>
      <c r="W190" s="249">
        <v>26</v>
      </c>
      <c r="X190" s="249">
        <v>25.49</v>
      </c>
      <c r="Y190" s="249">
        <v>25.88</v>
      </c>
      <c r="Z190" s="243">
        <f ca="1">[1]ExtEntry!$G88</f>
        <v>25.88</v>
      </c>
      <c r="AA190" s="273"/>
      <c r="AB190" s="1112">
        <v>1.5599755473789623</v>
      </c>
      <c r="AC190" s="1112">
        <v>1.5132955060012763</v>
      </c>
      <c r="AD190" s="1112">
        <v>1.5310946563079202</v>
      </c>
      <c r="AE190" s="1112">
        <v>1.1613022186401964</v>
      </c>
      <c r="AF190" s="1112">
        <v>2.3700198487418644E-4</v>
      </c>
      <c r="AG190" s="1112">
        <v>0.27609049062415064</v>
      </c>
      <c r="AH190" s="1112">
        <v>0.38414094037625918</v>
      </c>
      <c r="AI190" s="1112">
        <v>0.63611163591661735</v>
      </c>
      <c r="AJ190" s="1112">
        <v>0.20754138598259936</v>
      </c>
      <c r="AK190" s="1112">
        <v>0.3709136769300313</v>
      </c>
      <c r="AL190" s="1112">
        <v>0.25244796815978249</v>
      </c>
      <c r="AM190" s="1112">
        <v>0.33047396667285128</v>
      </c>
      <c r="AN190" s="1112">
        <v>0.41502651602955587</v>
      </c>
      <c r="AO190" s="1112">
        <v>0.48221581250423051</v>
      </c>
      <c r="AP190" s="1112">
        <v>0.5669583731687593</v>
      </c>
      <c r="AQ190" s="1112">
        <v>0.11486806419583481</v>
      </c>
      <c r="AR190" s="1112">
        <v>0.52971278843857594</v>
      </c>
      <c r="AS190" s="1112">
        <v>0.19054232145238634</v>
      </c>
      <c r="AT190" s="1112">
        <v>0.56089774174413443</v>
      </c>
      <c r="AU190" s="1112">
        <v>0.47391678552967959</v>
      </c>
      <c r="AV190" s="1071">
        <f ca="1">Calc!BC88</f>
        <v>0.47391678552967959</v>
      </c>
      <c r="AW190" s="275"/>
      <c r="AX190" s="86" t="str">
        <f t="shared" ca="1" si="12"/>
        <v>PFE</v>
      </c>
      <c r="CP190" s="273"/>
      <c r="EH190" s="108"/>
    </row>
    <row r="191" spans="1:138" hidden="1">
      <c r="A191" s="237" t="str">
        <f t="shared" ca="1" si="11"/>
        <v>RIG</v>
      </c>
      <c r="B191" s="238" t="str">
        <f ca="1">[1]ExtEntry!$D89</f>
        <v>USD</v>
      </c>
      <c r="C191" s="239"/>
      <c r="D191" s="1063">
        <f>ROW()</f>
        <v>191</v>
      </c>
      <c r="E191" s="240"/>
      <c r="F191" s="249">
        <v>3.86</v>
      </c>
      <c r="G191" s="249">
        <v>3.89</v>
      </c>
      <c r="H191" s="249">
        <v>3.89</v>
      </c>
      <c r="I191" s="249">
        <v>4.01</v>
      </c>
      <c r="J191" s="249">
        <v>4.03</v>
      </c>
      <c r="K191" s="249">
        <v>4.0149999999999997</v>
      </c>
      <c r="L191" s="249">
        <v>4.1399999999999997</v>
      </c>
      <c r="M191" s="249">
        <v>3.8</v>
      </c>
      <c r="N191" s="249">
        <v>4.16</v>
      </c>
      <c r="O191" s="249">
        <v>4.18</v>
      </c>
      <c r="P191" s="249">
        <v>4.33</v>
      </c>
      <c r="Q191" s="249">
        <v>4.3899999999999997</v>
      </c>
      <c r="R191" s="249">
        <v>4.34</v>
      </c>
      <c r="S191" s="249">
        <v>4.38</v>
      </c>
      <c r="T191" s="249">
        <v>4.38</v>
      </c>
      <c r="U191" s="249">
        <v>4.4749999999999996</v>
      </c>
      <c r="V191" s="249">
        <v>4.45</v>
      </c>
      <c r="W191" s="249">
        <v>4.42</v>
      </c>
      <c r="X191" s="249">
        <v>4.37</v>
      </c>
      <c r="Y191" s="249">
        <v>4.2649999999999997</v>
      </c>
      <c r="Z191" s="243">
        <f ca="1">[1]ExtEntry!$G89</f>
        <v>4.2649999999999997</v>
      </c>
      <c r="AA191" s="273"/>
      <c r="AB191" s="1112">
        <v>0.71321713746444682</v>
      </c>
      <c r="AC191" s="1112">
        <v>0.60137355687799299</v>
      </c>
      <c r="AD191" s="1112">
        <v>0.60737840672962018</v>
      </c>
      <c r="AE191" s="1112">
        <v>0.5092200428853404</v>
      </c>
      <c r="AF191" s="1112">
        <v>0.69688252291243458</v>
      </c>
      <c r="AG191" s="1112">
        <v>0.28714308244093012</v>
      </c>
      <c r="AH191" s="1112">
        <v>0.56718511157174101</v>
      </c>
      <c r="AI191" s="1112">
        <v>0.62610826205506487</v>
      </c>
      <c r="AJ191" s="1112">
        <v>0.49197434089270964</v>
      </c>
      <c r="AK191" s="1112">
        <v>0.6932165683118755</v>
      </c>
      <c r="AL191" s="1112">
        <v>0.38498350607053994</v>
      </c>
      <c r="AM191" s="1112">
        <v>0.45117026036533975</v>
      </c>
      <c r="AN191" s="1112">
        <v>0.56976469905135174</v>
      </c>
      <c r="AO191" s="1112">
        <v>0.37174055003499007</v>
      </c>
      <c r="AP191" s="1112">
        <v>0.74237701654106192</v>
      </c>
      <c r="AQ191" s="1112">
        <v>0.26763175539722833</v>
      </c>
      <c r="AR191" s="1112">
        <v>0.51265080846808131</v>
      </c>
      <c r="AS191" s="1112">
        <v>0.2658999968494743</v>
      </c>
      <c r="AT191" s="1112">
        <v>1.4363885259652016</v>
      </c>
      <c r="AU191" s="1112">
        <v>0.86607859404355392</v>
      </c>
      <c r="AV191" s="1071">
        <f ca="1">Calc!BC89</f>
        <v>0.86607859404355392</v>
      </c>
      <c r="AW191" s="275"/>
      <c r="AX191" s="86" t="str">
        <f t="shared" ca="1" si="12"/>
        <v>RIG</v>
      </c>
      <c r="BS191" s="273"/>
      <c r="CP191" s="273"/>
      <c r="EH191" s="108"/>
    </row>
    <row r="192" spans="1:138" hidden="1">
      <c r="A192" s="237" t="str">
        <f t="shared" ca="1" si="11"/>
        <v>RRC</v>
      </c>
      <c r="B192" s="246" t="str">
        <f ca="1">[1]ExtEntry!$D90</f>
        <v>USD</v>
      </c>
      <c r="C192" s="247"/>
      <c r="D192" s="818">
        <f>ROW()</f>
        <v>192</v>
      </c>
      <c r="E192" s="248"/>
      <c r="F192" s="249">
        <v>36.909999999999997</v>
      </c>
      <c r="G192" s="249">
        <v>37.58</v>
      </c>
      <c r="H192" s="249">
        <v>36.58</v>
      </c>
      <c r="I192" s="249">
        <v>37.479999999999997</v>
      </c>
      <c r="J192" s="249">
        <v>37.299999999999997</v>
      </c>
      <c r="K192" s="249">
        <v>38.53</v>
      </c>
      <c r="L192" s="249">
        <v>39.31</v>
      </c>
      <c r="M192" s="249">
        <v>38.19</v>
      </c>
      <c r="N192" s="249">
        <v>38.03</v>
      </c>
      <c r="O192" s="249">
        <v>37.96</v>
      </c>
      <c r="P192" s="249">
        <v>38.72</v>
      </c>
      <c r="Q192" s="249">
        <v>39.295000000000002</v>
      </c>
      <c r="R192" s="249">
        <v>39.145000000000003</v>
      </c>
      <c r="S192" s="249">
        <v>38.549999999999997</v>
      </c>
      <c r="T192" s="249">
        <v>38.450000000000003</v>
      </c>
      <c r="U192" s="249">
        <v>39.9</v>
      </c>
      <c r="V192" s="249">
        <v>40.049999999999997</v>
      </c>
      <c r="W192" s="249">
        <v>37.57</v>
      </c>
      <c r="X192" s="249">
        <v>37.65</v>
      </c>
      <c r="Y192" s="249">
        <v>36.76</v>
      </c>
      <c r="Z192" s="243">
        <f ca="1">[1]ExtEntry!$G90</f>
        <v>36.76</v>
      </c>
      <c r="AA192" s="273"/>
      <c r="AB192" s="1112">
        <v>0.83458826380194662</v>
      </c>
      <c r="AC192" s="1112">
        <v>0.4804587746140489</v>
      </c>
      <c r="AD192" s="1112">
        <v>0.49833028033451637</v>
      </c>
      <c r="AE192" s="1112">
        <v>0.65011551878952545</v>
      </c>
      <c r="AF192" s="1112">
        <v>0.93967348248747895</v>
      </c>
      <c r="AG192" s="1112">
        <v>0.23248882465633719</v>
      </c>
      <c r="AH192" s="1112">
        <v>0.51898931724042463</v>
      </c>
      <c r="AI192" s="1112">
        <v>0.49146879949705952</v>
      </c>
      <c r="AJ192" s="1112">
        <v>0.41768620939014917</v>
      </c>
      <c r="AK192" s="1112">
        <v>0.91929855103516622</v>
      </c>
      <c r="AL192" s="1112">
        <v>0.51543380145433326</v>
      </c>
      <c r="AM192" s="1112">
        <v>0.35260817478387158</v>
      </c>
      <c r="AN192" s="1112">
        <v>0.77518679951268332</v>
      </c>
      <c r="AO192" s="1112">
        <v>0.34165152375778807</v>
      </c>
      <c r="AP192" s="1112">
        <v>1.0504737186751338</v>
      </c>
      <c r="AQ192" s="1112">
        <v>0.38493165214672248</v>
      </c>
      <c r="AR192" s="1112">
        <v>1.7928469116420263</v>
      </c>
      <c r="AS192" s="1112">
        <v>0.32408446188180517</v>
      </c>
      <c r="AT192" s="1112">
        <v>1.5997662701661315</v>
      </c>
      <c r="AU192" s="1112">
        <v>1.3783333254019026</v>
      </c>
      <c r="AV192" s="1071">
        <f ca="1">Calc!BC90</f>
        <v>1.3783333254019026</v>
      </c>
      <c r="AW192" s="275"/>
      <c r="AX192" s="86" t="str">
        <f t="shared" ca="1" si="12"/>
        <v>RRC</v>
      </c>
      <c r="BS192" s="273"/>
      <c r="CP192" s="273"/>
      <c r="EH192" s="108"/>
    </row>
    <row r="193" spans="1:159">
      <c r="A193" s="237" t="str">
        <f t="shared" ca="1" si="11"/>
        <v>XYZ</v>
      </c>
      <c r="B193" s="238" t="str">
        <f ca="1">[1]ExtEntry!$D91</f>
        <v>USD</v>
      </c>
      <c r="C193" s="239"/>
      <c r="D193" s="1063">
        <f>ROW()</f>
        <v>193</v>
      </c>
      <c r="E193" s="240"/>
      <c r="F193" s="241">
        <v>72.88</v>
      </c>
      <c r="G193" s="241">
        <v>74.510000000000005</v>
      </c>
      <c r="H193" s="241">
        <v>60.77</v>
      </c>
      <c r="I193" s="241">
        <v>61.03</v>
      </c>
      <c r="J193" s="241">
        <v>58.38</v>
      </c>
      <c r="K193" s="241">
        <v>58.6</v>
      </c>
      <c r="L193" s="241">
        <v>64.31</v>
      </c>
      <c r="M193" s="241">
        <v>62.52</v>
      </c>
      <c r="N193" s="241">
        <v>63.8</v>
      </c>
      <c r="O193" s="241">
        <v>63.86</v>
      </c>
      <c r="P193" s="241">
        <v>65.73</v>
      </c>
      <c r="Q193" s="241">
        <v>65.709999999999994</v>
      </c>
      <c r="R193" s="241">
        <v>64.67</v>
      </c>
      <c r="S193" s="241">
        <v>60.9</v>
      </c>
      <c r="T193" s="241">
        <v>61.04</v>
      </c>
      <c r="U193" s="241">
        <v>61.45</v>
      </c>
      <c r="V193" s="241">
        <v>61.26</v>
      </c>
      <c r="W193" s="241">
        <v>60.6</v>
      </c>
      <c r="X193" s="241">
        <v>61.45</v>
      </c>
      <c r="Y193" s="241">
        <v>63.16</v>
      </c>
      <c r="Z193" s="243">
        <f ca="1">[1]ExtEntry!$G91</f>
        <v>63.16</v>
      </c>
      <c r="AA193" s="273"/>
      <c r="AB193" s="1071">
        <v>0.96457004111467748</v>
      </c>
      <c r="AC193" s="1071">
        <v>1.1562624712850669</v>
      </c>
      <c r="AD193" s="1071">
        <v>3.4106299247859022</v>
      </c>
      <c r="AE193" s="1071">
        <v>1.423304407209671</v>
      </c>
      <c r="AF193" s="1071">
        <v>4.9094677326380341E-5</v>
      </c>
      <c r="AG193" s="1071">
        <v>0.63831835430216688</v>
      </c>
      <c r="AH193" s="1071">
        <v>1.5223518606614401</v>
      </c>
      <c r="AI193" s="1071">
        <v>1.2497507047292498</v>
      </c>
      <c r="AJ193" s="1071">
        <v>0.49855738231074442</v>
      </c>
      <c r="AK193" s="1071">
        <v>0.81325608301790331</v>
      </c>
      <c r="AL193" s="1071">
        <v>0.4112435676357491</v>
      </c>
      <c r="AM193" s="1071">
        <v>0.40615585153295364</v>
      </c>
      <c r="AN193" s="1071">
        <v>2.1299285240871542</v>
      </c>
      <c r="AO193" s="1071">
        <v>1.6614084538242684</v>
      </c>
      <c r="AP193" s="1071">
        <v>1.4266969554944064</v>
      </c>
      <c r="AQ193" s="1071">
        <v>0.27972689495586117</v>
      </c>
      <c r="AR193" s="1071">
        <v>0.70314434821763983</v>
      </c>
      <c r="AS193" s="1071">
        <v>0.22887963274325845</v>
      </c>
      <c r="AT193" s="1071">
        <v>0.58101600903864459</v>
      </c>
      <c r="AU193" s="1071">
        <v>0.62150617808507302</v>
      </c>
      <c r="AV193" s="1071">
        <f ca="1">Calc!BC91</f>
        <v>0.62150617808507302</v>
      </c>
      <c r="AW193" s="275"/>
      <c r="AX193" s="86" t="str">
        <f t="shared" ca="1" si="12"/>
        <v>XYZ</v>
      </c>
      <c r="BS193" s="273"/>
      <c r="CP193" s="273"/>
      <c r="EH193" s="108"/>
    </row>
    <row r="194" spans="1:159">
      <c r="A194" s="237" t="str">
        <f t="shared" ca="1" si="11"/>
        <v>THC</v>
      </c>
      <c r="B194" s="246" t="str">
        <f ca="1">[1]ExtEntry!$D92</f>
        <v>USD</v>
      </c>
      <c r="C194" s="247"/>
      <c r="D194" s="818">
        <f>ROW()</f>
        <v>194</v>
      </c>
      <c r="E194" s="248"/>
      <c r="F194" s="249">
        <v>206.49</v>
      </c>
      <c r="G194" s="249">
        <v>208.2</v>
      </c>
      <c r="H194" s="249">
        <v>204.51</v>
      </c>
      <c r="I194" s="249">
        <v>196.18</v>
      </c>
      <c r="J194" s="249">
        <v>191.46</v>
      </c>
      <c r="K194" s="249">
        <v>192.595</v>
      </c>
      <c r="L194" s="249">
        <v>194.2</v>
      </c>
      <c r="M194" s="249">
        <v>188.12</v>
      </c>
      <c r="N194" s="249">
        <v>218.78</v>
      </c>
      <c r="O194" s="249">
        <v>219.8</v>
      </c>
      <c r="P194" s="249">
        <v>217.5</v>
      </c>
      <c r="Q194" s="249">
        <v>216.285</v>
      </c>
      <c r="R194" s="249">
        <v>220.15</v>
      </c>
      <c r="S194" s="249">
        <v>215.22</v>
      </c>
      <c r="T194" s="249">
        <v>215.67500000000001</v>
      </c>
      <c r="U194" s="249">
        <v>211.65</v>
      </c>
      <c r="V194" s="249">
        <v>213.16</v>
      </c>
      <c r="W194" s="249">
        <v>207.38</v>
      </c>
      <c r="X194" s="249">
        <v>202.66</v>
      </c>
      <c r="Y194" s="249">
        <v>197.67</v>
      </c>
      <c r="Z194" s="243">
        <f ca="1">[1]ExtEntry!$G92</f>
        <v>197.67</v>
      </c>
      <c r="AA194" s="273"/>
      <c r="AB194" s="1112">
        <v>0.92623198220716429</v>
      </c>
      <c r="AC194" s="1112">
        <v>0.27003280755668646</v>
      </c>
      <c r="AD194" s="1112">
        <v>0.3401580045479054</v>
      </c>
      <c r="AE194" s="1112">
        <v>0.89615911578528396</v>
      </c>
      <c r="AF194" s="1112">
        <v>1.0234463099126878E-4</v>
      </c>
      <c r="AG194" s="1112">
        <v>0.33936913170887295</v>
      </c>
      <c r="AH194" s="1112">
        <v>0.25596886898244164</v>
      </c>
      <c r="AI194" s="1112">
        <v>0.4142306016348119</v>
      </c>
      <c r="AJ194" s="1112">
        <v>0.20321999263336038</v>
      </c>
      <c r="AK194" s="1112">
        <v>0.70270358955512224</v>
      </c>
      <c r="AL194" s="1112">
        <v>0.15625558758992672</v>
      </c>
      <c r="AM194" s="1112">
        <v>0.22686121376442323</v>
      </c>
      <c r="AN194" s="1112">
        <v>0.46046363980750071</v>
      </c>
      <c r="AO194" s="1112">
        <v>0.18815935857004468</v>
      </c>
      <c r="AP194" s="1112">
        <v>0.85960159913025935</v>
      </c>
      <c r="AQ194" s="1112">
        <v>0.2153746056413185</v>
      </c>
      <c r="AR194" s="1112">
        <v>0.54729417981111816</v>
      </c>
      <c r="AS194" s="1112">
        <v>0.19499065890888467</v>
      </c>
      <c r="AT194" s="1112">
        <v>1.4352628268958649</v>
      </c>
      <c r="AU194" s="1112">
        <v>0.79188085697408961</v>
      </c>
      <c r="AV194" s="1071">
        <f ca="1">Calc!BC92</f>
        <v>0.79188085697408961</v>
      </c>
      <c r="AW194" s="275"/>
      <c r="AX194" s="86" t="str">
        <f t="shared" ca="1" si="12"/>
        <v>THC</v>
      </c>
      <c r="BS194" s="273"/>
      <c r="CP194" s="273"/>
      <c r="EH194" s="108"/>
    </row>
    <row r="195" spans="1:159">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7.2077806511077887E-5</v>
      </c>
      <c r="AO195" s="1071">
        <v>3.010908603374752E-4</v>
      </c>
      <c r="AP195" s="1071">
        <v>7.2077806511077887E-5</v>
      </c>
      <c r="AQ195" s="1071">
        <v>7.2077806511077887E-5</v>
      </c>
      <c r="AR195" s="1071">
        <v>7.2077806511077887E-5</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c r="A196" s="237" t="str">
        <f t="shared" ca="1" si="11"/>
        <v>LOCK</v>
      </c>
      <c r="B196" s="246" t="str">
        <f ca="1">[1]ExtEntry!$D94</f>
        <v>USD</v>
      </c>
      <c r="C196" s="247"/>
      <c r="D196" s="818">
        <f>ROW()</f>
        <v>196</v>
      </c>
      <c r="E196" s="248"/>
      <c r="F196" s="249">
        <v>10.25</v>
      </c>
      <c r="G196" s="249">
        <v>10.282</v>
      </c>
      <c r="H196" s="249">
        <v>10.226000000000001</v>
      </c>
      <c r="I196" s="249">
        <v>10.050000000000001</v>
      </c>
      <c r="J196" s="249">
        <v>9.798</v>
      </c>
      <c r="K196" s="249">
        <v>9.798</v>
      </c>
      <c r="L196" s="249">
        <v>9.9250000000000007</v>
      </c>
      <c r="M196" s="249">
        <v>9.5489999999999995</v>
      </c>
      <c r="N196" s="249">
        <v>9.9469999999999992</v>
      </c>
      <c r="O196" s="249">
        <v>9.843</v>
      </c>
      <c r="P196" s="249">
        <v>9.9760000000000009</v>
      </c>
      <c r="Q196" s="249">
        <v>9.9030000000000005</v>
      </c>
      <c r="R196" s="249">
        <v>9.9290000000000003</v>
      </c>
      <c r="S196" s="249">
        <v>9.9469999999999992</v>
      </c>
      <c r="T196" s="249">
        <v>9.9469999999999992</v>
      </c>
      <c r="U196" s="249">
        <v>9.9559999999999995</v>
      </c>
      <c r="V196" s="249">
        <v>9.9949999999999992</v>
      </c>
      <c r="W196" s="249">
        <v>10.157999999999999</v>
      </c>
      <c r="X196" s="249">
        <v>10.173999999999999</v>
      </c>
      <c r="Y196" s="249">
        <v>10.238</v>
      </c>
      <c r="Z196" s="243">
        <f ca="1">[1]ExtEntry!$G94</f>
        <v>10.238</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1</v>
      </c>
      <c r="AO196" s="1112">
        <v>4.1773033186186028</v>
      </c>
      <c r="AP196" s="1112">
        <v>1</v>
      </c>
      <c r="AQ196" s="1112">
        <v>1</v>
      </c>
      <c r="AR196" s="1112">
        <v>1</v>
      </c>
      <c r="AS196" s="1112">
        <v>1</v>
      </c>
      <c r="AT196" s="1112">
        <v>1</v>
      </c>
      <c r="AU196" s="1112">
        <v>1</v>
      </c>
      <c r="AV196" s="1071">
        <f ca="1">Calc!BC94</f>
        <v>1</v>
      </c>
      <c r="AW196" s="275"/>
      <c r="AX196" s="86" t="str">
        <f t="shared" ca="1" si="12"/>
        <v>LOCK</v>
      </c>
      <c r="BS196" s="273"/>
      <c r="CP196" s="273"/>
      <c r="EH196" s="108"/>
    </row>
    <row r="197" spans="1:159">
      <c r="A197" s="237" t="str">
        <f t="shared" ca="1" si="11"/>
        <v>JBASML</v>
      </c>
      <c r="B197" s="79" t="s">
        <v>1133</v>
      </c>
      <c r="D197" s="1">
        <v>196</v>
      </c>
      <c r="F197" s="241">
        <v>882.9</v>
      </c>
      <c r="G197" s="241">
        <v>901.1</v>
      </c>
      <c r="H197" s="241">
        <v>899</v>
      </c>
      <c r="I197" s="241">
        <v>866.9</v>
      </c>
      <c r="J197" s="241">
        <v>861.1</v>
      </c>
      <c r="K197" s="241">
        <v>861.1</v>
      </c>
      <c r="L197" s="241">
        <v>908.8</v>
      </c>
      <c r="M197" s="241">
        <v>839.2</v>
      </c>
      <c r="N197" s="241">
        <v>875</v>
      </c>
      <c r="O197" s="241">
        <v>901.2</v>
      </c>
      <c r="P197" s="241">
        <v>896</v>
      </c>
      <c r="Q197" s="241">
        <v>910</v>
      </c>
      <c r="R197" s="241">
        <v>930</v>
      </c>
      <c r="S197" s="241">
        <v>962</v>
      </c>
      <c r="T197" s="241">
        <v>962</v>
      </c>
      <c r="U197" s="241">
        <v>975</v>
      </c>
      <c r="V197" s="241">
        <v>960.6</v>
      </c>
      <c r="W197" s="241">
        <v>964</v>
      </c>
      <c r="X197" s="241">
        <v>964.1</v>
      </c>
      <c r="Y197" s="241">
        <v>945.1</v>
      </c>
      <c r="Z197" s="243">
        <f ca="1">[1]ExtEntry!$G95</f>
        <v>945.1</v>
      </c>
      <c r="AA197" s="273"/>
      <c r="AB197" s="1071">
        <v>1.2120666350052971</v>
      </c>
      <c r="AC197" s="1071">
        <v>0.8690636176438713</v>
      </c>
      <c r="AD197" s="1071">
        <v>1.4227731762002704</v>
      </c>
      <c r="AE197" s="1071">
        <v>1.221879975841432</v>
      </c>
      <c r="AF197" s="1071">
        <v>0.31928218946295994</v>
      </c>
      <c r="AG197" s="1071">
        <v>1.0213644846396783</v>
      </c>
      <c r="AH197" s="1071">
        <v>1.1913005800792302</v>
      </c>
      <c r="AI197" s="1071">
        <v>1.7569881836657615</v>
      </c>
      <c r="AJ197" s="1071">
        <v>0.99978677104175495</v>
      </c>
      <c r="AK197" s="1071">
        <v>0.34477098750583673</v>
      </c>
      <c r="AL197" s="1071">
        <v>0.67527061253944221</v>
      </c>
      <c r="AM197" s="1071">
        <v>0.98847988989142066</v>
      </c>
      <c r="AN197" s="1071">
        <v>0.87002591676844709</v>
      </c>
      <c r="AO197" s="1071">
        <v>0.50818429492522532</v>
      </c>
      <c r="AP197" s="1071">
        <v>0.88105040199281037</v>
      </c>
      <c r="AQ197" s="1071">
        <v>0.70330842320371112</v>
      </c>
      <c r="AR197" s="1071">
        <v>0.53415656828488589</v>
      </c>
      <c r="AS197" s="1071">
        <v>0.5646821768431034</v>
      </c>
      <c r="AT197" s="1071">
        <v>0.764207776549784</v>
      </c>
      <c r="AU197" s="1071">
        <v>0.96938852069526071</v>
      </c>
      <c r="AV197" s="1071">
        <f ca="1">Calc!BC95</f>
        <v>0.96938852069526071</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1130</v>
      </c>
      <c r="F198" s="249">
        <v>15.824999999999999</v>
      </c>
      <c r="G198" s="249">
        <v>16.004999999999999</v>
      </c>
      <c r="H198" s="249">
        <v>16.105</v>
      </c>
      <c r="I198" s="249">
        <v>15.225</v>
      </c>
      <c r="J198" s="249">
        <v>15.315</v>
      </c>
      <c r="K198" s="249">
        <v>15.315</v>
      </c>
      <c r="L198" s="249">
        <v>15.345000000000001</v>
      </c>
      <c r="M198" s="249">
        <v>15.365</v>
      </c>
      <c r="N198" s="249">
        <v>15.365</v>
      </c>
      <c r="O198" s="249">
        <v>15.46</v>
      </c>
      <c r="P198" s="249">
        <v>15.275</v>
      </c>
      <c r="Q198" s="249">
        <v>15.335000000000001</v>
      </c>
      <c r="R198" s="249">
        <v>15.19</v>
      </c>
      <c r="S198" s="249">
        <v>15.44</v>
      </c>
      <c r="T198" s="249">
        <v>15.44</v>
      </c>
      <c r="U198" s="249">
        <v>15.8</v>
      </c>
      <c r="V198" s="249">
        <v>15.565</v>
      </c>
      <c r="W198" s="249">
        <v>15.484999999999999</v>
      </c>
      <c r="X198" s="249">
        <v>15.555</v>
      </c>
      <c r="Y198" s="249">
        <v>15.46</v>
      </c>
      <c r="Z198" s="243">
        <f ca="1">[1]ExtEntry!$G96</f>
        <v>15.46</v>
      </c>
      <c r="AA198" s="273"/>
      <c r="AB198" s="1112">
        <v>1.4626982707625427E-3</v>
      </c>
      <c r="AC198" s="1112">
        <v>1.3417069156255903E-3</v>
      </c>
      <c r="AD198" s="1112">
        <v>1.3773604663339033E-3</v>
      </c>
      <c r="AE198" s="1112">
        <v>4.2504365405498928E-3</v>
      </c>
      <c r="AF198" s="1112">
        <v>4.4907760902519392E-4</v>
      </c>
      <c r="AG198" s="1112">
        <v>3.4286087467618696E-4</v>
      </c>
      <c r="AH198" s="1112">
        <v>1.6840130332527601E-2</v>
      </c>
      <c r="AI198" s="1112">
        <v>5.1059888618476181E-3</v>
      </c>
      <c r="AJ198" s="1112">
        <v>1.3752160234386606E-3</v>
      </c>
      <c r="AK198" s="1112">
        <v>2.6971350856452056E-3</v>
      </c>
      <c r="AL198" s="1112">
        <v>6.1022764646796865E-4</v>
      </c>
      <c r="AM198" s="1112">
        <v>1.0961321012204156E-3</v>
      </c>
      <c r="AN198" s="1112">
        <v>1.8481693765352674E-3</v>
      </c>
      <c r="AO198" s="1112">
        <v>1.4096848131515344E-3</v>
      </c>
      <c r="AP198" s="1112">
        <v>1.4414684506511028E-3</v>
      </c>
      <c r="AQ198" s="1112">
        <v>3.6707673436992675E-3</v>
      </c>
      <c r="AR198" s="1112">
        <v>1.1618039477298591E-3</v>
      </c>
      <c r="AS198" s="1112">
        <v>5.6589092452429793E-4</v>
      </c>
      <c r="AT198" s="1112">
        <v>2.3529188450441461E-3</v>
      </c>
      <c r="AU198" s="1112">
        <v>8.077429734486519E-3</v>
      </c>
      <c r="AV198" s="1071">
        <f ca="1">Calc!BC96</f>
        <v>8.077429734486519E-3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81.62</v>
      </c>
      <c r="O201"/>
      <c r="P201"/>
      <c r="AA201" s="273"/>
      <c r="AW201" s="275"/>
      <c r="AX201" s="86"/>
      <c r="BS201" s="273"/>
      <c r="CP201" s="273"/>
      <c r="EH201" s="108"/>
    </row>
    <row r="202" spans="1:159">
      <c r="F202" s="91" cm="1">
        <f t="array" aca="1" ref="F202" ca="1">_xlfn.XLOOKUP(DataShiftChartTicker,ListTickers,Tab1Price[Price0])</f>
        <v>81.62</v>
      </c>
      <c r="G202" s="91" cm="1">
        <f t="array" aca="1" ref="G202" ca="1">_xlfn.XLOOKUP(DataShiftChartTicker,ListTickers,Tab1Price[Price1])</f>
        <v>82.614800000000002</v>
      </c>
      <c r="H202" s="91" cm="1">
        <f t="array" aca="1" ref="H202" ca="1">_xlfn.XLOOKUP(DataShiftChartTicker,ListTickers,Tab1Price[Price2])</f>
        <v>83.35</v>
      </c>
      <c r="I202" s="91" cm="1">
        <f t="array" aca="1" ref="I202" ca="1">_xlfn.XLOOKUP(DataShiftChartTicker,ListTickers,Tab1Price[Price3])</f>
        <v>87.8</v>
      </c>
      <c r="J202" s="91" cm="1">
        <f t="array" aca="1" ref="J202" ca="1">_xlfn.XLOOKUP(DataShiftChartTicker,ListTickers,Tab1Price[Price4])</f>
        <v>86.61</v>
      </c>
      <c r="K202" s="91" cm="1">
        <f t="array" aca="1" ref="K202" ca="1">_xlfn.XLOOKUP(DataShiftChartTicker,ListTickers,Tab1Price[Price5])</f>
        <v>87.594999999999999</v>
      </c>
      <c r="L202" s="91" cm="1">
        <f t="array" aca="1" ref="L202" ca="1">_xlfn.XLOOKUP(DataShiftChartTicker,ListTickers,Tab1Price[Price6])</f>
        <v>82.87</v>
      </c>
      <c r="M202" s="91" cm="1">
        <f t="array" aca="1" ref="M202" ca="1">_xlfn.XLOOKUP(DataShiftChartTicker,ListTickers,Tab1Price[Price7])</f>
        <v>83.62</v>
      </c>
      <c r="N202" s="91" cm="1">
        <f t="array" aca="1" ref="N202" ca="1">_xlfn.XLOOKUP(DataShiftChartTicker,ListTickers,Tab1Price[Price8])</f>
        <v>90.45</v>
      </c>
      <c r="O202" s="91" cm="1">
        <f t="array" aca="1" ref="O202" ca="1">_xlfn.XLOOKUP(DataShiftChartTicker,ListTickers,Tab1Price[Price9])</f>
        <v>90.52</v>
      </c>
      <c r="P202" s="91" cm="1">
        <f t="array" aca="1" ref="P202" ca="1">_xlfn.XLOOKUP(DataShiftChartTicker,ListTickers,Tab1Price[Price10])</f>
        <v>90.73</v>
      </c>
      <c r="Q202" s="91" cm="1">
        <f t="array" aca="1" ref="Q202" ca="1">_xlfn.XLOOKUP(DataShiftChartTicker,ListTickers,Tab1Price[Price11])</f>
        <v>92</v>
      </c>
      <c r="R202" s="91" cm="1">
        <f t="array" aca="1" ref="R202" ca="1">_xlfn.XLOOKUP(DataShiftChartTicker,ListTickers,Tab1Price[Price12])</f>
        <v>90.454999999999998</v>
      </c>
      <c r="S202" s="91" cm="1">
        <f t="array" aca="1" ref="S202" ca="1">_xlfn.XLOOKUP(DataShiftChartTicker,ListTickers,Tab1Price[Price13])</f>
        <v>91.18</v>
      </c>
      <c r="T202" s="91" cm="1">
        <f t="array" aca="1" ref="T202" ca="1">_xlfn.XLOOKUP(DataShiftChartTicker,ListTickers,Tab1Price[Price14])</f>
        <v>89.67</v>
      </c>
      <c r="U202" s="91" cm="1">
        <f t="array" aca="1" ref="U202" ca="1">_xlfn.XLOOKUP(DataShiftChartTicker,ListTickers,Tab1Price[Price15])</f>
        <v>90.555000000000007</v>
      </c>
      <c r="V202" s="91" cm="1">
        <f t="array" aca="1" ref="V202" ca="1">_xlfn.XLOOKUP(DataShiftChartTicker,ListTickers,Tab1Price[Price16])</f>
        <v>89.76</v>
      </c>
      <c r="W202" s="91" cm="1">
        <f t="array" aca="1" ref="W202" ca="1">_xlfn.XLOOKUP(DataShiftChartTicker,ListTickers,Tab1Price[Price17])</f>
        <v>92.64</v>
      </c>
      <c r="X202" s="91" cm="1">
        <f t="array" aca="1" ref="X202" ca="1">_xlfn.XLOOKUP(DataShiftChartTicker,ListTickers,Tab1Price[Price18])</f>
        <v>94.415000000000006</v>
      </c>
      <c r="Y202" s="91" cm="1">
        <f t="array" aca="1" ref="Y202" ca="1">_xlfn.XLOOKUP(DataShiftChartTicker,ListTickers,Tab1Price[Price19])</f>
        <v>99.43</v>
      </c>
      <c r="Z202" s="91" cm="1">
        <f t="array" aca="1" ref="Z202" ca="1">_xlfn.XLOOKUP(DataShiftChartTicker,ListTickers,Tab1Price[Price20])</f>
        <v>99.43</v>
      </c>
      <c r="AA202" s="273"/>
      <c r="AW202" s="275"/>
      <c r="AX202" s="86"/>
      <c r="BS202" s="273"/>
      <c r="CP202" s="273"/>
      <c r="EH202" s="108"/>
    </row>
    <row r="203" spans="1:159">
      <c r="E203" s="1117"/>
      <c r="F203" s="115">
        <f t="shared" ref="F203:Z203" ca="1" si="13">F103</f>
        <v>45974</v>
      </c>
      <c r="G203" s="115">
        <f t="shared" ca="1" si="13"/>
        <v>45975</v>
      </c>
      <c r="H203" s="115">
        <f t="shared" ca="1" si="13"/>
        <v>45978</v>
      </c>
      <c r="I203" s="115">
        <f t="shared" ca="1" si="13"/>
        <v>45979</v>
      </c>
      <c r="J203" s="115">
        <f t="shared" ca="1" si="13"/>
        <v>45980</v>
      </c>
      <c r="K203" s="115">
        <f t="shared" ca="1" si="13"/>
        <v>45981</v>
      </c>
      <c r="L203" s="115">
        <f t="shared" ca="1" si="13"/>
        <v>45982</v>
      </c>
      <c r="M203" s="115">
        <f t="shared" ca="1" si="13"/>
        <v>45985</v>
      </c>
      <c r="N203" s="115">
        <f t="shared" ca="1" si="13"/>
        <v>45986</v>
      </c>
      <c r="O203" s="115">
        <f t="shared" ca="1" si="13"/>
        <v>45987</v>
      </c>
      <c r="P203" s="115">
        <f t="shared" ca="1" si="13"/>
        <v>45988</v>
      </c>
      <c r="Q203" s="115">
        <f t="shared" ca="1" si="13"/>
        <v>45989</v>
      </c>
      <c r="R203" s="115">
        <f t="shared" ca="1" si="13"/>
        <v>45992</v>
      </c>
      <c r="S203" s="115">
        <f t="shared" ca="1" si="13"/>
        <v>45993</v>
      </c>
      <c r="T203" s="115">
        <f t="shared" ca="1" si="13"/>
        <v>45994</v>
      </c>
      <c r="U203" s="115">
        <f t="shared" ca="1" si="13"/>
        <v>45995</v>
      </c>
      <c r="V203" s="115">
        <f t="shared" ca="1" si="13"/>
        <v>45996</v>
      </c>
      <c r="W203" s="115">
        <f t="shared" ca="1" si="13"/>
        <v>45999</v>
      </c>
      <c r="X203" s="115">
        <f t="shared" ca="1" si="13"/>
        <v>46000</v>
      </c>
      <c r="Y203" s="115">
        <f t="shared" ca="1" si="13"/>
        <v>46001</v>
      </c>
      <c r="Z203" s="115">
        <f t="shared" ca="1" si="13"/>
        <v>46002</v>
      </c>
      <c r="AA203" s="273"/>
      <c r="AB203" s="115">
        <f t="shared" ref="AB203:AV203" ca="1" si="14">F203</f>
        <v>45974</v>
      </c>
      <c r="AC203" s="115">
        <f t="shared" ca="1" si="14"/>
        <v>45975</v>
      </c>
      <c r="AD203" s="115">
        <f t="shared" ca="1" si="14"/>
        <v>45978</v>
      </c>
      <c r="AE203" s="115">
        <f t="shared" ca="1" si="14"/>
        <v>45979</v>
      </c>
      <c r="AF203" s="115">
        <f t="shared" ca="1" si="14"/>
        <v>45980</v>
      </c>
      <c r="AG203" s="115">
        <f t="shared" ca="1" si="14"/>
        <v>45981</v>
      </c>
      <c r="AH203" s="115">
        <f t="shared" ca="1" si="14"/>
        <v>45982</v>
      </c>
      <c r="AI203" s="115">
        <f t="shared" ca="1" si="14"/>
        <v>45985</v>
      </c>
      <c r="AJ203" s="115">
        <f t="shared" ca="1" si="14"/>
        <v>45986</v>
      </c>
      <c r="AK203" s="115">
        <f t="shared" ca="1" si="14"/>
        <v>45987</v>
      </c>
      <c r="AL203" s="115">
        <f t="shared" ca="1" si="14"/>
        <v>45988</v>
      </c>
      <c r="AM203" s="115">
        <f t="shared" ca="1" si="14"/>
        <v>45989</v>
      </c>
      <c r="AN203" s="115">
        <f t="shared" ca="1" si="14"/>
        <v>45992</v>
      </c>
      <c r="AO203" s="115">
        <f t="shared" ca="1" si="14"/>
        <v>45993</v>
      </c>
      <c r="AP203" s="115">
        <f t="shared" ca="1" si="14"/>
        <v>45994</v>
      </c>
      <c r="AQ203" s="115">
        <f t="shared" ca="1" si="14"/>
        <v>45995</v>
      </c>
      <c r="AR203" s="115">
        <f t="shared" ca="1" si="14"/>
        <v>45996</v>
      </c>
      <c r="AS203" s="115">
        <f t="shared" ca="1" si="14"/>
        <v>45999</v>
      </c>
      <c r="AT203" s="115">
        <f t="shared" ca="1" si="14"/>
        <v>46000</v>
      </c>
      <c r="AU203" s="115">
        <f t="shared" ca="1" si="14"/>
        <v>46001</v>
      </c>
      <c r="AV203" s="115">
        <f t="shared" ca="1" si="14"/>
        <v>46002</v>
      </c>
      <c r="AW203" s="275"/>
      <c r="BS203" s="273"/>
      <c r="CP203" s="273"/>
      <c r="EH203" s="108"/>
    </row>
    <row r="204" spans="1:159">
      <c r="F204" s="264" t="s">
        <v>245</v>
      </c>
      <c r="G204" s="264" t="s">
        <v>246</v>
      </c>
      <c r="H204" s="264" t="s">
        <v>247</v>
      </c>
      <c r="I204" s="264" t="s">
        <v>248</v>
      </c>
      <c r="J204" s="264" t="s">
        <v>249</v>
      </c>
      <c r="K204" s="264" t="s">
        <v>250</v>
      </c>
      <c r="L204" s="264" t="s">
        <v>251</v>
      </c>
      <c r="M204" s="264" t="s">
        <v>252</v>
      </c>
      <c r="N204" s="264" t="s">
        <v>253</v>
      </c>
      <c r="O204" s="264" t="s">
        <v>254</v>
      </c>
      <c r="P204" s="264" t="s">
        <v>255</v>
      </c>
      <c r="Q204" s="264" t="s">
        <v>256</v>
      </c>
      <c r="R204" s="264" t="s">
        <v>257</v>
      </c>
      <c r="S204" s="264" t="s">
        <v>258</v>
      </c>
      <c r="T204" s="264" t="s">
        <v>259</v>
      </c>
      <c r="U204" s="264" t="s">
        <v>260</v>
      </c>
      <c r="V204" s="264" t="s">
        <v>261</v>
      </c>
      <c r="W204" s="264" t="s">
        <v>262</v>
      </c>
      <c r="X204" s="264" t="s">
        <v>263</v>
      </c>
      <c r="Y204" s="264" t="s">
        <v>264</v>
      </c>
      <c r="Z204" s="264" t="s">
        <v>265</v>
      </c>
      <c r="AA204" s="274"/>
      <c r="AB204" s="277" t="s">
        <v>2311</v>
      </c>
      <c r="AC204" s="277" t="s">
        <v>2312</v>
      </c>
      <c r="AD204" s="277" t="s">
        <v>2313</v>
      </c>
      <c r="AE204" s="277" t="s">
        <v>2314</v>
      </c>
      <c r="AF204" s="277" t="s">
        <v>2315</v>
      </c>
      <c r="AG204" s="277" t="s">
        <v>2316</v>
      </c>
      <c r="AH204" s="277" t="s">
        <v>2317</v>
      </c>
      <c r="AI204" s="277" t="s">
        <v>2318</v>
      </c>
      <c r="AJ204" s="277" t="s">
        <v>2319</v>
      </c>
      <c r="AK204" s="277" t="s">
        <v>2320</v>
      </c>
      <c r="AL204" s="277" t="s">
        <v>2321</v>
      </c>
      <c r="AM204" s="277" t="s">
        <v>2322</v>
      </c>
      <c r="AN204" s="277" t="s">
        <v>2323</v>
      </c>
      <c r="AO204" s="277" t="s">
        <v>2324</v>
      </c>
      <c r="AP204" s="277" t="s">
        <v>2325</v>
      </c>
      <c r="AQ204" s="277" t="s">
        <v>2326</v>
      </c>
      <c r="AR204" s="277" t="s">
        <v>2327</v>
      </c>
      <c r="AS204" s="277" t="s">
        <v>2328</v>
      </c>
      <c r="AT204" s="277" t="s">
        <v>2329</v>
      </c>
      <c r="AU204" s="277" t="s">
        <v>2330</v>
      </c>
      <c r="AV204" s="277" t="s">
        <v>2331</v>
      </c>
      <c r="AW204" s="276"/>
      <c r="BS204" s="274"/>
      <c r="CP204" s="274"/>
      <c r="EH204" s="108"/>
    </row>
    <row r="205" spans="1:159">
      <c r="A205" s="86" t="str">
        <f t="shared" ref="A205:A236" ca="1" si="15">A105</f>
        <v>AAPL</v>
      </c>
      <c r="F205" s="241">
        <v>270.14</v>
      </c>
      <c r="G205" s="241">
        <v>270.5</v>
      </c>
      <c r="H205" s="241">
        <v>267.99700000000001</v>
      </c>
      <c r="I205" s="241">
        <v>272.41000000000003</v>
      </c>
      <c r="J205" s="241">
        <v>267.44</v>
      </c>
      <c r="K205" s="241">
        <v>270.02999999999997</v>
      </c>
      <c r="L205" s="241">
        <v>266.88</v>
      </c>
      <c r="M205" s="241">
        <v>272.04000000000002</v>
      </c>
      <c r="N205" s="241">
        <v>278.06</v>
      </c>
      <c r="O205" s="241">
        <v>277.55</v>
      </c>
      <c r="P205" s="241">
        <v>278.85000000000002</v>
      </c>
      <c r="Q205" s="241">
        <v>280.82</v>
      </c>
      <c r="R205" s="241">
        <v>285.95499999999998</v>
      </c>
      <c r="S205" s="241">
        <v>287.07</v>
      </c>
      <c r="T205" s="241">
        <v>284.14999999999998</v>
      </c>
      <c r="U205" s="241">
        <v>280.11</v>
      </c>
      <c r="V205" s="241">
        <v>278.77999999999997</v>
      </c>
      <c r="W205" s="241">
        <v>277.58</v>
      </c>
      <c r="X205" s="241">
        <v>278.77999999999997</v>
      </c>
      <c r="Y205" s="241">
        <v>278.02999999999997</v>
      </c>
      <c r="Z205" s="243">
        <f ca="1">[1]ExtEntry!$H3</f>
        <v>278.02999999999997</v>
      </c>
      <c r="AB205" s="258">
        <v>1.1526160714285714E-3</v>
      </c>
      <c r="AC205" s="258">
        <v>3.4755744047619045E-3</v>
      </c>
      <c r="AD205" s="258">
        <v>2.3815696428571413E-3</v>
      </c>
      <c r="AE205" s="258">
        <v>9.6159345238095231E-4</v>
      </c>
      <c r="AF205" s="258">
        <v>-2.6348776190476203E-3</v>
      </c>
      <c r="AG205" s="258">
        <v>-2.7156800000000016E-3</v>
      </c>
      <c r="AH205" s="258">
        <v>-3.5236502380952394E-3</v>
      </c>
      <c r="AI205" s="258">
        <v>-2.2750216666666688E-3</v>
      </c>
      <c r="AJ205" s="258">
        <v>-1.7035294047619059E-3</v>
      </c>
      <c r="AK205" s="258">
        <v>-2.0690710714285736E-3</v>
      </c>
      <c r="AL205" s="258">
        <v>4.630988095238181E-5</v>
      </c>
      <c r="AM205" s="258">
        <v>2.7183039285714286E-3</v>
      </c>
      <c r="AN205" s="258">
        <v>3.6042764285714284E-3</v>
      </c>
      <c r="AO205" s="258">
        <v>1.8488657142857147E-3</v>
      </c>
      <c r="AP205" s="258">
        <v>1.2964371428571446E-3</v>
      </c>
      <c r="AQ205" s="258">
        <v>-2.3138247619047597E-3</v>
      </c>
      <c r="AR205" s="258">
        <v>-2.7406045238095233E-3</v>
      </c>
      <c r="AS205" s="258">
        <v>-2.003425952380952E-3</v>
      </c>
      <c r="AT205" s="258">
        <v>-2.1086259523809526E-3</v>
      </c>
      <c r="AU205" s="258">
        <v>-2.8997628571428569E-3</v>
      </c>
      <c r="AV205" s="258">
        <f t="shared" ref="AV205:AV210" ca="1" si="16">AVERAGE(S704:Z704)-AVERAGE(F704:Z704)</f>
        <v>-4.1951140476190474E-3</v>
      </c>
      <c r="AX205" s="86" t="str">
        <f t="shared" ref="AX205:AX236" ca="1" si="17">A205</f>
        <v>AAPL</v>
      </c>
      <c r="EH205" s="108"/>
    </row>
    <row r="206" spans="1:159">
      <c r="A206" s="86" t="str">
        <f t="shared" ca="1" si="15"/>
        <v>ADEA</v>
      </c>
      <c r="F206" s="249">
        <v>13.78</v>
      </c>
      <c r="G206" s="249">
        <v>13.935</v>
      </c>
      <c r="H206" s="249">
        <v>14.045</v>
      </c>
      <c r="I206" s="249">
        <v>12.86</v>
      </c>
      <c r="J206" s="249">
        <v>12.35</v>
      </c>
      <c r="K206" s="249">
        <v>12.26</v>
      </c>
      <c r="L206" s="249">
        <v>11.925000000000001</v>
      </c>
      <c r="M206" s="249">
        <v>12.15</v>
      </c>
      <c r="N206" s="249">
        <v>12.46</v>
      </c>
      <c r="O206" s="249">
        <v>12.31</v>
      </c>
      <c r="P206" s="249">
        <v>12.37</v>
      </c>
      <c r="Q206" s="249">
        <v>12.39</v>
      </c>
      <c r="R206" s="249">
        <v>12.445</v>
      </c>
      <c r="S206" s="249">
        <v>12.31</v>
      </c>
      <c r="T206" s="249">
        <v>12.56</v>
      </c>
      <c r="U206" s="249">
        <v>12.535</v>
      </c>
      <c r="V206" s="249">
        <v>12.51</v>
      </c>
      <c r="W206" s="249">
        <v>12.965</v>
      </c>
      <c r="X206" s="249">
        <v>13.52</v>
      </c>
      <c r="Y206" s="249">
        <v>13.56</v>
      </c>
      <c r="Z206" s="243">
        <f ca="1">[1]ExtEntry!$H4</f>
        <v>13.56</v>
      </c>
      <c r="AB206" s="261">
        <v>4.7904166666666841E-4</v>
      </c>
      <c r="AC206" s="261">
        <v>2.6631964285714323E-3</v>
      </c>
      <c r="AD206" s="261">
        <v>8.510000000000016E-4</v>
      </c>
      <c r="AE206" s="261">
        <v>-4.7901845238095212E-3</v>
      </c>
      <c r="AF206" s="261">
        <v>-9.4571726190476168E-3</v>
      </c>
      <c r="AG206" s="261">
        <v>-1.1004273809523809E-2</v>
      </c>
      <c r="AH206" s="261">
        <v>-8.1492916666666641E-3</v>
      </c>
      <c r="AI206" s="261">
        <v>1.0830011904761905E-2</v>
      </c>
      <c r="AJ206" s="261">
        <v>3.144482142857142E-3</v>
      </c>
      <c r="AK206" s="261">
        <v>-3.3201190476190575E-4</v>
      </c>
      <c r="AL206" s="261">
        <v>-4.9994047619047782E-4</v>
      </c>
      <c r="AM206" s="261">
        <v>2.9501904761904752E-3</v>
      </c>
      <c r="AN206" s="261">
        <v>4.5220119047619037E-3</v>
      </c>
      <c r="AO206" s="261">
        <v>3.8468988095238083E-3</v>
      </c>
      <c r="AP206" s="261">
        <v>4.9020059523809511E-3</v>
      </c>
      <c r="AQ206" s="261">
        <v>2.4107142857142784E-4</v>
      </c>
      <c r="AR206" s="261">
        <v>5.0016666666666558E-4</v>
      </c>
      <c r="AS206" s="261">
        <v>3.71367857142857E-3</v>
      </c>
      <c r="AT206" s="261">
        <v>7.7000595238095222E-3</v>
      </c>
      <c r="AU206" s="261">
        <v>6.4281904761904754E-3</v>
      </c>
      <c r="AV206" s="258">
        <f t="shared" ca="1" si="16"/>
        <v>8.5752380952381149E-4</v>
      </c>
      <c r="AX206" s="86" t="str">
        <f t="shared" ca="1" si="17"/>
        <v>ADEA</v>
      </c>
    </row>
    <row r="207" spans="1:159">
      <c r="A207" s="86" t="str">
        <f t="shared" ca="1" si="15"/>
        <v>AET</v>
      </c>
      <c r="F207" s="241">
        <v>46</v>
      </c>
      <c r="G207" s="241">
        <v>44.4</v>
      </c>
      <c r="H207" s="241">
        <v>44.7</v>
      </c>
      <c r="I207" s="241">
        <v>45.2</v>
      </c>
      <c r="J207" s="241">
        <v>45</v>
      </c>
      <c r="K207" s="241">
        <v>45</v>
      </c>
      <c r="L207" s="241">
        <v>45.5</v>
      </c>
      <c r="M207" s="241">
        <v>44</v>
      </c>
      <c r="N207" s="241">
        <v>40.1</v>
      </c>
      <c r="O207" s="241">
        <v>38.799999999999997</v>
      </c>
      <c r="P207" s="241">
        <v>38</v>
      </c>
      <c r="Q207" s="241">
        <v>39</v>
      </c>
      <c r="R207" s="241">
        <v>38.1</v>
      </c>
      <c r="S207" s="241">
        <v>39</v>
      </c>
      <c r="T207" s="241">
        <v>38.4</v>
      </c>
      <c r="U207" s="241">
        <v>38.6</v>
      </c>
      <c r="V207" s="241">
        <v>39.200000000000003</v>
      </c>
      <c r="W207" s="241">
        <v>38.6</v>
      </c>
      <c r="X207" s="241">
        <v>40.1</v>
      </c>
      <c r="Y207" s="241">
        <v>39</v>
      </c>
      <c r="Z207" s="243">
        <f ca="1">[1]ExtEntry!$H5</f>
        <v>39</v>
      </c>
      <c r="AB207" s="258">
        <v>7.0951785714285431E-4</v>
      </c>
      <c r="AC207" s="258">
        <v>-4.141011904761906E-3</v>
      </c>
      <c r="AD207" s="258">
        <v>-7.4062738095238096E-3</v>
      </c>
      <c r="AE207" s="258">
        <v>-1.2919827380952383E-2</v>
      </c>
      <c r="AF207" s="258">
        <v>-1.1011577380952382E-2</v>
      </c>
      <c r="AG207" s="258">
        <v>-8.6642142857142872E-3</v>
      </c>
      <c r="AH207" s="258">
        <v>-7.9524642857142849E-3</v>
      </c>
      <c r="AI207" s="258">
        <v>-3.1308869047619045E-3</v>
      </c>
      <c r="AJ207" s="258">
        <v>-8.4952261904761885E-3</v>
      </c>
      <c r="AK207" s="258">
        <v>-7.900154761904761E-3</v>
      </c>
      <c r="AL207" s="258">
        <v>-9.1788690476190468E-3</v>
      </c>
      <c r="AM207" s="258">
        <v>-4.0967440476190461E-3</v>
      </c>
      <c r="AN207" s="258">
        <v>-5.094464285714282E-3</v>
      </c>
      <c r="AO207" s="258">
        <v>-2.8236190476190453E-3</v>
      </c>
      <c r="AP207" s="258">
        <v>-3.1602440476190463E-3</v>
      </c>
      <c r="AQ207" s="258">
        <v>2.4608214285714303E-3</v>
      </c>
      <c r="AR207" s="258">
        <v>7.909029761904763E-3</v>
      </c>
      <c r="AS207" s="258">
        <v>1.0128071428571431E-2</v>
      </c>
      <c r="AT207" s="258">
        <v>1.4649565476190477E-2</v>
      </c>
      <c r="AU207" s="258">
        <v>9.9898571428571458E-3</v>
      </c>
      <c r="AV207" s="258">
        <f t="shared" ca="1" si="16"/>
        <v>7.7756547619047614E-3</v>
      </c>
      <c r="AX207" s="86" t="str">
        <f t="shared" ca="1" si="17"/>
        <v>AET</v>
      </c>
    </row>
    <row r="208" spans="1:159">
      <c r="A208" s="86" t="str">
        <f t="shared" ca="1" si="15"/>
        <v>AMZN</v>
      </c>
      <c r="F208" s="249">
        <v>250.2</v>
      </c>
      <c r="G208" s="249">
        <v>243.8064</v>
      </c>
      <c r="H208" s="249">
        <v>244.56</v>
      </c>
      <c r="I208" s="249">
        <v>234.69</v>
      </c>
      <c r="J208" s="249">
        <v>222.55</v>
      </c>
      <c r="K208" s="249">
        <v>221.18199999999999</v>
      </c>
      <c r="L208" s="249">
        <v>218.85</v>
      </c>
      <c r="M208" s="249">
        <v>221.23500000000001</v>
      </c>
      <c r="N208" s="249">
        <v>229.73</v>
      </c>
      <c r="O208" s="249">
        <v>229.16</v>
      </c>
      <c r="P208" s="249">
        <v>233.22</v>
      </c>
      <c r="Q208" s="249">
        <v>235.02</v>
      </c>
      <c r="R208" s="249">
        <v>234.29499999999999</v>
      </c>
      <c r="S208" s="249">
        <v>231.68</v>
      </c>
      <c r="T208" s="249">
        <v>232.38</v>
      </c>
      <c r="U208" s="249">
        <v>227.33670000000001</v>
      </c>
      <c r="V208" s="249">
        <v>229.53</v>
      </c>
      <c r="W208" s="249">
        <v>227.71709999999999</v>
      </c>
      <c r="X208" s="249">
        <v>231.78</v>
      </c>
      <c r="Y208" s="249">
        <v>230.28</v>
      </c>
      <c r="Z208" s="243">
        <f ca="1">[1]ExtEntry!$H6</f>
        <v>230.28</v>
      </c>
      <c r="AB208" s="261">
        <v>-2.9646190476190484E-3</v>
      </c>
      <c r="AC208" s="261">
        <v>-3.2659166666666665E-3</v>
      </c>
      <c r="AD208" s="261">
        <v>-4.393136904761904E-3</v>
      </c>
      <c r="AE208" s="261">
        <v>-6.3597797619047627E-3</v>
      </c>
      <c r="AF208" s="261">
        <v>-1.0795011904761906E-2</v>
      </c>
      <c r="AG208" s="261">
        <v>-1.1993488095238099E-2</v>
      </c>
      <c r="AH208" s="261">
        <v>-8.4753095238095238E-3</v>
      </c>
      <c r="AI208" s="261">
        <v>-5.2630178571428585E-3</v>
      </c>
      <c r="AJ208" s="261">
        <v>-5.9547226190476187E-3</v>
      </c>
      <c r="AK208" s="261">
        <v>-3.1753357142857144E-3</v>
      </c>
      <c r="AL208" s="261">
        <v>-2.903651190476191E-3</v>
      </c>
      <c r="AM208" s="261">
        <v>-1.7020238095238806E-5</v>
      </c>
      <c r="AN208" s="261">
        <v>6.8806880952380963E-3</v>
      </c>
      <c r="AO208" s="261">
        <v>5.8695869047619056E-3</v>
      </c>
      <c r="AP208" s="261">
        <v>6.4766702380952374E-3</v>
      </c>
      <c r="AQ208" s="261">
        <v>3.1259440476190479E-3</v>
      </c>
      <c r="AR208" s="261">
        <v>3.9071333333333342E-3</v>
      </c>
      <c r="AS208" s="261">
        <v>5.0530023809523799E-3</v>
      </c>
      <c r="AT208" s="261">
        <v>4.6272345238095244E-3</v>
      </c>
      <c r="AU208" s="261">
        <v>1.6232940476190493E-3</v>
      </c>
      <c r="AV208" s="258">
        <f t="shared" ca="1" si="16"/>
        <v>-7.0408333333330658E-5</v>
      </c>
      <c r="AX208" s="86" t="str">
        <f t="shared" ca="1" si="17"/>
        <v>AMZN</v>
      </c>
    </row>
    <row r="209" spans="1:50" hidden="1">
      <c r="A209" s="86" t="str">
        <f t="shared" ca="1" si="15"/>
        <v>ALDNE</v>
      </c>
      <c r="F209" s="241">
        <v>0.79</v>
      </c>
      <c r="G209" s="241">
        <v>0.78200000000000003</v>
      </c>
      <c r="H209" s="241">
        <v>0.78</v>
      </c>
      <c r="I209" s="241">
        <v>0.66600000000000004</v>
      </c>
      <c r="J209" s="241">
        <v>0.67</v>
      </c>
      <c r="K209" s="241">
        <v>0.68799999999999994</v>
      </c>
      <c r="L209" s="241">
        <v>0.66800000000000004</v>
      </c>
      <c r="M209" s="241">
        <v>0.65600000000000003</v>
      </c>
      <c r="N209" s="241">
        <v>0.64600000000000002</v>
      </c>
      <c r="O209" s="241">
        <v>0.62</v>
      </c>
      <c r="P209" s="241">
        <v>0.60399999999999998</v>
      </c>
      <c r="Q209" s="241">
        <v>0.61799999999999999</v>
      </c>
      <c r="R209" s="241">
        <v>0.62</v>
      </c>
      <c r="S209" s="241">
        <v>0.628</v>
      </c>
      <c r="T209" s="241">
        <v>0.626</v>
      </c>
      <c r="U209" s="241">
        <v>0.62</v>
      </c>
      <c r="V209" s="241">
        <v>0.62</v>
      </c>
      <c r="W209" s="241">
        <v>0.59</v>
      </c>
      <c r="X209" s="241">
        <v>0.59799999999999998</v>
      </c>
      <c r="Y209" s="241">
        <v>0.55000000000000004</v>
      </c>
      <c r="Z209" s="243">
        <f ca="1">[1]ExtEntry!$H7</f>
        <v>0.55000000000000004</v>
      </c>
      <c r="AB209" s="258">
        <v>2.4464464285714285E-3</v>
      </c>
      <c r="AC209" s="258">
        <v>4.7333333333333147E-5</v>
      </c>
      <c r="AD209" s="258">
        <v>1.4701785714285717E-4</v>
      </c>
      <c r="AE209" s="258">
        <v>-4.8869821428571426E-3</v>
      </c>
      <c r="AF209" s="258">
        <v>-4.8143214285714282E-3</v>
      </c>
      <c r="AG209" s="258">
        <v>-4.2095595238095234E-3</v>
      </c>
      <c r="AH209" s="258">
        <v>-1.0275773809523808E-2</v>
      </c>
      <c r="AI209" s="258">
        <v>-1.123567857142857E-2</v>
      </c>
      <c r="AJ209" s="258">
        <v>-1.3990059523809524E-2</v>
      </c>
      <c r="AK209" s="258">
        <v>-1.6293232142857144E-2</v>
      </c>
      <c r="AL209" s="258">
        <v>-1.7970375E-2</v>
      </c>
      <c r="AM209" s="258">
        <v>-7.3754761904761892E-3</v>
      </c>
      <c r="AN209" s="258">
        <v>-4.7061071428571404E-3</v>
      </c>
      <c r="AO209" s="258">
        <v>-4.6045714285714284E-3</v>
      </c>
      <c r="AP209" s="258">
        <v>3.5170833333333408E-4</v>
      </c>
      <c r="AQ209" s="258">
        <v>1.7421309523809533E-3</v>
      </c>
      <c r="AR209" s="258">
        <v>4.8139761904761914E-3</v>
      </c>
      <c r="AS209" s="258">
        <v>9.383785714285716E-3</v>
      </c>
      <c r="AT209" s="258">
        <v>1.3775172619047621E-2</v>
      </c>
      <c r="AU209" s="258">
        <v>6.1205833333333355E-3</v>
      </c>
      <c r="AV209" s="258">
        <f t="shared" ca="1" si="16"/>
        <v>-6.157023809523765E-4</v>
      </c>
      <c r="AX209" s="86" t="str">
        <f t="shared" ca="1" si="17"/>
        <v>ALDNE</v>
      </c>
    </row>
    <row r="210" spans="1:50" hidden="1">
      <c r="A210" s="86" t="str">
        <f t="shared" ca="1" si="15"/>
        <v>ASML</v>
      </c>
      <c r="F210" s="249">
        <v>906.6</v>
      </c>
      <c r="G210" s="249">
        <v>895.3</v>
      </c>
      <c r="H210" s="249">
        <v>870.8</v>
      </c>
      <c r="I210" s="249">
        <v>874.1</v>
      </c>
      <c r="J210" s="249">
        <v>859.4</v>
      </c>
      <c r="K210" s="249">
        <v>886.6</v>
      </c>
      <c r="L210" s="249">
        <v>889.8</v>
      </c>
      <c r="M210" s="249">
        <v>834</v>
      </c>
      <c r="N210" s="249">
        <v>909.3</v>
      </c>
      <c r="O210" s="249">
        <v>897.2</v>
      </c>
      <c r="P210" s="249">
        <v>903.4</v>
      </c>
      <c r="Q210" s="249">
        <v>926.7</v>
      </c>
      <c r="R210" s="249">
        <v>939.1</v>
      </c>
      <c r="S210" s="249">
        <v>956.3</v>
      </c>
      <c r="T210" s="249">
        <v>963.4</v>
      </c>
      <c r="U210" s="249">
        <v>957.3</v>
      </c>
      <c r="V210" s="249">
        <v>951.6</v>
      </c>
      <c r="W210" s="249">
        <v>952.9</v>
      </c>
      <c r="X210" s="249">
        <v>946</v>
      </c>
      <c r="Y210" s="249">
        <v>940.9</v>
      </c>
      <c r="Z210" s="243">
        <f ca="1">[1]ExtEntry!$H8</f>
        <v>940.9</v>
      </c>
      <c r="AB210" s="261">
        <v>1.1275202380952383E-3</v>
      </c>
      <c r="AC210" s="261">
        <v>3.0662107142857154E-3</v>
      </c>
      <c r="AD210" s="261">
        <v>-2.7738666666666666E-3</v>
      </c>
      <c r="AE210" s="261">
        <v>-5.6189797619047629E-3</v>
      </c>
      <c r="AF210" s="261">
        <v>-8.1998190476190499E-3</v>
      </c>
      <c r="AG210" s="261">
        <v>-6.8668654761904774E-3</v>
      </c>
      <c r="AH210" s="261">
        <v>-7.287425000000001E-3</v>
      </c>
      <c r="AI210" s="261">
        <v>-1.0846597619047622E-2</v>
      </c>
      <c r="AJ210" s="261">
        <v>-3.4020083333333329E-3</v>
      </c>
      <c r="AK210" s="261">
        <v>-2.6337166666666675E-3</v>
      </c>
      <c r="AL210" s="261">
        <v>1.2293250000000003E-3</v>
      </c>
      <c r="AM210" s="261">
        <v>5.5414321428571426E-3</v>
      </c>
      <c r="AN210" s="261">
        <v>6.9849083333333338E-3</v>
      </c>
      <c r="AO210" s="261">
        <v>4.3152297619047618E-3</v>
      </c>
      <c r="AP210" s="261">
        <v>4.8121285714285708E-3</v>
      </c>
      <c r="AQ210" s="261">
        <v>1.3124265476190477E-2</v>
      </c>
      <c r="AR210" s="261">
        <v>5.9033428571428565E-3</v>
      </c>
      <c r="AS210" s="261">
        <v>7.4686345238095227E-3</v>
      </c>
      <c r="AT210" s="261">
        <v>6.0918452380952373E-3</v>
      </c>
      <c r="AU210" s="261">
        <v>3.3882857142857143E-3</v>
      </c>
      <c r="AV210" s="258">
        <f t="shared" ca="1" si="16"/>
        <v>8.6164285714285748E-4</v>
      </c>
      <c r="AX210" s="86" t="str">
        <f t="shared" ca="1" si="17"/>
        <v>ASML</v>
      </c>
    </row>
    <row r="211" spans="1:50" hidden="1">
      <c r="A211" s="86" t="str">
        <f t="shared" ca="1" si="15"/>
        <v>AVGO</v>
      </c>
      <c r="F211" s="249">
        <v>358.98</v>
      </c>
      <c r="G211" s="249">
        <v>355.6</v>
      </c>
      <c r="H211" s="249">
        <v>347.38499999999999</v>
      </c>
      <c r="I211" s="249">
        <v>342.46</v>
      </c>
      <c r="J211" s="249">
        <v>340.5</v>
      </c>
      <c r="K211" s="249">
        <v>347.97</v>
      </c>
      <c r="L211" s="249">
        <v>350.54</v>
      </c>
      <c r="M211" s="249">
        <v>343.4948</v>
      </c>
      <c r="N211" s="249">
        <v>395.3175</v>
      </c>
      <c r="O211" s="249">
        <v>397.57</v>
      </c>
      <c r="P211" s="249">
        <v>402.96</v>
      </c>
      <c r="Q211" s="249">
        <v>390.18</v>
      </c>
      <c r="R211" s="249">
        <v>381.57</v>
      </c>
      <c r="S211" s="249">
        <v>376</v>
      </c>
      <c r="T211" s="249">
        <v>380.61</v>
      </c>
      <c r="U211" s="249">
        <v>381.73950000000002</v>
      </c>
      <c r="V211" s="249">
        <v>390.24</v>
      </c>
      <c r="W211" s="249">
        <v>405.54910000000001</v>
      </c>
      <c r="X211" s="249">
        <v>412.97</v>
      </c>
      <c r="Y211" s="249">
        <v>406.37</v>
      </c>
      <c r="Z211" s="243">
        <f ca="1">[1]ExtEntry!$H9</f>
        <v>406.37</v>
      </c>
      <c r="AB211" s="258">
        <v>-1.0155714285714286E-3</v>
      </c>
      <c r="AC211" s="258">
        <v>2.0408750000000006E-3</v>
      </c>
      <c r="AD211" s="258">
        <v>3.0226285714285714E-3</v>
      </c>
      <c r="AE211" s="258">
        <v>3.3437059523809521E-3</v>
      </c>
      <c r="AF211" s="258">
        <v>2.1283071428571431E-3</v>
      </c>
      <c r="AG211" s="258">
        <v>3.593819047619047E-3</v>
      </c>
      <c r="AH211" s="258">
        <v>3.0841892857142862E-3</v>
      </c>
      <c r="AI211" s="258">
        <v>5.6249452380952372E-3</v>
      </c>
      <c r="AJ211" s="258">
        <v>7.2207428571428589E-3</v>
      </c>
      <c r="AK211" s="258">
        <v>2.805552380952381E-3</v>
      </c>
      <c r="AL211" s="258">
        <v>1.6334988095238088E-3</v>
      </c>
      <c r="AM211" s="258">
        <v>-1.1294833333333331E-3</v>
      </c>
      <c r="AN211" s="258">
        <v>-1.9775666666666668E-3</v>
      </c>
      <c r="AO211" s="258">
        <v>-2.9276309523809576E-4</v>
      </c>
      <c r="AP211" s="258">
        <v>9.4578452380952296E-4</v>
      </c>
      <c r="AQ211" s="258">
        <v>-3.6612916666666669E-3</v>
      </c>
      <c r="AR211" s="258">
        <v>-4.1649345238095239E-3</v>
      </c>
      <c r="AS211" s="258">
        <v>-4.8958571428571436E-3</v>
      </c>
      <c r="AT211" s="258">
        <v>-3.4711130952380961E-3</v>
      </c>
      <c r="AU211" s="258">
        <v>-1.8371666666666671E-3</v>
      </c>
      <c r="AV211" s="258">
        <f t="shared" ref="AV211:AV249" ca="1" si="18">AVERAGE(S711:Z711)-AVERAGE(F711:Z711)</f>
        <v>-2.2968095238095248E-3</v>
      </c>
      <c r="AX211" s="86" t="str">
        <f t="shared" ca="1" si="17"/>
        <v>AVGO</v>
      </c>
    </row>
    <row r="212" spans="1:50" hidden="1">
      <c r="A212" s="86" t="str">
        <f t="shared" ca="1" si="15"/>
        <v>AZN</v>
      </c>
      <c r="F212" s="249">
        <v>81.150000000000006</v>
      </c>
      <c r="G212" s="249">
        <v>83.694999999999993</v>
      </c>
      <c r="H212" s="249">
        <v>84.555000000000007</v>
      </c>
      <c r="I212" s="249">
        <v>89.1</v>
      </c>
      <c r="J212" s="249">
        <v>89.55</v>
      </c>
      <c r="K212" s="249">
        <v>88.970100000000002</v>
      </c>
      <c r="L212" s="249">
        <v>88.609200000000001</v>
      </c>
      <c r="M212" s="249">
        <v>91.61</v>
      </c>
      <c r="N212" s="249">
        <v>93.665000000000006</v>
      </c>
      <c r="O212" s="249">
        <v>93.32</v>
      </c>
      <c r="P212" s="249">
        <v>92.73</v>
      </c>
      <c r="Q212" s="249">
        <v>90.79</v>
      </c>
      <c r="R212" s="249">
        <v>90.204999999999998</v>
      </c>
      <c r="S212" s="249">
        <v>91.05</v>
      </c>
      <c r="T212" s="249">
        <v>90.85</v>
      </c>
      <c r="U212" s="249">
        <v>90.31</v>
      </c>
      <c r="V212" s="249">
        <v>90.18</v>
      </c>
      <c r="W212" s="249">
        <v>90.025000000000006</v>
      </c>
      <c r="X212" s="249">
        <v>91.51</v>
      </c>
      <c r="Y212" s="249">
        <v>90.29</v>
      </c>
      <c r="Z212" s="243">
        <f ca="1">[1]ExtEntry!$H10</f>
        <v>90.29</v>
      </c>
      <c r="AB212" s="261">
        <v>-7.762815476190477E-3</v>
      </c>
      <c r="AC212" s="261">
        <v>3.3687380952380961E-3</v>
      </c>
      <c r="AD212" s="261">
        <v>1.6909880952380954E-3</v>
      </c>
      <c r="AE212" s="261">
        <v>-8.5500892857142859E-3</v>
      </c>
      <c r="AF212" s="261">
        <v>-8.2556130952380936E-3</v>
      </c>
      <c r="AG212" s="261">
        <v>-1.0904392857142856E-2</v>
      </c>
      <c r="AH212" s="261">
        <v>-7.5634821428571435E-3</v>
      </c>
      <c r="AI212" s="261">
        <v>6.359476190476194E-3</v>
      </c>
      <c r="AJ212" s="261">
        <v>-4.6092023809523822E-3</v>
      </c>
      <c r="AK212" s="261">
        <v>-4.2032738095238494E-4</v>
      </c>
      <c r="AL212" s="261">
        <v>3.0195357142857138E-3</v>
      </c>
      <c r="AM212" s="261">
        <v>6.423232142857142E-3</v>
      </c>
      <c r="AN212" s="261">
        <v>4.2374761904761891E-3</v>
      </c>
      <c r="AO212" s="261">
        <v>3.314315476190475E-3</v>
      </c>
      <c r="AP212" s="261">
        <v>6.9396726190476179E-3</v>
      </c>
      <c r="AQ212" s="261">
        <v>7.5086369047619034E-3</v>
      </c>
      <c r="AR212" s="261">
        <v>7.3637261904761914E-3</v>
      </c>
      <c r="AS212" s="261">
        <v>3.0426428571428566E-3</v>
      </c>
      <c r="AT212" s="261">
        <v>-3.3385119047619084E-4</v>
      </c>
      <c r="AU212" s="261">
        <v>6.224267857142857E-3</v>
      </c>
      <c r="AV212" s="258">
        <f t="shared" ca="1" si="18"/>
        <v>5.4465297619047618E-3</v>
      </c>
      <c r="AX212" s="86" t="str">
        <f t="shared" ca="1" si="17"/>
        <v>AZN</v>
      </c>
    </row>
    <row r="213" spans="1:50" hidden="1">
      <c r="A213" s="86" t="str">
        <f t="shared" ca="1" si="15"/>
        <v>BLDP</v>
      </c>
      <c r="F213" s="249">
        <v>3.65</v>
      </c>
      <c r="G213" s="249">
        <v>3.57</v>
      </c>
      <c r="H213" s="249">
        <v>3.4849999999999999</v>
      </c>
      <c r="I213" s="249">
        <v>3.03</v>
      </c>
      <c r="J213" s="249">
        <v>2.89</v>
      </c>
      <c r="K213" s="249">
        <v>2.8420000000000001</v>
      </c>
      <c r="L213" s="249">
        <v>2.7250000000000001</v>
      </c>
      <c r="M213" s="249">
        <v>2.73</v>
      </c>
      <c r="N213" s="249">
        <v>2.7549999999999999</v>
      </c>
      <c r="O213" s="249">
        <v>2.78</v>
      </c>
      <c r="P213" s="249">
        <v>2.84</v>
      </c>
      <c r="Q213" s="249">
        <v>2.73</v>
      </c>
      <c r="R213" s="249">
        <v>2.7149999999999999</v>
      </c>
      <c r="S213" s="249">
        <v>2.63</v>
      </c>
      <c r="T213" s="249">
        <v>2.67</v>
      </c>
      <c r="U213" s="249">
        <v>2.7700999999999998</v>
      </c>
      <c r="V213" s="249">
        <v>2.82</v>
      </c>
      <c r="W213" s="249">
        <v>2.81</v>
      </c>
      <c r="X213" s="249">
        <v>2.78</v>
      </c>
      <c r="Y213" s="249">
        <v>2.89</v>
      </c>
      <c r="Z213" s="243">
        <f ca="1">[1]ExtEntry!$H11</f>
        <v>2.89</v>
      </c>
      <c r="AB213" s="258">
        <v>-1.5529047619047619E-2</v>
      </c>
      <c r="AC213" s="258">
        <v>-5.9116904761904749E-3</v>
      </c>
      <c r="AD213" s="258">
        <v>-7.6367976190476186E-3</v>
      </c>
      <c r="AE213" s="258">
        <v>-1.1899547619047617E-2</v>
      </c>
      <c r="AF213" s="258">
        <v>-1.2093732142857142E-2</v>
      </c>
      <c r="AG213" s="258">
        <v>-1.0873166666666666E-2</v>
      </c>
      <c r="AH213" s="258">
        <v>-8.819148809523808E-3</v>
      </c>
      <c r="AI213" s="258">
        <v>4.1866130952380974E-3</v>
      </c>
      <c r="AJ213" s="258">
        <v>-1.9938333333333284E-3</v>
      </c>
      <c r="AK213" s="258">
        <v>-3.0922023809523344E-4</v>
      </c>
      <c r="AL213" s="258">
        <v>3.4573750000000056E-3</v>
      </c>
      <c r="AM213" s="258">
        <v>6.9295059523809561E-3</v>
      </c>
      <c r="AN213" s="258">
        <v>1.2473851190476197E-2</v>
      </c>
      <c r="AO213" s="258">
        <v>1.1779886904761904E-2</v>
      </c>
      <c r="AP213" s="258">
        <v>5.8974166666666689E-3</v>
      </c>
      <c r="AQ213" s="258">
        <v>4.6151011904761912E-3</v>
      </c>
      <c r="AR213" s="258">
        <v>7.9839940476190488E-3</v>
      </c>
      <c r="AS213" s="258">
        <v>1.1800809523809526E-2</v>
      </c>
      <c r="AT213" s="258">
        <v>7.4055952380952389E-3</v>
      </c>
      <c r="AU213" s="258">
        <v>1.4953511904761907E-2</v>
      </c>
      <c r="AV213" s="258">
        <f t="shared" ca="1" si="18"/>
        <v>1.0240875E-2</v>
      </c>
      <c r="AX213" s="86" t="str">
        <f t="shared" ca="1" si="17"/>
        <v>BLDP</v>
      </c>
    </row>
    <row r="214" spans="1:50" hidden="1">
      <c r="A214" s="86" t="str">
        <f t="shared" ca="1" si="15"/>
        <v>BMRA</v>
      </c>
      <c r="F214" s="249">
        <v>2.58</v>
      </c>
      <c r="G214" s="249">
        <v>2.5499999999999998</v>
      </c>
      <c r="H214" s="249">
        <v>2.4975000000000001</v>
      </c>
      <c r="I214" s="249">
        <v>2.41</v>
      </c>
      <c r="J214" s="249">
        <v>2.25</v>
      </c>
      <c r="K214" s="249">
        <v>2.2149999999999999</v>
      </c>
      <c r="L214" s="249">
        <v>2.2000000000000002</v>
      </c>
      <c r="M214" s="249">
        <v>2.27</v>
      </c>
      <c r="N214" s="249">
        <v>2.3650000000000002</v>
      </c>
      <c r="O214" s="249">
        <v>2.3199999999999998</v>
      </c>
      <c r="P214" s="249">
        <v>2.37</v>
      </c>
      <c r="Q214" s="249">
        <v>2.27</v>
      </c>
      <c r="R214" s="249">
        <v>2.3224999999999998</v>
      </c>
      <c r="S214" s="249">
        <v>2.3410000000000002</v>
      </c>
      <c r="T214" s="249">
        <v>2.31</v>
      </c>
      <c r="U214" s="249">
        <v>2.3313999999999999</v>
      </c>
      <c r="V214" s="249">
        <v>2.34</v>
      </c>
      <c r="W214" s="249">
        <v>2.4900000000000002</v>
      </c>
      <c r="X214" s="249">
        <v>2.5</v>
      </c>
      <c r="Y214" s="249">
        <v>2.59</v>
      </c>
      <c r="Z214" s="243">
        <f ca="1">[1]ExtEntry!$H12</f>
        <v>2.59</v>
      </c>
      <c r="AB214" s="261">
        <v>3.6444404761904765E-3</v>
      </c>
      <c r="AC214" s="261">
        <v>5.7659226190476167E-3</v>
      </c>
      <c r="AD214" s="261">
        <v>4.9240535714285714E-3</v>
      </c>
      <c r="AE214" s="261">
        <v>1.392446428571428E-3</v>
      </c>
      <c r="AF214" s="261">
        <v>-1.7238214285714287E-3</v>
      </c>
      <c r="AG214" s="261">
        <v>-1.5956190476190475E-3</v>
      </c>
      <c r="AH214" s="261">
        <v>-3.2164166666666665E-3</v>
      </c>
      <c r="AI214" s="261">
        <v>3.7267857142857182E-4</v>
      </c>
      <c r="AJ214" s="261">
        <v>4.3876785714285784E-4</v>
      </c>
      <c r="AK214" s="261">
        <v>6.2922023809523818E-4</v>
      </c>
      <c r="AL214" s="261">
        <v>2.3071488095238093E-3</v>
      </c>
      <c r="AM214" s="261">
        <v>3.6016071428571429E-3</v>
      </c>
      <c r="AN214" s="261">
        <v>3.3093511904761907E-3</v>
      </c>
      <c r="AO214" s="261">
        <v>1.8713571428571416E-3</v>
      </c>
      <c r="AP214" s="261">
        <v>5.7178809523809526E-3</v>
      </c>
      <c r="AQ214" s="261">
        <v>5.5051309523809523E-3</v>
      </c>
      <c r="AR214" s="261">
        <v>5.3054166666666657E-3</v>
      </c>
      <c r="AS214" s="261">
        <v>4.797140476190476E-3</v>
      </c>
      <c r="AT214" s="261">
        <v>4.7818130952380971E-3</v>
      </c>
      <c r="AU214" s="261">
        <v>6.1898309523809522E-3</v>
      </c>
      <c r="AV214" s="258">
        <f t="shared" ca="1" si="18"/>
        <v>5.7363071428571449E-3</v>
      </c>
      <c r="AX214" s="86" t="str">
        <f t="shared" ca="1" si="17"/>
        <v>BMRA</v>
      </c>
    </row>
    <row r="215" spans="1:50" hidden="1">
      <c r="A215" s="86" t="str">
        <f t="shared" ca="1" si="15"/>
        <v>C</v>
      </c>
      <c r="F215" s="249">
        <v>101.72</v>
      </c>
      <c r="G215" s="249">
        <v>101.01</v>
      </c>
      <c r="H215" s="249">
        <v>100.52</v>
      </c>
      <c r="I215" s="249">
        <v>100.3</v>
      </c>
      <c r="J215" s="249">
        <v>98.32</v>
      </c>
      <c r="K215" s="249">
        <v>99.6</v>
      </c>
      <c r="L215" s="249">
        <v>98.155000000000001</v>
      </c>
      <c r="M215" s="249">
        <v>98.83</v>
      </c>
      <c r="N215" s="249">
        <v>102.77500000000001</v>
      </c>
      <c r="O215" s="249">
        <v>102.51</v>
      </c>
      <c r="P215" s="249">
        <v>103.65</v>
      </c>
      <c r="Q215" s="249">
        <v>103.26</v>
      </c>
      <c r="R215" s="249">
        <v>103.18</v>
      </c>
      <c r="S215" s="249">
        <v>104.69</v>
      </c>
      <c r="T215" s="249">
        <v>106.77</v>
      </c>
      <c r="U215" s="249">
        <v>108.3</v>
      </c>
      <c r="V215" s="249">
        <v>108.83</v>
      </c>
      <c r="W215" s="249">
        <v>109.015</v>
      </c>
      <c r="X215" s="249">
        <v>111.125</v>
      </c>
      <c r="Y215" s="249">
        <v>111.75</v>
      </c>
      <c r="Z215" s="243">
        <f ca="1">[1]ExtEntry!$H13</f>
        <v>111.75</v>
      </c>
      <c r="AB215" s="258">
        <v>-8.9387619047619129E-4</v>
      </c>
      <c r="AC215" s="258">
        <v>-1.7880297619047615E-3</v>
      </c>
      <c r="AD215" s="258">
        <v>-1.1716249999999991E-3</v>
      </c>
      <c r="AE215" s="258">
        <v>-2.6359523809523768E-4</v>
      </c>
      <c r="AF215" s="258">
        <v>-2.2669940476190472E-3</v>
      </c>
      <c r="AG215" s="258">
        <v>-3.7674107142857145E-3</v>
      </c>
      <c r="AH215" s="258">
        <v>-9.0147738095238111E-3</v>
      </c>
      <c r="AI215" s="258">
        <v>-3.5290178571428577E-3</v>
      </c>
      <c r="AJ215" s="258">
        <v>-2.6536833333333332E-3</v>
      </c>
      <c r="AK215" s="258">
        <v>-1.5633321428571427E-3</v>
      </c>
      <c r="AL215" s="258">
        <v>2.4085833333333299E-4</v>
      </c>
      <c r="AM215" s="258">
        <v>-1.0611833333333334E-3</v>
      </c>
      <c r="AN215" s="258">
        <v>5.0983690476190445E-4</v>
      </c>
      <c r="AO215" s="258">
        <v>-6.2303333333333353E-4</v>
      </c>
      <c r="AP215" s="258">
        <v>3.6826738095238096E-3</v>
      </c>
      <c r="AQ215" s="258">
        <v>1.2988047619047617E-3</v>
      </c>
      <c r="AR215" s="258">
        <v>1.8090880952380953E-3</v>
      </c>
      <c r="AS215" s="258">
        <v>3.4619869047619054E-3</v>
      </c>
      <c r="AT215" s="258">
        <v>3.5729749999999999E-3</v>
      </c>
      <c r="AU215" s="258">
        <v>4.7386833333333328E-3</v>
      </c>
      <c r="AV215" s="258">
        <f t="shared" ca="1" si="18"/>
        <v>1.0884571428571429E-3</v>
      </c>
      <c r="AX215" s="86" t="str">
        <f t="shared" ca="1" si="17"/>
        <v>C</v>
      </c>
    </row>
    <row r="216" spans="1:50" hidden="1">
      <c r="A216" s="86" t="str">
        <f t="shared" ca="1" si="15"/>
        <v>CSCO</v>
      </c>
      <c r="F216" s="249">
        <v>72.099999999999994</v>
      </c>
      <c r="G216" s="249">
        <v>71.155000000000001</v>
      </c>
      <c r="H216" s="249">
        <v>70.924999999999997</v>
      </c>
      <c r="I216" s="249">
        <v>78</v>
      </c>
      <c r="J216" s="249">
        <v>77.37</v>
      </c>
      <c r="K216" s="249">
        <v>78.273600000000002</v>
      </c>
      <c r="L216" s="249">
        <v>76.22</v>
      </c>
      <c r="M216" s="249">
        <v>76.614999999999995</v>
      </c>
      <c r="N216" s="249">
        <v>76.284999999999997</v>
      </c>
      <c r="O216" s="249">
        <v>76.069999999999993</v>
      </c>
      <c r="P216" s="249">
        <v>76.94</v>
      </c>
      <c r="Q216" s="249">
        <v>76.290099999999995</v>
      </c>
      <c r="R216" s="249">
        <v>76.89</v>
      </c>
      <c r="S216" s="249">
        <v>77.234999999999999</v>
      </c>
      <c r="T216" s="249">
        <v>77.75</v>
      </c>
      <c r="U216" s="249">
        <v>77.575000000000003</v>
      </c>
      <c r="V216" s="249">
        <v>77.97</v>
      </c>
      <c r="W216" s="249">
        <v>79.605000000000004</v>
      </c>
      <c r="X216" s="249">
        <v>80.25</v>
      </c>
      <c r="Y216" s="249">
        <v>79.27</v>
      </c>
      <c r="Z216" s="243">
        <f ca="1">[1]ExtEntry!$H14</f>
        <v>79.27</v>
      </c>
      <c r="AB216" s="261">
        <v>-6.3840928571428568E-3</v>
      </c>
      <c r="AC216" s="261">
        <v>-4.6768904761904763E-3</v>
      </c>
      <c r="AD216" s="261">
        <v>-3.9036940476190477E-3</v>
      </c>
      <c r="AE216" s="261">
        <v>-6.6262357142857142E-3</v>
      </c>
      <c r="AF216" s="261">
        <v>-7.9872357142857144E-3</v>
      </c>
      <c r="AG216" s="261">
        <v>-9.2198130952380938E-3</v>
      </c>
      <c r="AH216" s="261">
        <v>-3.2392297619047625E-3</v>
      </c>
      <c r="AI216" s="261">
        <v>-2.1534285714285765E-4</v>
      </c>
      <c r="AJ216" s="261">
        <v>1.2536452380952372E-3</v>
      </c>
      <c r="AK216" s="261">
        <v>2.7687761904761892E-3</v>
      </c>
      <c r="AL216" s="261">
        <v>3.6402583333333309E-3</v>
      </c>
      <c r="AM216" s="261">
        <v>5.1639940476190466E-3</v>
      </c>
      <c r="AN216" s="261">
        <v>4.7722559523809506E-3</v>
      </c>
      <c r="AO216" s="261">
        <v>6.0415952380952365E-3</v>
      </c>
      <c r="AP216" s="261">
        <v>3.5936904761904752E-3</v>
      </c>
      <c r="AQ216" s="261">
        <v>4.637083333333342E-4</v>
      </c>
      <c r="AR216" s="261">
        <v>-2.3922380952380966E-3</v>
      </c>
      <c r="AS216" s="261">
        <v>-2.1130178571428567E-3</v>
      </c>
      <c r="AT216" s="261">
        <v>-2.3040119047619055E-3</v>
      </c>
      <c r="AU216" s="261">
        <v>-1.8271309523809518E-3</v>
      </c>
      <c r="AV216" s="258">
        <f t="shared" ca="1" si="18"/>
        <v>2.141839285714286E-3</v>
      </c>
      <c r="AX216" s="86" t="str">
        <f t="shared" ca="1" si="17"/>
        <v>CSCO</v>
      </c>
    </row>
    <row r="217" spans="1:50" hidden="1">
      <c r="A217" s="86" t="str">
        <f t="shared" ca="1" si="15"/>
        <v>CVS</v>
      </c>
      <c r="F217" s="249">
        <v>78.56</v>
      </c>
      <c r="G217" s="249">
        <v>78.73</v>
      </c>
      <c r="H217" s="249">
        <v>78.84</v>
      </c>
      <c r="I217" s="249">
        <v>77.87</v>
      </c>
      <c r="J217" s="249">
        <v>77.94</v>
      </c>
      <c r="K217" s="249">
        <v>76.42</v>
      </c>
      <c r="L217" s="249">
        <v>76.135000000000005</v>
      </c>
      <c r="M217" s="249">
        <v>77.754999999999995</v>
      </c>
      <c r="N217" s="249">
        <v>79.86</v>
      </c>
      <c r="O217" s="249">
        <v>79.86</v>
      </c>
      <c r="P217" s="249">
        <v>80.36</v>
      </c>
      <c r="Q217" s="249">
        <v>79.739999999999995</v>
      </c>
      <c r="R217" s="249">
        <v>77.614999999999995</v>
      </c>
      <c r="S217" s="249">
        <v>77.023200000000003</v>
      </c>
      <c r="T217" s="249">
        <v>75.06</v>
      </c>
      <c r="U217" s="249">
        <v>74.854900000000001</v>
      </c>
      <c r="V217" s="249">
        <v>75.63</v>
      </c>
      <c r="W217" s="249">
        <v>78.7</v>
      </c>
      <c r="X217" s="249">
        <v>78.989999999999995</v>
      </c>
      <c r="Y217" s="249">
        <v>80.83</v>
      </c>
      <c r="Z217" s="243">
        <f ca="1">[1]ExtEntry!$H15</f>
        <v>80.83</v>
      </c>
      <c r="AB217" s="258">
        <v>-1.9585124999999998E-2</v>
      </c>
      <c r="AC217" s="258">
        <v>-1.3616595238095238E-2</v>
      </c>
      <c r="AD217" s="258">
        <v>-1.7701511904761907E-2</v>
      </c>
      <c r="AE217" s="258">
        <v>-1.7935428571428571E-2</v>
      </c>
      <c r="AF217" s="258">
        <v>-1.647607142857143E-2</v>
      </c>
      <c r="AG217" s="258">
        <v>-2.3604928571428575E-2</v>
      </c>
      <c r="AH217" s="258">
        <v>-1.5224678571428577E-2</v>
      </c>
      <c r="AI217" s="258">
        <v>-5.0986190476190497E-3</v>
      </c>
      <c r="AJ217" s="258">
        <v>-9.4140476190476483E-4</v>
      </c>
      <c r="AK217" s="258">
        <v>1.6167910714285715E-2</v>
      </c>
      <c r="AL217" s="258">
        <v>1.6883023809523806E-2</v>
      </c>
      <c r="AM217" s="258">
        <v>2.4428154761904762E-2</v>
      </c>
      <c r="AN217" s="258">
        <v>2.1197630952380943E-2</v>
      </c>
      <c r="AO217" s="258">
        <v>1.9345440476190474E-2</v>
      </c>
      <c r="AP217" s="258">
        <v>2.6444440476190476E-2</v>
      </c>
      <c r="AQ217" s="258">
        <v>2.2984583333333333E-2</v>
      </c>
      <c r="AR217" s="258">
        <v>1.9656809523809521E-2</v>
      </c>
      <c r="AS217" s="258">
        <v>3.7035178571428601E-3</v>
      </c>
      <c r="AT217" s="258">
        <v>3.1914226190476215E-3</v>
      </c>
      <c r="AU217" s="258">
        <v>1.2923321428571426E-2</v>
      </c>
      <c r="AV217" s="258">
        <f t="shared" ca="1" si="18"/>
        <v>1.5473065476190479E-2</v>
      </c>
      <c r="AX217" s="86" t="str">
        <f t="shared" ca="1" si="17"/>
        <v>CVS</v>
      </c>
    </row>
    <row r="218" spans="1:50" hidden="1">
      <c r="A218" s="86" t="str">
        <f t="shared" ca="1" si="15"/>
        <v>DDD</v>
      </c>
      <c r="F218" s="249">
        <v>2.6</v>
      </c>
      <c r="G218" s="249">
        <v>2.2650000000000001</v>
      </c>
      <c r="H218" s="249">
        <v>2.2250000000000001</v>
      </c>
      <c r="I218" s="249">
        <v>2.16</v>
      </c>
      <c r="J218" s="249">
        <v>2.08</v>
      </c>
      <c r="K218" s="249">
        <v>2.0449999999999999</v>
      </c>
      <c r="L218" s="249">
        <v>1.88</v>
      </c>
      <c r="M218" s="249">
        <v>1.9450000000000001</v>
      </c>
      <c r="N218" s="249">
        <v>2.0350000000000001</v>
      </c>
      <c r="O218" s="249">
        <v>2.0499999999999998</v>
      </c>
      <c r="P218" s="249">
        <v>2.08</v>
      </c>
      <c r="Q218" s="249">
        <v>2.0049999999999999</v>
      </c>
      <c r="R218" s="249">
        <v>2.0499999999999998</v>
      </c>
      <c r="S218" s="249">
        <v>2.0750000000000002</v>
      </c>
      <c r="T218" s="249">
        <v>2.2000000000000002</v>
      </c>
      <c r="U218" s="249">
        <v>2.2250000000000001</v>
      </c>
      <c r="V218" s="249">
        <v>2.16</v>
      </c>
      <c r="W218" s="249">
        <v>1.7649999999999999</v>
      </c>
      <c r="X218" s="249">
        <v>1.77</v>
      </c>
      <c r="Y218" s="249">
        <v>1.9650000000000001</v>
      </c>
      <c r="Z218" s="243">
        <f ca="1">[1]ExtEntry!$H16</f>
        <v>1.9650000000000001</v>
      </c>
      <c r="AB218" s="261">
        <v>-2.2099869047619044E-3</v>
      </c>
      <c r="AC218" s="261">
        <v>-1.5828499999999998E-3</v>
      </c>
      <c r="AD218" s="261">
        <v>-1.4244535714285713E-3</v>
      </c>
      <c r="AE218" s="261">
        <v>-1.4928107142857135E-3</v>
      </c>
      <c r="AF218" s="261">
        <v>-2.1490428571428566E-3</v>
      </c>
      <c r="AG218" s="261">
        <v>-2.4944952380952378E-3</v>
      </c>
      <c r="AH218" s="261">
        <v>-5.159751190476191E-3</v>
      </c>
      <c r="AI218" s="261">
        <v>-2.5850785714285713E-3</v>
      </c>
      <c r="AJ218" s="261">
        <v>-1.6809059523809516E-3</v>
      </c>
      <c r="AK218" s="261">
        <v>-1.0176559523809527E-3</v>
      </c>
      <c r="AL218" s="261">
        <v>-1.6870952380952333E-4</v>
      </c>
      <c r="AM218" s="261">
        <v>3.9566297619047621E-3</v>
      </c>
      <c r="AN218" s="261">
        <v>2.9574749999999993E-3</v>
      </c>
      <c r="AO218" s="261">
        <v>3.5289749999999997E-3</v>
      </c>
      <c r="AP218" s="261">
        <v>5.8429630952380957E-3</v>
      </c>
      <c r="AQ218" s="261">
        <v>3.1242857142857149E-3</v>
      </c>
      <c r="AR218" s="261">
        <v>1.7278392857142857E-3</v>
      </c>
      <c r="AS218" s="261">
        <v>1.1825595238095237E-3</v>
      </c>
      <c r="AT218" s="261">
        <v>9.4828571428571444E-4</v>
      </c>
      <c r="AU218" s="261">
        <v>1.1665297619047616E-3</v>
      </c>
      <c r="AV218" s="258">
        <f t="shared" ca="1" si="18"/>
        <v>4.8209702380952379E-3</v>
      </c>
      <c r="AX218" s="86" t="str">
        <f t="shared" ca="1" si="17"/>
        <v>DDD</v>
      </c>
    </row>
    <row r="219" spans="1:50" hidden="1">
      <c r="A219" s="86" t="str">
        <f t="shared" ca="1" si="15"/>
        <v>DIS</v>
      </c>
      <c r="F219" s="249">
        <v>111.34</v>
      </c>
      <c r="G219" s="249">
        <v>110.16</v>
      </c>
      <c r="H219" s="249">
        <v>110.73</v>
      </c>
      <c r="I219" s="249">
        <v>105.8</v>
      </c>
      <c r="J219" s="249">
        <v>106.28</v>
      </c>
      <c r="K219" s="249">
        <v>105.3</v>
      </c>
      <c r="L219" s="249">
        <v>102.87</v>
      </c>
      <c r="M219" s="249">
        <v>104.45</v>
      </c>
      <c r="N219" s="249">
        <v>103.845</v>
      </c>
      <c r="O219" s="249">
        <v>103.43</v>
      </c>
      <c r="P219" s="249">
        <v>104.47</v>
      </c>
      <c r="Q219" s="249">
        <v>106.44</v>
      </c>
      <c r="R219" s="249">
        <v>104.97499999999999</v>
      </c>
      <c r="S219" s="249">
        <v>104.72</v>
      </c>
      <c r="T219" s="249">
        <v>105.73</v>
      </c>
      <c r="U219" s="249">
        <v>104.9701</v>
      </c>
      <c r="V219" s="249">
        <v>105.23</v>
      </c>
      <c r="W219" s="249">
        <v>106.7</v>
      </c>
      <c r="X219" s="249">
        <v>108.83</v>
      </c>
      <c r="Y219" s="249">
        <v>111.48</v>
      </c>
      <c r="Z219" s="243">
        <f ca="1">[1]ExtEntry!$H17</f>
        <v>111.48</v>
      </c>
      <c r="AB219" s="258">
        <v>-1.7907720833333331E-2</v>
      </c>
      <c r="AC219" s="258">
        <v>-1.9903566071428572E-2</v>
      </c>
      <c r="AD219" s="258">
        <v>-3.687750595238095E-3</v>
      </c>
      <c r="AE219" s="258">
        <v>-2.433208928571429E-3</v>
      </c>
      <c r="AF219" s="258">
        <v>-8.3940654761904647E-4</v>
      </c>
      <c r="AG219" s="258">
        <v>2.700498214285715E-3</v>
      </c>
      <c r="AH219" s="258">
        <v>2.9179785714285728E-3</v>
      </c>
      <c r="AI219" s="258">
        <v>4.3637523809523827E-3</v>
      </c>
      <c r="AJ219" s="258">
        <v>6.1796214285714324E-3</v>
      </c>
      <c r="AK219" s="258">
        <v>1.0757175000000002E-2</v>
      </c>
      <c r="AL219" s="258">
        <v>1.0118109523809525E-2</v>
      </c>
      <c r="AM219" s="258">
        <v>1.1252377380952382E-2</v>
      </c>
      <c r="AN219" s="258">
        <v>1.0694725E-2</v>
      </c>
      <c r="AO219" s="258">
        <v>9.3472309523809534E-3</v>
      </c>
      <c r="AP219" s="258">
        <v>9.3989869047619058E-3</v>
      </c>
      <c r="AQ219" s="258">
        <v>3.4630404761904765E-3</v>
      </c>
      <c r="AR219" s="258">
        <v>1.5921678571428569E-3</v>
      </c>
      <c r="AS219" s="258">
        <v>5.4651309523809496E-4</v>
      </c>
      <c r="AT219" s="258">
        <v>-1.1646833333333328E-3</v>
      </c>
      <c r="AU219" s="258">
        <v>5.9186666666666667E-4</v>
      </c>
      <c r="AV219" s="258">
        <f t="shared" ca="1" si="18"/>
        <v>2.5896940476190481E-3</v>
      </c>
      <c r="AX219" s="86" t="str">
        <f t="shared" ca="1" si="17"/>
        <v>DIS</v>
      </c>
    </row>
    <row r="220" spans="1:50" hidden="1">
      <c r="A220" s="86" t="str">
        <f t="shared" ca="1" si="15"/>
        <v>DSY</v>
      </c>
      <c r="F220" s="249">
        <v>23.98</v>
      </c>
      <c r="G220" s="249">
        <v>23.26</v>
      </c>
      <c r="H220" s="249">
        <v>23.34</v>
      </c>
      <c r="I220" s="249">
        <v>23.99</v>
      </c>
      <c r="J220" s="249">
        <v>23.17</v>
      </c>
      <c r="K220" s="249">
        <v>23.38</v>
      </c>
      <c r="L220" s="249">
        <v>23.32</v>
      </c>
      <c r="M220" s="249">
        <v>23.49</v>
      </c>
      <c r="N220" s="249">
        <v>24.15</v>
      </c>
      <c r="O220" s="249">
        <v>24.15</v>
      </c>
      <c r="P220" s="249">
        <v>24.11</v>
      </c>
      <c r="Q220" s="249">
        <v>23.85</v>
      </c>
      <c r="R220" s="249">
        <v>23.42</v>
      </c>
      <c r="S220" s="249">
        <v>23.41</v>
      </c>
      <c r="T220" s="249">
        <v>23.41</v>
      </c>
      <c r="U220" s="249">
        <v>23.76</v>
      </c>
      <c r="V220" s="249">
        <v>23.78</v>
      </c>
      <c r="W220" s="249">
        <v>23.35</v>
      </c>
      <c r="X220" s="249">
        <v>23.02</v>
      </c>
      <c r="Y220" s="249">
        <v>23.13</v>
      </c>
      <c r="Z220" s="243">
        <f ca="1">[1]ExtEntry!$H18</f>
        <v>23.13</v>
      </c>
      <c r="AB220" s="261">
        <v>-3.3111410714285715E-3</v>
      </c>
      <c r="AC220" s="261">
        <v>-3.8807541666666667E-3</v>
      </c>
      <c r="AD220" s="261">
        <v>-6.3367083333333313E-4</v>
      </c>
      <c r="AE220" s="261">
        <v>-3.8450041666666665E-3</v>
      </c>
      <c r="AF220" s="261">
        <v>-5.2088255952380952E-3</v>
      </c>
      <c r="AG220" s="261">
        <v>-6.7617011904761905E-3</v>
      </c>
      <c r="AH220" s="261">
        <v>6.8403095238095185E-4</v>
      </c>
      <c r="AI220" s="261">
        <v>4.381572619047619E-3</v>
      </c>
      <c r="AJ220" s="261">
        <v>2.4986797619047612E-3</v>
      </c>
      <c r="AK220" s="261">
        <v>7.2466190476190389E-4</v>
      </c>
      <c r="AL220" s="261">
        <v>-1.1526654761904764E-3</v>
      </c>
      <c r="AM220" s="261">
        <v>1.6506380952380946E-3</v>
      </c>
      <c r="AN220" s="261">
        <v>2.4243999999999989E-3</v>
      </c>
      <c r="AO220" s="261">
        <v>4.6730845238095228E-3</v>
      </c>
      <c r="AP220" s="261">
        <v>4.7843821428571421E-3</v>
      </c>
      <c r="AQ220" s="261">
        <v>-2.3727190476190473E-3</v>
      </c>
      <c r="AR220" s="261">
        <v>-7.3207797619047636E-4</v>
      </c>
      <c r="AS220" s="261">
        <v>2.3957083333333391E-4</v>
      </c>
      <c r="AT220" s="261">
        <v>2.0318672619047623E-3</v>
      </c>
      <c r="AU220" s="261">
        <v>-6.0094821428571419E-4</v>
      </c>
      <c r="AV220" s="258">
        <f t="shared" ca="1" si="18"/>
        <v>1.1093791666666672E-3</v>
      </c>
      <c r="AX220" s="86" t="str">
        <f t="shared" ca="1" si="17"/>
        <v>DSY</v>
      </c>
    </row>
    <row r="221" spans="1:50" hidden="1">
      <c r="A221" s="86" t="str">
        <f t="shared" ca="1" si="15"/>
        <v>DVA</v>
      </c>
      <c r="F221" s="249">
        <v>121.16</v>
      </c>
      <c r="G221" s="249">
        <v>121.82</v>
      </c>
      <c r="H221" s="249">
        <v>123.325</v>
      </c>
      <c r="I221" s="249">
        <v>121.56</v>
      </c>
      <c r="J221" s="249">
        <v>116.56</v>
      </c>
      <c r="K221" s="249">
        <v>115.155</v>
      </c>
      <c r="L221" s="249">
        <v>114.77</v>
      </c>
      <c r="M221" s="249">
        <v>121.02</v>
      </c>
      <c r="N221" s="249">
        <v>120.27</v>
      </c>
      <c r="O221" s="249">
        <v>120.1</v>
      </c>
      <c r="P221" s="249">
        <v>119.68</v>
      </c>
      <c r="Q221" s="249">
        <v>120.405</v>
      </c>
      <c r="R221" s="249">
        <v>119.06</v>
      </c>
      <c r="S221" s="249">
        <v>119.94</v>
      </c>
      <c r="T221" s="249">
        <v>118.25</v>
      </c>
      <c r="U221" s="249">
        <v>117.3</v>
      </c>
      <c r="V221" s="249">
        <v>117.39</v>
      </c>
      <c r="W221" s="249">
        <v>116.36</v>
      </c>
      <c r="X221" s="249">
        <v>118.68</v>
      </c>
      <c r="Y221" s="249">
        <v>120.345</v>
      </c>
      <c r="Z221" s="243">
        <f ca="1">[1]ExtEntry!$H19</f>
        <v>120.345</v>
      </c>
      <c r="AB221" s="258">
        <v>-7.315654761904768E-4</v>
      </c>
      <c r="AC221" s="258">
        <v>-4.1596428571428513E-4</v>
      </c>
      <c r="AD221" s="258">
        <v>-5.116386904761904E-3</v>
      </c>
      <c r="AE221" s="258">
        <v>-8.8724821428571438E-3</v>
      </c>
      <c r="AF221" s="258">
        <v>-8.4907797619047619E-3</v>
      </c>
      <c r="AG221" s="258">
        <v>-7.6791488095238093E-3</v>
      </c>
      <c r="AH221" s="258">
        <v>-4.7748630952380959E-3</v>
      </c>
      <c r="AI221" s="258">
        <v>-3.816380952380953E-3</v>
      </c>
      <c r="AJ221" s="258">
        <v>-6.5734821428571422E-3</v>
      </c>
      <c r="AK221" s="258">
        <v>-6.6162023809523815E-3</v>
      </c>
      <c r="AL221" s="258">
        <v>-1.5055714285714292E-3</v>
      </c>
      <c r="AM221" s="258">
        <v>4.2863273809523803E-3</v>
      </c>
      <c r="AN221" s="258">
        <v>8.2281964285714285E-3</v>
      </c>
      <c r="AO221" s="258">
        <v>1.0038267857142857E-2</v>
      </c>
      <c r="AP221" s="258">
        <v>1.1671148809523808E-2</v>
      </c>
      <c r="AQ221" s="258">
        <v>8.07877380952381E-3</v>
      </c>
      <c r="AR221" s="258">
        <v>8.7891428571428565E-3</v>
      </c>
      <c r="AS221" s="258">
        <v>1.1103059523809524E-2</v>
      </c>
      <c r="AT221" s="258">
        <v>1.0074583333333333E-2</v>
      </c>
      <c r="AU221" s="258">
        <v>7.5843869047619063E-3</v>
      </c>
      <c r="AV221" s="258">
        <f t="shared" ca="1" si="18"/>
        <v>8.4307738095238116E-3</v>
      </c>
      <c r="AX221" s="86" t="str">
        <f t="shared" ca="1" si="17"/>
        <v>DVA</v>
      </c>
    </row>
    <row r="222" spans="1:50" hidden="1">
      <c r="A222" s="86" t="str">
        <f t="shared" ca="1" si="15"/>
        <v>DXC</v>
      </c>
      <c r="F222" s="249">
        <v>13.81</v>
      </c>
      <c r="G222" s="249">
        <v>13.734999999999999</v>
      </c>
      <c r="H222" s="249">
        <v>13.175000000000001</v>
      </c>
      <c r="I222" s="249">
        <v>12.91</v>
      </c>
      <c r="J222" s="249">
        <v>12.22</v>
      </c>
      <c r="K222" s="249">
        <v>12.11</v>
      </c>
      <c r="L222" s="249">
        <v>11.91</v>
      </c>
      <c r="M222" s="249">
        <v>12.71</v>
      </c>
      <c r="N222" s="249">
        <v>13.13</v>
      </c>
      <c r="O222" s="249">
        <v>13.11</v>
      </c>
      <c r="P222" s="249">
        <v>13.234999999999999</v>
      </c>
      <c r="Q222" s="249">
        <v>13.44</v>
      </c>
      <c r="R222" s="249">
        <v>13.525</v>
      </c>
      <c r="S222" s="249">
        <v>13.68</v>
      </c>
      <c r="T222" s="249">
        <v>13.7</v>
      </c>
      <c r="U222" s="249">
        <v>13.9445</v>
      </c>
      <c r="V222" s="249">
        <v>14.12</v>
      </c>
      <c r="W222" s="249">
        <v>14.95</v>
      </c>
      <c r="X222" s="249">
        <v>15.12</v>
      </c>
      <c r="Y222" s="249">
        <v>15.24</v>
      </c>
      <c r="Z222" s="243">
        <f ca="1">[1]ExtEntry!$H20</f>
        <v>15.24</v>
      </c>
      <c r="AB222" s="261">
        <v>-1.0348321428571429E-3</v>
      </c>
      <c r="AC222" s="261">
        <v>1.6112988095238097E-3</v>
      </c>
      <c r="AD222" s="261">
        <v>2.7817273809523811E-3</v>
      </c>
      <c r="AE222" s="261">
        <v>2.4497511904761904E-3</v>
      </c>
      <c r="AF222" s="261">
        <v>1.6077630952380949E-3</v>
      </c>
      <c r="AG222" s="261">
        <v>2.9454761904761887E-4</v>
      </c>
      <c r="AH222" s="261">
        <v>1.7466845238095236E-3</v>
      </c>
      <c r="AI222" s="261">
        <v>4.0687619047619049E-3</v>
      </c>
      <c r="AJ222" s="261">
        <v>1.570547619047619E-3</v>
      </c>
      <c r="AK222" s="261">
        <v>7.5788690476190444E-4</v>
      </c>
      <c r="AL222" s="261">
        <v>6.9794880952380952E-4</v>
      </c>
      <c r="AM222" s="261">
        <v>4.4248452380952379E-4</v>
      </c>
      <c r="AN222" s="261">
        <v>1.5098297619047622E-3</v>
      </c>
      <c r="AO222" s="261">
        <v>3.3682107142857139E-3</v>
      </c>
      <c r="AP222" s="261">
        <v>4.6911095238095233E-3</v>
      </c>
      <c r="AQ222" s="261">
        <v>1.8817464285714285E-3</v>
      </c>
      <c r="AR222" s="261">
        <v>7.4130595238095258E-4</v>
      </c>
      <c r="AS222" s="261">
        <v>2.3418892857142862E-3</v>
      </c>
      <c r="AT222" s="261">
        <v>2.4250928571428578E-3</v>
      </c>
      <c r="AU222" s="261">
        <v>5.7276547619047641E-4</v>
      </c>
      <c r="AV222" s="258">
        <f t="shared" ca="1" si="18"/>
        <v>-3.0176035714285718E-3</v>
      </c>
      <c r="AX222" s="86" t="str">
        <f t="shared" ca="1" si="17"/>
        <v>DXC</v>
      </c>
    </row>
    <row r="223" spans="1:50" hidden="1">
      <c r="A223" s="86" t="str">
        <f t="shared" ca="1" si="15"/>
        <v>EOAN</v>
      </c>
      <c r="F223" s="249">
        <v>16.05</v>
      </c>
      <c r="G223" s="249">
        <v>16.079999999999998</v>
      </c>
      <c r="H223" s="249">
        <v>16.105</v>
      </c>
      <c r="I223" s="249">
        <v>15.244999999999999</v>
      </c>
      <c r="J223" s="249">
        <v>15.23</v>
      </c>
      <c r="K223" s="249">
        <v>15.3</v>
      </c>
      <c r="L223" s="249">
        <v>15.4</v>
      </c>
      <c r="M223" s="249">
        <v>15.53</v>
      </c>
      <c r="N223" s="249">
        <v>15.455</v>
      </c>
      <c r="O223" s="249">
        <v>15.31</v>
      </c>
      <c r="P223" s="249">
        <v>15.324999999999999</v>
      </c>
      <c r="Q223" s="249">
        <v>15.22</v>
      </c>
      <c r="R223" s="249">
        <v>15.285</v>
      </c>
      <c r="S223" s="249">
        <v>15.74</v>
      </c>
      <c r="T223" s="249">
        <v>15.86</v>
      </c>
      <c r="U223" s="249">
        <v>15.59</v>
      </c>
      <c r="V223" s="249">
        <v>15.435</v>
      </c>
      <c r="W223" s="249">
        <v>15.585000000000001</v>
      </c>
      <c r="X223" s="249">
        <v>15.55</v>
      </c>
      <c r="Y223" s="249">
        <v>15.035</v>
      </c>
      <c r="Z223" s="243">
        <f ca="1">[1]ExtEntry!$H21</f>
        <v>15.035</v>
      </c>
      <c r="AB223" s="258">
        <v>4.9367142857142847E-3</v>
      </c>
      <c r="AC223" s="258">
        <v>2.4615714285714284E-3</v>
      </c>
      <c r="AD223" s="258">
        <v>2.6481428571428567E-3</v>
      </c>
      <c r="AE223" s="258">
        <v>1.7654285714285712E-3</v>
      </c>
      <c r="AF223" s="258">
        <v>8.8271428571428561E-4</v>
      </c>
      <c r="AG223" s="258">
        <v>0</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hidden="1">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-4.301755952380951E-3</v>
      </c>
      <c r="AC224" s="261">
        <v>-4.8286488095238087E-3</v>
      </c>
      <c r="AD224" s="261">
        <v>-2.6535833333333324E-3</v>
      </c>
      <c r="AE224" s="261">
        <v>-1.0112279761904763E-2</v>
      </c>
      <c r="AF224" s="261">
        <v>-9.9192238095238104E-3</v>
      </c>
      <c r="AG224" s="261">
        <v>-9.8575511904761878E-3</v>
      </c>
      <c r="AH224" s="261">
        <v>-8.9790095238095231E-3</v>
      </c>
      <c r="AI224" s="261">
        <v>-2.8696940476190484E-3</v>
      </c>
      <c r="AJ224" s="261">
        <v>-5.447699999999998E-3</v>
      </c>
      <c r="AK224" s="261">
        <v>-6.0673809523809508E-3</v>
      </c>
      <c r="AL224" s="261">
        <v>-7.7539226190476169E-3</v>
      </c>
      <c r="AM224" s="261">
        <v>-5.5964779761904764E-3</v>
      </c>
      <c r="AN224" s="261">
        <v>2.1120529761904762E-3</v>
      </c>
      <c r="AO224" s="261">
        <v>1.1094339285714289E-3</v>
      </c>
      <c r="AP224" s="261">
        <v>3.0067851190476195E-3</v>
      </c>
      <c r="AQ224" s="261">
        <v>6.1576785714287721E-5</v>
      </c>
      <c r="AR224" s="261">
        <v>2.4252732142857137E-3</v>
      </c>
      <c r="AS224" s="261">
        <v>3.2384684523809508E-3</v>
      </c>
      <c r="AT224" s="261">
        <v>6.0114029761904782E-3</v>
      </c>
      <c r="AU224" s="261">
        <v>5.6193720238095265E-3</v>
      </c>
      <c r="AV224" s="258">
        <f t="shared" ca="1" si="18"/>
        <v>3.6605666666666668E-3</v>
      </c>
      <c r="AX224" s="86" t="str">
        <f t="shared" ca="1" si="17"/>
        <v>EPIX</v>
      </c>
    </row>
    <row r="225" spans="1:50" hidden="1">
      <c r="A225" s="86" t="str">
        <f t="shared" ca="1" si="15"/>
        <v>GM</v>
      </c>
      <c r="F225" s="249">
        <v>68.78</v>
      </c>
      <c r="G225" s="249">
        <v>68.92</v>
      </c>
      <c r="H225" s="249">
        <v>70.66</v>
      </c>
      <c r="I225" s="249">
        <v>70.52</v>
      </c>
      <c r="J225" s="249">
        <v>67.94</v>
      </c>
      <c r="K225" s="249">
        <v>69.114999999999995</v>
      </c>
      <c r="L225" s="249">
        <v>68.327399999999997</v>
      </c>
      <c r="M225" s="249">
        <v>70.23</v>
      </c>
      <c r="N225" s="249">
        <v>73.11</v>
      </c>
      <c r="O225" s="249">
        <v>72.81</v>
      </c>
      <c r="P225" s="249">
        <v>73.52</v>
      </c>
      <c r="Q225" s="249">
        <v>73.585499999999996</v>
      </c>
      <c r="R225" s="249">
        <v>73.605000000000004</v>
      </c>
      <c r="S225" s="249">
        <v>74.305000000000007</v>
      </c>
      <c r="T225" s="249">
        <v>74.69</v>
      </c>
      <c r="U225" s="249">
        <v>76.055000000000007</v>
      </c>
      <c r="V225" s="249">
        <v>76.034999999999997</v>
      </c>
      <c r="W225" s="249">
        <v>76.760000000000005</v>
      </c>
      <c r="X225" s="249">
        <v>80.805000000000007</v>
      </c>
      <c r="Y225" s="249">
        <v>80.844999999999999</v>
      </c>
      <c r="Z225" s="243">
        <f ca="1">[1]ExtEntry!$H23</f>
        <v>80.844999999999999</v>
      </c>
      <c r="AB225" s="258">
        <v>-1.8283333333333389E-4</v>
      </c>
      <c r="AC225" s="258">
        <v>-1.8784523809523804E-4</v>
      </c>
      <c r="AD225" s="258">
        <v>-5.5282142857142834E-4</v>
      </c>
      <c r="AE225" s="258">
        <v>-3.3423214285714284E-4</v>
      </c>
      <c r="AF225" s="258">
        <v>-4.7540892857142851E-3</v>
      </c>
      <c r="AG225" s="258">
        <v>-5.5198809523809532E-3</v>
      </c>
      <c r="AH225" s="258">
        <v>-7.4453869047619052E-3</v>
      </c>
      <c r="AI225" s="258">
        <v>1.9375595238095263E-4</v>
      </c>
      <c r="AJ225" s="258">
        <v>8.3925000000000015E-4</v>
      </c>
      <c r="AK225" s="258">
        <v>-1.9400833333333332E-3</v>
      </c>
      <c r="AL225" s="258">
        <v>2.554404761904766E-4</v>
      </c>
      <c r="AM225" s="258">
        <v>6.1087380952380851E-4</v>
      </c>
      <c r="AN225" s="258">
        <v>3.2749505952380954E-3</v>
      </c>
      <c r="AO225" s="258">
        <v>4.1359505952380951E-3</v>
      </c>
      <c r="AP225" s="258">
        <v>8.1827839285714271E-3</v>
      </c>
      <c r="AQ225" s="258">
        <v>6.7500220238095243E-3</v>
      </c>
      <c r="AR225" s="258">
        <v>7.8570815476190475E-3</v>
      </c>
      <c r="AS225" s="258">
        <v>1.03117125E-2</v>
      </c>
      <c r="AT225" s="258">
        <v>1.0076962500000002E-2</v>
      </c>
      <c r="AU225" s="258">
        <v>8.0977684523809539E-3</v>
      </c>
      <c r="AV225" s="258">
        <f t="shared" ca="1" si="18"/>
        <v>4.1019452380952398E-3</v>
      </c>
      <c r="AX225" s="86" t="str">
        <f t="shared" ca="1" si="17"/>
        <v>GM</v>
      </c>
    </row>
    <row r="226" spans="1:50" hidden="1">
      <c r="A226" s="86" t="str">
        <f t="shared" ca="1" si="15"/>
        <v>HPE</v>
      </c>
      <c r="F226" s="249">
        <v>23.7</v>
      </c>
      <c r="G226" s="249">
        <v>23.445</v>
      </c>
      <c r="H226" s="249">
        <v>23.4</v>
      </c>
      <c r="I226" s="249">
        <v>22.83</v>
      </c>
      <c r="J226" s="249">
        <v>20.91</v>
      </c>
      <c r="K226" s="249">
        <v>20.734999999999999</v>
      </c>
      <c r="L226" s="249">
        <v>20.076000000000001</v>
      </c>
      <c r="M226" s="249">
        <v>20.6282</v>
      </c>
      <c r="N226" s="249">
        <v>21.524999999999999</v>
      </c>
      <c r="O226" s="249">
        <v>21.53</v>
      </c>
      <c r="P226" s="249">
        <v>21.87</v>
      </c>
      <c r="Q226" s="249">
        <v>21.875</v>
      </c>
      <c r="R226" s="249">
        <v>21.925000000000001</v>
      </c>
      <c r="S226" s="249">
        <v>21.98</v>
      </c>
      <c r="T226" s="249">
        <v>22.27</v>
      </c>
      <c r="U226" s="249">
        <v>22.875</v>
      </c>
      <c r="V226" s="249">
        <v>23.324999999999999</v>
      </c>
      <c r="W226" s="249">
        <v>24.504999999999999</v>
      </c>
      <c r="X226" s="249">
        <v>25.27</v>
      </c>
      <c r="Y226" s="249">
        <v>24.54</v>
      </c>
      <c r="Z226" s="243">
        <f ca="1">[1]ExtEntry!$H24</f>
        <v>24.54</v>
      </c>
      <c r="AB226" s="261">
        <v>-6.6165892857142864E-3</v>
      </c>
      <c r="AC226" s="261">
        <v>-5.4455119047619053E-3</v>
      </c>
      <c r="AD226" s="261">
        <v>-6.1475178571428575E-3</v>
      </c>
      <c r="AE226" s="261">
        <v>-5.9696249999999992E-3</v>
      </c>
      <c r="AF226" s="261">
        <v>-7.7690714285714281E-3</v>
      </c>
      <c r="AG226" s="261">
        <v>-9.1031845238095238E-3</v>
      </c>
      <c r="AH226" s="261">
        <v>-5.3918273809523791E-3</v>
      </c>
      <c r="AI226" s="261">
        <v>6.5656964285714294E-3</v>
      </c>
      <c r="AJ226" s="261">
        <v>1.8511309523809531E-3</v>
      </c>
      <c r="AK226" s="261">
        <v>6.2172619047619077E-4</v>
      </c>
      <c r="AL226" s="261">
        <v>2.1564761904761904E-3</v>
      </c>
      <c r="AM226" s="261">
        <v>5.3535952380952389E-3</v>
      </c>
      <c r="AN226" s="261">
        <v>9.3414642857142845E-3</v>
      </c>
      <c r="AO226" s="261">
        <v>1.004702380952381E-2</v>
      </c>
      <c r="AP226" s="261">
        <v>1.0118809523809525E-2</v>
      </c>
      <c r="AQ226" s="261">
        <v>3.490041666666666E-3</v>
      </c>
      <c r="AR226" s="261">
        <v>5.6836333333333327E-3</v>
      </c>
      <c r="AS226" s="261">
        <v>8.6007523809523822E-3</v>
      </c>
      <c r="AT226" s="261">
        <v>6.8681452380952388E-3</v>
      </c>
      <c r="AU226" s="261">
        <v>6.6133476190476182E-3</v>
      </c>
      <c r="AV226" s="258">
        <f t="shared" ca="1" si="18"/>
        <v>1.8279488095238093E-3</v>
      </c>
      <c r="AX226" s="86" t="str">
        <f t="shared" ca="1" si="17"/>
        <v>HPE</v>
      </c>
    </row>
    <row r="227" spans="1:50" hidden="1">
      <c r="A227" s="86" t="str">
        <f t="shared" ca="1" si="15"/>
        <v>HPQ</v>
      </c>
      <c r="F227" s="249">
        <v>26.64</v>
      </c>
      <c r="G227" s="249">
        <v>26.18</v>
      </c>
      <c r="H227" s="249">
        <v>26.215</v>
      </c>
      <c r="I227" s="249">
        <v>24.513000000000002</v>
      </c>
      <c r="J227" s="249">
        <v>22.71</v>
      </c>
      <c r="K227" s="249">
        <v>22.54</v>
      </c>
      <c r="L227" s="249">
        <v>22.33</v>
      </c>
      <c r="M227" s="249">
        <v>24.114999999999998</v>
      </c>
      <c r="N227" s="249">
        <v>23.824999999999999</v>
      </c>
      <c r="O227" s="249">
        <v>23.984999999999999</v>
      </c>
      <c r="P227" s="249">
        <v>24.43</v>
      </c>
      <c r="Q227" s="249">
        <v>24.535</v>
      </c>
      <c r="R227" s="249">
        <v>25.1</v>
      </c>
      <c r="S227" s="249">
        <v>25.35</v>
      </c>
      <c r="T227" s="249">
        <v>25.195</v>
      </c>
      <c r="U227" s="249">
        <v>25.648199999999999</v>
      </c>
      <c r="V227" s="249">
        <v>25.88</v>
      </c>
      <c r="W227" s="249">
        <v>25.315000000000001</v>
      </c>
      <c r="X227" s="249">
        <v>25.5</v>
      </c>
      <c r="Y227" s="249">
        <v>25.405000000000001</v>
      </c>
      <c r="Z227" s="243">
        <f ca="1">[1]ExtEntry!$H25</f>
        <v>25.405000000000001</v>
      </c>
      <c r="AB227" s="258">
        <v>2.6551273809523783E-3</v>
      </c>
      <c r="AC227" s="258">
        <v>-2.2566761904761917E-3</v>
      </c>
      <c r="AD227" s="258">
        <v>-1.1253652380952382E-2</v>
      </c>
      <c r="AE227" s="258">
        <v>-1.3631336904761902E-2</v>
      </c>
      <c r="AF227" s="258">
        <v>-1.2084045238095238E-2</v>
      </c>
      <c r="AG227" s="258">
        <v>-1.2229563095238094E-2</v>
      </c>
      <c r="AH227" s="258">
        <v>-1.3307428571428571E-2</v>
      </c>
      <c r="AI227" s="258">
        <v>-1.2496464285714284E-2</v>
      </c>
      <c r="AJ227" s="258">
        <v>-1.174135714285714E-2</v>
      </c>
      <c r="AK227" s="258">
        <v>-9.1031071428571437E-3</v>
      </c>
      <c r="AL227" s="258">
        <v>3.5082559523809528E-3</v>
      </c>
      <c r="AM227" s="258">
        <v>6.1670952380952389E-3</v>
      </c>
      <c r="AN227" s="258">
        <v>5.3833869047619056E-3</v>
      </c>
      <c r="AO227" s="258">
        <v>4.9030178571428593E-3</v>
      </c>
      <c r="AP227" s="258">
        <v>4.6961488095238115E-3</v>
      </c>
      <c r="AQ227" s="258">
        <v>4.6480416666666666E-3</v>
      </c>
      <c r="AR227" s="258">
        <v>2.9995654761904769E-3</v>
      </c>
      <c r="AS227" s="258">
        <v>3.0282500000000023E-3</v>
      </c>
      <c r="AT227" s="258">
        <v>3.1040119047619046E-3</v>
      </c>
      <c r="AU227" s="258">
        <v>7.1894702380952361E-3</v>
      </c>
      <c r="AV227" s="258">
        <f t="shared" ca="1" si="18"/>
        <v>1.0374880952380951E-2</v>
      </c>
      <c r="AX227" s="86" t="str">
        <f t="shared" ca="1" si="17"/>
        <v>HPQ</v>
      </c>
    </row>
    <row r="228" spans="1:50" hidden="1">
      <c r="A228" s="86" t="str">
        <f t="shared" ca="1" si="15"/>
        <v>IAG</v>
      </c>
      <c r="F228" s="249">
        <v>425.2</v>
      </c>
      <c r="G228" s="249">
        <v>414.1</v>
      </c>
      <c r="H228" s="249">
        <v>366.2</v>
      </c>
      <c r="I228" s="249">
        <v>387.5</v>
      </c>
      <c r="J228" s="249">
        <v>370.38900000000001</v>
      </c>
      <c r="K228" s="249">
        <v>377.6</v>
      </c>
      <c r="L228" s="249">
        <v>382.4</v>
      </c>
      <c r="M228" s="249">
        <v>379.3</v>
      </c>
      <c r="N228" s="249">
        <v>399.2</v>
      </c>
      <c r="O228" s="249">
        <v>396.7</v>
      </c>
      <c r="P228" s="249">
        <v>396.3</v>
      </c>
      <c r="Q228" s="249">
        <v>393.5</v>
      </c>
      <c r="R228" s="249">
        <v>389.3</v>
      </c>
      <c r="S228" s="249">
        <v>392.2</v>
      </c>
      <c r="T228" s="249">
        <v>390.9</v>
      </c>
      <c r="U228" s="249">
        <v>385</v>
      </c>
      <c r="V228" s="249">
        <v>385.7</v>
      </c>
      <c r="W228" s="249">
        <v>387.6</v>
      </c>
      <c r="X228" s="249">
        <v>385.6</v>
      </c>
      <c r="Y228" s="249">
        <v>397.6</v>
      </c>
      <c r="Z228" s="243">
        <f ca="1">[1]ExtEntry!$H26</f>
        <v>397.6</v>
      </c>
      <c r="AB228" s="261">
        <v>-3.2245583333333334E-3</v>
      </c>
      <c r="AC228" s="261">
        <v>-4.828889285714285E-3</v>
      </c>
      <c r="AD228" s="261">
        <v>-1.6102738095238095E-3</v>
      </c>
      <c r="AE228" s="261">
        <v>3.4040119047619053E-3</v>
      </c>
      <c r="AF228" s="261">
        <v>2.8360178571428573E-3</v>
      </c>
      <c r="AG228" s="261">
        <v>3.2645238095238096E-3</v>
      </c>
      <c r="AH228" s="261">
        <v>2.457166666666667E-3</v>
      </c>
      <c r="AI228" s="261">
        <v>3.9037500000000001E-3</v>
      </c>
      <c r="AJ228" s="261">
        <v>6.4978583333333345E-3</v>
      </c>
      <c r="AK228" s="261">
        <v>6.8876678571428577E-3</v>
      </c>
      <c r="AL228" s="261">
        <v>4.3455964285714294E-3</v>
      </c>
      <c r="AM228" s="261">
        <v>3.0843940476190492E-3</v>
      </c>
      <c r="AN228" s="261">
        <v>-1.0453619047619041E-3</v>
      </c>
      <c r="AO228" s="261">
        <v>-8.9169523809523761E-4</v>
      </c>
      <c r="AP228" s="261">
        <v>1.2953345238095231E-3</v>
      </c>
      <c r="AQ228" s="261">
        <v>-3.685071428571429E-3</v>
      </c>
      <c r="AR228" s="261">
        <v>-7.580488095238095E-3</v>
      </c>
      <c r="AS228" s="261">
        <v>-9.1716190476190448E-3</v>
      </c>
      <c r="AT228" s="261">
        <v>-1.1918029761904762E-2</v>
      </c>
      <c r="AU228" s="261">
        <v>-1.2264910714285713E-2</v>
      </c>
      <c r="AV228" s="258">
        <f t="shared" ca="1" si="18"/>
        <v>-9.8662857142857129E-3</v>
      </c>
      <c r="AX228" s="86" t="str">
        <f t="shared" ca="1" si="17"/>
        <v>IAG</v>
      </c>
    </row>
    <row r="229" spans="1:50" hidden="1">
      <c r="A229" s="86" t="str">
        <f t="shared" ca="1" si="15"/>
        <v>KR</v>
      </c>
      <c r="F229" s="249">
        <v>63.15</v>
      </c>
      <c r="G229" s="249">
        <v>63.4</v>
      </c>
      <c r="H229" s="249">
        <v>64.905000000000001</v>
      </c>
      <c r="I229" s="249">
        <v>66.715000000000003</v>
      </c>
      <c r="J229" s="249">
        <v>67.405000000000001</v>
      </c>
      <c r="K229" s="249">
        <v>67.55</v>
      </c>
      <c r="L229" s="249">
        <v>66.11</v>
      </c>
      <c r="M229" s="249">
        <v>66.36</v>
      </c>
      <c r="N229" s="249">
        <v>67.36</v>
      </c>
      <c r="O229" s="249">
        <v>67.03</v>
      </c>
      <c r="P229" s="249">
        <v>67.28</v>
      </c>
      <c r="Q229" s="249">
        <v>67.894999999999996</v>
      </c>
      <c r="R229" s="249">
        <v>67.025000000000006</v>
      </c>
      <c r="S229" s="249">
        <v>66.819999999999993</v>
      </c>
      <c r="T229" s="249">
        <v>66.22</v>
      </c>
      <c r="U229" s="249">
        <v>62.65</v>
      </c>
      <c r="V229" s="249">
        <v>62.71</v>
      </c>
      <c r="W229" s="249">
        <v>62.906999999999996</v>
      </c>
      <c r="X229" s="249">
        <v>61.24</v>
      </c>
      <c r="Y229" s="249">
        <v>62.215000000000003</v>
      </c>
      <c r="Z229" s="243">
        <f ca="1">[1]ExtEntry!$H27</f>
        <v>62.215000000000003</v>
      </c>
      <c r="AB229" s="258">
        <v>-9.7364107142857109E-4</v>
      </c>
      <c r="AC229" s="258">
        <v>-6.9858970238095234E-3</v>
      </c>
      <c r="AD229" s="258">
        <v>-1.0088635119047621E-2</v>
      </c>
      <c r="AE229" s="258">
        <v>-1.0567434523809526E-2</v>
      </c>
      <c r="AF229" s="258">
        <v>-9.2982321428571428E-3</v>
      </c>
      <c r="AG229" s="258">
        <v>-9.2150845238095219E-3</v>
      </c>
      <c r="AH229" s="258">
        <v>-1.1780542857142862E-2</v>
      </c>
      <c r="AI229" s="258">
        <v>-6.7256130952380953E-3</v>
      </c>
      <c r="AJ229" s="258">
        <v>-9.6857619047619106E-3</v>
      </c>
      <c r="AK229" s="258">
        <v>2.6097857142857125E-3</v>
      </c>
      <c r="AL229" s="258">
        <v>1.0310160714285713E-2</v>
      </c>
      <c r="AM229" s="258">
        <v>1.5455761904761906E-2</v>
      </c>
      <c r="AN229" s="258">
        <v>1.4512125000000001E-2</v>
      </c>
      <c r="AO229" s="258">
        <v>1.1922434523809524E-2</v>
      </c>
      <c r="AP229" s="258">
        <v>1.5541208333333336E-2</v>
      </c>
      <c r="AQ229" s="258">
        <v>1.279432738095238E-2</v>
      </c>
      <c r="AR229" s="258">
        <v>8.4697880952380941E-3</v>
      </c>
      <c r="AS229" s="258">
        <v>4.2611571428571408E-3</v>
      </c>
      <c r="AT229" s="258">
        <v>8.1364404761904759E-3</v>
      </c>
      <c r="AU229" s="258">
        <v>5.6389464285714298E-3</v>
      </c>
      <c r="AV229" s="258">
        <f t="shared" ca="1" si="18"/>
        <v>3.1931964285714294E-3</v>
      </c>
      <c r="AX229" s="86" t="str">
        <f t="shared" ca="1" si="17"/>
        <v>KR</v>
      </c>
    </row>
    <row r="230" spans="1:50" hidden="1">
      <c r="A230" s="86" t="str">
        <f t="shared" ca="1" si="15"/>
        <v>LNSR</v>
      </c>
      <c r="F230" s="249">
        <v>12.52</v>
      </c>
      <c r="G230" s="249">
        <v>11.63</v>
      </c>
      <c r="H230" s="249">
        <v>10.63</v>
      </c>
      <c r="I230" s="249">
        <v>10.11</v>
      </c>
      <c r="J230" s="249">
        <v>9.9700000000000006</v>
      </c>
      <c r="K230" s="249">
        <v>10.09</v>
      </c>
      <c r="L230" s="249">
        <v>9.8699999999999992</v>
      </c>
      <c r="M230" s="249">
        <v>9.9149999999999991</v>
      </c>
      <c r="N230" s="249">
        <v>10.26</v>
      </c>
      <c r="O230" s="249">
        <v>10.35</v>
      </c>
      <c r="P230" s="249">
        <v>10.18</v>
      </c>
      <c r="Q230" s="249">
        <v>10.404999999999999</v>
      </c>
      <c r="R230" s="249">
        <v>10.32</v>
      </c>
      <c r="S230" s="249">
        <v>10.146599999999999</v>
      </c>
      <c r="T230" s="249">
        <v>10.49</v>
      </c>
      <c r="U230" s="249">
        <v>10.62</v>
      </c>
      <c r="V230" s="249">
        <v>11.2</v>
      </c>
      <c r="W230" s="249">
        <v>11.24</v>
      </c>
      <c r="X230" s="249">
        <v>11.55</v>
      </c>
      <c r="Y230" s="249">
        <v>11.5</v>
      </c>
      <c r="Z230" s="243">
        <f ca="1">[1]ExtEntry!$H28</f>
        <v>11.5</v>
      </c>
      <c r="AB230" s="261">
        <v>1.7034869047619049E-2</v>
      </c>
      <c r="AC230" s="261">
        <v>2.0148017857142854E-2</v>
      </c>
      <c r="AD230" s="261">
        <v>2.0057916666666748E-3</v>
      </c>
      <c r="AE230" s="261">
        <v>-2.919797619047617E-3</v>
      </c>
      <c r="AF230" s="261">
        <v>-2.8327434523809526E-2</v>
      </c>
      <c r="AG230" s="261">
        <v>-4.0094059523809518E-2</v>
      </c>
      <c r="AH230" s="261">
        <v>-3.2617190476190473E-2</v>
      </c>
      <c r="AI230" s="261">
        <v>-1.687129166666667E-2</v>
      </c>
      <c r="AJ230" s="261">
        <v>-1.7332232142857139E-2</v>
      </c>
      <c r="AK230" s="261">
        <v>-1.7557720238095237E-2</v>
      </c>
      <c r="AL230" s="261">
        <v>-1.3029505952380959E-2</v>
      </c>
      <c r="AM230" s="261">
        <v>-8.4389583333333348E-3</v>
      </c>
      <c r="AN230" s="261">
        <v>6.3721190476190449E-3</v>
      </c>
      <c r="AO230" s="261">
        <v>7.2553392857142886E-3</v>
      </c>
      <c r="AP230" s="261">
        <v>1.2081273809523811E-2</v>
      </c>
      <c r="AQ230" s="261">
        <v>8.827863095238097E-3</v>
      </c>
      <c r="AR230" s="261">
        <v>4.1731845238095252E-3</v>
      </c>
      <c r="AS230" s="261">
        <v>1.0421547619047618E-2</v>
      </c>
      <c r="AT230" s="261">
        <v>1.5551708333333332E-2</v>
      </c>
      <c r="AU230" s="261">
        <v>1.0874130952380951E-2</v>
      </c>
      <c r="AV230" s="258">
        <f t="shared" ca="1" si="18"/>
        <v>-6.973113095238093E-3</v>
      </c>
      <c r="AX230" s="86" t="str">
        <f t="shared" ca="1" si="17"/>
        <v>LNSR</v>
      </c>
    </row>
    <row r="231" spans="1:50" hidden="1">
      <c r="A231" s="86" t="str">
        <f t="shared" ca="1" si="15"/>
        <v>LUMN</v>
      </c>
      <c r="F231" s="249">
        <v>10.855</v>
      </c>
      <c r="G231" s="249">
        <v>10.82</v>
      </c>
      <c r="H231" s="249">
        <v>10.484999999999999</v>
      </c>
      <c r="I231" s="249">
        <v>7.9950000000000001</v>
      </c>
      <c r="J231" s="249">
        <v>7.62</v>
      </c>
      <c r="K231" s="249">
        <v>7.5149999999999997</v>
      </c>
      <c r="L231" s="249">
        <v>7.5556000000000001</v>
      </c>
      <c r="M231" s="249">
        <v>7.7149999999999999</v>
      </c>
      <c r="N231" s="249">
        <v>8.1199999999999992</v>
      </c>
      <c r="O231" s="249">
        <v>8.0950000000000006</v>
      </c>
      <c r="P231" s="249">
        <v>8.1050000000000004</v>
      </c>
      <c r="Q231" s="249">
        <v>8.2050000000000001</v>
      </c>
      <c r="R231" s="249">
        <v>9.1349999999999998</v>
      </c>
      <c r="S231" s="249">
        <v>9.1349999999999998</v>
      </c>
      <c r="T231" s="249">
        <v>9.5649999999999995</v>
      </c>
      <c r="U231" s="249">
        <v>9.0300999999999991</v>
      </c>
      <c r="V231" s="249">
        <v>8.26</v>
      </c>
      <c r="W231" s="249">
        <v>8.3850999999999996</v>
      </c>
      <c r="X231" s="249">
        <v>8.6950000000000003</v>
      </c>
      <c r="Y231" s="249">
        <v>8.65</v>
      </c>
      <c r="Z231" s="243">
        <f ca="1">[1]ExtEntry!$H29</f>
        <v>8.65</v>
      </c>
      <c r="AB231" s="258">
        <v>6.7748809523809602E-4</v>
      </c>
      <c r="AC231" s="258">
        <v>5.5790178571428588E-3</v>
      </c>
      <c r="AD231" s="258">
        <v>8.6466666666666671E-3</v>
      </c>
      <c r="AE231" s="258">
        <v>6.7344583333333327E-3</v>
      </c>
      <c r="AF231" s="258">
        <v>6.9433511904761899E-3</v>
      </c>
      <c r="AG231" s="258">
        <v>1.0433035714285714E-2</v>
      </c>
      <c r="AH231" s="258">
        <v>-1.1583874999999999E-2</v>
      </c>
      <c r="AI231" s="258">
        <v>-2.8331369047619043E-3</v>
      </c>
      <c r="AJ231" s="258">
        <v>1.4441666666666674E-3</v>
      </c>
      <c r="AK231" s="258">
        <v>-1.6308273809523804E-3</v>
      </c>
      <c r="AL231" s="258">
        <v>-1.6142261904761911E-3</v>
      </c>
      <c r="AM231" s="258">
        <v>-3.027446428571428E-3</v>
      </c>
      <c r="AN231" s="258">
        <v>-3.6863928571428564E-3</v>
      </c>
      <c r="AO231" s="258">
        <v>7.5833333333338339E-6</v>
      </c>
      <c r="AP231" s="258">
        <v>9.6578571428571416E-3</v>
      </c>
      <c r="AQ231" s="258">
        <v>4.1387142857142864E-3</v>
      </c>
      <c r="AR231" s="258">
        <v>1.0852750000000001E-2</v>
      </c>
      <c r="AS231" s="258">
        <v>1.0401398809523808E-2</v>
      </c>
      <c r="AT231" s="258">
        <v>5.3782738095238102E-3</v>
      </c>
      <c r="AU231" s="258">
        <v>2.1067160714285715E-2</v>
      </c>
      <c r="AV231" s="258">
        <f t="shared" ca="1" si="18"/>
        <v>2.0962380952380955E-2</v>
      </c>
      <c r="AX231" s="86" t="str">
        <f t="shared" ca="1" si="17"/>
        <v>LUMN</v>
      </c>
    </row>
    <row r="232" spans="1:50" hidden="1">
      <c r="A232" s="86" t="str">
        <f t="shared" ca="1" si="15"/>
        <v>MRNA</v>
      </c>
      <c r="F232" s="249">
        <v>23.56</v>
      </c>
      <c r="G232" s="249">
        <v>24.105</v>
      </c>
      <c r="H232" s="249">
        <v>24.524999999999999</v>
      </c>
      <c r="I232" s="249">
        <v>24.77</v>
      </c>
      <c r="J232" s="249">
        <v>24.92</v>
      </c>
      <c r="K232" s="249">
        <v>24.28</v>
      </c>
      <c r="L232" s="249">
        <v>22.79</v>
      </c>
      <c r="M232" s="249">
        <v>23.495000000000001</v>
      </c>
      <c r="N232" s="249">
        <v>24.925000000000001</v>
      </c>
      <c r="O232" s="249">
        <v>25.01</v>
      </c>
      <c r="P232" s="249">
        <v>25.98</v>
      </c>
      <c r="Q232" s="249">
        <v>24.43</v>
      </c>
      <c r="R232" s="249">
        <v>24.07</v>
      </c>
      <c r="S232" s="249">
        <v>24.555099999999999</v>
      </c>
      <c r="T232" s="249">
        <v>25.170999999999999</v>
      </c>
      <c r="U232" s="249">
        <v>25.795000000000002</v>
      </c>
      <c r="V232" s="249">
        <v>27.7</v>
      </c>
      <c r="W232" s="249">
        <v>28.332999999999998</v>
      </c>
      <c r="X232" s="249">
        <v>29.03</v>
      </c>
      <c r="Y232" s="249">
        <v>29.63</v>
      </c>
      <c r="Z232" s="243">
        <f ca="1">[1]ExtEntry!$H30</f>
        <v>29.63</v>
      </c>
      <c r="AB232" s="261">
        <v>-3.4504845238095229E-4</v>
      </c>
      <c r="AC232" s="261">
        <v>-2.419024642857143E-3</v>
      </c>
      <c r="AD232" s="261">
        <v>-2.754862857142857E-3</v>
      </c>
      <c r="AE232" s="261">
        <v>-2.3488450000000004E-3</v>
      </c>
      <c r="AF232" s="261">
        <v>-6.5484819047619044E-3</v>
      </c>
      <c r="AG232" s="261">
        <v>-1.0380184285714286E-2</v>
      </c>
      <c r="AH232" s="261">
        <v>-7.5275235714285706E-3</v>
      </c>
      <c r="AI232" s="261">
        <v>-7.4677521428571422E-3</v>
      </c>
      <c r="AJ232" s="261">
        <v>-4.327996190476191E-3</v>
      </c>
      <c r="AK232" s="261">
        <v>-6.4912714285714278E-4</v>
      </c>
      <c r="AL232" s="261">
        <v>4.2421214285714293E-4</v>
      </c>
      <c r="AM232" s="261">
        <v>-1.4879842857142864E-3</v>
      </c>
      <c r="AN232" s="261">
        <v>2.4483550000000001E-3</v>
      </c>
      <c r="AO232" s="261">
        <v>3.5275335714285714E-3</v>
      </c>
      <c r="AP232" s="261">
        <v>3.5776169047619039E-3</v>
      </c>
      <c r="AQ232" s="261">
        <v>4.6717857142857151E-3</v>
      </c>
      <c r="AR232" s="261">
        <v>2.9052738095238107E-3</v>
      </c>
      <c r="AS232" s="261">
        <v>1.381684523809525E-3</v>
      </c>
      <c r="AT232" s="261">
        <v>-1.4799761904761895E-3</v>
      </c>
      <c r="AU232" s="261">
        <v>-1.2640059523809522E-3</v>
      </c>
      <c r="AV232" s="258">
        <f t="shared" ca="1" si="18"/>
        <v>-1.5189642857142862E-3</v>
      </c>
      <c r="AX232" s="86" t="str">
        <f t="shared" ca="1" si="17"/>
        <v>MRNA</v>
      </c>
    </row>
    <row r="233" spans="1:50" hidden="1">
      <c r="A233" s="86" t="str">
        <f t="shared" ca="1" si="15"/>
        <v>MSFT</v>
      </c>
      <c r="F233" s="249">
        <v>507.16</v>
      </c>
      <c r="G233" s="249">
        <v>497.15</v>
      </c>
      <c r="H233" s="249">
        <v>497.63</v>
      </c>
      <c r="I233" s="249">
        <v>510.18</v>
      </c>
      <c r="J233" s="249">
        <v>493.79</v>
      </c>
      <c r="K233" s="249">
        <v>486.59</v>
      </c>
      <c r="L233" s="249">
        <v>479.50839999999999</v>
      </c>
      <c r="M233" s="249">
        <v>474.68</v>
      </c>
      <c r="N233" s="249">
        <v>486.22</v>
      </c>
      <c r="O233" s="249">
        <v>485.5</v>
      </c>
      <c r="P233" s="249">
        <v>491.92</v>
      </c>
      <c r="Q233" s="249">
        <v>488.84</v>
      </c>
      <c r="R233" s="249">
        <v>489.77</v>
      </c>
      <c r="S233" s="249">
        <v>483.61500000000001</v>
      </c>
      <c r="T233" s="249">
        <v>477.73</v>
      </c>
      <c r="U233" s="249">
        <v>478.42500000000001</v>
      </c>
      <c r="V233" s="249">
        <v>483.16</v>
      </c>
      <c r="W233" s="249">
        <v>490.93849999999998</v>
      </c>
      <c r="X233" s="249">
        <v>478.32400000000001</v>
      </c>
      <c r="Y233" s="249">
        <v>483.47</v>
      </c>
      <c r="Z233" s="243">
        <f ca="1">[1]ExtEntry!$H31</f>
        <v>483.47</v>
      </c>
      <c r="AB233" s="258">
        <v>-2.0226309523809515E-3</v>
      </c>
      <c r="AC233" s="258">
        <v>1.0637797619047617E-3</v>
      </c>
      <c r="AD233" s="258">
        <v>2.712940476190476E-3</v>
      </c>
      <c r="AE233" s="258">
        <v>1.3286249999999995E-3</v>
      </c>
      <c r="AF233" s="258">
        <v>-2.1661964285714288E-3</v>
      </c>
      <c r="AG233" s="258">
        <v>1.3141726190476189E-3</v>
      </c>
      <c r="AH233" s="258">
        <v>2.4416785714285712E-3</v>
      </c>
      <c r="AI233" s="258">
        <v>2.423690476190476E-3</v>
      </c>
      <c r="AJ233" s="258">
        <v>2.9156845238095235E-3</v>
      </c>
      <c r="AK233" s="258">
        <v>2.7721011904761903E-3</v>
      </c>
      <c r="AL233" s="258">
        <v>5.1647023809523796E-4</v>
      </c>
      <c r="AM233" s="258">
        <v>-2.7604761904761912E-4</v>
      </c>
      <c r="AN233" s="258">
        <v>7.8078511904761897E-4</v>
      </c>
      <c r="AO233" s="258">
        <v>1.2661541666666664E-3</v>
      </c>
      <c r="AP233" s="258">
        <v>3.6849940476190498E-4</v>
      </c>
      <c r="AQ233" s="258">
        <v>4.4249940476190461E-4</v>
      </c>
      <c r="AR233" s="258">
        <v>-2.0464880952381016E-5</v>
      </c>
      <c r="AS233" s="258">
        <v>-3.8104226190476171E-4</v>
      </c>
      <c r="AT233" s="258">
        <v>-1.197750595238095E-3</v>
      </c>
      <c r="AU233" s="258">
        <v>5.1287083333333345E-4</v>
      </c>
      <c r="AV233" s="258">
        <f t="shared" ca="1" si="18"/>
        <v>3.365202380952385E-4</v>
      </c>
      <c r="AX233" s="86" t="str">
        <f t="shared" ca="1" si="17"/>
        <v>MSFT</v>
      </c>
    </row>
    <row r="234" spans="1:50" hidden="1">
      <c r="A234" s="86" t="str">
        <f t="shared" ca="1" si="15"/>
        <v>NEE</v>
      </c>
      <c r="F234" s="249">
        <v>82.14</v>
      </c>
      <c r="G234" s="249">
        <v>82.39</v>
      </c>
      <c r="H234" s="249">
        <v>83.71</v>
      </c>
      <c r="I234" s="249">
        <v>83.85</v>
      </c>
      <c r="J234" s="249">
        <v>84.7</v>
      </c>
      <c r="K234" s="249">
        <v>84.71</v>
      </c>
      <c r="L234" s="249">
        <v>84.68</v>
      </c>
      <c r="M234" s="249">
        <v>82.98</v>
      </c>
      <c r="N234" s="249">
        <v>85.415000000000006</v>
      </c>
      <c r="O234" s="249">
        <v>85.54</v>
      </c>
      <c r="P234" s="249">
        <v>86.25</v>
      </c>
      <c r="Q234" s="249">
        <v>85.02</v>
      </c>
      <c r="R234" s="249">
        <v>84.611000000000004</v>
      </c>
      <c r="S234" s="249">
        <v>85.93</v>
      </c>
      <c r="T234" s="249">
        <v>84.97</v>
      </c>
      <c r="U234" s="249">
        <v>83.525000000000006</v>
      </c>
      <c r="V234" s="249">
        <v>83.105000000000004</v>
      </c>
      <c r="W234" s="249">
        <v>80.33</v>
      </c>
      <c r="X234" s="249">
        <v>81.28</v>
      </c>
      <c r="Y234" s="249">
        <v>81.22</v>
      </c>
      <c r="Z234" s="243">
        <f ca="1">[1]ExtEntry!$H32</f>
        <v>81.22</v>
      </c>
      <c r="AB234" s="261">
        <v>-1.9592440476190469E-3</v>
      </c>
      <c r="AC234" s="261">
        <v>-1.7763273809523793E-3</v>
      </c>
      <c r="AD234" s="261">
        <v>-4.4991249999999997E-3</v>
      </c>
      <c r="AE234" s="261">
        <v>2.4894940476190485E-3</v>
      </c>
      <c r="AF234" s="261">
        <v>7.4772261904761904E-3</v>
      </c>
      <c r="AG234" s="261">
        <v>5.5352023809523802E-3</v>
      </c>
      <c r="AH234" s="261">
        <v>-3.5864880952381044E-4</v>
      </c>
      <c r="AI234" s="261">
        <v>5.8510773809523804E-3</v>
      </c>
      <c r="AJ234" s="261">
        <v>7.1573750000000005E-3</v>
      </c>
      <c r="AK234" s="261">
        <v>1.2073785714285714E-2</v>
      </c>
      <c r="AL234" s="261">
        <v>7.3770238095238099E-3</v>
      </c>
      <c r="AM234" s="261">
        <v>1.329925E-2</v>
      </c>
      <c r="AN234" s="261">
        <v>8.5213869047619049E-3</v>
      </c>
      <c r="AO234" s="261">
        <v>8.0589761904761911E-3</v>
      </c>
      <c r="AP234" s="261">
        <v>1.4369279761904764E-2</v>
      </c>
      <c r="AQ234" s="261">
        <v>1.3693416666666666E-2</v>
      </c>
      <c r="AR234" s="261">
        <v>3.4484999999999997E-3</v>
      </c>
      <c r="AS234" s="261">
        <v>-2.6389166666666661E-3</v>
      </c>
      <c r="AT234" s="261">
        <v>-2.2377380952380956E-3</v>
      </c>
      <c r="AU234" s="261">
        <v>1.7255833333333342E-3</v>
      </c>
      <c r="AV234" s="258">
        <f t="shared" ca="1" si="18"/>
        <v>6.1684702380952368E-3</v>
      </c>
      <c r="AX234" s="86" t="str">
        <f t="shared" ca="1" si="17"/>
        <v>NEE</v>
      </c>
    </row>
    <row r="235" spans="1:50" hidden="1">
      <c r="A235" s="86" t="str">
        <f t="shared" ca="1" si="15"/>
        <v>NEM</v>
      </c>
      <c r="F235" s="249">
        <v>81.62</v>
      </c>
      <c r="G235" s="249">
        <v>82.614800000000002</v>
      </c>
      <c r="H235" s="249">
        <v>83.35</v>
      </c>
      <c r="I235" s="249">
        <v>87.8</v>
      </c>
      <c r="J235" s="249">
        <v>86.61</v>
      </c>
      <c r="K235" s="249">
        <v>87.594999999999999</v>
      </c>
      <c r="L235" s="249">
        <v>82.87</v>
      </c>
      <c r="M235" s="249">
        <v>83.62</v>
      </c>
      <c r="N235" s="249">
        <v>90.45</v>
      </c>
      <c r="O235" s="249">
        <v>90.52</v>
      </c>
      <c r="P235" s="249">
        <v>90.73</v>
      </c>
      <c r="Q235" s="249">
        <v>92</v>
      </c>
      <c r="R235" s="249">
        <v>90.454999999999998</v>
      </c>
      <c r="S235" s="249">
        <v>91.18</v>
      </c>
      <c r="T235" s="249">
        <v>89.67</v>
      </c>
      <c r="U235" s="249">
        <v>90.555000000000007</v>
      </c>
      <c r="V235" s="249">
        <v>89.76</v>
      </c>
      <c r="W235" s="249">
        <v>92.64</v>
      </c>
      <c r="X235" s="249">
        <v>94.415000000000006</v>
      </c>
      <c r="Y235" s="249">
        <v>99.43</v>
      </c>
      <c r="Z235" s="243">
        <f ca="1">[1]ExtEntry!$H33</f>
        <v>99.43</v>
      </c>
      <c r="AB235" s="258">
        <v>-9.2182119047619082E-3</v>
      </c>
      <c r="AC235" s="258">
        <v>2.6902880952380959E-3</v>
      </c>
      <c r="AD235" s="258">
        <v>4.2947583333333306E-3</v>
      </c>
      <c r="AE235" s="258">
        <v>4.523639285714285E-3</v>
      </c>
      <c r="AF235" s="258">
        <v>7.864269047619046E-3</v>
      </c>
      <c r="AG235" s="258">
        <v>4.6939178571428564E-3</v>
      </c>
      <c r="AH235" s="258">
        <v>3.3341273809523782E-3</v>
      </c>
      <c r="AI235" s="258">
        <v>4.1689964285714295E-3</v>
      </c>
      <c r="AJ235" s="258">
        <v>4.4712285714285718E-3</v>
      </c>
      <c r="AK235" s="258">
        <v>5.4649428571428588E-3</v>
      </c>
      <c r="AL235" s="258">
        <v>6.8878476190476177E-3</v>
      </c>
      <c r="AM235" s="258">
        <v>1.389475833333333E-2</v>
      </c>
      <c r="AN235" s="258">
        <v>9.8632404761904782E-3</v>
      </c>
      <c r="AO235" s="258">
        <v>4.9790202380952386E-3</v>
      </c>
      <c r="AP235" s="258">
        <v>5.9462738095238023E-4</v>
      </c>
      <c r="AQ235" s="258">
        <v>-8.2128571428573618E-5</v>
      </c>
      <c r="AR235" s="258">
        <v>-5.183682142857143E-3</v>
      </c>
      <c r="AS235" s="258">
        <v>-7.8803095238095238E-3</v>
      </c>
      <c r="AT235" s="258">
        <v>-1.2419559523809524E-2</v>
      </c>
      <c r="AU235" s="258">
        <v>-1.3208130952380956E-2</v>
      </c>
      <c r="AV235" s="258">
        <f t="shared" ca="1" si="18"/>
        <v>-1.2856863095238097E-2</v>
      </c>
      <c r="AX235" s="86" t="str">
        <f t="shared" ca="1" si="17"/>
        <v>NEM</v>
      </c>
    </row>
    <row r="236" spans="1:50" hidden="1">
      <c r="A236" s="86" t="str">
        <f t="shared" ca="1" si="15"/>
        <v>NFLX</v>
      </c>
      <c r="F236" s="249">
        <v>1098.46</v>
      </c>
      <c r="G236" s="249">
        <v>1094.21</v>
      </c>
      <c r="H236" s="249">
        <v>1099.25</v>
      </c>
      <c r="I236" s="249">
        <v>1112.17</v>
      </c>
      <c r="J236" s="249">
        <v>114.09</v>
      </c>
      <c r="K236" s="249">
        <v>109.78</v>
      </c>
      <c r="L236" s="249">
        <v>106.28279999999999</v>
      </c>
      <c r="M236" s="249">
        <v>105.11</v>
      </c>
      <c r="N236" s="249">
        <v>106.12</v>
      </c>
      <c r="O236" s="249">
        <v>106.14</v>
      </c>
      <c r="P236" s="249">
        <v>107.57</v>
      </c>
      <c r="Q236" s="249">
        <v>108.825</v>
      </c>
      <c r="R236" s="249">
        <v>109.367</v>
      </c>
      <c r="S236" s="249">
        <v>102.55</v>
      </c>
      <c r="T236" s="249">
        <v>103.96</v>
      </c>
      <c r="U236" s="249">
        <v>102.32</v>
      </c>
      <c r="V236" s="249">
        <v>100.24</v>
      </c>
      <c r="W236" s="249">
        <v>96.03</v>
      </c>
      <c r="X236" s="249">
        <v>92.71</v>
      </c>
      <c r="Y236" s="249">
        <v>94.09</v>
      </c>
      <c r="Z236" s="243">
        <f ca="1">[1]ExtEntry!$H34</f>
        <v>94.09</v>
      </c>
      <c r="AB236" s="261">
        <v>-1.2409321428571429E-2</v>
      </c>
      <c r="AC236" s="261">
        <v>-1.1685071428571427E-2</v>
      </c>
      <c r="AD236" s="261">
        <v>-1.742017261904762E-2</v>
      </c>
      <c r="AE236" s="261">
        <v>-1.2792559523809532E-2</v>
      </c>
      <c r="AF236" s="261">
        <v>-1.8582785714285711E-2</v>
      </c>
      <c r="AG236" s="261">
        <v>-2.1262851190476193E-2</v>
      </c>
      <c r="AH236" s="261">
        <v>-2.3517000000000003E-2</v>
      </c>
      <c r="AI236" s="261">
        <v>-1.1274208333333337E-2</v>
      </c>
      <c r="AJ236" s="261">
        <v>2.3641369047619036E-3</v>
      </c>
      <c r="AK236" s="261">
        <v>1.4962642857142858E-2</v>
      </c>
      <c r="AL236" s="261">
        <v>1.3065041666666671E-2</v>
      </c>
      <c r="AM236" s="261">
        <v>1.020192857142857E-2</v>
      </c>
      <c r="AN236" s="261">
        <v>1.179954166666667E-2</v>
      </c>
      <c r="AO236" s="261">
        <v>1.1093494047619046E-2</v>
      </c>
      <c r="AP236" s="261">
        <v>1.1670380952380953E-2</v>
      </c>
      <c r="AQ236" s="261">
        <v>9.8385416666666656E-3</v>
      </c>
      <c r="AR236" s="261">
        <v>3.3895416666666622E-3</v>
      </c>
      <c r="AS236" s="261">
        <v>-1.5216369047619041E-3</v>
      </c>
      <c r="AT236" s="261">
        <v>-7.9723869047618988E-3</v>
      </c>
      <c r="AU236" s="261">
        <v>-7.6373214285714239E-4</v>
      </c>
      <c r="AV236" s="258">
        <f t="shared" ca="1" si="18"/>
        <v>5.7217499999999942E-3</v>
      </c>
      <c r="AX236" s="86" t="str">
        <f t="shared" ca="1" si="17"/>
        <v>NFLX</v>
      </c>
    </row>
    <row r="237" spans="1:50" hidden="1">
      <c r="A237" s="86" t="str">
        <f t="shared" ref="A237:A268" ca="1" si="19">A137</f>
        <v>NOTE</v>
      </c>
      <c r="F237" s="249">
        <v>3.31</v>
      </c>
      <c r="G237" s="249">
        <v>2.9653999999999998</v>
      </c>
      <c r="H237" s="249">
        <v>3.05</v>
      </c>
      <c r="I237" s="249">
        <v>2.54</v>
      </c>
      <c r="J237" s="249">
        <v>2.2400000000000002</v>
      </c>
      <c r="K237" s="249">
        <v>2.13</v>
      </c>
      <c r="L237" s="249">
        <v>2.0619999999999998</v>
      </c>
      <c r="M237" s="249">
        <v>2.0649999999999999</v>
      </c>
      <c r="N237" s="249">
        <v>2.2408000000000001</v>
      </c>
      <c r="O237" s="249">
        <v>2.29</v>
      </c>
      <c r="P237" s="249">
        <v>2.3199999999999998</v>
      </c>
      <c r="Q237" s="249">
        <v>2.21</v>
      </c>
      <c r="R237" s="249">
        <v>2.0150000000000001</v>
      </c>
      <c r="S237" s="249">
        <v>1.92</v>
      </c>
      <c r="T237" s="249">
        <v>2.0099999999999998</v>
      </c>
      <c r="U237" s="249">
        <v>1.99</v>
      </c>
      <c r="V237" s="249">
        <v>1.98</v>
      </c>
      <c r="W237" s="249">
        <v>1.865</v>
      </c>
      <c r="X237" s="249">
        <v>1.85</v>
      </c>
      <c r="Y237" s="249">
        <v>1.85</v>
      </c>
      <c r="Z237" s="243">
        <f ca="1">[1]ExtEntry!$H35</f>
        <v>1.85</v>
      </c>
      <c r="AB237" s="258">
        <v>4.9695892857142872E-3</v>
      </c>
      <c r="AC237" s="258">
        <v>3.1957684523809507E-3</v>
      </c>
      <c r="AD237" s="258">
        <v>3.260839880952382E-3</v>
      </c>
      <c r="AE237" s="258">
        <v>2.3193339285714305E-3</v>
      </c>
      <c r="AF237" s="258">
        <v>7.7582863095238099E-3</v>
      </c>
      <c r="AG237" s="258">
        <v>5.2923279761904751E-3</v>
      </c>
      <c r="AH237" s="258">
        <v>1.777250595238096E-3</v>
      </c>
      <c r="AI237" s="258">
        <v>6.3172089285714293E-3</v>
      </c>
      <c r="AJ237" s="258">
        <v>1.1439292261904759E-2</v>
      </c>
      <c r="AK237" s="258">
        <v>1.8731883333333331E-2</v>
      </c>
      <c r="AL237" s="258">
        <v>1.6954228571428573E-2</v>
      </c>
      <c r="AM237" s="258">
        <v>2.0716454761904764E-2</v>
      </c>
      <c r="AN237" s="258">
        <v>1.1573585714285715E-2</v>
      </c>
      <c r="AO237" s="258">
        <v>1.1150026190476191E-2</v>
      </c>
      <c r="AP237" s="258">
        <v>1.8756329761904757E-2</v>
      </c>
      <c r="AQ237" s="258">
        <v>1.7380163095238099E-2</v>
      </c>
      <c r="AR237" s="258">
        <v>9.0735678571428561E-3</v>
      </c>
      <c r="AS237" s="258">
        <v>5.4251035714285752E-3</v>
      </c>
      <c r="AT237" s="258">
        <v>-2.5023309523809541E-3</v>
      </c>
      <c r="AU237" s="258">
        <v>-6.7076547619047619E-4</v>
      </c>
      <c r="AV237" s="258">
        <f t="shared" ca="1" si="18"/>
        <v>3.4696392857142891E-3</v>
      </c>
      <c r="AX237" s="86" t="str">
        <f t="shared" ref="AX237:AX268" ca="1" si="20">A237</f>
        <v>NOTE</v>
      </c>
    </row>
    <row r="238" spans="1:50" hidden="1">
      <c r="A238" s="86" t="str">
        <f t="shared" ca="1" si="19"/>
        <v>PAAS</v>
      </c>
      <c r="F238" s="249">
        <v>33.770000000000003</v>
      </c>
      <c r="G238" s="249">
        <v>33.744999999999997</v>
      </c>
      <c r="H238" s="249">
        <v>34.719900000000003</v>
      </c>
      <c r="I238" s="249">
        <v>38.51</v>
      </c>
      <c r="J238" s="249">
        <v>38.07</v>
      </c>
      <c r="K238" s="249">
        <v>38.49</v>
      </c>
      <c r="L238" s="249">
        <v>36.630000000000003</v>
      </c>
      <c r="M238" s="249">
        <v>36.94</v>
      </c>
      <c r="N238" s="249">
        <v>42.265000000000001</v>
      </c>
      <c r="O238" s="249">
        <v>42.56</v>
      </c>
      <c r="P238" s="249">
        <v>45.66</v>
      </c>
      <c r="Q238" s="249">
        <v>46.204999999999998</v>
      </c>
      <c r="R238" s="249">
        <v>44.83</v>
      </c>
      <c r="S238" s="249">
        <v>45.064999999999998</v>
      </c>
      <c r="T238" s="249">
        <v>44.43</v>
      </c>
      <c r="U238" s="249">
        <v>44.303400000000003</v>
      </c>
      <c r="V238" s="249">
        <v>44.39</v>
      </c>
      <c r="W238" s="249">
        <v>48.145699999999998</v>
      </c>
      <c r="X238" s="249">
        <v>48.65</v>
      </c>
      <c r="Y238" s="249">
        <v>50.34</v>
      </c>
      <c r="Z238" s="243">
        <f ca="1">[1]ExtEntry!$H36</f>
        <v>50.34</v>
      </c>
      <c r="AB238" s="261">
        <v>-9.1433928571428569E-4</v>
      </c>
      <c r="AC238" s="261">
        <v>1.1744523809523812E-2</v>
      </c>
      <c r="AD238" s="261">
        <v>2.0967988095238099E-2</v>
      </c>
      <c r="AE238" s="261">
        <v>2.4554714285714284E-2</v>
      </c>
      <c r="AF238" s="261">
        <v>2.10225E-2</v>
      </c>
      <c r="AG238" s="261">
        <v>1.355285714285714E-3</v>
      </c>
      <c r="AH238" s="261">
        <v>1.5683928571428533E-4</v>
      </c>
      <c r="AI238" s="261">
        <v>1.0743690476190464E-3</v>
      </c>
      <c r="AJ238" s="261">
        <v>-5.8432142857143036E-4</v>
      </c>
      <c r="AK238" s="261">
        <v>-2.7139523809523829E-3</v>
      </c>
      <c r="AL238" s="261">
        <v>-2.8965297619047634E-3</v>
      </c>
      <c r="AM238" s="261">
        <v>-1.2878369047619048E-2</v>
      </c>
      <c r="AN238" s="261">
        <v>-1.0420464285714286E-2</v>
      </c>
      <c r="AO238" s="261">
        <v>-6.8338333333333333E-3</v>
      </c>
      <c r="AP238" s="261">
        <v>1.1405416666666664E-3</v>
      </c>
      <c r="AQ238" s="261">
        <v>-6.1382738095237983E-4</v>
      </c>
      <c r="AR238" s="261">
        <v>8.0785714285714662E-5</v>
      </c>
      <c r="AS238" s="261">
        <v>3.4750297619047608E-3</v>
      </c>
      <c r="AT238" s="261">
        <v>7.5821190476190485E-3</v>
      </c>
      <c r="AU238" s="261">
        <v>1.3237785714285716E-2</v>
      </c>
      <c r="AV238" s="258">
        <f t="shared" ca="1" si="18"/>
        <v>1.887285119047619E-2</v>
      </c>
      <c r="AX238" s="86" t="str">
        <f t="shared" ca="1" si="20"/>
        <v>PAAS</v>
      </c>
    </row>
    <row r="239" spans="1:50" hidden="1">
      <c r="A239" s="86" t="str">
        <f t="shared" ca="1" si="19"/>
        <v>PROF</v>
      </c>
      <c r="F239" s="249">
        <v>5.86</v>
      </c>
      <c r="G239" s="249">
        <v>5.86</v>
      </c>
      <c r="H239" s="249">
        <v>5.9249999999999998</v>
      </c>
      <c r="I239" s="249">
        <v>6.85</v>
      </c>
      <c r="J239" s="249">
        <v>6.23</v>
      </c>
      <c r="K239" s="249">
        <v>5.99</v>
      </c>
      <c r="L239" s="249">
        <v>5.89</v>
      </c>
      <c r="M239" s="249">
        <v>5.9</v>
      </c>
      <c r="N239" s="249">
        <v>6.4649999999999999</v>
      </c>
      <c r="O239" s="249">
        <v>6.46</v>
      </c>
      <c r="P239" s="249">
        <v>6.6</v>
      </c>
      <c r="Q239" s="249">
        <v>6.4044999999999996</v>
      </c>
      <c r="R239" s="249">
        <v>6.2</v>
      </c>
      <c r="S239" s="249">
        <v>6.4550000000000001</v>
      </c>
      <c r="T239" s="249">
        <v>6.9</v>
      </c>
      <c r="U239" s="249">
        <v>6.8803000000000001</v>
      </c>
      <c r="V239" s="249">
        <v>6.6</v>
      </c>
      <c r="W239" s="249">
        <v>7.01</v>
      </c>
      <c r="X239" s="249">
        <v>7.24</v>
      </c>
      <c r="Y239" s="249">
        <v>7.43</v>
      </c>
      <c r="Z239" s="243">
        <f ca="1">[1]ExtEntry!$H37</f>
        <v>7.43</v>
      </c>
      <c r="AB239" s="258">
        <v>-2.5188946428571425E-2</v>
      </c>
      <c r="AC239" s="258">
        <v>-3.4745178571428573E-2</v>
      </c>
      <c r="AD239" s="258">
        <v>-2.1806005952380955E-2</v>
      </c>
      <c r="AE239" s="258">
        <v>-3.4379440476190473E-2</v>
      </c>
      <c r="AF239" s="258">
        <v>-2.1764178571428566E-2</v>
      </c>
      <c r="AG239" s="258">
        <v>-1.9999315476190476E-2</v>
      </c>
      <c r="AH239" s="258">
        <v>-1.0748285714285714E-2</v>
      </c>
      <c r="AI239" s="258">
        <v>6.4437797619047651E-3</v>
      </c>
      <c r="AJ239" s="258">
        <v>2.7330952380952428E-3</v>
      </c>
      <c r="AK239" s="258">
        <v>1.5491809523809522E-2</v>
      </c>
      <c r="AL239" s="258">
        <v>1.2676565476190478E-2</v>
      </c>
      <c r="AM239" s="258">
        <v>2.1317184523809523E-2</v>
      </c>
      <c r="AN239" s="258">
        <v>1.7597041666666667E-2</v>
      </c>
      <c r="AO239" s="258">
        <v>3.1645684523809524E-2</v>
      </c>
      <c r="AP239" s="258">
        <v>5.3860339285714279E-2</v>
      </c>
      <c r="AQ239" s="258">
        <v>5.7207476190476184E-2</v>
      </c>
      <c r="AR239" s="258">
        <v>5.6770464285714271E-2</v>
      </c>
      <c r="AS239" s="258">
        <v>5.5114303571428561E-2</v>
      </c>
      <c r="AT239" s="258">
        <v>5.2892142857142867E-2</v>
      </c>
      <c r="AU239" s="258">
        <v>5.7030880952380944E-2</v>
      </c>
      <c r="AV239" s="258">
        <f t="shared" ca="1" si="18"/>
        <v>5.1914648809523803E-2</v>
      </c>
      <c r="AX239" s="86" t="str">
        <f t="shared" ca="1" si="20"/>
        <v>PROF</v>
      </c>
    </row>
    <row r="240" spans="1:50" hidden="1">
      <c r="A240" s="86" t="str">
        <f t="shared" ca="1" si="19"/>
        <v>POET</v>
      </c>
      <c r="F240" s="249">
        <v>6.0350000000000001</v>
      </c>
      <c r="G240" s="249">
        <v>5.3449999999999998</v>
      </c>
      <c r="H240" s="249">
        <v>5.3699000000000003</v>
      </c>
      <c r="I240" s="249">
        <v>4.4000000000000004</v>
      </c>
      <c r="J240" s="249">
        <v>4.29</v>
      </c>
      <c r="K240" s="249">
        <v>4.1844000000000001</v>
      </c>
      <c r="L240" s="249">
        <v>4.2249999999999996</v>
      </c>
      <c r="M240" s="249">
        <v>4.28</v>
      </c>
      <c r="N240" s="249">
        <v>4.7649999999999997</v>
      </c>
      <c r="O240" s="249">
        <v>4.84</v>
      </c>
      <c r="P240" s="249">
        <v>4.95</v>
      </c>
      <c r="Q240" s="249">
        <v>4.7450000000000001</v>
      </c>
      <c r="R240" s="249">
        <v>4.6550000000000002</v>
      </c>
      <c r="S240" s="249">
        <v>5.3745000000000003</v>
      </c>
      <c r="T240" s="249">
        <v>6.01</v>
      </c>
      <c r="U240" s="249">
        <v>6.4850000000000003</v>
      </c>
      <c r="V240" s="249">
        <v>6.05</v>
      </c>
      <c r="W240" s="249">
        <v>6.8449999999999998</v>
      </c>
      <c r="X240" s="249">
        <v>7.15</v>
      </c>
      <c r="Y240" s="249">
        <v>7.22</v>
      </c>
      <c r="Z240" s="243">
        <f ca="1">[1]ExtEntry!$H38</f>
        <v>7.22</v>
      </c>
      <c r="AB240" s="261">
        <v>2.5769458333333332E-2</v>
      </c>
      <c r="AC240" s="261">
        <v>3.1801124999999993E-2</v>
      </c>
      <c r="AD240" s="261">
        <v>3.317880952380952E-2</v>
      </c>
      <c r="AE240" s="261">
        <v>3.3152339285714275E-2</v>
      </c>
      <c r="AF240" s="261">
        <v>1.3424464285714281E-2</v>
      </c>
      <c r="AG240" s="261">
        <v>1.7729571428571428E-2</v>
      </c>
      <c r="AH240" s="261">
        <v>1.3830577380952384E-2</v>
      </c>
      <c r="AI240" s="261">
        <v>2.2668839285714282E-2</v>
      </c>
      <c r="AJ240" s="261">
        <v>2.9508196428571429E-2</v>
      </c>
      <c r="AK240" s="261">
        <v>4.6011119047619044E-2</v>
      </c>
      <c r="AL240" s="261">
        <v>3.3280077380952379E-2</v>
      </c>
      <c r="AM240" s="261">
        <v>1.2038499999999995E-2</v>
      </c>
      <c r="AN240" s="261">
        <v>3.2332505952380956E-2</v>
      </c>
      <c r="AO240" s="261">
        <v>3.059122023809523E-2</v>
      </c>
      <c r="AP240" s="261">
        <v>3.1592220238095235E-2</v>
      </c>
      <c r="AQ240" s="261">
        <v>1.6310577380952384E-2</v>
      </c>
      <c r="AR240" s="261">
        <v>-5.5153511904761886E-3</v>
      </c>
      <c r="AS240" s="261">
        <v>-2.4195113095238099E-2</v>
      </c>
      <c r="AT240" s="261">
        <v>-9.5967559523809556E-3</v>
      </c>
      <c r="AU240" s="261">
        <v>-9.5759285714285755E-3</v>
      </c>
      <c r="AV240" s="258">
        <f t="shared" ca="1" si="18"/>
        <v>-2.7959785714285715E-2</v>
      </c>
      <c r="AX240" s="86" t="str">
        <f t="shared" ca="1" si="20"/>
        <v>POET</v>
      </c>
    </row>
    <row r="241" spans="1:50" hidden="1">
      <c r="A241" s="86" t="str">
        <f t="shared" ca="1" si="19"/>
        <v>PW</v>
      </c>
      <c r="F241" s="249">
        <v>0.745</v>
      </c>
      <c r="G241" s="249">
        <v>0.72970000000000002</v>
      </c>
      <c r="H241" s="249">
        <v>0.66</v>
      </c>
      <c r="I241" s="249">
        <v>0.70740000000000003</v>
      </c>
      <c r="J241" s="249">
        <v>0.63990000000000002</v>
      </c>
      <c r="K241" s="249">
        <v>0.64290000000000003</v>
      </c>
      <c r="L241" s="249">
        <v>0.61439999999999995</v>
      </c>
      <c r="M241" s="249">
        <v>0.67</v>
      </c>
      <c r="N241" s="249">
        <v>0.99519999999999997</v>
      </c>
      <c r="O241" s="249">
        <v>0.99050000000000005</v>
      </c>
      <c r="P241" s="249">
        <v>0.83</v>
      </c>
      <c r="Q241" s="249">
        <v>0.83199999999999996</v>
      </c>
      <c r="R241" s="249">
        <v>0.93</v>
      </c>
      <c r="S241" s="249">
        <v>0.87270000000000003</v>
      </c>
      <c r="T241" s="249">
        <v>0.93</v>
      </c>
      <c r="U241" s="249">
        <v>0.94979999999999998</v>
      </c>
      <c r="V241" s="249">
        <v>0.99760000000000004</v>
      </c>
      <c r="W241" s="249">
        <v>1.01</v>
      </c>
      <c r="X241" s="249">
        <v>1.02</v>
      </c>
      <c r="Y241" s="249">
        <v>0.98360000000000003</v>
      </c>
      <c r="Z241" s="243">
        <f ca="1">[1]ExtEntry!$H39</f>
        <v>0.98360000000000003</v>
      </c>
      <c r="AB241" s="258">
        <v>2.0912452380952379E-2</v>
      </c>
      <c r="AC241" s="258">
        <v>1.6771559523809525E-2</v>
      </c>
      <c r="AD241" s="258">
        <v>2.1319785714285718E-2</v>
      </c>
      <c r="AE241" s="258">
        <v>2.1655499999999998E-2</v>
      </c>
      <c r="AF241" s="258">
        <v>2.9439422619047619E-2</v>
      </c>
      <c r="AG241" s="258">
        <v>2.1648291666666666E-2</v>
      </c>
      <c r="AH241" s="258">
        <v>1.5674303571428582E-2</v>
      </c>
      <c r="AI241" s="258">
        <v>3.1186636904761891E-2</v>
      </c>
      <c r="AJ241" s="258">
        <v>-6.6836249999999986E-3</v>
      </c>
      <c r="AK241" s="258">
        <v>5.3868452380952808E-4</v>
      </c>
      <c r="AL241" s="258">
        <v>2.3401250000000089E-3</v>
      </c>
      <c r="AM241" s="258">
        <v>-5.5722738095238082E-3</v>
      </c>
      <c r="AN241" s="258">
        <v>-1.9855023809523802E-2</v>
      </c>
      <c r="AO241" s="258">
        <v>-6.2489345238095195E-3</v>
      </c>
      <c r="AP241" s="258">
        <v>-9.9914285714285643E-3</v>
      </c>
      <c r="AQ241" s="258">
        <v>-2.0107547619047615E-2</v>
      </c>
      <c r="AR241" s="258">
        <v>-2.0889922619047617E-2</v>
      </c>
      <c r="AS241" s="258">
        <v>-2.5700386904761899E-2</v>
      </c>
      <c r="AT241" s="258">
        <v>-2.6399577380952371E-2</v>
      </c>
      <c r="AU241" s="258">
        <v>-1.470972023809524E-2</v>
      </c>
      <c r="AV241" s="258">
        <f t="shared" ca="1" si="18"/>
        <v>-9.1915059523809545E-3</v>
      </c>
      <c r="AX241" s="86" t="str">
        <f t="shared" ca="1" si="20"/>
        <v>PW</v>
      </c>
    </row>
    <row r="242" spans="1:50" hidden="1">
      <c r="A242" s="86" t="str">
        <f t="shared" ca="1" si="19"/>
        <v>RIGL</v>
      </c>
      <c r="F242" s="249">
        <v>37.85</v>
      </c>
      <c r="G242" s="249">
        <v>36.325000000000003</v>
      </c>
      <c r="H242" s="249">
        <v>35.31</v>
      </c>
      <c r="I242" s="249">
        <v>41.94</v>
      </c>
      <c r="J242" s="249">
        <v>46.22</v>
      </c>
      <c r="K242" s="249">
        <v>42.2</v>
      </c>
      <c r="L242" s="249">
        <v>44.774999999999999</v>
      </c>
      <c r="M242" s="249">
        <v>46.715000000000003</v>
      </c>
      <c r="N242" s="249">
        <v>51.24</v>
      </c>
      <c r="O242" s="249">
        <v>50.96</v>
      </c>
      <c r="P242" s="249">
        <v>50.49</v>
      </c>
      <c r="Q242" s="249">
        <v>47.85</v>
      </c>
      <c r="R242" s="249">
        <v>44.4</v>
      </c>
      <c r="S242" s="249">
        <v>45.6</v>
      </c>
      <c r="T242" s="249">
        <v>47.21</v>
      </c>
      <c r="U242" s="249">
        <v>47.27</v>
      </c>
      <c r="V242" s="249">
        <v>48.92</v>
      </c>
      <c r="W242" s="249">
        <v>43.03</v>
      </c>
      <c r="X242" s="249">
        <v>41.22</v>
      </c>
      <c r="Y242" s="249">
        <v>42.05</v>
      </c>
      <c r="Z242" s="243">
        <f ca="1">[1]ExtEntry!$H40</f>
        <v>42.05</v>
      </c>
      <c r="AB242" s="261">
        <v>1.0359601190476197E-3</v>
      </c>
      <c r="AC242" s="261">
        <v>3.0889720238095244E-3</v>
      </c>
      <c r="AD242" s="261">
        <v>3.3776922619047625E-3</v>
      </c>
      <c r="AE242" s="261">
        <v>2.5625791666666672E-3</v>
      </c>
      <c r="AF242" s="261">
        <v>1.5076797619047618E-3</v>
      </c>
      <c r="AG242" s="261">
        <v>-1.562790476190476E-3</v>
      </c>
      <c r="AH242" s="261">
        <v>-9.9442738095238095E-4</v>
      </c>
      <c r="AI242" s="261">
        <v>-1.0239690476190478E-3</v>
      </c>
      <c r="AJ242" s="261">
        <v>-3.219690476190481E-4</v>
      </c>
      <c r="AK242" s="261">
        <v>-2.3993499999999997E-3</v>
      </c>
      <c r="AL242" s="261">
        <v>-1.8898202380952384E-3</v>
      </c>
      <c r="AM242" s="261">
        <v>-2.3044809523809526E-3</v>
      </c>
      <c r="AN242" s="261">
        <v>-1.7367726190476189E-3</v>
      </c>
      <c r="AO242" s="261">
        <v>2.0470250000000001E-3</v>
      </c>
      <c r="AP242" s="261">
        <v>-7.4507023809523799E-4</v>
      </c>
      <c r="AQ242" s="261">
        <v>3.2116190476190508E-4</v>
      </c>
      <c r="AR242" s="261">
        <v>-2.1406952380952386E-3</v>
      </c>
      <c r="AS242" s="261">
        <v>9.0476190476190496E-4</v>
      </c>
      <c r="AT242" s="261">
        <v>9.1734523809523739E-4</v>
      </c>
      <c r="AU242" s="261">
        <v>2.3562440476190476E-3</v>
      </c>
      <c r="AV242" s="258">
        <f t="shared" ca="1" si="18"/>
        <v>1.4885595238095242E-3</v>
      </c>
      <c r="AX242" s="86" t="str">
        <f t="shared" ca="1" si="20"/>
        <v>RIGL</v>
      </c>
    </row>
    <row r="243" spans="1:50" hidden="1">
      <c r="A243" s="86" t="str">
        <f t="shared" ca="1" si="19"/>
        <v>RWE</v>
      </c>
      <c r="F243" s="249">
        <v>42.61</v>
      </c>
      <c r="G243" s="249">
        <v>43.12</v>
      </c>
      <c r="H243" s="249">
        <v>42.91</v>
      </c>
      <c r="I243" s="249">
        <v>45.33</v>
      </c>
      <c r="J243" s="249">
        <v>44.28</v>
      </c>
      <c r="K243" s="249">
        <v>43.73</v>
      </c>
      <c r="L243" s="249">
        <v>44.92</v>
      </c>
      <c r="M243" s="249">
        <v>44.33</v>
      </c>
      <c r="N243" s="249">
        <v>44.26</v>
      </c>
      <c r="O243" s="249">
        <v>43.52</v>
      </c>
      <c r="P243" s="249">
        <v>43.72</v>
      </c>
      <c r="Q243" s="249">
        <v>43.36</v>
      </c>
      <c r="R243" s="249">
        <v>43.3</v>
      </c>
      <c r="S243" s="249">
        <v>44.11</v>
      </c>
      <c r="T243" s="249">
        <v>43.56</v>
      </c>
      <c r="U243" s="249">
        <v>43.46</v>
      </c>
      <c r="V243" s="249">
        <v>42.94</v>
      </c>
      <c r="W243" s="249">
        <v>43.69</v>
      </c>
      <c r="X243" s="249">
        <v>43.49</v>
      </c>
      <c r="Y243" s="249">
        <v>43.29</v>
      </c>
      <c r="Z243" s="243">
        <f ca="1">[1]ExtEntry!$H41</f>
        <v>43.29</v>
      </c>
      <c r="AB243" s="258">
        <v>-3.9604464285714286E-3</v>
      </c>
      <c r="AC243" s="258">
        <v>-5.909291666666666E-3</v>
      </c>
      <c r="AD243" s="258">
        <v>-8.7448452380952373E-3</v>
      </c>
      <c r="AE243" s="258">
        <v>-6.3145773809523808E-3</v>
      </c>
      <c r="AF243" s="258">
        <v>-7.3726011904761916E-3</v>
      </c>
      <c r="AG243" s="258">
        <v>-6.5065267857142856E-3</v>
      </c>
      <c r="AH243" s="258">
        <v>-6.78048511904762E-3</v>
      </c>
      <c r="AI243" s="258">
        <v>-5.5828244047619038E-3</v>
      </c>
      <c r="AJ243" s="258">
        <v>-5.6276696428571435E-3</v>
      </c>
      <c r="AK243" s="258">
        <v>-2.3509821428571373E-4</v>
      </c>
      <c r="AL243" s="258">
        <v>1.2040267857142874E-3</v>
      </c>
      <c r="AM243" s="258">
        <v>6.9230803571428585E-3</v>
      </c>
      <c r="AN243" s="258">
        <v>6.8934017857142857E-3</v>
      </c>
      <c r="AO243" s="258">
        <v>5.8755000000000005E-3</v>
      </c>
      <c r="AP243" s="258">
        <v>4.0005952380952397E-3</v>
      </c>
      <c r="AQ243" s="258">
        <v>7.3718095238095253E-3</v>
      </c>
      <c r="AR243" s="258">
        <v>5.6822857142857161E-3</v>
      </c>
      <c r="AS243" s="258">
        <v>5.9130297619047634E-3</v>
      </c>
      <c r="AT243" s="258">
        <v>5.0339583333333347E-3</v>
      </c>
      <c r="AU243" s="258">
        <v>4.5479821428571444E-3</v>
      </c>
      <c r="AV243" s="258">
        <f t="shared" ca="1" si="18"/>
        <v>3.988339285714286E-3</v>
      </c>
      <c r="AX243" s="86" t="str">
        <f t="shared" ca="1" si="20"/>
        <v>RWE</v>
      </c>
    </row>
    <row r="244" spans="1:50" hidden="1">
      <c r="A244" s="86" t="str">
        <f t="shared" ca="1" si="19"/>
        <v>SAP</v>
      </c>
      <c r="F244" s="249">
        <v>227.95</v>
      </c>
      <c r="G244" s="249">
        <v>217.95</v>
      </c>
      <c r="H244" s="249">
        <v>215.65</v>
      </c>
      <c r="I244" s="249">
        <v>211.1</v>
      </c>
      <c r="J244" s="249">
        <v>205.35</v>
      </c>
      <c r="K244" s="249">
        <v>205.5</v>
      </c>
      <c r="L244" s="249">
        <v>206.6</v>
      </c>
      <c r="M244" s="249">
        <v>205</v>
      </c>
      <c r="N244" s="249">
        <v>206.7</v>
      </c>
      <c r="O244" s="249">
        <v>207</v>
      </c>
      <c r="P244" s="249">
        <v>208.55</v>
      </c>
      <c r="Q244" s="249">
        <v>208.9</v>
      </c>
      <c r="R244" s="249">
        <v>207.85</v>
      </c>
      <c r="S244" s="249">
        <v>207.25</v>
      </c>
      <c r="T244" s="249">
        <v>206.5</v>
      </c>
      <c r="U244" s="249">
        <v>210.15</v>
      </c>
      <c r="V244" s="249">
        <v>213.25</v>
      </c>
      <c r="W244" s="249">
        <v>210</v>
      </c>
      <c r="X244" s="249">
        <v>210.95</v>
      </c>
      <c r="Y244" s="249">
        <v>209.3</v>
      </c>
      <c r="Z244" s="243">
        <f ca="1">[1]ExtEntry!$H42</f>
        <v>209.3</v>
      </c>
      <c r="AB244" s="261">
        <v>-5.3927559523809518E-3</v>
      </c>
      <c r="AC244" s="261">
        <v>-3.9183630952380972E-3</v>
      </c>
      <c r="AD244" s="261">
        <v>-4.5009821428571442E-3</v>
      </c>
      <c r="AE244" s="261">
        <v>-6.2882142857142867E-4</v>
      </c>
      <c r="AF244" s="261">
        <v>-2.2251785714285689E-4</v>
      </c>
      <c r="AG244" s="261">
        <v>-1.3947380952380947E-3</v>
      </c>
      <c r="AH244" s="261">
        <v>-1.7122797619047638E-3</v>
      </c>
      <c r="AI244" s="261">
        <v>4.0009404761904748E-3</v>
      </c>
      <c r="AJ244" s="261">
        <v>5.9353571428571415E-3</v>
      </c>
      <c r="AK244" s="261">
        <v>1.090625595238095E-2</v>
      </c>
      <c r="AL244" s="261">
        <v>9.847023809523809E-3</v>
      </c>
      <c r="AM244" s="261">
        <v>7.6769761904761872E-3</v>
      </c>
      <c r="AN244" s="261">
        <v>1.179230357142857E-2</v>
      </c>
      <c r="AO244" s="261">
        <v>1.0870999999999999E-2</v>
      </c>
      <c r="AP244" s="261">
        <v>1.3965017857142853E-2</v>
      </c>
      <c r="AQ244" s="261">
        <v>1.0116053571428571E-2</v>
      </c>
      <c r="AR244" s="261">
        <v>5.4747380952380967E-3</v>
      </c>
      <c r="AS244" s="261">
        <v>1.2682500000000003E-3</v>
      </c>
      <c r="AT244" s="261">
        <v>1.3248869047619034E-3</v>
      </c>
      <c r="AU244" s="261">
        <v>-1.6088154761904768E-3</v>
      </c>
      <c r="AV244" s="258">
        <f t="shared" ca="1" si="18"/>
        <v>-6.9356071428571427E-3</v>
      </c>
      <c r="AX244" s="86" t="str">
        <f t="shared" ca="1" si="20"/>
        <v>SAP</v>
      </c>
    </row>
    <row r="245" spans="1:50" hidden="1">
      <c r="A245" s="86" t="str">
        <f t="shared" ca="1" si="19"/>
        <v>SHECY</v>
      </c>
      <c r="F245" s="249">
        <v>14.9</v>
      </c>
      <c r="G245" s="249">
        <v>14.5</v>
      </c>
      <c r="H245" s="249">
        <v>14.69</v>
      </c>
      <c r="I245" s="249">
        <v>14.99</v>
      </c>
      <c r="J245" s="249">
        <v>14.33</v>
      </c>
      <c r="K245" s="249">
        <v>14.214499999999999</v>
      </c>
      <c r="L245" s="249">
        <v>13.744999999999999</v>
      </c>
      <c r="M245" s="249">
        <v>14.37</v>
      </c>
      <c r="N245" s="249">
        <v>14.8</v>
      </c>
      <c r="O245" s="249">
        <v>14.8</v>
      </c>
      <c r="P245" s="249">
        <v>14.95</v>
      </c>
      <c r="Q245" s="249">
        <v>14.93</v>
      </c>
      <c r="R245" s="249">
        <v>15.137499999999999</v>
      </c>
      <c r="S245" s="249">
        <v>14.914</v>
      </c>
      <c r="T245" s="249">
        <v>15.08</v>
      </c>
      <c r="U245" s="249">
        <v>15.57</v>
      </c>
      <c r="V245" s="249">
        <v>15.56</v>
      </c>
      <c r="W245" s="249">
        <v>15.297000000000001</v>
      </c>
      <c r="X245" s="249">
        <v>15.46</v>
      </c>
      <c r="Y245" s="249">
        <v>14.91</v>
      </c>
      <c r="Z245" s="243">
        <f ca="1">[1]ExtEntry!$H43</f>
        <v>14.91</v>
      </c>
      <c r="AB245" s="258">
        <v>-1.4469065476190476E-2</v>
      </c>
      <c r="AC245" s="258">
        <v>-6.6586726190476179E-3</v>
      </c>
      <c r="AD245" s="258">
        <v>-1.3291184523809521E-2</v>
      </c>
      <c r="AE245" s="258">
        <v>-1.8918589285714285E-2</v>
      </c>
      <c r="AF245" s="258">
        <v>-1.868830952380952E-2</v>
      </c>
      <c r="AG245" s="258">
        <v>-1.5486785714285712E-2</v>
      </c>
      <c r="AH245" s="258">
        <v>-1.1394577380952379E-2</v>
      </c>
      <c r="AI245" s="258">
        <v>-3.4516071428571278E-4</v>
      </c>
      <c r="AJ245" s="258">
        <v>3.1221011904761916E-3</v>
      </c>
      <c r="AK245" s="258">
        <v>8.7299107142857144E-3</v>
      </c>
      <c r="AL245" s="258">
        <v>7.7504642857142885E-3</v>
      </c>
      <c r="AM245" s="258">
        <v>1.88536130952381E-2</v>
      </c>
      <c r="AN245" s="258">
        <v>2.0024696428571433E-2</v>
      </c>
      <c r="AO245" s="258">
        <v>1.6534482142857139E-2</v>
      </c>
      <c r="AP245" s="258">
        <v>1.7052696428571427E-2</v>
      </c>
      <c r="AQ245" s="258">
        <v>1.5032654761904761E-2</v>
      </c>
      <c r="AR245" s="258">
        <v>1.3990702380952381E-2</v>
      </c>
      <c r="AS245" s="258">
        <v>1.3568279761904762E-2</v>
      </c>
      <c r="AT245" s="258">
        <v>1.080607738095238E-2</v>
      </c>
      <c r="AU245" s="258">
        <v>1.1678160714285712E-2</v>
      </c>
      <c r="AV245" s="258">
        <f t="shared" ca="1" si="18"/>
        <v>8.2216666666666671E-3</v>
      </c>
      <c r="AX245" s="86" t="str">
        <f t="shared" ca="1" si="20"/>
        <v>SHECY</v>
      </c>
    </row>
    <row r="246" spans="1:50" hidden="1">
      <c r="A246" s="86" t="str">
        <f t="shared" ca="1" si="19"/>
        <v>SSYS</v>
      </c>
      <c r="F246" s="249">
        <v>9.85</v>
      </c>
      <c r="G246" s="249">
        <v>9.4600000000000009</v>
      </c>
      <c r="H246" s="249">
        <v>9.4600000000000009</v>
      </c>
      <c r="I246" s="249">
        <v>8.9499999999999993</v>
      </c>
      <c r="J246" s="249">
        <v>8.5</v>
      </c>
      <c r="K246" s="249">
        <v>8.4499999999999993</v>
      </c>
      <c r="L246" s="249">
        <v>8.2200000000000006</v>
      </c>
      <c r="M246" s="249">
        <v>8.5500000000000007</v>
      </c>
      <c r="N246" s="249">
        <v>8.6</v>
      </c>
      <c r="O246" s="249">
        <v>8.64</v>
      </c>
      <c r="P246" s="249">
        <v>8.7899999999999991</v>
      </c>
      <c r="Q246" s="249">
        <v>8.7200000000000006</v>
      </c>
      <c r="R246" s="249">
        <v>8.75</v>
      </c>
      <c r="S246" s="249">
        <v>8.73</v>
      </c>
      <c r="T246" s="249">
        <v>8.98</v>
      </c>
      <c r="U246" s="249">
        <v>9.1300000000000008</v>
      </c>
      <c r="V246" s="249">
        <v>9.0500000000000007</v>
      </c>
      <c r="W246" s="249">
        <v>9.27</v>
      </c>
      <c r="X246" s="249">
        <v>9.2899999999999991</v>
      </c>
      <c r="Y246" s="249">
        <v>9.44</v>
      </c>
      <c r="Z246" s="243">
        <f ca="1">[1]ExtEntry!$H44</f>
        <v>9.44</v>
      </c>
      <c r="AB246" s="261">
        <v>-6.7934523809523757E-4</v>
      </c>
      <c r="AC246" s="261">
        <v>-3.1849345238095235E-3</v>
      </c>
      <c r="AD246" s="261">
        <v>-1.0909125E-2</v>
      </c>
      <c r="AE246" s="261">
        <v>-5.5906071428571446E-3</v>
      </c>
      <c r="AF246" s="261">
        <v>-1.2773321428571427E-2</v>
      </c>
      <c r="AG246" s="261">
        <v>-1.5195648809523808E-2</v>
      </c>
      <c r="AH246" s="261">
        <v>-7.7438392857142845E-3</v>
      </c>
      <c r="AI246" s="261">
        <v>-2.1477023809523821E-3</v>
      </c>
      <c r="AJ246" s="261">
        <v>-6.0021964285714271E-3</v>
      </c>
      <c r="AK246" s="261">
        <v>-7.626904761904767E-4</v>
      </c>
      <c r="AL246" s="261">
        <v>5.5130297619047607E-3</v>
      </c>
      <c r="AM246" s="261">
        <v>5.3481190476190477E-3</v>
      </c>
      <c r="AN246" s="261">
        <v>7.0131785714285704E-3</v>
      </c>
      <c r="AO246" s="261">
        <v>8.7533095238095243E-3</v>
      </c>
      <c r="AP246" s="261">
        <v>1.3016434523809524E-2</v>
      </c>
      <c r="AQ246" s="261">
        <v>1.3709636904761903E-2</v>
      </c>
      <c r="AR246" s="261">
        <v>1.0970047619047619E-2</v>
      </c>
      <c r="AS246" s="261">
        <v>1.2664607142857141E-2</v>
      </c>
      <c r="AT246" s="261">
        <v>1.3555755952380949E-2</v>
      </c>
      <c r="AU246" s="261">
        <v>1.1063684523809521E-2</v>
      </c>
      <c r="AV246" s="258">
        <f t="shared" ca="1" si="18"/>
        <v>8.3645238095238078E-3</v>
      </c>
      <c r="AX246" s="86" t="str">
        <f t="shared" ca="1" si="20"/>
        <v>SSYS</v>
      </c>
    </row>
    <row r="247" spans="1:50" hidden="1">
      <c r="A247" s="86" t="str">
        <f t="shared" ca="1" si="19"/>
        <v>TSLA</v>
      </c>
      <c r="F247" s="249">
        <v>462.25799999999998</v>
      </c>
      <c r="G247" s="249">
        <v>445.00990000000002</v>
      </c>
      <c r="H247" s="249">
        <v>430.03</v>
      </c>
      <c r="I247" s="249">
        <v>404.35</v>
      </c>
      <c r="J247" s="249">
        <v>401.25</v>
      </c>
      <c r="K247" s="249">
        <v>402.11</v>
      </c>
      <c r="L247" s="249">
        <v>399.14589999999998</v>
      </c>
      <c r="M247" s="249">
        <v>398.29</v>
      </c>
      <c r="N247" s="249">
        <v>423.43</v>
      </c>
      <c r="O247" s="249">
        <v>426.58</v>
      </c>
      <c r="P247" s="249">
        <v>430.17</v>
      </c>
      <c r="Q247" s="249">
        <v>428.44</v>
      </c>
      <c r="R247" s="249">
        <v>429.22</v>
      </c>
      <c r="S247" s="249">
        <v>442.54500000000002</v>
      </c>
      <c r="T247" s="249">
        <v>446.74</v>
      </c>
      <c r="U247" s="249">
        <v>450.06009999999998</v>
      </c>
      <c r="V247" s="249">
        <v>455</v>
      </c>
      <c r="W247" s="249">
        <v>449.7</v>
      </c>
      <c r="X247" s="249">
        <v>451.42599999999999</v>
      </c>
      <c r="Y247" s="249">
        <v>446.86590000000001</v>
      </c>
      <c r="Z247" s="243">
        <f ca="1">[1]ExtEntry!$H45</f>
        <v>446.86590000000001</v>
      </c>
      <c r="AB247" s="258">
        <v>-2.4635136904761911E-3</v>
      </c>
      <c r="AC247" s="258">
        <v>-4.9927559523809523E-4</v>
      </c>
      <c r="AD247" s="258">
        <v>-3.5180553571428578E-3</v>
      </c>
      <c r="AE247" s="258">
        <v>-2.9245434523809529E-3</v>
      </c>
      <c r="AF247" s="258">
        <v>-6.1439244047619048E-3</v>
      </c>
      <c r="AG247" s="258">
        <v>-7.8000851190476199E-3</v>
      </c>
      <c r="AH247" s="258">
        <v>-3.8730434523809509E-3</v>
      </c>
      <c r="AI247" s="258">
        <v>-1.1756148809523802E-3</v>
      </c>
      <c r="AJ247" s="258">
        <v>2.2488142857142865E-3</v>
      </c>
      <c r="AK247" s="258">
        <v>4.7394630952380945E-3</v>
      </c>
      <c r="AL247" s="258">
        <v>5.8594809523809521E-3</v>
      </c>
      <c r="AM247" s="258">
        <v>4.8069571428571434E-3</v>
      </c>
      <c r="AN247" s="258">
        <v>7.318052380952381E-3</v>
      </c>
      <c r="AO247" s="258">
        <v>6.1480583333333328E-3</v>
      </c>
      <c r="AP247" s="258">
        <v>7.1686773809523808E-3</v>
      </c>
      <c r="AQ247" s="258">
        <v>7.0586059523809527E-3</v>
      </c>
      <c r="AR247" s="258">
        <v>5.1290107142857155E-3</v>
      </c>
      <c r="AS247" s="258">
        <v>3.5334869047619045E-3</v>
      </c>
      <c r="AT247" s="258">
        <v>5.1080940476190481E-3</v>
      </c>
      <c r="AU247" s="258">
        <v>4.2197726190476188E-3</v>
      </c>
      <c r="AV247" s="258">
        <f t="shared" ca="1" si="18"/>
        <v>-4.3363809523809548E-4</v>
      </c>
      <c r="AX247" s="86" t="str">
        <f t="shared" ca="1" si="20"/>
        <v>TSLA</v>
      </c>
    </row>
    <row r="248" spans="1:50" hidden="1">
      <c r="A248" s="86" t="str">
        <f t="shared" ca="1" si="19"/>
        <v>TSM</v>
      </c>
      <c r="F248" s="249">
        <v>293.95</v>
      </c>
      <c r="G248" s="249">
        <v>289.43</v>
      </c>
      <c r="H248" s="249">
        <v>285.85000000000002</v>
      </c>
      <c r="I248" s="249">
        <v>284.87</v>
      </c>
      <c r="J248" s="249">
        <v>278.01</v>
      </c>
      <c r="K248" s="249">
        <v>279.49</v>
      </c>
      <c r="L248" s="249">
        <v>280.05</v>
      </c>
      <c r="M248" s="249">
        <v>276.64</v>
      </c>
      <c r="N248" s="249">
        <v>291.72000000000003</v>
      </c>
      <c r="O248" s="249">
        <v>289.97500000000002</v>
      </c>
      <c r="P248" s="249">
        <v>291.5</v>
      </c>
      <c r="Q248" s="249">
        <v>290.35000000000002</v>
      </c>
      <c r="R248" s="249">
        <v>292.315</v>
      </c>
      <c r="S248" s="249">
        <v>293.77999999999997</v>
      </c>
      <c r="T248" s="249">
        <v>295.49</v>
      </c>
      <c r="U248" s="249">
        <v>292.38</v>
      </c>
      <c r="V248" s="249">
        <v>294.68</v>
      </c>
      <c r="W248" s="249">
        <v>302.64999999999998</v>
      </c>
      <c r="X248" s="249">
        <v>310.14</v>
      </c>
      <c r="Y248" s="249">
        <v>304.92</v>
      </c>
      <c r="Z248" s="243">
        <f ca="1">[1]ExtEntry!$H46</f>
        <v>304.92</v>
      </c>
      <c r="AB248" s="261">
        <v>-4.7346845238095247E-3</v>
      </c>
      <c r="AC248" s="261">
        <v>-8.9130476190476191E-3</v>
      </c>
      <c r="AD248" s="261">
        <v>-5.629238095238096E-3</v>
      </c>
      <c r="AE248" s="261">
        <v>-8.9893452380952234E-4</v>
      </c>
      <c r="AF248" s="261">
        <v>-5.5039226190476184E-3</v>
      </c>
      <c r="AG248" s="261">
        <v>-4.6632738095238099E-3</v>
      </c>
      <c r="AH248" s="261">
        <v>-1.6305773809523801E-3</v>
      </c>
      <c r="AI248" s="261">
        <v>-1.8452499999999988E-3</v>
      </c>
      <c r="AJ248" s="261">
        <v>1.6752083333333341E-3</v>
      </c>
      <c r="AK248" s="261">
        <v>1.044717261904762E-2</v>
      </c>
      <c r="AL248" s="261">
        <v>8.1413095238095246E-3</v>
      </c>
      <c r="AM248" s="261">
        <v>1.0435136904761905E-2</v>
      </c>
      <c r="AN248" s="261">
        <v>1.0559369047619047E-2</v>
      </c>
      <c r="AO248" s="261">
        <v>1.1877119047619046E-2</v>
      </c>
      <c r="AP248" s="261">
        <v>1.0695994047619046E-2</v>
      </c>
      <c r="AQ248" s="261">
        <v>9.6190773809523792E-3</v>
      </c>
      <c r="AR248" s="261">
        <v>3.7336190476190464E-3</v>
      </c>
      <c r="AS248" s="261">
        <v>5.9426666666666664E-3</v>
      </c>
      <c r="AT248" s="261">
        <v>3.8787738095238094E-3</v>
      </c>
      <c r="AU248" s="261">
        <v>2.7483809523809518E-3</v>
      </c>
      <c r="AV248" s="258">
        <f t="shared" ca="1" si="18"/>
        <v>4.9561309523809532E-3</v>
      </c>
      <c r="AX248" s="86" t="str">
        <f t="shared" ca="1" si="20"/>
        <v>TSM</v>
      </c>
    </row>
    <row r="249" spans="1:50" hidden="1">
      <c r="A249" s="86" t="str">
        <f t="shared" ca="1" si="19"/>
        <v>UN0</v>
      </c>
      <c r="F249" s="249">
        <v>29.5</v>
      </c>
      <c r="G249" s="249">
        <v>27.95</v>
      </c>
      <c r="H249" s="249">
        <v>28.5</v>
      </c>
      <c r="I249" s="249">
        <v>28.6</v>
      </c>
      <c r="J249" s="249">
        <v>29.55</v>
      </c>
      <c r="K249" s="249">
        <v>30.25</v>
      </c>
      <c r="L249" s="249">
        <v>30.2</v>
      </c>
      <c r="M249" s="249">
        <v>30</v>
      </c>
      <c r="N249" s="249">
        <v>33.25</v>
      </c>
      <c r="O249" s="249">
        <v>34.1</v>
      </c>
      <c r="P249" s="249">
        <v>34.299999999999997</v>
      </c>
      <c r="Q249" s="249">
        <v>34.25</v>
      </c>
      <c r="R249" s="249">
        <v>33.5</v>
      </c>
      <c r="S249" s="249">
        <v>33.65</v>
      </c>
      <c r="T249" s="249">
        <v>33.65</v>
      </c>
      <c r="U249" s="249">
        <v>34.1</v>
      </c>
      <c r="V249" s="249">
        <v>34</v>
      </c>
      <c r="W249" s="249">
        <v>38</v>
      </c>
      <c r="X249" s="249">
        <v>38.049999999999997</v>
      </c>
      <c r="Y249" s="249">
        <v>37.75</v>
      </c>
      <c r="Z249" s="243">
        <f ca="1">[1]ExtEntry!$H47</f>
        <v>37.75</v>
      </c>
      <c r="AB249" s="258">
        <v>1.4053571428571426E-2</v>
      </c>
      <c r="AC249" s="258">
        <v>1.3585976190476192E-2</v>
      </c>
      <c r="AD249" s="258">
        <v>1.0946124999999999E-2</v>
      </c>
      <c r="AE249" s="258">
        <v>1.0727994047619049E-2</v>
      </c>
      <c r="AF249" s="258">
        <v>3.7231309523809517E-3</v>
      </c>
      <c r="AG249" s="258">
        <v>3.6845595238095222E-3</v>
      </c>
      <c r="AH249" s="258">
        <v>2.648880952380952E-3</v>
      </c>
      <c r="AI249" s="258">
        <v>3.7354404761904755E-3</v>
      </c>
      <c r="AJ249" s="258">
        <v>-3.7212500000000093E-4</v>
      </c>
      <c r="AK249" s="258">
        <v>2.5527797619047613E-3</v>
      </c>
      <c r="AL249" s="258">
        <v>-2.4621309523809535E-3</v>
      </c>
      <c r="AM249" s="258">
        <v>-7.3508214285714297E-3</v>
      </c>
      <c r="AN249" s="258">
        <v>-2.3422440476190496E-3</v>
      </c>
      <c r="AO249" s="258">
        <v>2.6518214285714287E-3</v>
      </c>
      <c r="AP249" s="258">
        <v>1.6455416666666684E-3</v>
      </c>
      <c r="AQ249" s="258">
        <v>7.9377976190476117E-4</v>
      </c>
      <c r="AR249" s="258">
        <v>-2.7791785714285713E-3</v>
      </c>
      <c r="AS249" s="258">
        <v>-2.6863035714285721E-3</v>
      </c>
      <c r="AT249" s="258">
        <v>-1.9041607142857141E-3</v>
      </c>
      <c r="AU249" s="258">
        <v>2.4874107142857128E-3</v>
      </c>
      <c r="AV249" s="258">
        <f t="shared" ca="1" si="18"/>
        <v>4.624874999999997E-3</v>
      </c>
      <c r="AX249" s="86" t="str">
        <f t="shared" ca="1" si="20"/>
        <v>UN0</v>
      </c>
    </row>
    <row r="250" spans="1:50" hidden="1">
      <c r="A250" s="86" t="str">
        <f t="shared" ca="1" si="19"/>
        <v>UNIT</v>
      </c>
      <c r="F250" s="249">
        <v>6.4</v>
      </c>
      <c r="G250" s="249">
        <v>6.2350000000000003</v>
      </c>
      <c r="H250" s="249">
        <v>6.5650000000000004</v>
      </c>
      <c r="I250" s="249">
        <v>6.28</v>
      </c>
      <c r="J250" s="249">
        <v>6.15</v>
      </c>
      <c r="K250" s="249">
        <v>5.915</v>
      </c>
      <c r="L250" s="249">
        <v>6.01</v>
      </c>
      <c r="M250" s="249">
        <v>6.0250000000000004</v>
      </c>
      <c r="N250" s="249">
        <v>6.415</v>
      </c>
      <c r="O250" s="249">
        <v>6.31</v>
      </c>
      <c r="P250" s="249">
        <v>6.37</v>
      </c>
      <c r="Q250" s="249">
        <v>6.42</v>
      </c>
      <c r="R250" s="249">
        <v>6.6150000000000002</v>
      </c>
      <c r="S250" s="249">
        <v>6.6749999999999998</v>
      </c>
      <c r="T250" s="249">
        <v>6.66</v>
      </c>
      <c r="U250" s="249">
        <v>6.7050000000000001</v>
      </c>
      <c r="V250" s="249">
        <v>6.39</v>
      </c>
      <c r="W250" s="249">
        <v>6.4450000000000003</v>
      </c>
      <c r="X250" s="249">
        <v>6.75</v>
      </c>
      <c r="Y250" s="249">
        <v>7.24</v>
      </c>
      <c r="Z250" s="243">
        <f ca="1">[1]ExtEntry!$H48</f>
        <v>7.24</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hidden="1">
      <c r="A251" s="86" t="str">
        <f t="shared" ca="1" si="19"/>
        <v>VLVLY</v>
      </c>
      <c r="F251" s="249">
        <v>27.5806</v>
      </c>
      <c r="G251" s="249">
        <v>27.36</v>
      </c>
      <c r="H251" s="249">
        <v>27.416499999999999</v>
      </c>
      <c r="I251" s="249">
        <v>28.04</v>
      </c>
      <c r="J251" s="249">
        <v>27.61</v>
      </c>
      <c r="K251" s="249">
        <v>28.004999999999999</v>
      </c>
      <c r="L251" s="249">
        <v>27.49</v>
      </c>
      <c r="M251" s="249">
        <v>28.29</v>
      </c>
      <c r="N251" s="249">
        <v>29.789899999999999</v>
      </c>
      <c r="O251" s="249">
        <v>29.8</v>
      </c>
      <c r="P251" s="249">
        <v>29.96</v>
      </c>
      <c r="Q251" s="249">
        <v>29.954999999999998</v>
      </c>
      <c r="R251" s="249">
        <v>29.96</v>
      </c>
      <c r="S251" s="249">
        <v>29.68</v>
      </c>
      <c r="T251" s="249">
        <v>29.89</v>
      </c>
      <c r="U251" s="249">
        <v>30.606000000000002</v>
      </c>
      <c r="V251" s="249">
        <v>31.45</v>
      </c>
      <c r="W251" s="249">
        <v>30.911999999999999</v>
      </c>
      <c r="X251" s="249">
        <v>31.36</v>
      </c>
      <c r="Y251" s="249">
        <v>32.045000000000002</v>
      </c>
      <c r="Z251" s="243">
        <f ca="1">[1]ExtEntry!$H49</f>
        <v>32.045000000000002</v>
      </c>
      <c r="AB251" s="258">
        <v>4.9664166666666659E-3</v>
      </c>
      <c r="AC251" s="258">
        <v>5.5406190476190477E-3</v>
      </c>
      <c r="AD251" s="258">
        <v>3.6492738095238106E-3</v>
      </c>
      <c r="AE251" s="258">
        <v>1.7037678571428581E-3</v>
      </c>
      <c r="AF251" s="258">
        <v>-2.9543452380950989E-5</v>
      </c>
      <c r="AG251" s="258">
        <v>5.0180178571428602E-4</v>
      </c>
      <c r="AH251" s="258">
        <v>1.8674821428571464E-4</v>
      </c>
      <c r="AI251" s="258">
        <v>4.2659386904761913E-3</v>
      </c>
      <c r="AJ251" s="258">
        <v>1.4624505952380955E-3</v>
      </c>
      <c r="AK251" s="258">
        <v>3.5054208333333342E-3</v>
      </c>
      <c r="AL251" s="258">
        <v>2.0556964285714215E-4</v>
      </c>
      <c r="AM251" s="258">
        <v>2.9653690476190478E-3</v>
      </c>
      <c r="AN251" s="258">
        <v>3.6656375E-3</v>
      </c>
      <c r="AO251" s="258">
        <v>8.6731607142857088E-4</v>
      </c>
      <c r="AP251" s="258">
        <v>3.0258279761904766E-3</v>
      </c>
      <c r="AQ251" s="258">
        <v>9.8623869047618964E-4</v>
      </c>
      <c r="AR251" s="258">
        <v>2.9387327380952389E-3</v>
      </c>
      <c r="AS251" s="258">
        <v>1.2637029761904755E-3</v>
      </c>
      <c r="AT251" s="258">
        <v>1.6327863095238091E-3</v>
      </c>
      <c r="AU251" s="258">
        <v>2.9489285714285694E-3</v>
      </c>
      <c r="AV251" s="258">
        <f t="shared" ref="AV251:AV298" ca="1" si="21">AVERAGE(S750:Z750)-AVERAGE(F750:Z750)</f>
        <v>3.5917261904761886E-3</v>
      </c>
      <c r="AX251" s="86" t="str">
        <f t="shared" ca="1" si="20"/>
        <v>VLVLY</v>
      </c>
    </row>
    <row r="252" spans="1:50" hidden="1">
      <c r="A252" s="86" t="str">
        <f t="shared" ca="1" si="19"/>
        <v>VONN</v>
      </c>
      <c r="F252" s="249">
        <v>59.1</v>
      </c>
      <c r="G252" s="249">
        <v>58.2</v>
      </c>
      <c r="H252" s="249">
        <v>58.3</v>
      </c>
      <c r="I252" s="249">
        <v>60</v>
      </c>
      <c r="J252" s="249">
        <v>58.7</v>
      </c>
      <c r="K252" s="249">
        <v>59.2</v>
      </c>
      <c r="L252" s="249">
        <v>59.8</v>
      </c>
      <c r="M252" s="249">
        <v>59.5</v>
      </c>
      <c r="N252" s="249">
        <v>60</v>
      </c>
      <c r="O252" s="249">
        <v>60.6</v>
      </c>
      <c r="P252" s="249">
        <v>60.7</v>
      </c>
      <c r="Q252" s="249">
        <v>60.9</v>
      </c>
      <c r="R252" s="249">
        <v>61.1</v>
      </c>
      <c r="S252" s="249">
        <v>60.3</v>
      </c>
      <c r="T252" s="249">
        <v>60.5</v>
      </c>
      <c r="U252" s="249">
        <v>61.1</v>
      </c>
      <c r="V252" s="249">
        <v>61.2</v>
      </c>
      <c r="W252" s="249">
        <v>61.3</v>
      </c>
      <c r="X252" s="249">
        <v>60.8</v>
      </c>
      <c r="Y252" s="249">
        <v>61.1</v>
      </c>
      <c r="Z252" s="243">
        <f ca="1">[1]ExtEntry!$H50</f>
        <v>61.1</v>
      </c>
      <c r="AB252" s="261">
        <v>1.8276666666666665E-3</v>
      </c>
      <c r="AC252" s="261">
        <v>-2.4403392857142848E-3</v>
      </c>
      <c r="AD252" s="261">
        <v>-3.9657738095238088E-3</v>
      </c>
      <c r="AE252" s="261">
        <v>-4.3970059523809517E-3</v>
      </c>
      <c r="AF252" s="261">
        <v>-4.0909464285714282E-3</v>
      </c>
      <c r="AG252" s="261">
        <v>-2.2407619047619038E-3</v>
      </c>
      <c r="AH252" s="261">
        <v>-3.2227678571428563E-3</v>
      </c>
      <c r="AI252" s="261">
        <v>-1.9976845238095231E-3</v>
      </c>
      <c r="AJ252" s="261">
        <v>-1.1083154761904756E-3</v>
      </c>
      <c r="AK252" s="261">
        <v>1.252565476190477E-3</v>
      </c>
      <c r="AL252" s="261">
        <v>5.2844642857142934E-4</v>
      </c>
      <c r="AM252" s="261">
        <v>1.2793809523809524E-3</v>
      </c>
      <c r="AN252" s="261">
        <v>1.4238392857142865E-3</v>
      </c>
      <c r="AO252" s="261">
        <v>8.5826785714285714E-4</v>
      </c>
      <c r="AP252" s="261">
        <v>1.2946428571428587E-4</v>
      </c>
      <c r="AQ252" s="261">
        <v>2.155738095238096E-3</v>
      </c>
      <c r="AR252" s="261">
        <v>1.3878928571428579E-3</v>
      </c>
      <c r="AS252" s="261">
        <v>6.0226190476190622E-5</v>
      </c>
      <c r="AT252" s="261">
        <v>-1.3996964285714285E-3</v>
      </c>
      <c r="AU252" s="261">
        <v>-8.7605952380952385E-4</v>
      </c>
      <c r="AV252" s="258">
        <f t="shared" ca="1" si="21"/>
        <v>-1.4593809523809525E-3</v>
      </c>
      <c r="AX252" s="86" t="str">
        <f t="shared" ca="1" si="20"/>
        <v>VONN</v>
      </c>
    </row>
    <row r="253" spans="1:50" hidden="1">
      <c r="A253" s="86" t="str">
        <f t="shared" ca="1" si="19"/>
        <v>VTRS</v>
      </c>
      <c r="F253" s="249">
        <v>10.75</v>
      </c>
      <c r="G253" s="249">
        <v>10.195</v>
      </c>
      <c r="H253" s="249">
        <v>10.074999999999999</v>
      </c>
      <c r="I253" s="249">
        <v>10.72</v>
      </c>
      <c r="J253" s="249">
        <v>10.71</v>
      </c>
      <c r="K253" s="249">
        <v>10.545</v>
      </c>
      <c r="L253" s="249">
        <v>10.225</v>
      </c>
      <c r="M253" s="249">
        <v>10.455</v>
      </c>
      <c r="N253" s="249">
        <v>10.66</v>
      </c>
      <c r="O253" s="249">
        <v>10.64</v>
      </c>
      <c r="P253" s="249">
        <v>10.69</v>
      </c>
      <c r="Q253" s="249">
        <v>10.744999999999999</v>
      </c>
      <c r="R253" s="249">
        <v>10.715</v>
      </c>
      <c r="S253" s="249">
        <v>10.87</v>
      </c>
      <c r="T253" s="249">
        <v>10.84</v>
      </c>
      <c r="U253" s="249">
        <v>10.734999999999999</v>
      </c>
      <c r="V253" s="249">
        <v>10.93</v>
      </c>
      <c r="W253" s="249">
        <v>11.234999999999999</v>
      </c>
      <c r="X253" s="249">
        <v>11.6</v>
      </c>
      <c r="Y253" s="249">
        <v>11.59</v>
      </c>
      <c r="Z253" s="243">
        <f ca="1">[1]ExtEntry!$H51</f>
        <v>11.59</v>
      </c>
      <c r="AB253" s="258">
        <v>-1.0797511904761894E-3</v>
      </c>
      <c r="AC253" s="258">
        <v>-4.9385904761904756E-3</v>
      </c>
      <c r="AD253" s="258">
        <v>-3.9587238095238099E-3</v>
      </c>
      <c r="AE253" s="258">
        <v>-6.5896464285714277E-3</v>
      </c>
      <c r="AF253" s="258">
        <v>-6.9765809523809515E-3</v>
      </c>
      <c r="AG253" s="258">
        <v>-6.5136880952380944E-3</v>
      </c>
      <c r="AH253" s="258">
        <v>-8.7609142857142854E-3</v>
      </c>
      <c r="AI253" s="258">
        <v>-6.4698476190476195E-3</v>
      </c>
      <c r="AJ253" s="258">
        <v>-8.6194904761904747E-3</v>
      </c>
      <c r="AK253" s="258">
        <v>-1.007180952380952E-3</v>
      </c>
      <c r="AL253" s="258">
        <v>1.1922976190476117E-4</v>
      </c>
      <c r="AM253" s="258">
        <v>3.3497535714285711E-3</v>
      </c>
      <c r="AN253" s="258">
        <v>3.2414678571428567E-3</v>
      </c>
      <c r="AO253" s="258">
        <v>6.4148785714285717E-3</v>
      </c>
      <c r="AP253" s="258">
        <v>1.0254170238095236E-2</v>
      </c>
      <c r="AQ253" s="258">
        <v>5.7964797619047617E-3</v>
      </c>
      <c r="AR253" s="258">
        <v>6.0200333333333333E-3</v>
      </c>
      <c r="AS253" s="258">
        <v>6.4068369047619042E-3</v>
      </c>
      <c r="AT253" s="258">
        <v>8.0606047619047622E-3</v>
      </c>
      <c r="AU253" s="258">
        <v>7.7680553571428555E-3</v>
      </c>
      <c r="AV253" s="258">
        <f t="shared" ca="1" si="21"/>
        <v>7.5487047619047613E-3</v>
      </c>
      <c r="AX253" s="86" t="str">
        <f t="shared" ca="1" si="20"/>
        <v>VTRS</v>
      </c>
    </row>
    <row r="254" spans="1:50" hidden="1">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hidden="1">
      <c r="A255" s="86" t="str">
        <f t="shared" ca="1" si="19"/>
        <v>XOM</v>
      </c>
      <c r="F255" s="249">
        <v>113.71</v>
      </c>
      <c r="G255" s="249">
        <v>114.89</v>
      </c>
      <c r="H255" s="249">
        <v>117.39</v>
      </c>
      <c r="I255" s="249">
        <v>119.28</v>
      </c>
      <c r="J255" s="249">
        <v>119.03</v>
      </c>
      <c r="K255" s="249">
        <v>117.58</v>
      </c>
      <c r="L255" s="249">
        <v>116.92</v>
      </c>
      <c r="M255" s="249">
        <v>117.11</v>
      </c>
      <c r="N255" s="249">
        <v>115.40089999999999</v>
      </c>
      <c r="O255" s="249">
        <v>114.77</v>
      </c>
      <c r="P255" s="249">
        <v>115.97</v>
      </c>
      <c r="Q255" s="249">
        <v>117.29</v>
      </c>
      <c r="R255" s="249">
        <v>115.435</v>
      </c>
      <c r="S255" s="249">
        <v>116.9105</v>
      </c>
      <c r="T255" s="249">
        <v>117.825</v>
      </c>
      <c r="U255" s="249">
        <v>117.43</v>
      </c>
      <c r="V255" s="249">
        <v>116.52</v>
      </c>
      <c r="W255" s="249">
        <v>119.315</v>
      </c>
      <c r="X255" s="249">
        <v>119.52500000000001</v>
      </c>
      <c r="Y255" s="249">
        <v>119.55</v>
      </c>
      <c r="Z255" s="243">
        <f ca="1">[1]ExtEntry!$H53</f>
        <v>119.55</v>
      </c>
      <c r="AB255" s="258">
        <v>-1.2482857142857141E-3</v>
      </c>
      <c r="AC255" s="258">
        <v>-1.8240833333333334E-3</v>
      </c>
      <c r="AD255" s="258">
        <v>-1.2013904761904765E-3</v>
      </c>
      <c r="AE255" s="258">
        <v>3.3923452380952342E-4</v>
      </c>
      <c r="AF255" s="258">
        <v>1.4587738095238074E-4</v>
      </c>
      <c r="AG255" s="258">
        <v>-2.8997380952381063E-4</v>
      </c>
      <c r="AH255" s="258">
        <v>1.9607999999999995E-3</v>
      </c>
      <c r="AI255" s="258">
        <v>1.6818886904761904E-3</v>
      </c>
      <c r="AJ255" s="258">
        <v>2.5364065476190488E-3</v>
      </c>
      <c r="AK255" s="258">
        <v>9.6778154761904822E-4</v>
      </c>
      <c r="AL255" s="258">
        <v>-6.8950416666666665E-4</v>
      </c>
      <c r="AM255" s="258">
        <v>-1.1912303571428558E-3</v>
      </c>
      <c r="AN255" s="258">
        <v>-3.4180755952380928E-3</v>
      </c>
      <c r="AO255" s="258">
        <v>-1.5438690476190543E-5</v>
      </c>
      <c r="AP255" s="258">
        <v>2.9357696428571429E-3</v>
      </c>
      <c r="AQ255" s="258">
        <v>3.1113404761904766E-3</v>
      </c>
      <c r="AR255" s="258">
        <v>1.4911202380952391E-3</v>
      </c>
      <c r="AS255" s="258">
        <v>3.6675726190476196E-3</v>
      </c>
      <c r="AT255" s="258">
        <v>2.8252273809523821E-3</v>
      </c>
      <c r="AU255" s="258">
        <v>6.3473601190476396E-4</v>
      </c>
      <c r="AV255" s="258">
        <f t="shared" ca="1" si="21"/>
        <v>2.0621970238095273E-3</v>
      </c>
      <c r="AX255" s="86" t="str">
        <f t="shared" ca="1" si="20"/>
        <v>XOM</v>
      </c>
    </row>
    <row r="256" spans="1:50" hidden="1">
      <c r="A256" s="86" t="str">
        <f t="shared" ca="1" si="19"/>
        <v>XPER</v>
      </c>
      <c r="F256" s="249">
        <v>6.74</v>
      </c>
      <c r="G256" s="249">
        <v>6.89</v>
      </c>
      <c r="H256" s="249">
        <v>6.5984999999999996</v>
      </c>
      <c r="I256" s="249">
        <v>6.19</v>
      </c>
      <c r="J256" s="249">
        <v>5.82</v>
      </c>
      <c r="K256" s="249">
        <v>5.69</v>
      </c>
      <c r="L256" s="249">
        <v>5.5149999999999997</v>
      </c>
      <c r="M256" s="249">
        <v>5.67</v>
      </c>
      <c r="N256" s="249">
        <v>5.7149999999999999</v>
      </c>
      <c r="O256" s="249">
        <v>5.74</v>
      </c>
      <c r="P256" s="249">
        <v>5.79</v>
      </c>
      <c r="Q256" s="249">
        <v>5.7201000000000004</v>
      </c>
      <c r="R256" s="249">
        <v>5.86</v>
      </c>
      <c r="S256" s="249">
        <v>5.83</v>
      </c>
      <c r="T256" s="249">
        <v>6</v>
      </c>
      <c r="U256" s="249">
        <v>5.9</v>
      </c>
      <c r="V256" s="249">
        <v>6.02</v>
      </c>
      <c r="W256" s="249">
        <v>6.1449999999999996</v>
      </c>
      <c r="X256" s="249">
        <v>6.25</v>
      </c>
      <c r="Y256" s="249">
        <v>6.16</v>
      </c>
      <c r="Z256" s="243">
        <f ca="1">[1]ExtEntry!$H54</f>
        <v>6.16</v>
      </c>
      <c r="AB256" s="261">
        <v>-1.6838273809523809E-3</v>
      </c>
      <c r="AC256" s="261">
        <v>5.2707083333333338E-3</v>
      </c>
      <c r="AD256" s="261">
        <v>-1.0088154761904757E-3</v>
      </c>
      <c r="AE256" s="261">
        <v>-3.4385238095238089E-3</v>
      </c>
      <c r="AF256" s="261">
        <v>-4.2636666666666656E-3</v>
      </c>
      <c r="AG256" s="261">
        <v>-7.444339285714285E-3</v>
      </c>
      <c r="AH256" s="261">
        <v>-6.2145059523809523E-3</v>
      </c>
      <c r="AI256" s="261">
        <v>2.9326488095238095E-3</v>
      </c>
      <c r="AJ256" s="261">
        <v>-3.8336898809523809E-3</v>
      </c>
      <c r="AK256" s="261">
        <v>-6.4907672619047632E-3</v>
      </c>
      <c r="AL256" s="261">
        <v>-1.6561779761904759E-3</v>
      </c>
      <c r="AM256" s="261">
        <v>4.5657797619047796E-4</v>
      </c>
      <c r="AN256" s="261">
        <v>5.9186732142857143E-3</v>
      </c>
      <c r="AO256" s="261">
        <v>7.0331791666666662E-3</v>
      </c>
      <c r="AP256" s="261">
        <v>1.0308179166666665E-2</v>
      </c>
      <c r="AQ256" s="261">
        <v>4.1697863095238085E-3</v>
      </c>
      <c r="AR256" s="261">
        <v>6.6140500000000015E-3</v>
      </c>
      <c r="AS256" s="261">
        <v>6.8284547619047618E-3</v>
      </c>
      <c r="AT256" s="261">
        <v>7.7149369047619046E-3</v>
      </c>
      <c r="AU256" s="261">
        <v>7.6801095238095245E-3</v>
      </c>
      <c r="AV256" s="258">
        <f t="shared" ca="1" si="21"/>
        <v>1.4336928571428583E-3</v>
      </c>
      <c r="AX256" s="86" t="str">
        <f t="shared" ca="1" si="20"/>
        <v>XPER</v>
      </c>
    </row>
    <row r="257" spans="1:50" hidden="1">
      <c r="A257" s="86" t="str">
        <f t="shared" ca="1" si="19"/>
        <v>MVEALDNE</v>
      </c>
      <c r="F257" s="249">
        <v>0.79</v>
      </c>
      <c r="G257" s="249">
        <v>0.78200000000000003</v>
      </c>
      <c r="H257" s="249">
        <v>0.78</v>
      </c>
      <c r="I257" s="249">
        <v>0.66600000000000004</v>
      </c>
      <c r="J257" s="249">
        <v>0.67</v>
      </c>
      <c r="K257" s="249">
        <v>0.68799999999999994</v>
      </c>
      <c r="L257" s="249">
        <v>0.66800000000000004</v>
      </c>
      <c r="M257" s="249">
        <v>0.65600000000000003</v>
      </c>
      <c r="N257" s="249">
        <v>0.64600000000000002</v>
      </c>
      <c r="O257" s="249">
        <v>0.62</v>
      </c>
      <c r="P257" s="249">
        <v>0.60399999999999998</v>
      </c>
      <c r="Q257" s="249">
        <v>0.61799999999999999</v>
      </c>
      <c r="R257" s="249">
        <v>0.62</v>
      </c>
      <c r="S257" s="249">
        <v>0.628</v>
      </c>
      <c r="T257" s="249">
        <v>0.626</v>
      </c>
      <c r="U257" s="249">
        <v>0.62</v>
      </c>
      <c r="V257" s="249">
        <v>0.62</v>
      </c>
      <c r="W257" s="249">
        <v>0.59</v>
      </c>
      <c r="X257" s="249">
        <v>0.59799999999999998</v>
      </c>
      <c r="Y257" s="249">
        <v>0.55000000000000004</v>
      </c>
      <c r="Z257" s="243">
        <f ca="1">[1]ExtEntry!$H55</f>
        <v>0.55000000000000004</v>
      </c>
      <c r="AB257" s="258">
        <v>2.4464464285714285E-3</v>
      </c>
      <c r="AC257" s="258">
        <v>4.7333333333333147E-5</v>
      </c>
      <c r="AD257" s="258">
        <v>1.4701785714285717E-4</v>
      </c>
      <c r="AE257" s="258">
        <v>-4.8869821428571426E-3</v>
      </c>
      <c r="AF257" s="258">
        <v>-4.8143214285714282E-3</v>
      </c>
      <c r="AG257" s="258">
        <v>-4.2095595238095234E-3</v>
      </c>
      <c r="AH257" s="258">
        <v>-1.0275773809523808E-2</v>
      </c>
      <c r="AI257" s="258">
        <v>-1.123567857142857E-2</v>
      </c>
      <c r="AJ257" s="258">
        <v>-1.3990059523809524E-2</v>
      </c>
      <c r="AK257" s="258">
        <v>-1.6293232142857144E-2</v>
      </c>
      <c r="AL257" s="258">
        <v>-1.7970375E-2</v>
      </c>
      <c r="AM257" s="258">
        <v>-7.3754761904761892E-3</v>
      </c>
      <c r="AN257" s="258">
        <v>-4.7061071428571404E-3</v>
      </c>
      <c r="AO257" s="258">
        <v>-4.6045714285714284E-3</v>
      </c>
      <c r="AP257" s="258">
        <v>3.5170833333333408E-4</v>
      </c>
      <c r="AQ257" s="258">
        <v>1.7421309523809533E-3</v>
      </c>
      <c r="AR257" s="258">
        <v>4.8139761904761914E-3</v>
      </c>
      <c r="AS257" s="258">
        <v>9.383785714285716E-3</v>
      </c>
      <c r="AT257" s="258">
        <v>1.3775172619047621E-2</v>
      </c>
      <c r="AU257" s="258">
        <v>6.1205833333333355E-3</v>
      </c>
      <c r="AV257" s="258">
        <f t="shared" ca="1" si="21"/>
        <v>-6.157023809523765E-4</v>
      </c>
      <c r="AX257" s="86" t="str">
        <f t="shared" ca="1" si="20"/>
        <v>MVEALDNE</v>
      </c>
    </row>
    <row r="258" spans="1:50" hidden="1">
      <c r="A258" s="86" t="str">
        <f t="shared" ca="1" si="19"/>
        <v>MVEDDD</v>
      </c>
      <c r="F258" s="249">
        <v>2.6</v>
      </c>
      <c r="G258" s="249">
        <v>2.2650000000000001</v>
      </c>
      <c r="H258" s="249">
        <v>2.2250000000000001</v>
      </c>
      <c r="I258" s="249">
        <v>2.16</v>
      </c>
      <c r="J258" s="249">
        <v>2.08</v>
      </c>
      <c r="K258" s="249">
        <v>2.0449999999999999</v>
      </c>
      <c r="L258" s="249">
        <v>1.88</v>
      </c>
      <c r="M258" s="249">
        <v>1.9450000000000001</v>
      </c>
      <c r="N258" s="249">
        <v>2.0350000000000001</v>
      </c>
      <c r="O258" s="249">
        <v>2.0499999999999998</v>
      </c>
      <c r="P258" s="249">
        <v>2.08</v>
      </c>
      <c r="Q258" s="249">
        <v>2.0049999999999999</v>
      </c>
      <c r="R258" s="249">
        <v>2.0499999999999998</v>
      </c>
      <c r="S258" s="249">
        <v>2.0750000000000002</v>
      </c>
      <c r="T258" s="249">
        <v>2.2000000000000002</v>
      </c>
      <c r="U258" s="249">
        <v>2.2250000000000001</v>
      </c>
      <c r="V258" s="249">
        <v>2.16</v>
      </c>
      <c r="W258" s="249">
        <v>1.7649999999999999</v>
      </c>
      <c r="X258" s="249">
        <v>1.77</v>
      </c>
      <c r="Y258" s="249">
        <v>1.9650000000000001</v>
      </c>
      <c r="Z258" s="243">
        <f ca="1">[1]ExtEntry!$H56</f>
        <v>1.9650000000000001</v>
      </c>
      <c r="AB258" s="261">
        <v>-1.9585124999999998E-2</v>
      </c>
      <c r="AC258" s="261">
        <v>-1.3616595238095238E-2</v>
      </c>
      <c r="AD258" s="261">
        <v>-1.7701511904761907E-2</v>
      </c>
      <c r="AE258" s="261">
        <v>-1.7935428571428571E-2</v>
      </c>
      <c r="AF258" s="261">
        <v>-1.647607142857143E-2</v>
      </c>
      <c r="AG258" s="261">
        <v>-2.3604928571428575E-2</v>
      </c>
      <c r="AH258" s="261">
        <v>-1.5224678571428577E-2</v>
      </c>
      <c r="AI258" s="261">
        <v>-5.0986190476190497E-3</v>
      </c>
      <c r="AJ258" s="261">
        <v>-9.4140476190476483E-4</v>
      </c>
      <c r="AK258" s="261">
        <v>1.6167910714285715E-2</v>
      </c>
      <c r="AL258" s="261">
        <v>1.6883023809523806E-2</v>
      </c>
      <c r="AM258" s="261">
        <v>2.4428154761904762E-2</v>
      </c>
      <c r="AN258" s="261">
        <v>2.1197630952380943E-2</v>
      </c>
      <c r="AO258" s="261">
        <v>1.9345440476190474E-2</v>
      </c>
      <c r="AP258" s="261">
        <v>2.6444440476190476E-2</v>
      </c>
      <c r="AQ258" s="261">
        <v>2.2984583333333333E-2</v>
      </c>
      <c r="AR258" s="261">
        <v>1.9656809523809521E-2</v>
      </c>
      <c r="AS258" s="261">
        <v>3.7035178571428601E-3</v>
      </c>
      <c r="AT258" s="261">
        <v>3.1914226190476215E-3</v>
      </c>
      <c r="AU258" s="261">
        <v>1.2923321428571426E-2</v>
      </c>
      <c r="AV258" s="258">
        <f t="shared" ca="1" si="21"/>
        <v>1.5473065476190479E-2</v>
      </c>
      <c r="AX258" s="86" t="str">
        <f t="shared" ca="1" si="20"/>
        <v>MVEDDD</v>
      </c>
    </row>
    <row r="259" spans="1:50" hidden="1">
      <c r="A259" s="86" t="str">
        <f t="shared" ca="1" si="19"/>
        <v>MVEDSY</v>
      </c>
      <c r="F259" s="249">
        <v>23.98</v>
      </c>
      <c r="G259" s="249">
        <v>23.26</v>
      </c>
      <c r="H259" s="249">
        <v>23.34</v>
      </c>
      <c r="I259" s="249">
        <v>23.99</v>
      </c>
      <c r="J259" s="249">
        <v>23.17</v>
      </c>
      <c r="K259" s="249">
        <v>23.38</v>
      </c>
      <c r="L259" s="249">
        <v>23.32</v>
      </c>
      <c r="M259" s="249">
        <v>23.49</v>
      </c>
      <c r="N259" s="249">
        <v>24.15</v>
      </c>
      <c r="O259" s="249">
        <v>24.15</v>
      </c>
      <c r="P259" s="249">
        <v>24.11</v>
      </c>
      <c r="Q259" s="249">
        <v>23.85</v>
      </c>
      <c r="R259" s="249">
        <v>23.42</v>
      </c>
      <c r="S259" s="249">
        <v>23.41</v>
      </c>
      <c r="T259" s="249">
        <v>23.41</v>
      </c>
      <c r="U259" s="249">
        <v>23.76</v>
      </c>
      <c r="V259" s="249">
        <v>23.78</v>
      </c>
      <c r="W259" s="249">
        <v>23.35</v>
      </c>
      <c r="X259" s="249">
        <v>23.02</v>
      </c>
      <c r="Y259" s="249">
        <v>23.13</v>
      </c>
      <c r="Z259" s="243">
        <f ca="1">[1]ExtEntry!$H57</f>
        <v>23.13</v>
      </c>
      <c r="AB259" s="258">
        <v>-1.1366054166666665E-2</v>
      </c>
      <c r="AC259" s="258">
        <v>-1.2616518452380951E-2</v>
      </c>
      <c r="AD259" s="258">
        <v>-3.687750595238095E-3</v>
      </c>
      <c r="AE259" s="258">
        <v>-2.433208928571429E-3</v>
      </c>
      <c r="AF259" s="258">
        <v>-8.3940654761904647E-4</v>
      </c>
      <c r="AG259" s="258">
        <v>2.700498214285715E-3</v>
      </c>
      <c r="AH259" s="258">
        <v>2.9179785714285728E-3</v>
      </c>
      <c r="AI259" s="258">
        <v>4.3637523809523827E-3</v>
      </c>
      <c r="AJ259" s="258">
        <v>6.1796214285714324E-3</v>
      </c>
      <c r="AK259" s="258">
        <v>1.0757175000000002E-2</v>
      </c>
      <c r="AL259" s="258">
        <v>1.0118109523809525E-2</v>
      </c>
      <c r="AM259" s="258">
        <v>1.1252377380952382E-2</v>
      </c>
      <c r="AN259" s="258">
        <v>1.0694725E-2</v>
      </c>
      <c r="AO259" s="258">
        <v>9.3472309523809534E-3</v>
      </c>
      <c r="AP259" s="258">
        <v>9.3989869047619058E-3</v>
      </c>
      <c r="AQ259" s="258">
        <v>3.4630404761904765E-3</v>
      </c>
      <c r="AR259" s="258">
        <v>1.5921678571428569E-3</v>
      </c>
      <c r="AS259" s="258">
        <v>5.4651309523809496E-4</v>
      </c>
      <c r="AT259" s="258">
        <v>-1.1646833333333328E-3</v>
      </c>
      <c r="AU259" s="258">
        <v>5.9186666666666667E-4</v>
      </c>
      <c r="AV259" s="258">
        <f t="shared" ca="1" si="21"/>
        <v>2.5896940476190481E-3</v>
      </c>
      <c r="AX259" s="86" t="str">
        <f t="shared" ca="1" si="20"/>
        <v>MVEDSY</v>
      </c>
    </row>
    <row r="260" spans="1:50" hidden="1">
      <c r="A260" s="86" t="str">
        <f t="shared" ca="1" si="19"/>
        <v>MVEEOAN</v>
      </c>
      <c r="F260" s="249">
        <v>16.05</v>
      </c>
      <c r="G260" s="249">
        <v>16.079999999999998</v>
      </c>
      <c r="H260" s="249">
        <v>16.105</v>
      </c>
      <c r="I260" s="249">
        <v>15.244999999999999</v>
      </c>
      <c r="J260" s="249">
        <v>15.23</v>
      </c>
      <c r="K260" s="249">
        <v>15.3</v>
      </c>
      <c r="L260" s="249">
        <v>15.4</v>
      </c>
      <c r="M260" s="249">
        <v>15.53</v>
      </c>
      <c r="N260" s="249">
        <v>15.455</v>
      </c>
      <c r="O260" s="249">
        <v>15.31</v>
      </c>
      <c r="P260" s="249">
        <v>15.324999999999999</v>
      </c>
      <c r="Q260" s="249">
        <v>15.22</v>
      </c>
      <c r="R260" s="249">
        <v>15.285</v>
      </c>
      <c r="S260" s="249">
        <v>15.74</v>
      </c>
      <c r="T260" s="249">
        <v>15.86</v>
      </c>
      <c r="U260" s="249">
        <v>15.59</v>
      </c>
      <c r="V260" s="249">
        <v>15.435</v>
      </c>
      <c r="W260" s="249">
        <v>15.585000000000001</v>
      </c>
      <c r="X260" s="249">
        <v>15.55</v>
      </c>
      <c r="Y260" s="249">
        <v>15.035</v>
      </c>
      <c r="Z260" s="243">
        <f ca="1">[1]ExtEntry!$H58</f>
        <v>15.035</v>
      </c>
      <c r="AB260" s="261">
        <v>-1.0348321428571429E-3</v>
      </c>
      <c r="AC260" s="261">
        <v>1.6112988095238097E-3</v>
      </c>
      <c r="AD260" s="261">
        <v>2.7817273809523811E-3</v>
      </c>
      <c r="AE260" s="261">
        <v>2.4497511904761904E-3</v>
      </c>
      <c r="AF260" s="261">
        <v>1.6077630952380949E-3</v>
      </c>
      <c r="AG260" s="261">
        <v>2.9454761904761887E-4</v>
      </c>
      <c r="AH260" s="261">
        <v>1.7466845238095236E-3</v>
      </c>
      <c r="AI260" s="261">
        <v>4.0687619047619049E-3</v>
      </c>
      <c r="AJ260" s="261">
        <v>1.570547619047619E-3</v>
      </c>
      <c r="AK260" s="261">
        <v>7.5788690476190444E-4</v>
      </c>
      <c r="AL260" s="261">
        <v>6.9794880952380952E-4</v>
      </c>
      <c r="AM260" s="261">
        <v>4.4248452380952379E-4</v>
      </c>
      <c r="AN260" s="261">
        <v>1.5098297619047622E-3</v>
      </c>
      <c r="AO260" s="261">
        <v>3.3682107142857139E-3</v>
      </c>
      <c r="AP260" s="261">
        <v>4.6911095238095233E-3</v>
      </c>
      <c r="AQ260" s="261">
        <v>1.8817464285714285E-3</v>
      </c>
      <c r="AR260" s="261">
        <v>7.4130595238095258E-4</v>
      </c>
      <c r="AS260" s="261">
        <v>2.3418892857142862E-3</v>
      </c>
      <c r="AT260" s="261">
        <v>2.4250928571428578E-3</v>
      </c>
      <c r="AU260" s="261">
        <v>5.7276547619047641E-4</v>
      </c>
      <c r="AV260" s="258">
        <f t="shared" ca="1" si="21"/>
        <v>-3.0176035714285718E-3</v>
      </c>
      <c r="AX260" s="86" t="str">
        <f t="shared" ca="1" si="20"/>
        <v>MVEEOAN</v>
      </c>
    </row>
    <row r="261" spans="1:50" hidden="1">
      <c r="A261" s="86" t="str">
        <f t="shared" ca="1" si="19"/>
        <v>MVEENI</v>
      </c>
      <c r="F261" s="249">
        <v>15.968</v>
      </c>
      <c r="G261" s="249">
        <v>15.948</v>
      </c>
      <c r="H261" s="249">
        <v>15.932</v>
      </c>
      <c r="I261" s="249">
        <v>16.474</v>
      </c>
      <c r="J261" s="249">
        <v>16.36</v>
      </c>
      <c r="K261" s="249">
        <v>16.218</v>
      </c>
      <c r="L261" s="249">
        <v>16.295999999999999</v>
      </c>
      <c r="M261" s="249">
        <v>16.096</v>
      </c>
      <c r="N261" s="249">
        <v>15.986000000000001</v>
      </c>
      <c r="O261" s="249">
        <v>15.93</v>
      </c>
      <c r="P261" s="249">
        <v>16.132000000000001</v>
      </c>
      <c r="Q261" s="249">
        <v>16.178000000000001</v>
      </c>
      <c r="R261" s="249">
        <v>16.187999999999999</v>
      </c>
      <c r="S261" s="249">
        <v>16.308</v>
      </c>
      <c r="T261" s="249">
        <v>16.352</v>
      </c>
      <c r="U261" s="249">
        <v>16.350000000000001</v>
      </c>
      <c r="V261" s="249">
        <v>16.102</v>
      </c>
      <c r="W261" s="249">
        <v>16.108000000000001</v>
      </c>
      <c r="X261" s="249">
        <v>16.013999999999999</v>
      </c>
      <c r="Y261" s="249">
        <v>15.904</v>
      </c>
      <c r="Z261" s="243">
        <f ca="1">[1]ExtEntry!$H59</f>
        <v>15.904</v>
      </c>
      <c r="AB261" s="258">
        <v>3.9327499999999996E-3</v>
      </c>
      <c r="AC261" s="258">
        <v>2.0358392857142858E-3</v>
      </c>
      <c r="AD261" s="258">
        <v>-1.6351011904761899E-3</v>
      </c>
      <c r="AE261" s="258">
        <v>-3.2133952380952384E-3</v>
      </c>
      <c r="AF261" s="258">
        <v>-3.621377380952381E-3</v>
      </c>
      <c r="AG261" s="258">
        <v>-4.2580083333333338E-3</v>
      </c>
      <c r="AH261" s="258">
        <v>-3.4996749999999998E-3</v>
      </c>
      <c r="AI261" s="258">
        <v>-4.9853416666666662E-3</v>
      </c>
      <c r="AJ261" s="258">
        <v>-3.8597166666666663E-3</v>
      </c>
      <c r="AK261" s="258">
        <v>-3.8318238095238094E-3</v>
      </c>
      <c r="AL261" s="258">
        <v>-2.4737345238095231E-3</v>
      </c>
      <c r="AM261" s="258">
        <v>-2.2719797619047614E-3</v>
      </c>
      <c r="AN261" s="258">
        <v>-2.3769660714285713E-3</v>
      </c>
      <c r="AO261" s="258">
        <v>-2.2368035714285736E-4</v>
      </c>
      <c r="AP261" s="258">
        <v>6.8142678571428417E-4</v>
      </c>
      <c r="AQ261" s="258">
        <v>3.6542309523809524E-3</v>
      </c>
      <c r="AR261" s="258">
        <v>8.0495119047619052E-4</v>
      </c>
      <c r="AS261" s="258">
        <v>1.7541892857142849E-3</v>
      </c>
      <c r="AT261" s="258">
        <v>-4.4969166666666643E-4</v>
      </c>
      <c r="AU261" s="258">
        <v>-1.4628821428571423E-3</v>
      </c>
      <c r="AV261" s="258">
        <f t="shared" ca="1" si="21"/>
        <v>-2.1970553571428568E-3</v>
      </c>
      <c r="AX261" s="86" t="str">
        <f t="shared" ca="1" si="20"/>
        <v>MVEENI</v>
      </c>
    </row>
    <row r="262" spans="1:50" hidden="1">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4.9367142857142847E-3</v>
      </c>
      <c r="AC262" s="261">
        <v>2.4615714285714284E-3</v>
      </c>
      <c r="AD262" s="261">
        <v>2.6481428571428567E-3</v>
      </c>
      <c r="AE262" s="261">
        <v>1.7654285714285712E-3</v>
      </c>
      <c r="AF262" s="261">
        <v>8.8271428571428561E-4</v>
      </c>
      <c r="AG262" s="261">
        <v>0</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hidden="1">
      <c r="A263" s="86" t="str">
        <f t="shared" ca="1" si="19"/>
        <v>MVEGLE</v>
      </c>
      <c r="F263" s="249">
        <v>54.64</v>
      </c>
      <c r="G263" s="249">
        <v>55.8</v>
      </c>
      <c r="H263" s="249">
        <v>54.64</v>
      </c>
      <c r="I263" s="249">
        <v>57.98</v>
      </c>
      <c r="J263" s="249">
        <v>56.18</v>
      </c>
      <c r="K263" s="249">
        <v>56.82</v>
      </c>
      <c r="L263" s="249">
        <v>57.42</v>
      </c>
      <c r="M263" s="249">
        <v>56.54</v>
      </c>
      <c r="N263" s="249">
        <v>59.5</v>
      </c>
      <c r="O263" s="249">
        <v>59.9</v>
      </c>
      <c r="P263" s="249">
        <v>59.94</v>
      </c>
      <c r="Q263" s="249">
        <v>59.72</v>
      </c>
      <c r="R263" s="249">
        <v>61.06</v>
      </c>
      <c r="S263" s="249">
        <v>60.64</v>
      </c>
      <c r="T263" s="249">
        <v>60.52</v>
      </c>
      <c r="U263" s="249">
        <v>62.5</v>
      </c>
      <c r="V263" s="249">
        <v>61.54</v>
      </c>
      <c r="W263" s="249">
        <v>62.9</v>
      </c>
      <c r="X263" s="249">
        <v>63.48</v>
      </c>
      <c r="Y263" s="249">
        <v>64.36</v>
      </c>
      <c r="Z263" s="243">
        <f ca="1">[1]ExtEntry!$H61</f>
        <v>64.36</v>
      </c>
      <c r="AB263" s="258">
        <v>-9.597916666666663E-4</v>
      </c>
      <c r="AC263" s="258">
        <v>1.2477559523809524E-3</v>
      </c>
      <c r="AD263" s="258">
        <v>-2.3879523809523812E-3</v>
      </c>
      <c r="AE263" s="258">
        <v>-3.1640238095238088E-3</v>
      </c>
      <c r="AF263" s="258">
        <v>-3.4413452380952386E-3</v>
      </c>
      <c r="AG263" s="258">
        <v>-4.6197797619047607E-3</v>
      </c>
      <c r="AH263" s="258">
        <v>5.3135119047619081E-4</v>
      </c>
      <c r="AI263" s="258">
        <v>9.0866666666666786E-4</v>
      </c>
      <c r="AJ263" s="258">
        <v>2.8314047619047624E-3</v>
      </c>
      <c r="AK263" s="258">
        <v>1.520696428571429E-3</v>
      </c>
      <c r="AL263" s="258">
        <v>1.7445678571428574E-3</v>
      </c>
      <c r="AM263" s="258">
        <v>3.385686904761904E-3</v>
      </c>
      <c r="AN263" s="258">
        <v>5.8937702380952384E-3</v>
      </c>
      <c r="AO263" s="258">
        <v>4.3939011904761899E-3</v>
      </c>
      <c r="AP263" s="258">
        <v>2.1744011904761902E-3</v>
      </c>
      <c r="AQ263" s="258">
        <v>7.2521273809523805E-3</v>
      </c>
      <c r="AR263" s="258">
        <v>3.5795380952380949E-3</v>
      </c>
      <c r="AS263" s="258">
        <v>3.0141809523809523E-3</v>
      </c>
      <c r="AT263" s="258">
        <v>4.2305690476190476E-3</v>
      </c>
      <c r="AU263" s="258">
        <v>4.0638607142857129E-3</v>
      </c>
      <c r="AV263" s="258">
        <f t="shared" ca="1" si="21"/>
        <v>2.1753190476190465E-3</v>
      </c>
      <c r="AX263" s="86" t="str">
        <f t="shared" ca="1" si="20"/>
        <v>MVEGLE</v>
      </c>
    </row>
    <row r="264" spans="1:50" hidden="1">
      <c r="A264" s="86" t="str">
        <f t="shared" ca="1" si="19"/>
        <v>MVEORA</v>
      </c>
      <c r="F264" s="249">
        <v>13.715</v>
      </c>
      <c r="G264" s="249">
        <v>13.94</v>
      </c>
      <c r="H264" s="249">
        <v>14.164999999999999</v>
      </c>
      <c r="I264" s="249">
        <v>14.02</v>
      </c>
      <c r="J264" s="249">
        <v>13.69</v>
      </c>
      <c r="K264" s="249">
        <v>13.78</v>
      </c>
      <c r="L264" s="249">
        <v>13.66</v>
      </c>
      <c r="M264" s="249">
        <v>13.945</v>
      </c>
      <c r="N264" s="249">
        <v>14.08</v>
      </c>
      <c r="O264" s="249">
        <v>14.1</v>
      </c>
      <c r="P264" s="249">
        <v>14.19</v>
      </c>
      <c r="Q264" s="249">
        <v>14.145</v>
      </c>
      <c r="R264" s="249">
        <v>14.07</v>
      </c>
      <c r="S264" s="249">
        <v>14.065</v>
      </c>
      <c r="T264" s="249">
        <v>14.085000000000001</v>
      </c>
      <c r="U264" s="249">
        <v>14.03</v>
      </c>
      <c r="V264" s="249">
        <v>13.74</v>
      </c>
      <c r="W264" s="249">
        <v>13.715</v>
      </c>
      <c r="X264" s="249">
        <v>13.664999999999999</v>
      </c>
      <c r="Y264" s="249">
        <v>13.734999999999999</v>
      </c>
      <c r="Z264" s="243">
        <f ca="1">[1]ExtEntry!$H62</f>
        <v>13.734999999999999</v>
      </c>
      <c r="AB264" s="261">
        <v>-3.6300238095238091E-3</v>
      </c>
      <c r="AC264" s="261">
        <v>-2.6302678571428579E-3</v>
      </c>
      <c r="AD264" s="261">
        <v>-1.9836785714285724E-3</v>
      </c>
      <c r="AE264" s="261">
        <v>-9.9529166666666646E-4</v>
      </c>
      <c r="AF264" s="261">
        <v>-1.2587202380952383E-3</v>
      </c>
      <c r="AG264" s="261">
        <v>-2.5472321428571419E-3</v>
      </c>
      <c r="AH264" s="261">
        <v>-5.0576845238095233E-3</v>
      </c>
      <c r="AI264" s="261">
        <v>-1.6837023809523803E-3</v>
      </c>
      <c r="AJ264" s="261">
        <v>4.3137500000000066E-4</v>
      </c>
      <c r="AK264" s="261">
        <v>-1.2715119047619046E-3</v>
      </c>
      <c r="AL264" s="261">
        <v>-1.9500238095238088E-3</v>
      </c>
      <c r="AM264" s="261">
        <v>-7.2607142857143247E-5</v>
      </c>
      <c r="AN264" s="261">
        <v>3.4848214285714283E-3</v>
      </c>
      <c r="AO264" s="261">
        <v>4.8836416666666665E-3</v>
      </c>
      <c r="AP264" s="261">
        <v>5.8692011904761905E-3</v>
      </c>
      <c r="AQ264" s="261">
        <v>3.229790476190477E-3</v>
      </c>
      <c r="AR264" s="261">
        <v>-3.7798809523809389E-5</v>
      </c>
      <c r="AS264" s="261">
        <v>-4.2655416666666625E-4</v>
      </c>
      <c r="AT264" s="261">
        <v>-1.3690363095238099E-3</v>
      </c>
      <c r="AU264" s="261">
        <v>-9.014345238095192E-5</v>
      </c>
      <c r="AV264" s="258">
        <f t="shared" ca="1" si="21"/>
        <v>-2.2062863095238102E-3</v>
      </c>
      <c r="AX264" s="86" t="str">
        <f t="shared" ca="1" si="20"/>
        <v>MVEORA</v>
      </c>
    </row>
    <row r="265" spans="1:50" hidden="1">
      <c r="A265" s="86" t="str">
        <f t="shared" ca="1" si="19"/>
        <v>MVERWE</v>
      </c>
      <c r="F265" s="249">
        <v>42.61</v>
      </c>
      <c r="G265" s="249">
        <v>43.12</v>
      </c>
      <c r="H265" s="249">
        <v>42.91</v>
      </c>
      <c r="I265" s="249">
        <v>45.33</v>
      </c>
      <c r="J265" s="249">
        <v>44.28</v>
      </c>
      <c r="K265" s="249">
        <v>43.73</v>
      </c>
      <c r="L265" s="249">
        <v>44.92</v>
      </c>
      <c r="M265" s="249">
        <v>44.33</v>
      </c>
      <c r="N265" s="249">
        <v>44.26</v>
      </c>
      <c r="O265" s="249">
        <v>43.52</v>
      </c>
      <c r="P265" s="249">
        <v>43.72</v>
      </c>
      <c r="Q265" s="249">
        <v>43.36</v>
      </c>
      <c r="R265" s="249">
        <v>43.3</v>
      </c>
      <c r="S265" s="249">
        <v>44.11</v>
      </c>
      <c r="T265" s="249">
        <v>43.56</v>
      </c>
      <c r="U265" s="249">
        <v>43.46</v>
      </c>
      <c r="V265" s="249">
        <v>42.94</v>
      </c>
      <c r="W265" s="249">
        <v>43.69</v>
      </c>
      <c r="X265" s="249">
        <v>43.49</v>
      </c>
      <c r="Y265" s="249">
        <v>43.29</v>
      </c>
      <c r="Z265" s="243">
        <f ca="1">[1]ExtEntry!$H63</f>
        <v>43.29</v>
      </c>
      <c r="AB265" s="258">
        <v>1.0359601190476197E-3</v>
      </c>
      <c r="AC265" s="258">
        <v>3.0889720238095244E-3</v>
      </c>
      <c r="AD265" s="258">
        <v>3.3776922619047625E-3</v>
      </c>
      <c r="AE265" s="258">
        <v>2.5625791666666672E-3</v>
      </c>
      <c r="AF265" s="258">
        <v>1.5076797619047618E-3</v>
      </c>
      <c r="AG265" s="258">
        <v>-1.562790476190476E-3</v>
      </c>
      <c r="AH265" s="258">
        <v>-9.9442738095238095E-4</v>
      </c>
      <c r="AI265" s="258">
        <v>-1.0239690476190478E-3</v>
      </c>
      <c r="AJ265" s="258">
        <v>-3.219690476190481E-4</v>
      </c>
      <c r="AK265" s="258">
        <v>-2.3993499999999997E-3</v>
      </c>
      <c r="AL265" s="258">
        <v>-1.8898202380952384E-3</v>
      </c>
      <c r="AM265" s="258">
        <v>-2.3044809523809526E-3</v>
      </c>
      <c r="AN265" s="258">
        <v>-1.7367726190476189E-3</v>
      </c>
      <c r="AO265" s="258">
        <v>2.0470250000000001E-3</v>
      </c>
      <c r="AP265" s="258">
        <v>-7.4507023809523799E-4</v>
      </c>
      <c r="AQ265" s="258">
        <v>3.2116190476190508E-4</v>
      </c>
      <c r="AR265" s="258">
        <v>-2.1406952380952386E-3</v>
      </c>
      <c r="AS265" s="258">
        <v>9.0476190476190496E-4</v>
      </c>
      <c r="AT265" s="258">
        <v>9.1734523809523739E-4</v>
      </c>
      <c r="AU265" s="258">
        <v>2.3562440476190476E-3</v>
      </c>
      <c r="AV265" s="258">
        <f t="shared" ca="1" si="21"/>
        <v>1.4885595238095242E-3</v>
      </c>
      <c r="AX265" s="86" t="str">
        <f t="shared" ca="1" si="20"/>
        <v>MVERWE</v>
      </c>
    </row>
    <row r="266" spans="1:50" hidden="1">
      <c r="A266" s="86" t="str">
        <f t="shared" ca="1" si="19"/>
        <v>MVESAP</v>
      </c>
      <c r="F266" s="249">
        <v>227.95</v>
      </c>
      <c r="G266" s="249">
        <v>217.95</v>
      </c>
      <c r="H266" s="249">
        <v>215.65</v>
      </c>
      <c r="I266" s="249">
        <v>211.1</v>
      </c>
      <c r="J266" s="249">
        <v>205.35</v>
      </c>
      <c r="K266" s="249">
        <v>205.5</v>
      </c>
      <c r="L266" s="249">
        <v>206.6</v>
      </c>
      <c r="M266" s="249">
        <v>205</v>
      </c>
      <c r="N266" s="249">
        <v>206.7</v>
      </c>
      <c r="O266" s="249">
        <v>207</v>
      </c>
      <c r="P266" s="249">
        <v>208.55</v>
      </c>
      <c r="Q266" s="249">
        <v>208.9</v>
      </c>
      <c r="R266" s="249">
        <v>207.85</v>
      </c>
      <c r="S266" s="249">
        <v>207.25</v>
      </c>
      <c r="T266" s="249">
        <v>206.5</v>
      </c>
      <c r="U266" s="249">
        <v>210.15</v>
      </c>
      <c r="V266" s="249">
        <v>213.25</v>
      </c>
      <c r="W266" s="249">
        <v>210</v>
      </c>
      <c r="X266" s="249">
        <v>210.95</v>
      </c>
      <c r="Y266" s="249">
        <v>209.3</v>
      </c>
      <c r="Z266" s="243">
        <f ca="1">[1]ExtEntry!$H64</f>
        <v>209.3</v>
      </c>
      <c r="AB266" s="261">
        <v>-3.9604464285714286E-3</v>
      </c>
      <c r="AC266" s="261">
        <v>-5.909291666666666E-3</v>
      </c>
      <c r="AD266" s="261">
        <v>-8.7448452380952373E-3</v>
      </c>
      <c r="AE266" s="261">
        <v>-6.3145773809523808E-3</v>
      </c>
      <c r="AF266" s="261">
        <v>-7.3726011904761916E-3</v>
      </c>
      <c r="AG266" s="261">
        <v>-6.5065267857142856E-3</v>
      </c>
      <c r="AH266" s="261">
        <v>-6.78048511904762E-3</v>
      </c>
      <c r="AI266" s="261">
        <v>-5.5828244047619038E-3</v>
      </c>
      <c r="AJ266" s="261">
        <v>-5.6276696428571435E-3</v>
      </c>
      <c r="AK266" s="261">
        <v>-2.3509821428571373E-4</v>
      </c>
      <c r="AL266" s="261">
        <v>1.2040267857142874E-3</v>
      </c>
      <c r="AM266" s="261">
        <v>6.9230803571428585E-3</v>
      </c>
      <c r="AN266" s="261">
        <v>6.8934017857142857E-3</v>
      </c>
      <c r="AO266" s="261">
        <v>5.8755000000000005E-3</v>
      </c>
      <c r="AP266" s="261">
        <v>4.0005952380952397E-3</v>
      </c>
      <c r="AQ266" s="261">
        <v>7.3718095238095253E-3</v>
      </c>
      <c r="AR266" s="261">
        <v>5.6822857142857161E-3</v>
      </c>
      <c r="AS266" s="261">
        <v>5.9130297619047634E-3</v>
      </c>
      <c r="AT266" s="261">
        <v>5.0339583333333347E-3</v>
      </c>
      <c r="AU266" s="261">
        <v>4.5479821428571444E-3</v>
      </c>
      <c r="AV266" s="258">
        <f t="shared" ca="1" si="21"/>
        <v>3.988339285714286E-3</v>
      </c>
      <c r="AX266" s="86" t="str">
        <f t="shared" ca="1" si="20"/>
        <v>MVESAP</v>
      </c>
    </row>
    <row r="267" spans="1:50" hidden="1">
      <c r="A267" s="86" t="str">
        <f t="shared" ca="1" si="19"/>
        <v>MVEUN0</v>
      </c>
      <c r="F267" s="249">
        <v>29.5</v>
      </c>
      <c r="G267" s="249">
        <v>27.95</v>
      </c>
      <c r="H267" s="249">
        <v>28.5</v>
      </c>
      <c r="I267" s="249">
        <v>28.6</v>
      </c>
      <c r="J267" s="249">
        <v>29.55</v>
      </c>
      <c r="K267" s="249">
        <v>30.25</v>
      </c>
      <c r="L267" s="249">
        <v>30.2</v>
      </c>
      <c r="M267" s="249">
        <v>30</v>
      </c>
      <c r="N267" s="249">
        <v>33.25</v>
      </c>
      <c r="O267" s="249">
        <v>34.1</v>
      </c>
      <c r="P267" s="249">
        <v>34.299999999999997</v>
      </c>
      <c r="Q267" s="249">
        <v>34.25</v>
      </c>
      <c r="R267" s="249">
        <v>33.5</v>
      </c>
      <c r="S267" s="249">
        <v>33.65</v>
      </c>
      <c r="T267" s="249">
        <v>33.65</v>
      </c>
      <c r="U267" s="249">
        <v>34.1</v>
      </c>
      <c r="V267" s="249">
        <v>34</v>
      </c>
      <c r="W267" s="249">
        <v>38</v>
      </c>
      <c r="X267" s="249">
        <v>38.049999999999997</v>
      </c>
      <c r="Y267" s="249">
        <v>37.75</v>
      </c>
      <c r="Z267" s="243">
        <f ca="1">[1]ExtEntry!$H65</f>
        <v>37.75</v>
      </c>
      <c r="AB267" s="258">
        <v>-4.7346845238095247E-3</v>
      </c>
      <c r="AC267" s="258">
        <v>-8.9130476190476191E-3</v>
      </c>
      <c r="AD267" s="258">
        <v>-5.629238095238096E-3</v>
      </c>
      <c r="AE267" s="258">
        <v>-8.9893452380952234E-4</v>
      </c>
      <c r="AF267" s="258">
        <v>-5.5039226190476184E-3</v>
      </c>
      <c r="AG267" s="258">
        <v>-4.6632738095238099E-3</v>
      </c>
      <c r="AH267" s="258">
        <v>-1.6305773809523801E-3</v>
      </c>
      <c r="AI267" s="258">
        <v>-1.8452499999999988E-3</v>
      </c>
      <c r="AJ267" s="258">
        <v>1.6752083333333341E-3</v>
      </c>
      <c r="AK267" s="258">
        <v>1.044717261904762E-2</v>
      </c>
      <c r="AL267" s="258">
        <v>8.1413095238095246E-3</v>
      </c>
      <c r="AM267" s="258">
        <v>1.0435136904761905E-2</v>
      </c>
      <c r="AN267" s="258">
        <v>1.0559369047619047E-2</v>
      </c>
      <c r="AO267" s="258">
        <v>1.1877119047619046E-2</v>
      </c>
      <c r="AP267" s="258">
        <v>1.0695994047619046E-2</v>
      </c>
      <c r="AQ267" s="258">
        <v>9.6190773809523792E-3</v>
      </c>
      <c r="AR267" s="258">
        <v>3.7336190476190464E-3</v>
      </c>
      <c r="AS267" s="258">
        <v>5.9426666666666664E-3</v>
      </c>
      <c r="AT267" s="258">
        <v>3.8787738095238094E-3</v>
      </c>
      <c r="AU267" s="258">
        <v>2.7483809523809518E-3</v>
      </c>
      <c r="AV267" s="258">
        <f t="shared" ca="1" si="21"/>
        <v>4.9561309523809532E-3</v>
      </c>
      <c r="AX267" s="86" t="str">
        <f t="shared" ca="1" si="20"/>
        <v>MVEUN0</v>
      </c>
    </row>
    <row r="268" spans="1:50" hidden="1">
      <c r="A268" s="86" t="str">
        <f t="shared" ca="1" si="19"/>
        <v>SAFAAPL</v>
      </c>
      <c r="F268" s="249">
        <v>270.14</v>
      </c>
      <c r="G268" s="249">
        <v>270.5</v>
      </c>
      <c r="H268" s="249">
        <v>267.99700000000001</v>
      </c>
      <c r="I268" s="249">
        <v>272.41000000000003</v>
      </c>
      <c r="J268" s="249">
        <v>267.44</v>
      </c>
      <c r="K268" s="249">
        <v>270.02999999999997</v>
      </c>
      <c r="L268" s="249">
        <v>266.88</v>
      </c>
      <c r="M268" s="249">
        <v>272.04000000000002</v>
      </c>
      <c r="N268" s="249">
        <v>278.06</v>
      </c>
      <c r="O268" s="249">
        <v>277.55</v>
      </c>
      <c r="P268" s="249">
        <v>278.85000000000002</v>
      </c>
      <c r="Q268" s="249">
        <v>280.82</v>
      </c>
      <c r="R268" s="249">
        <v>285.95499999999998</v>
      </c>
      <c r="S268" s="249">
        <v>287.07</v>
      </c>
      <c r="T268" s="249">
        <v>284.14999999999998</v>
      </c>
      <c r="U268" s="249">
        <v>280.11</v>
      </c>
      <c r="V268" s="249">
        <v>278.77999999999997</v>
      </c>
      <c r="W268" s="249">
        <v>277.58</v>
      </c>
      <c r="X268" s="249">
        <v>278.77999999999997</v>
      </c>
      <c r="Y268" s="249">
        <v>278.02999999999997</v>
      </c>
      <c r="Z268" s="243">
        <f ca="1">[1]ExtEntry!$H66</f>
        <v>278.02999999999997</v>
      </c>
      <c r="AB268" s="261">
        <v>1.1526160714285714E-3</v>
      </c>
      <c r="AC268" s="261">
        <v>3.4755744047619045E-3</v>
      </c>
      <c r="AD268" s="261">
        <v>2.3815696428571413E-3</v>
      </c>
      <c r="AE268" s="261">
        <v>9.6159345238095231E-4</v>
      </c>
      <c r="AF268" s="261">
        <v>-2.6348776190476203E-3</v>
      </c>
      <c r="AG268" s="261">
        <v>-2.7156800000000016E-3</v>
      </c>
      <c r="AH268" s="261">
        <v>-3.5236502380952394E-3</v>
      </c>
      <c r="AI268" s="261">
        <v>-2.2750216666666688E-3</v>
      </c>
      <c r="AJ268" s="261">
        <v>-1.7035294047619059E-3</v>
      </c>
      <c r="AK268" s="261">
        <v>-2.0690710714285736E-3</v>
      </c>
      <c r="AL268" s="261">
        <v>4.630988095238181E-5</v>
      </c>
      <c r="AM268" s="261">
        <v>2.7183039285714286E-3</v>
      </c>
      <c r="AN268" s="261">
        <v>3.6042764285714284E-3</v>
      </c>
      <c r="AO268" s="261">
        <v>1.8488657142857147E-3</v>
      </c>
      <c r="AP268" s="261">
        <v>1.2964371428571446E-3</v>
      </c>
      <c r="AQ268" s="261">
        <v>-2.3138247619047597E-3</v>
      </c>
      <c r="AR268" s="261">
        <v>-2.7406045238095233E-3</v>
      </c>
      <c r="AS268" s="261">
        <v>-2.003425952380952E-3</v>
      </c>
      <c r="AT268" s="261">
        <v>-2.1086259523809526E-3</v>
      </c>
      <c r="AU268" s="261">
        <v>-2.8997628571428569E-3</v>
      </c>
      <c r="AV268" s="258">
        <f t="shared" ca="1" si="21"/>
        <v>-4.1951140476190474E-3</v>
      </c>
      <c r="AX268" s="86" t="str">
        <f t="shared" ca="1" si="20"/>
        <v>SAFAAPL</v>
      </c>
    </row>
    <row r="269" spans="1:50" hidden="1">
      <c r="A269" s="86" t="str">
        <f t="shared" ref="A269:A298" ca="1" si="22">A169</f>
        <v>SAFAMZN</v>
      </c>
      <c r="F269" s="249">
        <v>250.2</v>
      </c>
      <c r="G269" s="249">
        <v>243.8064</v>
      </c>
      <c r="H269" s="249">
        <v>244.56</v>
      </c>
      <c r="I269" s="249">
        <v>234.69</v>
      </c>
      <c r="J269" s="249">
        <v>222.55</v>
      </c>
      <c r="K269" s="249">
        <v>221.18199999999999</v>
      </c>
      <c r="L269" s="249">
        <v>218.85</v>
      </c>
      <c r="M269" s="249">
        <v>221.23500000000001</v>
      </c>
      <c r="N269" s="249">
        <v>229.73</v>
      </c>
      <c r="O269" s="249">
        <v>229.16</v>
      </c>
      <c r="P269" s="249">
        <v>233.22</v>
      </c>
      <c r="Q269" s="249">
        <v>235.02</v>
      </c>
      <c r="R269" s="249">
        <v>234.29499999999999</v>
      </c>
      <c r="S269" s="249">
        <v>231.68</v>
      </c>
      <c r="T269" s="249">
        <v>232.38</v>
      </c>
      <c r="U269" s="249">
        <v>227.33670000000001</v>
      </c>
      <c r="V269" s="249">
        <v>229.53</v>
      </c>
      <c r="W269" s="249">
        <v>227.71709999999999</v>
      </c>
      <c r="X269" s="249">
        <v>231.78</v>
      </c>
      <c r="Y269" s="249">
        <v>230.28</v>
      </c>
      <c r="Z269" s="243">
        <f ca="1">[1]ExtEntry!$H67</f>
        <v>230.28</v>
      </c>
      <c r="AB269" s="258">
        <v>-2.9646190476190484E-3</v>
      </c>
      <c r="AC269" s="258">
        <v>-3.2659166666666665E-3</v>
      </c>
      <c r="AD269" s="258">
        <v>-4.393136904761904E-3</v>
      </c>
      <c r="AE269" s="258">
        <v>-6.3597797619047627E-3</v>
      </c>
      <c r="AF269" s="258">
        <v>-1.0795011904761906E-2</v>
      </c>
      <c r="AG269" s="258">
        <v>-1.1993488095238099E-2</v>
      </c>
      <c r="AH269" s="258">
        <v>-8.4753095238095238E-3</v>
      </c>
      <c r="AI269" s="258">
        <v>-5.2630178571428585E-3</v>
      </c>
      <c r="AJ269" s="258">
        <v>-5.9547226190476187E-3</v>
      </c>
      <c r="AK269" s="258">
        <v>-3.1753357142857144E-3</v>
      </c>
      <c r="AL269" s="258">
        <v>-2.903651190476191E-3</v>
      </c>
      <c r="AM269" s="258">
        <v>-1.7020238095238806E-5</v>
      </c>
      <c r="AN269" s="258">
        <v>6.8806880952380963E-3</v>
      </c>
      <c r="AO269" s="258">
        <v>5.8695869047619056E-3</v>
      </c>
      <c r="AP269" s="258">
        <v>6.4766702380952374E-3</v>
      </c>
      <c r="AQ269" s="258">
        <v>3.1259440476190479E-3</v>
      </c>
      <c r="AR269" s="258">
        <v>3.9071333333333342E-3</v>
      </c>
      <c r="AS269" s="258">
        <v>5.0530023809523799E-3</v>
      </c>
      <c r="AT269" s="258">
        <v>4.6272345238095244E-3</v>
      </c>
      <c r="AU269" s="258">
        <v>1.6232940476190493E-3</v>
      </c>
      <c r="AV269" s="258">
        <f t="shared" ca="1" si="21"/>
        <v>-7.0408333333330658E-5</v>
      </c>
      <c r="AX269" s="86" t="str">
        <f t="shared" ref="AX269:AX298" ca="1" si="23">A269</f>
        <v>SAFAMZN</v>
      </c>
    </row>
    <row r="270" spans="1:50" hidden="1">
      <c r="A270" s="86" t="str">
        <f t="shared" ca="1" si="22"/>
        <v>SAFASML</v>
      </c>
      <c r="F270" s="249">
        <v>906.6</v>
      </c>
      <c r="G270" s="249">
        <v>895.3</v>
      </c>
      <c r="H270" s="249">
        <v>870.8</v>
      </c>
      <c r="I270" s="249">
        <v>874.1</v>
      </c>
      <c r="J270" s="249">
        <v>859.4</v>
      </c>
      <c r="K270" s="249">
        <v>886.6</v>
      </c>
      <c r="L270" s="249">
        <v>889.8</v>
      </c>
      <c r="M270" s="249">
        <v>834</v>
      </c>
      <c r="N270" s="249">
        <v>909.3</v>
      </c>
      <c r="O270" s="249">
        <v>897.2</v>
      </c>
      <c r="P270" s="249">
        <v>903.4</v>
      </c>
      <c r="Q270" s="249">
        <v>926.7</v>
      </c>
      <c r="R270" s="249">
        <v>939.1</v>
      </c>
      <c r="S270" s="249">
        <v>956.3</v>
      </c>
      <c r="T270" s="249">
        <v>963.4</v>
      </c>
      <c r="U270" s="249">
        <v>957.3</v>
      </c>
      <c r="V270" s="249">
        <v>951.6</v>
      </c>
      <c r="W270" s="249">
        <v>952.9</v>
      </c>
      <c r="X270" s="249">
        <v>946</v>
      </c>
      <c r="Y270" s="249">
        <v>940.9</v>
      </c>
      <c r="Z270" s="243">
        <f ca="1">[1]ExtEntry!$H68</f>
        <v>940.9</v>
      </c>
      <c r="AB270" s="261">
        <v>1.1684250000000003E-3</v>
      </c>
      <c r="AC270" s="261">
        <v>3.0662107142857154E-3</v>
      </c>
      <c r="AD270" s="261">
        <v>-2.7738666666666666E-3</v>
      </c>
      <c r="AE270" s="261">
        <v>-5.6189797619047629E-3</v>
      </c>
      <c r="AF270" s="261">
        <v>-8.1998190476190499E-3</v>
      </c>
      <c r="AG270" s="261">
        <v>-6.8668654761904774E-3</v>
      </c>
      <c r="AH270" s="261">
        <v>-7.287425000000001E-3</v>
      </c>
      <c r="AI270" s="261">
        <v>-1.0846597619047622E-2</v>
      </c>
      <c r="AJ270" s="261">
        <v>-3.4020083333333329E-3</v>
      </c>
      <c r="AK270" s="261">
        <v>-2.6337166666666675E-3</v>
      </c>
      <c r="AL270" s="261">
        <v>1.2293250000000003E-3</v>
      </c>
      <c r="AM270" s="261">
        <v>5.5414321428571426E-3</v>
      </c>
      <c r="AN270" s="261">
        <v>6.9849083333333338E-3</v>
      </c>
      <c r="AO270" s="261">
        <v>4.3152297619047618E-3</v>
      </c>
      <c r="AP270" s="261">
        <v>4.8121285714285708E-3</v>
      </c>
      <c r="AQ270" s="261">
        <v>1.3124265476190477E-2</v>
      </c>
      <c r="AR270" s="261">
        <v>5.9033428571428565E-3</v>
      </c>
      <c r="AS270" s="261">
        <v>7.4686345238095227E-3</v>
      </c>
      <c r="AT270" s="261">
        <v>6.0918452380952373E-3</v>
      </c>
      <c r="AU270" s="261">
        <v>3.3882857142857143E-3</v>
      </c>
      <c r="AV270" s="258">
        <f t="shared" ca="1" si="21"/>
        <v>8.6164285714285748E-4</v>
      </c>
      <c r="AX270" s="86" t="str">
        <f t="shared" ca="1" si="23"/>
        <v>SAFASML</v>
      </c>
    </row>
    <row r="271" spans="1:50" hidden="1">
      <c r="A271" s="86" t="str">
        <f t="shared" ca="1" si="22"/>
        <v>SAFDDD</v>
      </c>
      <c r="F271" s="249">
        <v>2.6</v>
      </c>
      <c r="G271" s="249">
        <v>2.2650000000000001</v>
      </c>
      <c r="H271" s="249">
        <v>2.2250000000000001</v>
      </c>
      <c r="I271" s="249">
        <v>2.16</v>
      </c>
      <c r="J271" s="249">
        <v>2.08</v>
      </c>
      <c r="K271" s="249">
        <v>2.0449999999999999</v>
      </c>
      <c r="L271" s="249">
        <v>1.88</v>
      </c>
      <c r="M271" s="249">
        <v>1.9450000000000001</v>
      </c>
      <c r="N271" s="249">
        <v>2.0350000000000001</v>
      </c>
      <c r="O271" s="249">
        <v>2.0499999999999998</v>
      </c>
      <c r="P271" s="249">
        <v>2.08</v>
      </c>
      <c r="Q271" s="249">
        <v>2.0049999999999999</v>
      </c>
      <c r="R271" s="249">
        <v>2.0499999999999998</v>
      </c>
      <c r="S271" s="249">
        <v>2.0750000000000002</v>
      </c>
      <c r="T271" s="249">
        <v>2.2000000000000002</v>
      </c>
      <c r="U271" s="249">
        <v>2.2250000000000001</v>
      </c>
      <c r="V271" s="249">
        <v>2.16</v>
      </c>
      <c r="W271" s="249">
        <v>1.7649999999999999</v>
      </c>
      <c r="X271" s="249">
        <v>1.77</v>
      </c>
      <c r="Y271" s="249">
        <v>1.9650000000000001</v>
      </c>
      <c r="Z271" s="243">
        <f ca="1">[1]ExtEntry!$H69</f>
        <v>1.9650000000000001</v>
      </c>
      <c r="AB271" s="258">
        <v>-1.9585124999999998E-2</v>
      </c>
      <c r="AC271" s="258">
        <v>-1.3616595238095238E-2</v>
      </c>
      <c r="AD271" s="258">
        <v>-1.7701511904761907E-2</v>
      </c>
      <c r="AE271" s="258">
        <v>-1.7935428571428571E-2</v>
      </c>
      <c r="AF271" s="258">
        <v>-1.647607142857143E-2</v>
      </c>
      <c r="AG271" s="258">
        <v>-2.3604928571428575E-2</v>
      </c>
      <c r="AH271" s="258">
        <v>-1.5224678571428577E-2</v>
      </c>
      <c r="AI271" s="258">
        <v>-5.0986190476190497E-3</v>
      </c>
      <c r="AJ271" s="258">
        <v>-9.4140476190476483E-4</v>
      </c>
      <c r="AK271" s="258">
        <v>1.6167910714285715E-2</v>
      </c>
      <c r="AL271" s="258">
        <v>1.6883023809523806E-2</v>
      </c>
      <c r="AM271" s="258">
        <v>2.4428154761904762E-2</v>
      </c>
      <c r="AN271" s="258">
        <v>2.1197630952380943E-2</v>
      </c>
      <c r="AO271" s="258">
        <v>1.9345440476190474E-2</v>
      </c>
      <c r="AP271" s="258">
        <v>2.6444440476190476E-2</v>
      </c>
      <c r="AQ271" s="258">
        <v>2.2984583333333333E-2</v>
      </c>
      <c r="AR271" s="258">
        <v>1.9656809523809521E-2</v>
      </c>
      <c r="AS271" s="258">
        <v>3.7035178571428601E-3</v>
      </c>
      <c r="AT271" s="258">
        <v>3.1914226190476215E-3</v>
      </c>
      <c r="AU271" s="258">
        <v>1.2923321428571426E-2</v>
      </c>
      <c r="AV271" s="258">
        <f t="shared" ca="1" si="21"/>
        <v>1.5473065476190479E-2</v>
      </c>
      <c r="AX271" s="86" t="str">
        <f t="shared" ca="1" si="23"/>
        <v>SAFDDD</v>
      </c>
    </row>
    <row r="272" spans="1:50" hidden="1">
      <c r="A272" s="86" t="str">
        <f t="shared" ca="1" si="22"/>
        <v>SAFDIS</v>
      </c>
      <c r="F272" s="249">
        <v>111.34</v>
      </c>
      <c r="G272" s="249">
        <v>110.16</v>
      </c>
      <c r="H272" s="249">
        <v>110.73</v>
      </c>
      <c r="I272" s="249">
        <v>105.8</v>
      </c>
      <c r="J272" s="249">
        <v>106.28</v>
      </c>
      <c r="K272" s="249">
        <v>105.3</v>
      </c>
      <c r="L272" s="249">
        <v>102.87</v>
      </c>
      <c r="M272" s="249">
        <v>104.45</v>
      </c>
      <c r="N272" s="249">
        <v>103.845</v>
      </c>
      <c r="O272" s="249">
        <v>103.43</v>
      </c>
      <c r="P272" s="249">
        <v>104.47</v>
      </c>
      <c r="Q272" s="249">
        <v>106.44</v>
      </c>
      <c r="R272" s="249">
        <v>104.97499999999999</v>
      </c>
      <c r="S272" s="249">
        <v>104.72</v>
      </c>
      <c r="T272" s="249">
        <v>105.73</v>
      </c>
      <c r="U272" s="249">
        <v>104.9701</v>
      </c>
      <c r="V272" s="249">
        <v>105.23</v>
      </c>
      <c r="W272" s="249">
        <v>106.7</v>
      </c>
      <c r="X272" s="249">
        <v>108.83</v>
      </c>
      <c r="Y272" s="249">
        <v>111.48</v>
      </c>
      <c r="Z272" s="243">
        <f ca="1">[1]ExtEntry!$H70</f>
        <v>111.48</v>
      </c>
      <c r="AB272" s="261">
        <v>-2.2099869047619044E-3</v>
      </c>
      <c r="AC272" s="261">
        <v>-1.5828499999999998E-3</v>
      </c>
      <c r="AD272" s="261">
        <v>-1.4244535714285713E-3</v>
      </c>
      <c r="AE272" s="261">
        <v>-1.4928107142857135E-3</v>
      </c>
      <c r="AF272" s="261">
        <v>-2.1490428571428566E-3</v>
      </c>
      <c r="AG272" s="261">
        <v>-2.4944952380952378E-3</v>
      </c>
      <c r="AH272" s="261">
        <v>-5.159751190476191E-3</v>
      </c>
      <c r="AI272" s="261">
        <v>-2.5850785714285713E-3</v>
      </c>
      <c r="AJ272" s="261">
        <v>-1.6809059523809516E-3</v>
      </c>
      <c r="AK272" s="261">
        <v>-1.0176559523809527E-3</v>
      </c>
      <c r="AL272" s="261">
        <v>-1.6870952380952333E-4</v>
      </c>
      <c r="AM272" s="261">
        <v>3.9566297619047621E-3</v>
      </c>
      <c r="AN272" s="261">
        <v>2.9574749999999993E-3</v>
      </c>
      <c r="AO272" s="261">
        <v>3.5289749999999997E-3</v>
      </c>
      <c r="AP272" s="261">
        <v>5.8429630952380957E-3</v>
      </c>
      <c r="AQ272" s="261">
        <v>3.1242857142857149E-3</v>
      </c>
      <c r="AR272" s="261">
        <v>1.7278392857142857E-3</v>
      </c>
      <c r="AS272" s="261">
        <v>1.1825595238095237E-3</v>
      </c>
      <c r="AT272" s="261">
        <v>9.4828571428571444E-4</v>
      </c>
      <c r="AU272" s="261">
        <v>1.1665297619047616E-3</v>
      </c>
      <c r="AV272" s="258">
        <f t="shared" ca="1" si="21"/>
        <v>4.8209702380952379E-3</v>
      </c>
      <c r="AX272" s="86" t="str">
        <f t="shared" ca="1" si="23"/>
        <v>SAFDIS</v>
      </c>
    </row>
    <row r="273" spans="1:50" hidden="1">
      <c r="A273" s="86" t="str">
        <f t="shared" ca="1" si="22"/>
        <v>SAFGM</v>
      </c>
      <c r="F273" s="249">
        <v>68.78</v>
      </c>
      <c r="G273" s="249">
        <v>68.92</v>
      </c>
      <c r="H273" s="249">
        <v>70.66</v>
      </c>
      <c r="I273" s="249">
        <v>70.52</v>
      </c>
      <c r="J273" s="249">
        <v>67.94</v>
      </c>
      <c r="K273" s="249">
        <v>69.114999999999995</v>
      </c>
      <c r="L273" s="249">
        <v>68.327399999999997</v>
      </c>
      <c r="M273" s="249">
        <v>70.23</v>
      </c>
      <c r="N273" s="249">
        <v>73.11</v>
      </c>
      <c r="O273" s="249">
        <v>72.81</v>
      </c>
      <c r="P273" s="249">
        <v>73.52</v>
      </c>
      <c r="Q273" s="249">
        <v>73.585499999999996</v>
      </c>
      <c r="R273" s="249">
        <v>73.605000000000004</v>
      </c>
      <c r="S273" s="249">
        <v>74.305000000000007</v>
      </c>
      <c r="T273" s="249">
        <v>74.69</v>
      </c>
      <c r="U273" s="249">
        <v>76.055000000000007</v>
      </c>
      <c r="V273" s="249">
        <v>76.034999999999997</v>
      </c>
      <c r="W273" s="249">
        <v>76.760000000000005</v>
      </c>
      <c r="X273" s="249">
        <v>80.805000000000007</v>
      </c>
      <c r="Y273" s="249">
        <v>80.844999999999999</v>
      </c>
      <c r="Z273" s="243">
        <f ca="1">[1]ExtEntry!$H71</f>
        <v>80.844999999999999</v>
      </c>
      <c r="AB273" s="258">
        <v>-4.301755952380951E-3</v>
      </c>
      <c r="AC273" s="258">
        <v>-4.8286488095238087E-3</v>
      </c>
      <c r="AD273" s="258">
        <v>-2.6535833333333324E-3</v>
      </c>
      <c r="AE273" s="258">
        <v>-1.0112279761904763E-2</v>
      </c>
      <c r="AF273" s="258">
        <v>-9.9192238095238104E-3</v>
      </c>
      <c r="AG273" s="258">
        <v>-9.8575511904761878E-3</v>
      </c>
      <c r="AH273" s="258">
        <v>-8.9790095238095231E-3</v>
      </c>
      <c r="AI273" s="258">
        <v>-2.8696940476190484E-3</v>
      </c>
      <c r="AJ273" s="258">
        <v>-5.447699999999998E-3</v>
      </c>
      <c r="AK273" s="258">
        <v>-6.0673809523809508E-3</v>
      </c>
      <c r="AL273" s="258">
        <v>-7.7539226190476169E-3</v>
      </c>
      <c r="AM273" s="258">
        <v>-5.5964779761904764E-3</v>
      </c>
      <c r="AN273" s="258">
        <v>2.1120529761904762E-3</v>
      </c>
      <c r="AO273" s="258">
        <v>1.1094339285714289E-3</v>
      </c>
      <c r="AP273" s="258">
        <v>3.0067851190476195E-3</v>
      </c>
      <c r="AQ273" s="258">
        <v>6.1576785714287721E-5</v>
      </c>
      <c r="AR273" s="258">
        <v>2.4252732142857137E-3</v>
      </c>
      <c r="AS273" s="258">
        <v>3.2384684523809508E-3</v>
      </c>
      <c r="AT273" s="258">
        <v>6.0114029761904782E-3</v>
      </c>
      <c r="AU273" s="258">
        <v>5.6193720238095265E-3</v>
      </c>
      <c r="AV273" s="258">
        <f t="shared" ca="1" si="21"/>
        <v>3.6605666666666668E-3</v>
      </c>
      <c r="AX273" s="86" t="str">
        <f t="shared" ca="1" si="23"/>
        <v>SAFGM</v>
      </c>
    </row>
    <row r="274" spans="1:50" hidden="1">
      <c r="A274" s="86" t="str">
        <f t="shared" ca="1" si="22"/>
        <v>SAFIAG</v>
      </c>
      <c r="F274" s="249">
        <v>425.2</v>
      </c>
      <c r="G274" s="249">
        <v>414.1</v>
      </c>
      <c r="H274" s="249">
        <v>366.2</v>
      </c>
      <c r="I274" s="249">
        <v>387.5</v>
      </c>
      <c r="J274" s="249">
        <v>370.38900000000001</v>
      </c>
      <c r="K274" s="249">
        <v>377.6</v>
      </c>
      <c r="L274" s="249">
        <v>382.4</v>
      </c>
      <c r="M274" s="249">
        <v>379.3</v>
      </c>
      <c r="N274" s="249">
        <v>399.2</v>
      </c>
      <c r="O274" s="249">
        <v>396.7</v>
      </c>
      <c r="P274" s="249">
        <v>396.3</v>
      </c>
      <c r="Q274" s="249">
        <v>393.5</v>
      </c>
      <c r="R274" s="249">
        <v>389.3</v>
      </c>
      <c r="S274" s="249">
        <v>392.2</v>
      </c>
      <c r="T274" s="249">
        <v>390.9</v>
      </c>
      <c r="U274" s="249">
        <v>385</v>
      </c>
      <c r="V274" s="249">
        <v>385.7</v>
      </c>
      <c r="W274" s="249">
        <v>387.6</v>
      </c>
      <c r="X274" s="249">
        <v>385.6</v>
      </c>
      <c r="Y274" s="249">
        <v>397.6</v>
      </c>
      <c r="Z274" s="243">
        <f ca="1">[1]ExtEntry!$H72</f>
        <v>397.6</v>
      </c>
      <c r="AB274" s="261">
        <v>2.6551273809523783E-3</v>
      </c>
      <c r="AC274" s="261">
        <v>-2.2566761904761917E-3</v>
      </c>
      <c r="AD274" s="261">
        <v>-1.1253652380952382E-2</v>
      </c>
      <c r="AE274" s="261">
        <v>-1.3631336904761902E-2</v>
      </c>
      <c r="AF274" s="261">
        <v>-1.2084045238095238E-2</v>
      </c>
      <c r="AG274" s="261">
        <v>-1.2229563095238094E-2</v>
      </c>
      <c r="AH274" s="261">
        <v>-1.3307428571428571E-2</v>
      </c>
      <c r="AI274" s="261">
        <v>-1.2496464285714284E-2</v>
      </c>
      <c r="AJ274" s="261">
        <v>-1.174135714285714E-2</v>
      </c>
      <c r="AK274" s="261">
        <v>-9.1031071428571437E-3</v>
      </c>
      <c r="AL274" s="261">
        <v>3.5082559523809528E-3</v>
      </c>
      <c r="AM274" s="261">
        <v>6.1670952380952389E-3</v>
      </c>
      <c r="AN274" s="261">
        <v>5.3833869047619056E-3</v>
      </c>
      <c r="AO274" s="261">
        <v>4.9030178571428593E-3</v>
      </c>
      <c r="AP274" s="261">
        <v>4.6961488095238115E-3</v>
      </c>
      <c r="AQ274" s="261">
        <v>4.6480416666666666E-3</v>
      </c>
      <c r="AR274" s="261">
        <v>2.9995654761904769E-3</v>
      </c>
      <c r="AS274" s="261">
        <v>3.0282500000000023E-3</v>
      </c>
      <c r="AT274" s="261">
        <v>3.1040119047619046E-3</v>
      </c>
      <c r="AU274" s="261">
        <v>7.1894702380952361E-3</v>
      </c>
      <c r="AV274" s="258">
        <f t="shared" ca="1" si="21"/>
        <v>1.0374880952380951E-2</v>
      </c>
      <c r="AX274" s="86" t="str">
        <f t="shared" ca="1" si="23"/>
        <v>SAFIAG</v>
      </c>
    </row>
    <row r="275" spans="1:50" hidden="1">
      <c r="A275" s="86" t="str">
        <f t="shared" ca="1" si="22"/>
        <v>SAFMRNA</v>
      </c>
      <c r="F275" s="249">
        <v>23.56</v>
      </c>
      <c r="G275" s="249">
        <v>24.105</v>
      </c>
      <c r="H275" s="249">
        <v>24.524999999999999</v>
      </c>
      <c r="I275" s="249">
        <v>24.77</v>
      </c>
      <c r="J275" s="249">
        <v>24.92</v>
      </c>
      <c r="K275" s="249">
        <v>24.28</v>
      </c>
      <c r="L275" s="249">
        <v>22.79</v>
      </c>
      <c r="M275" s="249">
        <v>23.495000000000001</v>
      </c>
      <c r="N275" s="249">
        <v>24.925000000000001</v>
      </c>
      <c r="O275" s="249">
        <v>25.01</v>
      </c>
      <c r="P275" s="249">
        <v>25.98</v>
      </c>
      <c r="Q275" s="249">
        <v>24.43</v>
      </c>
      <c r="R275" s="249">
        <v>24.07</v>
      </c>
      <c r="S275" s="249">
        <v>24.555099999999999</v>
      </c>
      <c r="T275" s="249">
        <v>25.170999999999999</v>
      </c>
      <c r="U275" s="249">
        <v>25.795000000000002</v>
      </c>
      <c r="V275" s="249">
        <v>27.7</v>
      </c>
      <c r="W275" s="249">
        <v>28.332999999999998</v>
      </c>
      <c r="X275" s="249">
        <v>29.03</v>
      </c>
      <c r="Y275" s="249">
        <v>29.63</v>
      </c>
      <c r="Z275" s="243">
        <f ca="1">[1]ExtEntry!$H73</f>
        <v>29.63</v>
      </c>
      <c r="AB275" s="258">
        <v>6.7748809523809602E-4</v>
      </c>
      <c r="AC275" s="258">
        <v>5.5790178571428588E-3</v>
      </c>
      <c r="AD275" s="258">
        <v>8.6466666666666671E-3</v>
      </c>
      <c r="AE275" s="258">
        <v>6.7344583333333327E-3</v>
      </c>
      <c r="AF275" s="258">
        <v>6.9433511904761899E-3</v>
      </c>
      <c r="AG275" s="258">
        <v>1.0433035714285714E-2</v>
      </c>
      <c r="AH275" s="258">
        <v>-1.1583874999999999E-2</v>
      </c>
      <c r="AI275" s="258">
        <v>-2.8331369047619043E-3</v>
      </c>
      <c r="AJ275" s="258">
        <v>1.4441666666666674E-3</v>
      </c>
      <c r="AK275" s="258">
        <v>-1.6308273809523804E-3</v>
      </c>
      <c r="AL275" s="258">
        <v>-1.6142261904761911E-3</v>
      </c>
      <c r="AM275" s="258">
        <v>-3.027446428571428E-3</v>
      </c>
      <c r="AN275" s="258">
        <v>-3.6863928571428564E-3</v>
      </c>
      <c r="AO275" s="258">
        <v>7.5833333333338339E-6</v>
      </c>
      <c r="AP275" s="258">
        <v>9.6578571428571416E-3</v>
      </c>
      <c r="AQ275" s="258">
        <v>4.1387142857142864E-3</v>
      </c>
      <c r="AR275" s="258">
        <v>1.0852750000000001E-2</v>
      </c>
      <c r="AS275" s="258">
        <v>1.0401398809523808E-2</v>
      </c>
      <c r="AT275" s="258">
        <v>5.3782738095238102E-3</v>
      </c>
      <c r="AU275" s="258">
        <v>2.1067160714285715E-2</v>
      </c>
      <c r="AV275" s="258">
        <f t="shared" ca="1" si="21"/>
        <v>2.0962380952380955E-2</v>
      </c>
      <c r="AX275" s="86" t="str">
        <f t="shared" ca="1" si="23"/>
        <v>SAFMRNA</v>
      </c>
    </row>
    <row r="276" spans="1:50" hidden="1">
      <c r="A276" s="86" t="str">
        <f t="shared" ca="1" si="22"/>
        <v>BLNK</v>
      </c>
      <c r="F276" s="249">
        <v>1.64</v>
      </c>
      <c r="G276" s="249">
        <v>1.5049999999999999</v>
      </c>
      <c r="H276" s="249">
        <v>1.5899000000000001</v>
      </c>
      <c r="I276" s="249">
        <v>1.41</v>
      </c>
      <c r="J276" s="249">
        <v>1.41</v>
      </c>
      <c r="K276" s="249">
        <v>1.365</v>
      </c>
      <c r="L276" s="249">
        <v>1.345</v>
      </c>
      <c r="M276" s="249">
        <v>1.2849999999999999</v>
      </c>
      <c r="N276" s="249">
        <v>1.2849999999999999</v>
      </c>
      <c r="O276" s="249">
        <v>1.28</v>
      </c>
      <c r="P276" s="249">
        <v>1.31</v>
      </c>
      <c r="Q276" s="249">
        <v>1.2849999999999999</v>
      </c>
      <c r="R276" s="249">
        <v>1.2649999999999999</v>
      </c>
      <c r="S276" s="249">
        <v>1.2549999999999999</v>
      </c>
      <c r="T276" s="249">
        <v>1.35</v>
      </c>
      <c r="U276" s="249">
        <v>1.405</v>
      </c>
      <c r="V276" s="249">
        <v>1.2</v>
      </c>
      <c r="W276" s="249">
        <v>1.0149999999999999</v>
      </c>
      <c r="X276" s="249">
        <v>0.94379999999999997</v>
      </c>
      <c r="Y276" s="249">
        <v>0.88580000000000003</v>
      </c>
      <c r="Z276" s="243">
        <f ca="1">[1]ExtEntry!$H74</f>
        <v>0.88580000000000003</v>
      </c>
      <c r="AB276" s="261">
        <v>4.8921666666666645E-3</v>
      </c>
      <c r="AC276" s="261">
        <v>3.6035476190476208E-3</v>
      </c>
      <c r="AD276" s="261">
        <v>5.2218928571428555E-3</v>
      </c>
      <c r="AE276" s="261">
        <v>-8.6111488095238151E-3</v>
      </c>
      <c r="AF276" s="261">
        <v>-2.3833273809523818E-3</v>
      </c>
      <c r="AG276" s="261">
        <v>5.6589880952380781E-4</v>
      </c>
      <c r="AH276" s="261">
        <v>1.0580065476190474E-2</v>
      </c>
      <c r="AI276" s="261">
        <v>1.4502702380952383E-2</v>
      </c>
      <c r="AJ276" s="261">
        <v>-2.9951785714286278E-4</v>
      </c>
      <c r="AK276" s="261">
        <v>5.087928571428574E-3</v>
      </c>
      <c r="AL276" s="261">
        <v>-1.9564761904761908E-3</v>
      </c>
      <c r="AM276" s="261">
        <v>2.6791845238095247E-3</v>
      </c>
      <c r="AN276" s="261">
        <v>-9.3007142857142854E-4</v>
      </c>
      <c r="AO276" s="261">
        <v>3.2903035714285703E-3</v>
      </c>
      <c r="AP276" s="261">
        <v>1.0734220238095237E-2</v>
      </c>
      <c r="AQ276" s="261">
        <v>1.7201172619047623E-2</v>
      </c>
      <c r="AR276" s="261">
        <v>7.4605476190476201E-3</v>
      </c>
      <c r="AS276" s="261">
        <v>-2.2172083333333349E-3</v>
      </c>
      <c r="AT276" s="261">
        <v>-1.2475577380952382E-2</v>
      </c>
      <c r="AU276" s="261">
        <v>-1.7099589285714291E-2</v>
      </c>
      <c r="AV276" s="258">
        <f t="shared" ca="1" si="21"/>
        <v>-2.4301529761904764E-2</v>
      </c>
      <c r="AX276" s="86" t="str">
        <f t="shared" ca="1" si="23"/>
        <v>BLNK</v>
      </c>
    </row>
    <row r="277" spans="1:50" hidden="1">
      <c r="A277" s="86" t="str">
        <f t="shared" ca="1" si="22"/>
        <v>ENI</v>
      </c>
      <c r="F277" s="249">
        <v>15.968</v>
      </c>
      <c r="G277" s="249">
        <v>15.948</v>
      </c>
      <c r="H277" s="249">
        <v>15.932</v>
      </c>
      <c r="I277" s="249">
        <v>16.474</v>
      </c>
      <c r="J277" s="249">
        <v>16.36</v>
      </c>
      <c r="K277" s="249">
        <v>16.218</v>
      </c>
      <c r="L277" s="249">
        <v>16.295999999999999</v>
      </c>
      <c r="M277" s="249">
        <v>16.096</v>
      </c>
      <c r="N277" s="249">
        <v>15.986000000000001</v>
      </c>
      <c r="O277" s="249">
        <v>15.93</v>
      </c>
      <c r="P277" s="249">
        <v>16.132000000000001</v>
      </c>
      <c r="Q277" s="249">
        <v>16.178000000000001</v>
      </c>
      <c r="R277" s="249">
        <v>16.187999999999999</v>
      </c>
      <c r="S277" s="249">
        <v>16.308</v>
      </c>
      <c r="T277" s="249">
        <v>16.352</v>
      </c>
      <c r="U277" s="249">
        <v>16.350000000000001</v>
      </c>
      <c r="V277" s="249">
        <v>16.102</v>
      </c>
      <c r="W277" s="249">
        <v>16.108000000000001</v>
      </c>
      <c r="X277" s="249">
        <v>16.013999999999999</v>
      </c>
      <c r="Y277" s="249">
        <v>15.904</v>
      </c>
      <c r="Z277" s="243">
        <f ca="1">[1]ExtEntry!$H75</f>
        <v>15.904</v>
      </c>
      <c r="AB277" s="258">
        <v>3.9327499999999996E-3</v>
      </c>
      <c r="AC277" s="258">
        <v>2.0358392857142858E-3</v>
      </c>
      <c r="AD277" s="258">
        <v>-1.6351011904761899E-3</v>
      </c>
      <c r="AE277" s="258">
        <v>-3.2133952380952384E-3</v>
      </c>
      <c r="AF277" s="258">
        <v>-3.621377380952381E-3</v>
      </c>
      <c r="AG277" s="258">
        <v>-4.2580083333333338E-3</v>
      </c>
      <c r="AH277" s="258">
        <v>-3.4996749999999998E-3</v>
      </c>
      <c r="AI277" s="258">
        <v>-4.9853416666666662E-3</v>
      </c>
      <c r="AJ277" s="258">
        <v>-3.8597166666666663E-3</v>
      </c>
      <c r="AK277" s="258">
        <v>-3.8318238095238094E-3</v>
      </c>
      <c r="AL277" s="258">
        <v>-2.4737345238095231E-3</v>
      </c>
      <c r="AM277" s="258">
        <v>-2.2719797619047614E-3</v>
      </c>
      <c r="AN277" s="258">
        <v>-2.3769660714285713E-3</v>
      </c>
      <c r="AO277" s="258">
        <v>-2.2368035714285736E-4</v>
      </c>
      <c r="AP277" s="258">
        <v>6.8142678571428417E-4</v>
      </c>
      <c r="AQ277" s="258">
        <v>3.6542309523809524E-3</v>
      </c>
      <c r="AR277" s="258">
        <v>8.0495119047619052E-4</v>
      </c>
      <c r="AS277" s="258">
        <v>1.7541892857142849E-3</v>
      </c>
      <c r="AT277" s="258">
        <v>-4.4969166666666643E-4</v>
      </c>
      <c r="AU277" s="258">
        <v>-1.4628821428571423E-3</v>
      </c>
      <c r="AV277" s="258">
        <f t="shared" ca="1" si="21"/>
        <v>-2.1970553571428568E-3</v>
      </c>
      <c r="AX277" s="86" t="str">
        <f t="shared" ca="1" si="23"/>
        <v>ENI</v>
      </c>
    </row>
    <row r="278" spans="1:50" hidden="1">
      <c r="A278" s="86" t="str">
        <f t="shared" ca="1" si="22"/>
        <v>EZJ</v>
      </c>
      <c r="F278" s="249">
        <v>484.1</v>
      </c>
      <c r="G278" s="249">
        <v>478.5</v>
      </c>
      <c r="H278" s="249">
        <v>471.4</v>
      </c>
      <c r="I278" s="249">
        <v>469.2</v>
      </c>
      <c r="J278" s="249">
        <v>453.8</v>
      </c>
      <c r="K278" s="249">
        <v>462.1</v>
      </c>
      <c r="L278" s="249">
        <v>458</v>
      </c>
      <c r="M278" s="249">
        <v>463.8</v>
      </c>
      <c r="N278" s="249">
        <v>483</v>
      </c>
      <c r="O278" s="249">
        <v>485</v>
      </c>
      <c r="P278" s="249">
        <v>499.4</v>
      </c>
      <c r="Q278" s="249">
        <v>493.5</v>
      </c>
      <c r="R278" s="249">
        <v>492.6</v>
      </c>
      <c r="S278" s="249">
        <v>488.9</v>
      </c>
      <c r="T278" s="249">
        <v>485.5</v>
      </c>
      <c r="U278" s="249">
        <v>489.2</v>
      </c>
      <c r="V278" s="249">
        <v>489.7</v>
      </c>
      <c r="W278" s="249">
        <v>478.3</v>
      </c>
      <c r="X278" s="249">
        <v>476.4</v>
      </c>
      <c r="Y278" s="249">
        <v>485.1</v>
      </c>
      <c r="Z278" s="243">
        <f ca="1">[1]ExtEntry!$H76</f>
        <v>485.1</v>
      </c>
      <c r="AB278" s="261">
        <v>-4.4599946428571444E-3</v>
      </c>
      <c r="AC278" s="261">
        <v>-7.8951970238095234E-3</v>
      </c>
      <c r="AD278" s="261">
        <v>-5.821167261904763E-3</v>
      </c>
      <c r="AE278" s="261">
        <v>-8.1828577380952394E-3</v>
      </c>
      <c r="AF278" s="261">
        <v>-8.4966928571428586E-3</v>
      </c>
      <c r="AG278" s="261">
        <v>-6.5021035714285715E-3</v>
      </c>
      <c r="AH278" s="261">
        <v>-8.0199369047619044E-3</v>
      </c>
      <c r="AI278" s="261">
        <v>-5.4802023809523816E-4</v>
      </c>
      <c r="AJ278" s="261">
        <v>-1.8654607142857139E-3</v>
      </c>
      <c r="AK278" s="261">
        <v>7.9254523809523924E-4</v>
      </c>
      <c r="AL278" s="261">
        <v>4.7697654761904764E-3</v>
      </c>
      <c r="AM278" s="261">
        <v>5.7141583333333336E-3</v>
      </c>
      <c r="AN278" s="261">
        <v>5.5630392857142861E-3</v>
      </c>
      <c r="AO278" s="261">
        <v>4.5429380952380959E-3</v>
      </c>
      <c r="AP278" s="261">
        <v>5.8256285714285714E-3</v>
      </c>
      <c r="AQ278" s="261">
        <v>3.500205952380952E-3</v>
      </c>
      <c r="AR278" s="261">
        <v>1.6189678571428578E-3</v>
      </c>
      <c r="AS278" s="261">
        <v>8.5595238095238779E-5</v>
      </c>
      <c r="AT278" s="261">
        <v>-4.3152797619047632E-3</v>
      </c>
      <c r="AU278" s="261">
        <v>-1.0656369047619034E-3</v>
      </c>
      <c r="AV278" s="258">
        <f t="shared" ca="1" si="21"/>
        <v>-4.4326785714285692E-4</v>
      </c>
      <c r="AX278" s="86" t="str">
        <f t="shared" ca="1" si="23"/>
        <v>EZJ</v>
      </c>
    </row>
    <row r="279" spans="1:50" hidden="1">
      <c r="A279" s="86" t="str">
        <f t="shared" ca="1" si="22"/>
        <v>F</v>
      </c>
      <c r="F279" s="249">
        <v>13.135</v>
      </c>
      <c r="G279" s="249">
        <v>13.1556</v>
      </c>
      <c r="H279" s="249">
        <v>13.205</v>
      </c>
      <c r="I279" s="249">
        <v>13.195</v>
      </c>
      <c r="J279" s="249">
        <v>13.02</v>
      </c>
      <c r="K279" s="249">
        <v>12.994999999999999</v>
      </c>
      <c r="L279" s="249">
        <v>12.52</v>
      </c>
      <c r="M279" s="249">
        <v>12.865</v>
      </c>
      <c r="N279" s="249">
        <v>13.234999999999999</v>
      </c>
      <c r="O279" s="249">
        <v>13.19</v>
      </c>
      <c r="P279" s="249">
        <v>13.25</v>
      </c>
      <c r="Q279" s="249">
        <v>13.244999999999999</v>
      </c>
      <c r="R279" s="249">
        <v>12.959899999999999</v>
      </c>
      <c r="S279" s="249">
        <v>12.99</v>
      </c>
      <c r="T279" s="249">
        <v>13.105</v>
      </c>
      <c r="U279" s="249">
        <v>13.08</v>
      </c>
      <c r="V279" s="249">
        <v>13.03</v>
      </c>
      <c r="W279" s="249">
        <v>13.164999999999999</v>
      </c>
      <c r="X279" s="249">
        <v>13.404999999999999</v>
      </c>
      <c r="Y279" s="249">
        <v>13.625</v>
      </c>
      <c r="Z279" s="243">
        <f ca="1">[1]ExtEntry!$H77</f>
        <v>13.625</v>
      </c>
      <c r="AB279" s="258">
        <v>3.188750000000001E-3</v>
      </c>
      <c r="AC279" s="258">
        <v>6.2175000000000034E-3</v>
      </c>
      <c r="AD279" s="258">
        <v>5.920410714285714E-3</v>
      </c>
      <c r="AE279" s="258">
        <v>-1.036725E-2</v>
      </c>
      <c r="AF279" s="258">
        <v>-4.9090773809523803E-3</v>
      </c>
      <c r="AG279" s="258">
        <v>-4.8527500000000012E-3</v>
      </c>
      <c r="AH279" s="258">
        <v>-4.9164821428571408E-3</v>
      </c>
      <c r="AI279" s="258">
        <v>2.1392261904761792E-4</v>
      </c>
      <c r="AJ279" s="258">
        <v>-2.4285238095238092E-3</v>
      </c>
      <c r="AK279" s="258">
        <v>-2.8064940476190472E-3</v>
      </c>
      <c r="AL279" s="258">
        <v>-3.9892678571428562E-3</v>
      </c>
      <c r="AM279" s="258">
        <v>-3.0535476190476194E-3</v>
      </c>
      <c r="AN279" s="258">
        <v>-3.2853511904761914E-3</v>
      </c>
      <c r="AO279" s="258">
        <v>-3.2643095238095239E-3</v>
      </c>
      <c r="AP279" s="258">
        <v>8.8545833333333272E-4</v>
      </c>
      <c r="AQ279" s="258">
        <v>-4.2163672619047621E-3</v>
      </c>
      <c r="AR279" s="258">
        <v>2.6881130952380989E-4</v>
      </c>
      <c r="AS279" s="258">
        <v>-1.8726172619047622E-3</v>
      </c>
      <c r="AT279" s="258">
        <v>-9.6746249999999983E-4</v>
      </c>
      <c r="AU279" s="258">
        <v>-2.6742261904761505E-5</v>
      </c>
      <c r="AV279" s="258">
        <f t="shared" ca="1" si="21"/>
        <v>2.4373886904761896E-3</v>
      </c>
      <c r="AX279" s="86" t="str">
        <f t="shared" ca="1" si="23"/>
        <v>F</v>
      </c>
    </row>
    <row r="280" spans="1:50" hidden="1">
      <c r="A280" s="86" t="str">
        <f t="shared" ca="1" si="22"/>
        <v>GLE</v>
      </c>
      <c r="F280" s="249">
        <v>54.64</v>
      </c>
      <c r="G280" s="249">
        <v>55.8</v>
      </c>
      <c r="H280" s="249">
        <v>54.64</v>
      </c>
      <c r="I280" s="249">
        <v>57.98</v>
      </c>
      <c r="J280" s="249">
        <v>56.18</v>
      </c>
      <c r="K280" s="249">
        <v>56.82</v>
      </c>
      <c r="L280" s="249">
        <v>57.42</v>
      </c>
      <c r="M280" s="249">
        <v>56.54</v>
      </c>
      <c r="N280" s="249">
        <v>59.5</v>
      </c>
      <c r="O280" s="249">
        <v>59.9</v>
      </c>
      <c r="P280" s="249">
        <v>59.94</v>
      </c>
      <c r="Q280" s="249">
        <v>59.72</v>
      </c>
      <c r="R280" s="249">
        <v>61.06</v>
      </c>
      <c r="S280" s="249">
        <v>60.64</v>
      </c>
      <c r="T280" s="249">
        <v>60.52</v>
      </c>
      <c r="U280" s="249">
        <v>62.5</v>
      </c>
      <c r="V280" s="249">
        <v>61.54</v>
      </c>
      <c r="W280" s="249">
        <v>62.9</v>
      </c>
      <c r="X280" s="249">
        <v>63.48</v>
      </c>
      <c r="Y280" s="249">
        <v>64.36</v>
      </c>
      <c r="Z280" s="243">
        <f ca="1">[1]ExtEntry!$H78</f>
        <v>64.36</v>
      </c>
      <c r="AB280" s="261">
        <v>-9.597916666666663E-4</v>
      </c>
      <c r="AC280" s="261">
        <v>1.2477559523809524E-3</v>
      </c>
      <c r="AD280" s="261">
        <v>-2.3879523809523812E-3</v>
      </c>
      <c r="AE280" s="261">
        <v>-3.1640238095238088E-3</v>
      </c>
      <c r="AF280" s="261">
        <v>-3.4413452380952386E-3</v>
      </c>
      <c r="AG280" s="261">
        <v>-4.6197797619047607E-3</v>
      </c>
      <c r="AH280" s="261">
        <v>5.3135119047619081E-4</v>
      </c>
      <c r="AI280" s="261">
        <v>9.0866666666666786E-4</v>
      </c>
      <c r="AJ280" s="261">
        <v>2.8314047619047624E-3</v>
      </c>
      <c r="AK280" s="261">
        <v>1.520696428571429E-3</v>
      </c>
      <c r="AL280" s="261">
        <v>1.7445678571428574E-3</v>
      </c>
      <c r="AM280" s="261">
        <v>3.385686904761904E-3</v>
      </c>
      <c r="AN280" s="261">
        <v>5.8937702380952384E-3</v>
      </c>
      <c r="AO280" s="261">
        <v>4.3939011904761899E-3</v>
      </c>
      <c r="AP280" s="261">
        <v>2.1744011904761902E-3</v>
      </c>
      <c r="AQ280" s="261">
        <v>7.2521273809523805E-3</v>
      </c>
      <c r="AR280" s="261">
        <v>3.5795380952380949E-3</v>
      </c>
      <c r="AS280" s="261">
        <v>3.0141809523809523E-3</v>
      </c>
      <c r="AT280" s="261">
        <v>4.2305690476190476E-3</v>
      </c>
      <c r="AU280" s="261">
        <v>4.0638607142857129E-3</v>
      </c>
      <c r="AV280" s="258">
        <f t="shared" ca="1" si="21"/>
        <v>2.1753190476190465E-3</v>
      </c>
      <c r="AX280" s="86" t="str">
        <f t="shared" ca="1" si="23"/>
        <v>GLE</v>
      </c>
    </row>
    <row r="281" spans="1:50" hidden="1">
      <c r="A281" s="86" t="str">
        <f t="shared" ca="1" si="22"/>
        <v>GNRC</v>
      </c>
      <c r="F281" s="249">
        <v>159.18</v>
      </c>
      <c r="G281" s="249">
        <v>153.53</v>
      </c>
      <c r="H281" s="249">
        <v>154.62</v>
      </c>
      <c r="I281" s="249">
        <v>151.11000000000001</v>
      </c>
      <c r="J281" s="249">
        <v>142.46</v>
      </c>
      <c r="K281" s="249">
        <v>146.88999999999999</v>
      </c>
      <c r="L281" s="249">
        <v>141.76</v>
      </c>
      <c r="M281" s="249">
        <v>147.13</v>
      </c>
      <c r="N281" s="249">
        <v>150.02000000000001</v>
      </c>
      <c r="O281" s="249">
        <v>148.84</v>
      </c>
      <c r="P281" s="249">
        <v>151.63</v>
      </c>
      <c r="Q281" s="249">
        <v>151.34</v>
      </c>
      <c r="R281" s="249">
        <v>155.28</v>
      </c>
      <c r="S281" s="249">
        <v>158.84819999999999</v>
      </c>
      <c r="T281" s="249">
        <v>159.20500000000001</v>
      </c>
      <c r="U281" s="249">
        <v>164.42</v>
      </c>
      <c r="V281" s="249">
        <v>162.31</v>
      </c>
      <c r="W281" s="249">
        <v>161.8725</v>
      </c>
      <c r="X281" s="249">
        <v>166.62</v>
      </c>
      <c r="Y281" s="249">
        <v>167.73</v>
      </c>
      <c r="Z281" s="243">
        <f ca="1">[1]ExtEntry!$H79</f>
        <v>167.73</v>
      </c>
      <c r="AB281" s="258">
        <v>-1.4479964285714284E-2</v>
      </c>
      <c r="AC281" s="258">
        <v>-1.2326291666666664E-2</v>
      </c>
      <c r="AD281" s="258">
        <v>-1.5132440476190475E-2</v>
      </c>
      <c r="AE281" s="258">
        <v>-1.7607101190476187E-2</v>
      </c>
      <c r="AF281" s="258">
        <v>-1.539895833333333E-2</v>
      </c>
      <c r="AG281" s="258">
        <v>-1.2651470238095232E-2</v>
      </c>
      <c r="AH281" s="258">
        <v>-3.9810535714285685E-3</v>
      </c>
      <c r="AI281" s="258">
        <v>7.6054285714285711E-3</v>
      </c>
      <c r="AJ281" s="258">
        <v>8.7529523809523804E-3</v>
      </c>
      <c r="AK281" s="258">
        <v>1.3580279761904762E-2</v>
      </c>
      <c r="AL281" s="258">
        <v>1.3835285714285711E-2</v>
      </c>
      <c r="AM281" s="258">
        <v>1.7852660714285713E-2</v>
      </c>
      <c r="AN281" s="258">
        <v>1.846990476190476E-2</v>
      </c>
      <c r="AO281" s="258">
        <v>1.4018035714285714E-2</v>
      </c>
      <c r="AP281" s="258">
        <v>1.8299535714285713E-2</v>
      </c>
      <c r="AQ281" s="258">
        <v>1.6239392857142858E-2</v>
      </c>
      <c r="AR281" s="258">
        <v>1.5318196428571428E-2</v>
      </c>
      <c r="AS281" s="258">
        <v>1.3690517857142852E-2</v>
      </c>
      <c r="AT281" s="258">
        <v>1.4409053571428573E-2</v>
      </c>
      <c r="AU281" s="258">
        <v>1.1213964285714285E-2</v>
      </c>
      <c r="AV281" s="258">
        <f t="shared" ca="1" si="21"/>
        <v>4.7368035714285724E-3</v>
      </c>
      <c r="AX281" s="86" t="str">
        <f t="shared" ca="1" si="23"/>
        <v>GNRC</v>
      </c>
    </row>
    <row r="282" spans="1:50" hidden="1">
      <c r="A282" s="86" t="str">
        <f t="shared" ca="1" si="22"/>
        <v>GS</v>
      </c>
      <c r="F282" s="249">
        <v>793.11</v>
      </c>
      <c r="G282" s="249">
        <v>787.37</v>
      </c>
      <c r="H282" s="249">
        <v>785.35500000000002</v>
      </c>
      <c r="I282" s="249">
        <v>790.48</v>
      </c>
      <c r="J282" s="249">
        <v>776.9</v>
      </c>
      <c r="K282" s="249">
        <v>780.89</v>
      </c>
      <c r="L282" s="249">
        <v>778.06</v>
      </c>
      <c r="M282" s="249">
        <v>777.41</v>
      </c>
      <c r="N282" s="249">
        <v>815.89499999999998</v>
      </c>
      <c r="O282" s="249">
        <v>815.85</v>
      </c>
      <c r="P282" s="249">
        <v>825.68499999999995</v>
      </c>
      <c r="Q282" s="249">
        <v>813.29600000000005</v>
      </c>
      <c r="R282" s="249">
        <v>814.63499999999999</v>
      </c>
      <c r="S282" s="249">
        <v>824.27499999999998</v>
      </c>
      <c r="T282" s="249">
        <v>836.66</v>
      </c>
      <c r="U282" s="249">
        <v>836.53</v>
      </c>
      <c r="V282" s="249">
        <v>854.46</v>
      </c>
      <c r="W282" s="249">
        <v>878.3732</v>
      </c>
      <c r="X282" s="249">
        <v>889.3</v>
      </c>
      <c r="Y282" s="249">
        <v>910.94</v>
      </c>
      <c r="Z282" s="243">
        <f ca="1">[1]ExtEntry!$H80</f>
        <v>910.94</v>
      </c>
      <c r="AB282" s="261">
        <v>6.3453095238095239E-3</v>
      </c>
      <c r="AC282" s="261">
        <v>8.8095773809523797E-3</v>
      </c>
      <c r="AD282" s="261">
        <v>7.1030892857142864E-3</v>
      </c>
      <c r="AE282" s="261">
        <v>-6.107023809523817E-4</v>
      </c>
      <c r="AF282" s="261">
        <v>-1.2082261904761901E-3</v>
      </c>
      <c r="AG282" s="261">
        <v>-9.0147619047619028E-4</v>
      </c>
      <c r="AH282" s="261">
        <v>-1.2845297619047617E-3</v>
      </c>
      <c r="AI282" s="261">
        <v>-2.8625595238095237E-3</v>
      </c>
      <c r="AJ282" s="261">
        <v>-2.3214107142857142E-3</v>
      </c>
      <c r="AK282" s="261">
        <v>-7.1086309523809513E-4</v>
      </c>
      <c r="AL282" s="261">
        <v>9.9880952380952421E-5</v>
      </c>
      <c r="AM282" s="261">
        <v>2.0183511904761902E-3</v>
      </c>
      <c r="AN282" s="261">
        <v>2.2828511904761902E-3</v>
      </c>
      <c r="AO282" s="261">
        <v>1.5007261904761903E-3</v>
      </c>
      <c r="AP282" s="261">
        <v>3.8944226190476185E-3</v>
      </c>
      <c r="AQ282" s="261">
        <v>3.7013004166666667E-3</v>
      </c>
      <c r="AR282" s="261">
        <v>5.2209968452380951E-3</v>
      </c>
      <c r="AS282" s="261">
        <v>4.5218063690476186E-3</v>
      </c>
      <c r="AT282" s="261">
        <v>4.3007289880952369E-3</v>
      </c>
      <c r="AU282" s="261">
        <v>8.5249849404761928E-3</v>
      </c>
      <c r="AV282" s="258">
        <f t="shared" ca="1" si="21"/>
        <v>9.5907170833333354E-3</v>
      </c>
      <c r="AX282" s="86" t="str">
        <f t="shared" ca="1" si="23"/>
        <v>GS</v>
      </c>
    </row>
    <row r="283" spans="1:50" hidden="1">
      <c r="A283" s="86" t="str">
        <f t="shared" ca="1" si="22"/>
        <v>LAZR</v>
      </c>
      <c r="F283" s="249">
        <v>1.24</v>
      </c>
      <c r="G283" s="249">
        <v>1.1882999999999999</v>
      </c>
      <c r="H283" s="249">
        <v>1.2450000000000001</v>
      </c>
      <c r="I283" s="249">
        <v>1.01</v>
      </c>
      <c r="J283" s="249">
        <v>0.86609999999999998</v>
      </c>
      <c r="K283" s="249">
        <v>0.88580000000000003</v>
      </c>
      <c r="L283" s="249">
        <v>0.92359999999999998</v>
      </c>
      <c r="M283" s="249">
        <v>0.87570000000000003</v>
      </c>
      <c r="N283" s="249">
        <v>0.82640000000000002</v>
      </c>
      <c r="O283" s="249">
        <v>0.81599999999999995</v>
      </c>
      <c r="P283" s="249">
        <v>0.90629999999999999</v>
      </c>
      <c r="Q283" s="249">
        <v>0.88100000000000001</v>
      </c>
      <c r="R283" s="249">
        <v>0.82589999999999997</v>
      </c>
      <c r="S283" s="249">
        <v>0.82</v>
      </c>
      <c r="T283" s="249">
        <v>0.87860000000000005</v>
      </c>
      <c r="U283" s="249">
        <v>1.0857000000000001</v>
      </c>
      <c r="V283" s="249">
        <v>0.92959999999999998</v>
      </c>
      <c r="W283" s="249">
        <v>0.88049999999999995</v>
      </c>
      <c r="X283" s="249">
        <v>0.87350000000000005</v>
      </c>
      <c r="Y283" s="249">
        <v>0.96619999999999995</v>
      </c>
      <c r="Z283" s="243">
        <f ca="1">[1]ExtEntry!$H81</f>
        <v>0.96619999999999995</v>
      </c>
      <c r="AB283" s="258">
        <v>1.3353702380952386E-2</v>
      </c>
      <c r="AC283" s="258">
        <v>2.281451190476191E-2</v>
      </c>
      <c r="AD283" s="258">
        <v>2.7348029761904764E-2</v>
      </c>
      <c r="AE283" s="258">
        <v>-1.1786535714285718E-2</v>
      </c>
      <c r="AF283" s="258">
        <v>-2.330934523809524E-2</v>
      </c>
      <c r="AG283" s="258">
        <v>-9.9108035714285704E-3</v>
      </c>
      <c r="AH283" s="258">
        <v>-5.6154166666666679E-3</v>
      </c>
      <c r="AI283" s="258">
        <v>-9.4270119047619068E-3</v>
      </c>
      <c r="AJ283" s="258">
        <v>1.7061309523809481E-3</v>
      </c>
      <c r="AK283" s="258">
        <v>5.7278630952380949E-3</v>
      </c>
      <c r="AL283" s="258">
        <v>5.2246309523809528E-3</v>
      </c>
      <c r="AM283" s="258">
        <v>1.0433476190476187E-2</v>
      </c>
      <c r="AN283" s="258">
        <v>8.6498571428571397E-3</v>
      </c>
      <c r="AO283" s="258">
        <v>3.4275714285714274E-3</v>
      </c>
      <c r="AP283" s="258">
        <v>4.059785714285712E-3</v>
      </c>
      <c r="AQ283" s="258">
        <v>2.5033017857142861E-2</v>
      </c>
      <c r="AR283" s="258">
        <v>2.7764119047619044E-2</v>
      </c>
      <c r="AS283" s="258">
        <v>2.7805928571428575E-2</v>
      </c>
      <c r="AT283" s="258">
        <v>9.9518809523809534E-3</v>
      </c>
      <c r="AU283" s="258">
        <v>2.2109101190476189E-2</v>
      </c>
      <c r="AV283" s="258">
        <f t="shared" ca="1" si="21"/>
        <v>3.5802720238095241E-2</v>
      </c>
      <c r="AX283" s="86" t="str">
        <f t="shared" ca="1" si="23"/>
        <v>LAZR</v>
      </c>
    </row>
    <row r="284" spans="1:50" hidden="1">
      <c r="A284" s="86" t="str">
        <f t="shared" ca="1" si="22"/>
        <v>LUV</v>
      </c>
      <c r="F284" s="249">
        <v>31.614999999999998</v>
      </c>
      <c r="G284" s="249">
        <v>31.45</v>
      </c>
      <c r="H284" s="249">
        <v>32.365000000000002</v>
      </c>
      <c r="I284" s="249">
        <v>32.835000000000001</v>
      </c>
      <c r="J284" s="249">
        <v>31.96</v>
      </c>
      <c r="K284" s="249">
        <v>31.82</v>
      </c>
      <c r="L284" s="249">
        <v>31.41</v>
      </c>
      <c r="M284" s="249">
        <v>32.829000000000001</v>
      </c>
      <c r="N284" s="249">
        <v>35.130000000000003</v>
      </c>
      <c r="O284" s="249">
        <v>35.064999999999998</v>
      </c>
      <c r="P284" s="249">
        <v>34.825000000000003</v>
      </c>
      <c r="Q284" s="249">
        <v>34.884999999999998</v>
      </c>
      <c r="R284" s="249">
        <v>35.445</v>
      </c>
      <c r="S284" s="249">
        <v>35.54</v>
      </c>
      <c r="T284" s="249">
        <v>35.685000000000002</v>
      </c>
      <c r="U284" s="249">
        <v>35.875</v>
      </c>
      <c r="V284" s="249">
        <v>37.83</v>
      </c>
      <c r="W284" s="249">
        <v>38.405000000000001</v>
      </c>
      <c r="X284" s="249">
        <v>39.825000000000003</v>
      </c>
      <c r="Y284" s="249">
        <v>40.74</v>
      </c>
      <c r="Z284" s="243">
        <f ca="1">[1]ExtEntry!$H82</f>
        <v>40.74</v>
      </c>
      <c r="AB284" s="261">
        <v>-8.5484107142857167E-3</v>
      </c>
      <c r="AC284" s="261">
        <v>-5.187303571428571E-3</v>
      </c>
      <c r="AD284" s="261">
        <v>4.4471369047619051E-3</v>
      </c>
      <c r="AE284" s="261">
        <v>1.94452380952381E-3</v>
      </c>
      <c r="AF284" s="261">
        <v>9.3647619047619005E-4</v>
      </c>
      <c r="AG284" s="261">
        <v>3.9637202380952375E-3</v>
      </c>
      <c r="AH284" s="261">
        <v>5.9847499999999996E-3</v>
      </c>
      <c r="AI284" s="261">
        <v>1.5641797619047621E-2</v>
      </c>
      <c r="AJ284" s="261">
        <v>9.6803690476190488E-3</v>
      </c>
      <c r="AK284" s="261">
        <v>1.1556976190476192E-2</v>
      </c>
      <c r="AL284" s="261">
        <v>7.9755416666666672E-3</v>
      </c>
      <c r="AM284" s="261">
        <v>1.0175160714285716E-2</v>
      </c>
      <c r="AN284" s="261">
        <v>1.1598273809523812E-2</v>
      </c>
      <c r="AO284" s="261">
        <v>1.106785119047619E-2</v>
      </c>
      <c r="AP284" s="261">
        <v>1.2303696428571429E-2</v>
      </c>
      <c r="AQ284" s="261">
        <v>3.0551428571428552E-3</v>
      </c>
      <c r="AR284" s="261">
        <v>5.4313511904761896E-3</v>
      </c>
      <c r="AS284" s="261">
        <v>3.8608928571428596E-3</v>
      </c>
      <c r="AT284" s="261">
        <v>6.3834464285714258E-3</v>
      </c>
      <c r="AU284" s="261">
        <v>6.9889464285714312E-3</v>
      </c>
      <c r="AV284" s="258">
        <f t="shared" ca="1" si="21"/>
        <v>5.0861488095238078E-3</v>
      </c>
      <c r="AX284" s="86" t="str">
        <f t="shared" ca="1" si="23"/>
        <v>LUV</v>
      </c>
    </row>
    <row r="285" spans="1:50" hidden="1">
      <c r="A285" s="86" t="str">
        <f t="shared" ca="1" si="22"/>
        <v>MA</v>
      </c>
      <c r="F285" s="249">
        <v>553.76</v>
      </c>
      <c r="G285" s="249">
        <v>552.33000000000004</v>
      </c>
      <c r="H285" s="249">
        <v>551.29999999999995</v>
      </c>
      <c r="I285" s="249">
        <v>545.73</v>
      </c>
      <c r="J285" s="249">
        <v>527.1</v>
      </c>
      <c r="K285" s="249">
        <v>526.08249999999998</v>
      </c>
      <c r="L285" s="249">
        <v>535.71</v>
      </c>
      <c r="M285" s="249">
        <v>541.17999999999995</v>
      </c>
      <c r="N285" s="249">
        <v>547.46</v>
      </c>
      <c r="O285" s="249">
        <v>544.92999999999995</v>
      </c>
      <c r="P285" s="249">
        <v>550.08000000000004</v>
      </c>
      <c r="Q285" s="249">
        <v>548.48500000000001</v>
      </c>
      <c r="R285" s="249">
        <v>545.35</v>
      </c>
      <c r="S285" s="249">
        <v>550</v>
      </c>
      <c r="T285" s="249">
        <v>554.67999999999995</v>
      </c>
      <c r="U285" s="249">
        <v>542.56500000000005</v>
      </c>
      <c r="V285" s="249">
        <v>545.30999999999995</v>
      </c>
      <c r="W285" s="249">
        <v>539.39</v>
      </c>
      <c r="X285" s="249">
        <v>538.84</v>
      </c>
      <c r="Y285" s="249">
        <v>563.57000000000005</v>
      </c>
      <c r="Z285" s="243">
        <f ca="1">[1]ExtEntry!$H83</f>
        <v>563.57000000000005</v>
      </c>
      <c r="AB285" s="258">
        <v>9.9564345238095263E-4</v>
      </c>
      <c r="AC285" s="258">
        <v>1.283726785714286E-3</v>
      </c>
      <c r="AD285" s="258">
        <v>5.4679226190476214E-4</v>
      </c>
      <c r="AE285" s="258">
        <v>-1.205658333333333E-3</v>
      </c>
      <c r="AF285" s="258">
        <v>-3.1960214285714286E-3</v>
      </c>
      <c r="AG285" s="258">
        <v>-2.9910452380952387E-3</v>
      </c>
      <c r="AH285" s="258">
        <v>-1.8204380952380958E-3</v>
      </c>
      <c r="AI285" s="258">
        <v>-1.188319047619048E-3</v>
      </c>
      <c r="AJ285" s="258">
        <v>-1.6315750000000006E-3</v>
      </c>
      <c r="AK285" s="258">
        <v>-2.7053547619047625E-3</v>
      </c>
      <c r="AL285" s="258">
        <v>-5.6627142857142913E-4</v>
      </c>
      <c r="AM285" s="258">
        <v>1.8441154761904763E-3</v>
      </c>
      <c r="AN285" s="258">
        <v>4.7822226190476188E-3</v>
      </c>
      <c r="AO285" s="258">
        <v>5.6534249999999984E-3</v>
      </c>
      <c r="AP285" s="258">
        <v>5.5723892857142861E-3</v>
      </c>
      <c r="AQ285" s="258">
        <v>1.0703059523809524E-3</v>
      </c>
      <c r="AR285" s="258">
        <v>1.3100535714285716E-3</v>
      </c>
      <c r="AS285" s="258">
        <v>1.3866190476190476E-3</v>
      </c>
      <c r="AT285" s="258">
        <v>-1.2151785714285693E-4</v>
      </c>
      <c r="AU285" s="258">
        <v>3.8002380952380952E-3</v>
      </c>
      <c r="AV285" s="258">
        <f t="shared" ca="1" si="21"/>
        <v>7.8078273809523797E-3</v>
      </c>
      <c r="AX285" s="86" t="str">
        <f t="shared" ca="1" si="23"/>
        <v>MA</v>
      </c>
    </row>
    <row r="286" spans="1:50" hidden="1">
      <c r="A286" s="86" t="str">
        <f t="shared" ca="1" si="22"/>
        <v>NVAX</v>
      </c>
      <c r="F286" s="249">
        <v>7.69</v>
      </c>
      <c r="G286" s="249">
        <v>7.7000999999999999</v>
      </c>
      <c r="H286" s="249">
        <v>7.4089999999999998</v>
      </c>
      <c r="I286" s="249">
        <v>6.97</v>
      </c>
      <c r="J286" s="249">
        <v>6.57</v>
      </c>
      <c r="K286" s="249">
        <v>6.3949999999999996</v>
      </c>
      <c r="L286" s="249">
        <v>6.2350000000000003</v>
      </c>
      <c r="M286" s="249">
        <v>6.4749999999999996</v>
      </c>
      <c r="N286" s="249">
        <v>6.875</v>
      </c>
      <c r="O286" s="249">
        <v>6.95</v>
      </c>
      <c r="P286" s="249">
        <v>7.05</v>
      </c>
      <c r="Q286" s="249">
        <v>6.7750000000000004</v>
      </c>
      <c r="R286" s="249">
        <v>6.6050000000000004</v>
      </c>
      <c r="S286" s="249">
        <v>6.7747000000000002</v>
      </c>
      <c r="T286" s="249">
        <v>6.84</v>
      </c>
      <c r="U286" s="249">
        <v>6.8250000000000002</v>
      </c>
      <c r="V286" s="249">
        <v>6.91</v>
      </c>
      <c r="W286" s="249">
        <v>6.8</v>
      </c>
      <c r="X286" s="249">
        <v>6.74</v>
      </c>
      <c r="Y286" s="249">
        <v>6.69</v>
      </c>
      <c r="Z286" s="243">
        <f ca="1">[1]ExtEntry!$H84</f>
        <v>6.69</v>
      </c>
      <c r="AB286" s="261">
        <v>1.1170535714285714E-3</v>
      </c>
      <c r="AC286" s="261">
        <v>2.6616428571428572E-3</v>
      </c>
      <c r="AD286" s="261">
        <v>3.0280773809523813E-3</v>
      </c>
      <c r="AE286" s="261">
        <v>-1.9983214285714283E-3</v>
      </c>
      <c r="AF286" s="261">
        <v>-8.9151488095238103E-3</v>
      </c>
      <c r="AG286" s="261">
        <v>-1.0048636904761904E-2</v>
      </c>
      <c r="AH286" s="261">
        <v>-1.0418285714285713E-2</v>
      </c>
      <c r="AI286" s="261">
        <v>1.7167261904761904E-4</v>
      </c>
      <c r="AJ286" s="261">
        <v>-1.494047619047742E-5</v>
      </c>
      <c r="AK286" s="261">
        <v>5.3017261904761697E-4</v>
      </c>
      <c r="AL286" s="261">
        <v>2.4905476190476188E-3</v>
      </c>
      <c r="AM286" s="261">
        <v>5.1220773809523799E-3</v>
      </c>
      <c r="AN286" s="261">
        <v>7.2833988095238091E-3</v>
      </c>
      <c r="AO286" s="261">
        <v>1.1940505952380954E-2</v>
      </c>
      <c r="AP286" s="261">
        <v>1.610397023809524E-2</v>
      </c>
      <c r="AQ286" s="261">
        <v>1.0246791666666666E-2</v>
      </c>
      <c r="AR286" s="261">
        <v>8.2655773809523839E-3</v>
      </c>
      <c r="AS286" s="261">
        <v>4.6418988095238084E-3</v>
      </c>
      <c r="AT286" s="261">
        <v>2.7876607142857139E-3</v>
      </c>
      <c r="AU286" s="261">
        <v>7.3736666666666673E-3</v>
      </c>
      <c r="AV286" s="258">
        <f t="shared" ca="1" si="21"/>
        <v>6.1303809523809531E-3</v>
      </c>
      <c r="AX286" s="86" t="str">
        <f t="shared" ca="1" si="23"/>
        <v>NVAX</v>
      </c>
    </row>
    <row r="287" spans="1:50" hidden="1">
      <c r="A287" s="86" t="str">
        <f t="shared" ca="1" si="22"/>
        <v>NVS</v>
      </c>
      <c r="F287" s="249">
        <v>125.5</v>
      </c>
      <c r="G287" s="249">
        <v>126.705</v>
      </c>
      <c r="H287" s="249">
        <v>126.45</v>
      </c>
      <c r="I287" s="249">
        <v>131.26</v>
      </c>
      <c r="J287" s="249">
        <v>127.98</v>
      </c>
      <c r="K287" s="249">
        <v>126.84</v>
      </c>
      <c r="L287" s="249">
        <v>124.655</v>
      </c>
      <c r="M287" s="249">
        <v>127.55</v>
      </c>
      <c r="N287" s="249">
        <v>130.53</v>
      </c>
      <c r="O287" s="249">
        <v>130.44</v>
      </c>
      <c r="P287" s="249">
        <v>130.4</v>
      </c>
      <c r="Q287" s="249">
        <v>129.38</v>
      </c>
      <c r="R287" s="249">
        <v>132.31</v>
      </c>
      <c r="S287" s="249">
        <v>134.01</v>
      </c>
      <c r="T287" s="249">
        <v>133.72</v>
      </c>
      <c r="U287" s="249">
        <v>133.22999999999999</v>
      </c>
      <c r="V287" s="249">
        <v>132.26</v>
      </c>
      <c r="W287" s="249">
        <v>131.78</v>
      </c>
      <c r="X287" s="249">
        <v>131.19</v>
      </c>
      <c r="Y287" s="249">
        <v>132.36000000000001</v>
      </c>
      <c r="Z287" s="243">
        <f ca="1">[1]ExtEntry!$H85</f>
        <v>132.36000000000001</v>
      </c>
      <c r="AB287" s="258">
        <v>-3.5385892857142847E-3</v>
      </c>
      <c r="AC287" s="258">
        <v>-2.3649416666666678E-3</v>
      </c>
      <c r="AD287" s="258">
        <v>-2.8864851190476184E-3</v>
      </c>
      <c r="AE287" s="258">
        <v>-1.7962232142857142E-3</v>
      </c>
      <c r="AF287" s="258">
        <v>-2.9844672619047615E-3</v>
      </c>
      <c r="AG287" s="258">
        <v>1.4239910714285706E-3</v>
      </c>
      <c r="AH287" s="258">
        <v>-1.3433244047619036E-3</v>
      </c>
      <c r="AI287" s="258">
        <v>1.7139880952378971E-5</v>
      </c>
      <c r="AJ287" s="258">
        <v>-4.239255952380957E-4</v>
      </c>
      <c r="AK287" s="258">
        <v>-1.2424255952380955E-3</v>
      </c>
      <c r="AL287" s="258">
        <v>-9.0731250000000143E-4</v>
      </c>
      <c r="AM287" s="258">
        <v>-7.6615773809524026E-4</v>
      </c>
      <c r="AN287" s="258">
        <v>4.4674077380952365E-3</v>
      </c>
      <c r="AO287" s="258">
        <v>6.6545244047619021E-3</v>
      </c>
      <c r="AP287" s="258">
        <v>1.0136397023809522E-2</v>
      </c>
      <c r="AQ287" s="258">
        <v>6.7225934523809511E-3</v>
      </c>
      <c r="AR287" s="258">
        <v>5.9083017857142857E-3</v>
      </c>
      <c r="AS287" s="258">
        <v>6.1738851190476186E-3</v>
      </c>
      <c r="AT287" s="258">
        <v>4.1983059523809521E-3</v>
      </c>
      <c r="AU287" s="258">
        <v>6.1828059523809514E-3</v>
      </c>
      <c r="AV287" s="258">
        <f t="shared" ca="1" si="21"/>
        <v>4.0394309523809529E-3</v>
      </c>
      <c r="AX287" s="86" t="str">
        <f t="shared" ca="1" si="23"/>
        <v>NVS</v>
      </c>
    </row>
    <row r="288" spans="1:50" hidden="1">
      <c r="A288" s="86" t="str">
        <f t="shared" ca="1" si="22"/>
        <v>ORA</v>
      </c>
      <c r="F288" s="249">
        <v>13.715</v>
      </c>
      <c r="G288" s="249">
        <v>13.94</v>
      </c>
      <c r="H288" s="249">
        <v>14.164999999999999</v>
      </c>
      <c r="I288" s="249">
        <v>14.02</v>
      </c>
      <c r="J288" s="249">
        <v>13.69</v>
      </c>
      <c r="K288" s="249">
        <v>13.78</v>
      </c>
      <c r="L288" s="249">
        <v>13.66</v>
      </c>
      <c r="M288" s="249">
        <v>13.945</v>
      </c>
      <c r="N288" s="249">
        <v>14.08</v>
      </c>
      <c r="O288" s="249">
        <v>14.1</v>
      </c>
      <c r="P288" s="249">
        <v>14.19</v>
      </c>
      <c r="Q288" s="249">
        <v>14.145</v>
      </c>
      <c r="R288" s="249">
        <v>14.07</v>
      </c>
      <c r="S288" s="249">
        <v>14.065</v>
      </c>
      <c r="T288" s="249">
        <v>14.085000000000001</v>
      </c>
      <c r="U288" s="249">
        <v>14.03</v>
      </c>
      <c r="V288" s="249">
        <v>13.74</v>
      </c>
      <c r="W288" s="249">
        <v>13.715</v>
      </c>
      <c r="X288" s="249">
        <v>13.664999999999999</v>
      </c>
      <c r="Y288" s="249">
        <v>13.734999999999999</v>
      </c>
      <c r="Z288" s="243">
        <f ca="1">[1]ExtEntry!$H86</f>
        <v>13.734999999999999</v>
      </c>
      <c r="AB288" s="261">
        <v>-3.6300238095238091E-3</v>
      </c>
      <c r="AC288" s="261">
        <v>-2.6302678571428579E-3</v>
      </c>
      <c r="AD288" s="261">
        <v>-1.9836785714285724E-3</v>
      </c>
      <c r="AE288" s="261">
        <v>-9.9529166666666646E-4</v>
      </c>
      <c r="AF288" s="261">
        <v>-1.2587202380952383E-3</v>
      </c>
      <c r="AG288" s="261">
        <v>-2.5472321428571419E-3</v>
      </c>
      <c r="AH288" s="261">
        <v>-5.0576845238095233E-3</v>
      </c>
      <c r="AI288" s="261">
        <v>-1.6837023809523803E-3</v>
      </c>
      <c r="AJ288" s="261">
        <v>4.3137500000000066E-4</v>
      </c>
      <c r="AK288" s="261">
        <v>-1.2715119047619046E-3</v>
      </c>
      <c r="AL288" s="261">
        <v>-1.9500238095238088E-3</v>
      </c>
      <c r="AM288" s="261">
        <v>-7.2607142857143247E-5</v>
      </c>
      <c r="AN288" s="261">
        <v>3.4848214285714283E-3</v>
      </c>
      <c r="AO288" s="261">
        <v>4.8836416666666665E-3</v>
      </c>
      <c r="AP288" s="261">
        <v>5.8692011904761905E-3</v>
      </c>
      <c r="AQ288" s="261">
        <v>3.229790476190477E-3</v>
      </c>
      <c r="AR288" s="261">
        <v>-3.7798809523809389E-5</v>
      </c>
      <c r="AS288" s="261">
        <v>-4.2655416666666625E-4</v>
      </c>
      <c r="AT288" s="261">
        <v>-1.3690363095238099E-3</v>
      </c>
      <c r="AU288" s="261">
        <v>-9.014345238095192E-5</v>
      </c>
      <c r="AV288" s="258">
        <f t="shared" ca="1" si="21"/>
        <v>-2.2062863095238102E-3</v>
      </c>
      <c r="AX288" s="86" t="str">
        <f t="shared" ca="1" si="23"/>
        <v>ORA</v>
      </c>
    </row>
    <row r="289" spans="1:50" hidden="1">
      <c r="A289" s="86" t="str">
        <f t="shared" ca="1" si="22"/>
        <v>OXY</v>
      </c>
      <c r="F289" s="249">
        <v>39.774999999999999</v>
      </c>
      <c r="G289" s="249">
        <v>40.270000000000003</v>
      </c>
      <c r="H289" s="249">
        <v>41.189300000000003</v>
      </c>
      <c r="I289" s="249">
        <v>42.77</v>
      </c>
      <c r="J289" s="249">
        <v>42.515000000000001</v>
      </c>
      <c r="K289" s="249">
        <v>41.484999999999999</v>
      </c>
      <c r="L289" s="249">
        <v>41.33</v>
      </c>
      <c r="M289" s="249">
        <v>41.33</v>
      </c>
      <c r="N289" s="249">
        <v>41.634999999999998</v>
      </c>
      <c r="O289" s="249">
        <v>41.414999999999999</v>
      </c>
      <c r="P289" s="249">
        <v>41.99</v>
      </c>
      <c r="Q289" s="249">
        <v>42.7151</v>
      </c>
      <c r="R289" s="249">
        <v>41.965000000000003</v>
      </c>
      <c r="S289" s="249">
        <v>42.365000000000002</v>
      </c>
      <c r="T289" s="249">
        <v>42.475000000000001</v>
      </c>
      <c r="U289" s="249">
        <v>42.67</v>
      </c>
      <c r="V289" s="249">
        <v>42.43</v>
      </c>
      <c r="W289" s="249">
        <v>41.715000000000003</v>
      </c>
      <c r="X289" s="249">
        <v>41.75</v>
      </c>
      <c r="Y289" s="249">
        <v>41.2</v>
      </c>
      <c r="Z289" s="243">
        <f ca="1">[1]ExtEntry!$H87</f>
        <v>41.2</v>
      </c>
      <c r="AB289" s="258">
        <v>-6.4566071428571493E-4</v>
      </c>
      <c r="AC289" s="258">
        <v>-1.491970238095238E-3</v>
      </c>
      <c r="AD289" s="258">
        <v>-3.3078214285714299E-3</v>
      </c>
      <c r="AE289" s="258">
        <v>-1.3462916666666682E-3</v>
      </c>
      <c r="AF289" s="258">
        <v>4.5736309523809488E-4</v>
      </c>
      <c r="AG289" s="258">
        <v>2.3089464285714289E-3</v>
      </c>
      <c r="AH289" s="258">
        <v>2.0162619047619052E-3</v>
      </c>
      <c r="AI289" s="258">
        <v>4.6045773809523802E-3</v>
      </c>
      <c r="AJ289" s="258">
        <v>5.4975714285714289E-3</v>
      </c>
      <c r="AK289" s="258">
        <v>2.9165660714285725E-3</v>
      </c>
      <c r="AL289" s="258">
        <v>1.0606017857142879E-3</v>
      </c>
      <c r="AM289" s="258">
        <v>2.9829821428571613E-4</v>
      </c>
      <c r="AN289" s="258">
        <v>-2.9999755952380934E-3</v>
      </c>
      <c r="AO289" s="258">
        <v>1.7125958333333337E-3</v>
      </c>
      <c r="AP289" s="258">
        <v>3.9471553571428578E-3</v>
      </c>
      <c r="AQ289" s="258">
        <v>5.2965065476190485E-3</v>
      </c>
      <c r="AR289" s="258">
        <v>3.8489708333333339E-3</v>
      </c>
      <c r="AS289" s="258">
        <v>4.1848535714285717E-3</v>
      </c>
      <c r="AT289" s="258">
        <v>1.6565797619047641E-3</v>
      </c>
      <c r="AU289" s="258">
        <v>-1.3444202380952369E-3</v>
      </c>
      <c r="AV289" s="258">
        <f t="shared" ca="1" si="21"/>
        <v>-2.2167595238095227E-3</v>
      </c>
      <c r="AX289" s="86" t="str">
        <f t="shared" ca="1" si="23"/>
        <v>OXY</v>
      </c>
    </row>
    <row r="290" spans="1:50" ht="28" hidden="1" customHeight="1">
      <c r="A290" s="86" t="str">
        <f t="shared" ca="1" si="22"/>
        <v>PFE</v>
      </c>
      <c r="F290" s="249">
        <v>24.635000000000002</v>
      </c>
      <c r="G290" s="249">
        <v>24.875</v>
      </c>
      <c r="H290" s="249">
        <v>24.375</v>
      </c>
      <c r="I290" s="249">
        <v>25.085000000000001</v>
      </c>
      <c r="J290" s="249">
        <v>25.45</v>
      </c>
      <c r="K290" s="249">
        <v>25.015000000000001</v>
      </c>
      <c r="L290" s="249">
        <v>24.395</v>
      </c>
      <c r="M290" s="249">
        <v>25.06</v>
      </c>
      <c r="N290" s="249">
        <v>25.704999999999998</v>
      </c>
      <c r="O290" s="249">
        <v>25.71</v>
      </c>
      <c r="P290" s="249">
        <v>25.71</v>
      </c>
      <c r="Q290" s="249">
        <v>25.364999999999998</v>
      </c>
      <c r="R290" s="249">
        <v>25.164999999999999</v>
      </c>
      <c r="S290" s="249">
        <v>25.684999999999999</v>
      </c>
      <c r="T290" s="249">
        <v>25.613</v>
      </c>
      <c r="U290" s="249">
        <v>25.61</v>
      </c>
      <c r="V290" s="249">
        <v>26.02</v>
      </c>
      <c r="W290" s="249">
        <v>25.574999999999999</v>
      </c>
      <c r="X290" s="249">
        <v>25.774999999999999</v>
      </c>
      <c r="Y290" s="249">
        <v>25.81</v>
      </c>
      <c r="Z290" s="243">
        <f ca="1">[1]ExtEntry!$H88</f>
        <v>25.81</v>
      </c>
      <c r="AB290" s="261">
        <v>1.9173297619047608E-3</v>
      </c>
      <c r="AC290" s="261">
        <v>3.830210714285714E-3</v>
      </c>
      <c r="AD290" s="261">
        <v>3.5673119047619039E-3</v>
      </c>
      <c r="AE290" s="261">
        <v>-1.7482499999999911E-4</v>
      </c>
      <c r="AF290" s="261">
        <v>1.6682321428571393E-4</v>
      </c>
      <c r="AG290" s="261">
        <v>-7.3530178571428622E-4</v>
      </c>
      <c r="AH290" s="261">
        <v>-2.4393714285714293E-3</v>
      </c>
      <c r="AI290" s="261">
        <v>9.3169404761904722E-4</v>
      </c>
      <c r="AJ290" s="261">
        <v>-1.1668273809523812E-3</v>
      </c>
      <c r="AK290" s="261">
        <v>-2.855294047619048E-3</v>
      </c>
      <c r="AL290" s="261">
        <v>-2.0746333333333338E-3</v>
      </c>
      <c r="AM290" s="261">
        <v>5.5500357142857165E-4</v>
      </c>
      <c r="AN290" s="261">
        <v>-1.3502583333333336E-3</v>
      </c>
      <c r="AO290" s="261">
        <v>2.2119083333333339E-3</v>
      </c>
      <c r="AP290" s="261">
        <v>5.8528607142857144E-3</v>
      </c>
      <c r="AQ290" s="261">
        <v>2.525330952380952E-3</v>
      </c>
      <c r="AR290" s="261">
        <v>3.7740345238095243E-3</v>
      </c>
      <c r="AS290" s="261">
        <v>3.2274785714285718E-3</v>
      </c>
      <c r="AT290" s="261">
        <v>4.115907142857143E-3</v>
      </c>
      <c r="AU290" s="261">
        <v>6.0467083333333328E-3</v>
      </c>
      <c r="AV290" s="258">
        <f t="shared" ca="1" si="21"/>
        <v>6.0189166666666672E-3</v>
      </c>
      <c r="AX290" s="86" t="str">
        <f t="shared" ca="1" si="23"/>
        <v>PFE</v>
      </c>
    </row>
    <row r="291" spans="1:50" hidden="1">
      <c r="A291" s="86" t="str">
        <f t="shared" ca="1" si="22"/>
        <v>RIG</v>
      </c>
      <c r="F291" s="249">
        <v>3.895</v>
      </c>
      <c r="G291" s="249">
        <v>3.9249999999999998</v>
      </c>
      <c r="H291" s="249">
        <v>3.96</v>
      </c>
      <c r="I291" s="249">
        <v>4.01</v>
      </c>
      <c r="J291" s="249">
        <v>4.13</v>
      </c>
      <c r="K291" s="249">
        <v>4.0949999999999998</v>
      </c>
      <c r="L291" s="249">
        <v>3.89</v>
      </c>
      <c r="M291" s="249">
        <v>3.8843000000000001</v>
      </c>
      <c r="N291" s="249">
        <v>4.28</v>
      </c>
      <c r="O291" s="249">
        <v>4.3</v>
      </c>
      <c r="P291" s="249">
        <v>4.3899999999999997</v>
      </c>
      <c r="Q291" s="249">
        <v>4.4480000000000004</v>
      </c>
      <c r="R291" s="249">
        <v>4.3099999999999996</v>
      </c>
      <c r="S291" s="249">
        <v>4.45</v>
      </c>
      <c r="T291" s="249">
        <v>4.4450000000000003</v>
      </c>
      <c r="U291" s="249">
        <v>4.47</v>
      </c>
      <c r="V291" s="249">
        <v>4.4400000000000004</v>
      </c>
      <c r="W291" s="249">
        <v>4.53</v>
      </c>
      <c r="X291" s="249">
        <v>4.2949999999999999</v>
      </c>
      <c r="Y291" s="249">
        <v>4.2850000000000001</v>
      </c>
      <c r="Z291" s="243">
        <f ca="1">[1]ExtEntry!$H89</f>
        <v>4.2850000000000001</v>
      </c>
      <c r="AB291" s="258">
        <v>7.6586071428571441E-3</v>
      </c>
      <c r="AC291" s="258">
        <v>4.7496964285714295E-3</v>
      </c>
      <c r="AD291" s="258">
        <v>-1.0569517857142855E-2</v>
      </c>
      <c r="AE291" s="258">
        <v>-1.1487095238095237E-2</v>
      </c>
      <c r="AF291" s="258">
        <v>-1.0146970238095238E-2</v>
      </c>
      <c r="AG291" s="258">
        <v>-8.3829047619047616E-3</v>
      </c>
      <c r="AH291" s="258">
        <v>-1.3342482142857142E-2</v>
      </c>
      <c r="AI291" s="258">
        <v>-1.1984970238095239E-2</v>
      </c>
      <c r="AJ291" s="258">
        <v>-4.8356369047619051E-3</v>
      </c>
      <c r="AK291" s="258">
        <v>-2.0831726190476182E-3</v>
      </c>
      <c r="AL291" s="258">
        <v>-1.9444285714285726E-3</v>
      </c>
      <c r="AM291" s="258">
        <v>-9.124464285714274E-4</v>
      </c>
      <c r="AN291" s="258">
        <v>-2.9387440476190459E-3</v>
      </c>
      <c r="AO291" s="258">
        <v>2.2886250000000007E-3</v>
      </c>
      <c r="AP291" s="258">
        <v>1.276935714285714E-2</v>
      </c>
      <c r="AQ291" s="258">
        <v>1.8149630952380948E-2</v>
      </c>
      <c r="AR291" s="258">
        <v>1.1286720238095238E-2</v>
      </c>
      <c r="AS291" s="258">
        <v>4.5898035714285693E-3</v>
      </c>
      <c r="AT291" s="258">
        <v>-2.017035714285716E-3</v>
      </c>
      <c r="AU291" s="258">
        <v>-2.3072559523809547E-3</v>
      </c>
      <c r="AV291" s="258">
        <f t="shared" ca="1" si="21"/>
        <v>-2.0867380952380981E-3</v>
      </c>
      <c r="AX291" s="86" t="str">
        <f t="shared" ca="1" si="23"/>
        <v>RIG</v>
      </c>
    </row>
    <row r="292" spans="1:50" hidden="1">
      <c r="A292" s="86" t="str">
        <f t="shared" ca="1" si="22"/>
        <v>RRC</v>
      </c>
      <c r="F292" s="249">
        <v>37.08</v>
      </c>
      <c r="G292" s="249">
        <v>36.81</v>
      </c>
      <c r="H292" s="249">
        <v>37.43</v>
      </c>
      <c r="I292" s="249">
        <v>38.229999999999997</v>
      </c>
      <c r="J292" s="249">
        <v>39.03</v>
      </c>
      <c r="K292" s="249">
        <v>39.075000000000003</v>
      </c>
      <c r="L292" s="249">
        <v>38.704999999999998</v>
      </c>
      <c r="M292" s="249">
        <v>38.340000000000003</v>
      </c>
      <c r="N292" s="249">
        <v>38.697499999999998</v>
      </c>
      <c r="O292" s="249">
        <v>38.46</v>
      </c>
      <c r="P292" s="249">
        <v>39.49</v>
      </c>
      <c r="Q292" s="249">
        <v>39.28</v>
      </c>
      <c r="R292" s="249">
        <v>38.104999999999997</v>
      </c>
      <c r="S292" s="249">
        <v>39.06</v>
      </c>
      <c r="T292" s="249">
        <v>39.89</v>
      </c>
      <c r="U292" s="249">
        <v>40.21</v>
      </c>
      <c r="V292" s="249">
        <v>39.6</v>
      </c>
      <c r="W292" s="249">
        <v>38.03</v>
      </c>
      <c r="X292" s="249">
        <v>37.29</v>
      </c>
      <c r="Y292" s="249">
        <v>36.299999999999997</v>
      </c>
      <c r="Z292" s="243">
        <f ca="1">[1]ExtEntry!$H90</f>
        <v>36.299999999999997</v>
      </c>
      <c r="AB292" s="261">
        <v>1.6940178571428573E-3</v>
      </c>
      <c r="AC292" s="261">
        <v>2.5539226190476189E-3</v>
      </c>
      <c r="AD292" s="261">
        <v>4.1803571428571475E-4</v>
      </c>
      <c r="AE292" s="261">
        <v>7.2526785714285727E-4</v>
      </c>
      <c r="AF292" s="261">
        <v>2.1941369047619049E-3</v>
      </c>
      <c r="AG292" s="261">
        <v>2.4082797619047617E-3</v>
      </c>
      <c r="AH292" s="261">
        <v>3.4258690476190478E-3</v>
      </c>
      <c r="AI292" s="261">
        <v>2.2246190476190469E-3</v>
      </c>
      <c r="AJ292" s="261">
        <v>5.3560773809523815E-3</v>
      </c>
      <c r="AK292" s="261">
        <v>5.700136904761904E-3</v>
      </c>
      <c r="AL292" s="261">
        <v>5.7503690476190484E-3</v>
      </c>
      <c r="AM292" s="261">
        <v>6.1841488095238104E-3</v>
      </c>
      <c r="AN292" s="261">
        <v>5.8816071428571424E-4</v>
      </c>
      <c r="AO292" s="261">
        <v>1.7573750000000003E-3</v>
      </c>
      <c r="AP292" s="261">
        <v>6.7128988095238092E-3</v>
      </c>
      <c r="AQ292" s="261">
        <v>8.4846964285714283E-3</v>
      </c>
      <c r="AR292" s="261">
        <v>5.4941547619047626E-3</v>
      </c>
      <c r="AS292" s="261">
        <v>3.7013511904761907E-3</v>
      </c>
      <c r="AT292" s="261">
        <v>-6.5872619047619048E-4</v>
      </c>
      <c r="AU292" s="261">
        <v>-2.5927440476190464E-3</v>
      </c>
      <c r="AV292" s="258">
        <f t="shared" ca="1" si="21"/>
        <v>-8.0851785714285791E-4</v>
      </c>
      <c r="AX292" s="86" t="str">
        <f t="shared" ca="1" si="23"/>
        <v>RRC</v>
      </c>
    </row>
    <row r="293" spans="1:50">
      <c r="A293" s="86" t="str">
        <f t="shared" ca="1" si="22"/>
        <v>XYZ</v>
      </c>
      <c r="F293" s="241">
        <v>73.650000000000006</v>
      </c>
      <c r="G293" s="241">
        <v>71.239999999999995</v>
      </c>
      <c r="H293" s="241">
        <v>65.52</v>
      </c>
      <c r="I293" s="241">
        <v>60.465000000000003</v>
      </c>
      <c r="J293" s="241">
        <v>57.64</v>
      </c>
      <c r="K293" s="241">
        <v>57.494999999999997</v>
      </c>
      <c r="L293" s="241">
        <v>63.18</v>
      </c>
      <c r="M293" s="241">
        <v>62.064999999999998</v>
      </c>
      <c r="N293" s="241">
        <v>65.819999999999993</v>
      </c>
      <c r="O293" s="241">
        <v>65.03</v>
      </c>
      <c r="P293" s="241">
        <v>66.77</v>
      </c>
      <c r="Q293" s="241">
        <v>66.39</v>
      </c>
      <c r="R293" s="241">
        <v>60.015000000000001</v>
      </c>
      <c r="S293" s="241">
        <v>61.842500000000001</v>
      </c>
      <c r="T293" s="241">
        <v>61.11</v>
      </c>
      <c r="U293" s="241">
        <v>61.04</v>
      </c>
      <c r="V293" s="241">
        <v>61.08</v>
      </c>
      <c r="W293" s="241">
        <v>61.730800000000002</v>
      </c>
      <c r="X293" s="241">
        <v>63.28</v>
      </c>
      <c r="Y293" s="241">
        <v>63.6</v>
      </c>
      <c r="Z293" s="243">
        <f ca="1">[1]ExtEntry!$H91</f>
        <v>63.6</v>
      </c>
      <c r="AB293" s="258">
        <v>-3.2779982142857132E-3</v>
      </c>
      <c r="AC293" s="258">
        <v>-2.8193374999999988E-3</v>
      </c>
      <c r="AD293" s="258">
        <v>-1.2280158928571427E-2</v>
      </c>
      <c r="AE293" s="258">
        <v>-1.4841141071428574E-2</v>
      </c>
      <c r="AF293" s="258">
        <v>-1.7614658928571426E-2</v>
      </c>
      <c r="AG293" s="258">
        <v>-1.8024403571428572E-2</v>
      </c>
      <c r="AH293" s="258">
        <v>-1.2080748809523811E-2</v>
      </c>
      <c r="AI293" s="258">
        <v>-8.4416714285714296E-3</v>
      </c>
      <c r="AJ293" s="258">
        <v>-7.8278559523809535E-3</v>
      </c>
      <c r="AK293" s="258">
        <v>-3.0978738095238097E-3</v>
      </c>
      <c r="AL293" s="258">
        <v>8.9282273809523811E-3</v>
      </c>
      <c r="AM293" s="258">
        <v>1.2958203571428571E-2</v>
      </c>
      <c r="AN293" s="258">
        <v>1.115179880952381E-2</v>
      </c>
      <c r="AO293" s="258">
        <v>1.2593858333333336E-2</v>
      </c>
      <c r="AP293" s="258">
        <v>1.0399453571428571E-2</v>
      </c>
      <c r="AQ293" s="258">
        <v>1.1728471428571427E-2</v>
      </c>
      <c r="AR293" s="258">
        <v>6.7609714285714276E-3</v>
      </c>
      <c r="AS293" s="258">
        <v>5.3840071428571442E-3</v>
      </c>
      <c r="AT293" s="258">
        <v>4.2122500000000007E-3</v>
      </c>
      <c r="AU293" s="258">
        <v>3.7403214285714305E-3</v>
      </c>
      <c r="AV293" s="258">
        <f t="shared" ca="1" si="21"/>
        <v>1.1488988095238096E-2</v>
      </c>
      <c r="AX293" s="86" t="str">
        <f t="shared" ca="1" si="23"/>
        <v>XYZ</v>
      </c>
    </row>
    <row r="294" spans="1:50">
      <c r="A294" s="86" t="str">
        <f t="shared" ca="1" si="22"/>
        <v>THC</v>
      </c>
      <c r="F294" s="249">
        <v>208.62</v>
      </c>
      <c r="G294" s="249">
        <v>205.83</v>
      </c>
      <c r="H294" s="249">
        <v>204.845</v>
      </c>
      <c r="I294" s="249">
        <v>192.91</v>
      </c>
      <c r="J294" s="249">
        <v>193</v>
      </c>
      <c r="K294" s="249">
        <v>193.58</v>
      </c>
      <c r="L294" s="249">
        <v>188.29</v>
      </c>
      <c r="M294" s="249">
        <v>194.36</v>
      </c>
      <c r="N294" s="249">
        <v>218.66499999999999</v>
      </c>
      <c r="O294" s="249">
        <v>217.42</v>
      </c>
      <c r="P294" s="249">
        <v>216.84</v>
      </c>
      <c r="Q294" s="249">
        <v>218.57</v>
      </c>
      <c r="R294" s="249">
        <v>214.58500000000001</v>
      </c>
      <c r="S294" s="249">
        <v>214.05</v>
      </c>
      <c r="T294" s="249">
        <v>211.34</v>
      </c>
      <c r="U294" s="249">
        <v>212.345</v>
      </c>
      <c r="V294" s="249">
        <v>210</v>
      </c>
      <c r="W294" s="249">
        <v>201.5</v>
      </c>
      <c r="X294" s="249">
        <v>197.47</v>
      </c>
      <c r="Y294" s="249">
        <v>197.595</v>
      </c>
      <c r="Z294" s="243">
        <f ca="1">[1]ExtEntry!$H92</f>
        <v>197.595</v>
      </c>
      <c r="AB294" s="261">
        <v>2.8187392857142862E-3</v>
      </c>
      <c r="AC294" s="261">
        <v>-1.6230952380952204E-5</v>
      </c>
      <c r="AD294" s="261">
        <v>3.7594166666666596E-4</v>
      </c>
      <c r="AE294" s="261">
        <v>-4.2072190476190475E-3</v>
      </c>
      <c r="AF294" s="261">
        <v>-8.7434035714285749E-3</v>
      </c>
      <c r="AG294" s="261">
        <v>-3.1694095238095224E-3</v>
      </c>
      <c r="AH294" s="261">
        <v>-5.1420226190476174E-3</v>
      </c>
      <c r="AI294" s="261">
        <v>-4.5596714285714279E-3</v>
      </c>
      <c r="AJ294" s="261">
        <v>-4.6175095238095232E-3</v>
      </c>
      <c r="AK294" s="261">
        <v>-3.3380702380952382E-3</v>
      </c>
      <c r="AL294" s="261">
        <v>-3.7374750000000005E-3</v>
      </c>
      <c r="AM294" s="261">
        <v>-2.473440476190485E-4</v>
      </c>
      <c r="AN294" s="261">
        <v>-7.7432023809523862E-4</v>
      </c>
      <c r="AO294" s="261">
        <v>-7.826178571428582E-4</v>
      </c>
      <c r="AP294" s="261">
        <v>2.4438761904761902E-3</v>
      </c>
      <c r="AQ294" s="261">
        <v>-1.9151059523809524E-3</v>
      </c>
      <c r="AR294" s="261">
        <v>-2.0144059523809522E-3</v>
      </c>
      <c r="AS294" s="261">
        <v>-1.9127690476190475E-3</v>
      </c>
      <c r="AT294" s="261">
        <v>-5.8589000000000002E-3</v>
      </c>
      <c r="AU294" s="261">
        <v>-6.923310714285715E-3</v>
      </c>
      <c r="AV294" s="258">
        <f t="shared" ca="1" si="21"/>
        <v>-4.9509892857142858E-3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10.316000000000001</v>
      </c>
      <c r="G296" s="241">
        <v>10.199999999999999</v>
      </c>
      <c r="H296" s="241">
        <v>10.173999999999999</v>
      </c>
      <c r="I296" s="241">
        <v>10.086</v>
      </c>
      <c r="J296" s="241">
        <v>9.7959999999999994</v>
      </c>
      <c r="K296" s="241">
        <v>9.7650000000000006</v>
      </c>
      <c r="L296" s="241">
        <v>9.9049999999999994</v>
      </c>
      <c r="M296" s="241">
        <v>9.4789999999999992</v>
      </c>
      <c r="N296" s="241">
        <v>9.8759999999999994</v>
      </c>
      <c r="O296" s="241">
        <v>9.8940000000000001</v>
      </c>
      <c r="P296" s="241">
        <v>9.8829999999999991</v>
      </c>
      <c r="Q296" s="241">
        <v>9.8719999999999999</v>
      </c>
      <c r="R296" s="241">
        <v>9.9990000000000006</v>
      </c>
      <c r="S296" s="241">
        <v>9.9499999999999993</v>
      </c>
      <c r="T296" s="241">
        <v>9.9499999999999993</v>
      </c>
      <c r="U296" s="241">
        <v>10.012</v>
      </c>
      <c r="V296" s="241">
        <v>10.044</v>
      </c>
      <c r="W296" s="241">
        <v>10.212</v>
      </c>
      <c r="X296" s="241">
        <v>10.236000000000001</v>
      </c>
      <c r="Y296" s="241">
        <v>10.327999999999999</v>
      </c>
      <c r="Z296" s="243">
        <f ca="1">[1]ExtEntry!$H94</f>
        <v>10.327999999999999</v>
      </c>
      <c r="AB296" s="261">
        <v>-8.5819285714285683E-4</v>
      </c>
      <c r="AC296" s="261">
        <v>5.0521428571428549E-5</v>
      </c>
      <c r="AD296" s="261">
        <v>-1.1528476190476185E-3</v>
      </c>
      <c r="AE296" s="261">
        <v>-5.1482821428571425E-3</v>
      </c>
      <c r="AF296" s="261">
        <v>-4.0797940476190488E-3</v>
      </c>
      <c r="AG296" s="261">
        <v>-3.4182773809523816E-3</v>
      </c>
      <c r="AH296" s="261">
        <v>-2.9320452380952391E-3</v>
      </c>
      <c r="AI296" s="261">
        <v>-4.6754559523809521E-3</v>
      </c>
      <c r="AJ296" s="261">
        <v>-2.0652535714285711E-3</v>
      </c>
      <c r="AK296" s="261">
        <v>-5.0936309523809571E-4</v>
      </c>
      <c r="AL296" s="261">
        <v>-1.1964047619047625E-3</v>
      </c>
      <c r="AM296" s="261">
        <v>1.7791071428571426E-3</v>
      </c>
      <c r="AN296" s="261">
        <v>2.5409642857142857E-3</v>
      </c>
      <c r="AO296" s="261">
        <v>8.1460119047618938E-4</v>
      </c>
      <c r="AP296" s="261">
        <v>-1.8662619047619049E-3</v>
      </c>
      <c r="AQ296" s="261">
        <v>4.1299761904761909E-3</v>
      </c>
      <c r="AR296" s="261">
        <v>3.8660595238095242E-3</v>
      </c>
      <c r="AS296" s="261">
        <v>4.6696904761904766E-3</v>
      </c>
      <c r="AT296" s="261">
        <v>4.9188690476190478E-3</v>
      </c>
      <c r="AU296" s="261">
        <v>5.5442559523809533E-3</v>
      </c>
      <c r="AV296" s="258">
        <f t="shared" ca="1" si="21"/>
        <v>3.8659166666666672E-3</v>
      </c>
      <c r="AX296" s="86" t="str">
        <f t="shared" ca="1" si="23"/>
        <v>LOCK</v>
      </c>
    </row>
    <row r="297" spans="1:50">
      <c r="A297" s="86" t="str">
        <f t="shared" ca="1" si="22"/>
        <v>JBASML</v>
      </c>
      <c r="F297" s="241">
        <v>906.6</v>
      </c>
      <c r="G297" s="241">
        <v>895.3</v>
      </c>
      <c r="H297" s="241">
        <v>870.8</v>
      </c>
      <c r="I297" s="241">
        <v>874.1</v>
      </c>
      <c r="J297" s="1068">
        <v>859.4</v>
      </c>
      <c r="K297" s="243">
        <v>886.6</v>
      </c>
      <c r="L297" s="1069">
        <v>889.8</v>
      </c>
      <c r="M297" s="239">
        <v>834</v>
      </c>
      <c r="N297" s="241">
        <v>909.3</v>
      </c>
      <c r="O297" s="1070">
        <v>897.2</v>
      </c>
      <c r="P297" s="1070">
        <v>903.4</v>
      </c>
      <c r="Q297" s="241">
        <v>926.7</v>
      </c>
      <c r="R297" s="245">
        <v>939.1</v>
      </c>
      <c r="S297" s="241">
        <v>956.3</v>
      </c>
      <c r="T297" s="241">
        <v>963.4</v>
      </c>
      <c r="U297" s="241">
        <v>957.3</v>
      </c>
      <c r="V297" s="241">
        <v>951.6</v>
      </c>
      <c r="W297" s="1071">
        <v>952.9</v>
      </c>
      <c r="X297" s="343">
        <v>946</v>
      </c>
      <c r="Y297" s="241">
        <v>940.9</v>
      </c>
      <c r="Z297" s="243">
        <f ca="1">[1]ExtEntry!$H95</f>
        <v>940.9</v>
      </c>
      <c r="AB297" s="258">
        <v>1.1275202380952383E-3</v>
      </c>
      <c r="AC297" s="258">
        <v>3.0662107142857154E-3</v>
      </c>
      <c r="AD297" s="258">
        <v>-2.7738666666666666E-3</v>
      </c>
      <c r="AE297" s="258">
        <v>-5.6189797619047629E-3</v>
      </c>
      <c r="AF297" s="258">
        <v>-8.1998190476190499E-3</v>
      </c>
      <c r="AG297" s="258">
        <v>-6.8668654761904774E-3</v>
      </c>
      <c r="AH297" s="258">
        <v>-7.287425000000001E-3</v>
      </c>
      <c r="AI297" s="258">
        <v>-1.0846597619047622E-2</v>
      </c>
      <c r="AJ297" s="258">
        <v>-3.4020083333333329E-3</v>
      </c>
      <c r="AK297" s="258">
        <v>-2.6337166666666675E-3</v>
      </c>
      <c r="AL297" s="258">
        <v>1.2293250000000003E-3</v>
      </c>
      <c r="AM297" s="258">
        <v>5.5414321428571426E-3</v>
      </c>
      <c r="AN297" s="258">
        <v>6.9849083333333338E-3</v>
      </c>
      <c r="AO297" s="258">
        <v>4.3152297619047618E-3</v>
      </c>
      <c r="AP297" s="258">
        <v>4.8121285714285708E-3</v>
      </c>
      <c r="AQ297" s="258">
        <v>1.3124265476190477E-2</v>
      </c>
      <c r="AR297" s="258">
        <v>5.9033428571428565E-3</v>
      </c>
      <c r="AS297" s="258">
        <v>7.4686345238095227E-3</v>
      </c>
      <c r="AT297" s="258">
        <v>6.0918452380952373E-3</v>
      </c>
      <c r="AU297" s="258">
        <v>3.3882857142857143E-3</v>
      </c>
      <c r="AV297" s="258">
        <f t="shared" ca="1" si="21"/>
        <v>8.6164285714285748E-4</v>
      </c>
      <c r="AX297" s="86" t="str">
        <f t="shared" ca="1" si="23"/>
        <v>JBASML</v>
      </c>
    </row>
    <row r="298" spans="1:50">
      <c r="A298" s="86" t="str">
        <f t="shared" ca="1" si="22"/>
        <v>JBEOAN</v>
      </c>
      <c r="F298" s="249">
        <v>16.05</v>
      </c>
      <c r="G298" s="249">
        <v>16.079999999999998</v>
      </c>
      <c r="H298" s="249">
        <v>16.105</v>
      </c>
      <c r="I298" s="249">
        <v>15.244999999999999</v>
      </c>
      <c r="J298" s="249">
        <v>15.23</v>
      </c>
      <c r="K298" s="249">
        <v>15.3</v>
      </c>
      <c r="L298" s="249">
        <v>15.4</v>
      </c>
      <c r="M298" s="249">
        <v>15.53</v>
      </c>
      <c r="N298" s="249">
        <v>15.455</v>
      </c>
      <c r="O298" s="249">
        <v>15.31</v>
      </c>
      <c r="P298" s="249">
        <v>15.324999999999999</v>
      </c>
      <c r="Q298" s="249">
        <v>15.22</v>
      </c>
      <c r="R298" s="249">
        <v>15.285</v>
      </c>
      <c r="S298" s="249">
        <v>15.74</v>
      </c>
      <c r="T298" s="249">
        <v>15.86</v>
      </c>
      <c r="U298" s="249">
        <v>15.59</v>
      </c>
      <c r="V298" s="249">
        <v>15.435</v>
      </c>
      <c r="W298" s="249">
        <v>15.585000000000001</v>
      </c>
      <c r="X298" s="249">
        <v>15.55</v>
      </c>
      <c r="Y298" s="249">
        <v>15.035</v>
      </c>
      <c r="Z298" s="243">
        <f ca="1">[1]ExtEntry!$H96</f>
        <v>15.035</v>
      </c>
      <c r="AB298" s="258">
        <v>-1.0348321428571429E-3</v>
      </c>
      <c r="AC298" s="258">
        <v>1.6112988095238097E-3</v>
      </c>
      <c r="AD298" s="258">
        <v>2.7817273809523811E-3</v>
      </c>
      <c r="AE298" s="258">
        <v>2.4497511904761904E-3</v>
      </c>
      <c r="AF298" s="258">
        <v>1.6077630952380949E-3</v>
      </c>
      <c r="AG298" s="258">
        <v>2.9454761904761887E-4</v>
      </c>
      <c r="AH298" s="258">
        <v>1.7466845238095236E-3</v>
      </c>
      <c r="AI298" s="258">
        <v>4.0687619047619049E-3</v>
      </c>
      <c r="AJ298" s="258">
        <v>1.570547619047619E-3</v>
      </c>
      <c r="AK298" s="258">
        <v>7.5788690476190444E-4</v>
      </c>
      <c r="AL298" s="258">
        <v>6.9794880952380952E-4</v>
      </c>
      <c r="AM298" s="258">
        <v>4.4248452380952379E-4</v>
      </c>
      <c r="AN298" s="258">
        <v>1.5098297619047622E-3</v>
      </c>
      <c r="AO298" s="258">
        <v>3.3682107142857139E-3</v>
      </c>
      <c r="AP298" s="258">
        <v>4.6911095238095233E-3</v>
      </c>
      <c r="AQ298" s="258">
        <v>1.8817464285714285E-3</v>
      </c>
      <c r="AR298" s="258">
        <v>7.4130595238095258E-4</v>
      </c>
      <c r="AS298" s="258">
        <v>2.3418892857142862E-3</v>
      </c>
      <c r="AT298" s="258">
        <v>2.4250928571428578E-3</v>
      </c>
      <c r="AU298" s="258">
        <v>5.7276547619047641E-4</v>
      </c>
      <c r="AV298" s="258">
        <f t="shared" ca="1" si="21"/>
        <v>-3.0176035714285718E-3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45974</v>
      </c>
      <c r="G303" s="115">
        <f t="shared" ca="1" si="24"/>
        <v>45975</v>
      </c>
      <c r="H303" s="115">
        <f t="shared" ca="1" si="24"/>
        <v>45978</v>
      </c>
      <c r="I303" s="115">
        <f t="shared" ca="1" si="24"/>
        <v>45979</v>
      </c>
      <c r="J303" s="115">
        <f t="shared" ca="1" si="24"/>
        <v>45980</v>
      </c>
      <c r="K303" s="115">
        <f t="shared" ca="1" si="24"/>
        <v>45981</v>
      </c>
      <c r="L303" s="115">
        <f t="shared" ca="1" si="24"/>
        <v>45982</v>
      </c>
      <c r="M303" s="115">
        <f t="shared" ca="1" si="24"/>
        <v>45985</v>
      </c>
      <c r="N303" s="115">
        <f t="shared" ca="1" si="24"/>
        <v>45986</v>
      </c>
      <c r="O303" s="115">
        <f t="shared" ca="1" si="24"/>
        <v>45987</v>
      </c>
      <c r="P303" s="115">
        <f t="shared" ca="1" si="24"/>
        <v>45988</v>
      </c>
      <c r="Q303" s="115">
        <f t="shared" ca="1" si="24"/>
        <v>45989</v>
      </c>
      <c r="R303" s="115">
        <f t="shared" ca="1" si="24"/>
        <v>45992</v>
      </c>
      <c r="S303" s="115">
        <f t="shared" ca="1" si="24"/>
        <v>45993</v>
      </c>
      <c r="T303" s="115">
        <f t="shared" ca="1" si="24"/>
        <v>45994</v>
      </c>
      <c r="U303" s="115">
        <f t="shared" ca="1" si="24"/>
        <v>45995</v>
      </c>
      <c r="V303" s="115">
        <f t="shared" ca="1" si="24"/>
        <v>45996</v>
      </c>
      <c r="W303" s="115">
        <f t="shared" ca="1" si="24"/>
        <v>45999</v>
      </c>
      <c r="X303" s="115">
        <f t="shared" ca="1" si="24"/>
        <v>46000</v>
      </c>
      <c r="Y303" s="115">
        <f t="shared" ca="1" si="24"/>
        <v>46001</v>
      </c>
      <c r="Z303" s="115">
        <f t="shared" ca="1" si="24"/>
        <v>46002</v>
      </c>
      <c r="AB303" s="115">
        <f t="shared" ref="AB303:AV303" ca="1" si="25">F303</f>
        <v>45974</v>
      </c>
      <c r="AC303" s="115">
        <f t="shared" ca="1" si="25"/>
        <v>45975</v>
      </c>
      <c r="AD303" s="115">
        <f t="shared" ca="1" si="25"/>
        <v>45978</v>
      </c>
      <c r="AE303" s="115">
        <f t="shared" ca="1" si="25"/>
        <v>45979</v>
      </c>
      <c r="AF303" s="115">
        <f t="shared" ca="1" si="25"/>
        <v>45980</v>
      </c>
      <c r="AG303" s="115">
        <f t="shared" ca="1" si="25"/>
        <v>45981</v>
      </c>
      <c r="AH303" s="115">
        <f t="shared" ca="1" si="25"/>
        <v>45982</v>
      </c>
      <c r="AI303" s="115">
        <f t="shared" ca="1" si="25"/>
        <v>45985</v>
      </c>
      <c r="AJ303" s="115">
        <f t="shared" ca="1" si="25"/>
        <v>45986</v>
      </c>
      <c r="AK303" s="115">
        <f t="shared" ca="1" si="25"/>
        <v>45987</v>
      </c>
      <c r="AL303" s="115">
        <f t="shared" ca="1" si="25"/>
        <v>45988</v>
      </c>
      <c r="AM303" s="115">
        <f t="shared" ca="1" si="25"/>
        <v>45989</v>
      </c>
      <c r="AN303" s="115">
        <f t="shared" ca="1" si="25"/>
        <v>45992</v>
      </c>
      <c r="AO303" s="115">
        <f t="shared" ca="1" si="25"/>
        <v>45993</v>
      </c>
      <c r="AP303" s="115">
        <f t="shared" ca="1" si="25"/>
        <v>45994</v>
      </c>
      <c r="AQ303" s="115">
        <f t="shared" ca="1" si="25"/>
        <v>45995</v>
      </c>
      <c r="AR303" s="115">
        <f t="shared" ca="1" si="25"/>
        <v>45996</v>
      </c>
      <c r="AS303" s="115">
        <f t="shared" ca="1" si="25"/>
        <v>45999</v>
      </c>
      <c r="AT303" s="115">
        <f t="shared" ca="1" si="25"/>
        <v>46000</v>
      </c>
      <c r="AU303" s="115">
        <f t="shared" ca="1" si="25"/>
        <v>46001</v>
      </c>
      <c r="AV303" s="115">
        <f t="shared" ca="1" si="25"/>
        <v>46002</v>
      </c>
    </row>
    <row r="304" spans="1:50">
      <c r="F304" s="264" t="s">
        <v>266</v>
      </c>
      <c r="G304" s="264" t="s">
        <v>267</v>
      </c>
      <c r="H304" s="264" t="s">
        <v>268</v>
      </c>
      <c r="I304" s="264" t="s">
        <v>269</v>
      </c>
      <c r="J304" s="264" t="s">
        <v>270</v>
      </c>
      <c r="K304" s="264" t="s">
        <v>271</v>
      </c>
      <c r="L304" s="264" t="s">
        <v>272</v>
      </c>
      <c r="M304" s="264" t="s">
        <v>273</v>
      </c>
      <c r="N304" s="264" t="s">
        <v>274</v>
      </c>
      <c r="O304" s="264" t="s">
        <v>275</v>
      </c>
      <c r="P304" s="264" t="s">
        <v>276</v>
      </c>
      <c r="Q304" s="264" t="s">
        <v>277</v>
      </c>
      <c r="R304" s="264" t="s">
        <v>278</v>
      </c>
      <c r="S304" s="264" t="s">
        <v>279</v>
      </c>
      <c r="T304" s="264" t="s">
        <v>280</v>
      </c>
      <c r="U304" s="264" t="s">
        <v>281</v>
      </c>
      <c r="V304" s="264" t="s">
        <v>282</v>
      </c>
      <c r="W304" s="264" t="s">
        <v>283</v>
      </c>
      <c r="X304" s="264" t="s">
        <v>284</v>
      </c>
      <c r="Y304" s="264" t="s">
        <v>285</v>
      </c>
      <c r="Z304" s="264" t="s">
        <v>286</v>
      </c>
      <c r="AB304" s="277" t="s">
        <v>522</v>
      </c>
      <c r="AC304" s="277" t="s">
        <v>523</v>
      </c>
      <c r="AD304" s="277" t="s">
        <v>524</v>
      </c>
      <c r="AE304" s="277" t="s">
        <v>525</v>
      </c>
      <c r="AF304" s="277" t="s">
        <v>526</v>
      </c>
      <c r="AG304" s="277" t="s">
        <v>527</v>
      </c>
      <c r="AH304" s="277" t="s">
        <v>528</v>
      </c>
      <c r="AI304" s="277" t="s">
        <v>529</v>
      </c>
      <c r="AJ304" s="277" t="s">
        <v>530</v>
      </c>
      <c r="AK304" s="277" t="s">
        <v>531</v>
      </c>
      <c r="AL304" s="277" t="s">
        <v>532</v>
      </c>
      <c r="AM304" s="277" t="s">
        <v>533</v>
      </c>
      <c r="AN304" s="277" t="s">
        <v>534</v>
      </c>
      <c r="AO304" s="277" t="s">
        <v>535</v>
      </c>
      <c r="AP304" s="277" t="s">
        <v>536</v>
      </c>
      <c r="AQ304" s="277" t="s">
        <v>537</v>
      </c>
      <c r="AR304" s="277" t="s">
        <v>538</v>
      </c>
      <c r="AS304" s="277" t="s">
        <v>539</v>
      </c>
      <c r="AT304" s="277" t="s">
        <v>540</v>
      </c>
      <c r="AU304" s="277" t="s">
        <v>541</v>
      </c>
      <c r="AV304" s="277" t="s">
        <v>542</v>
      </c>
    </row>
    <row r="305" spans="1:50">
      <c r="A305" s="86" t="str">
        <f t="shared" ref="A305:A336" ca="1" si="26">A205</f>
        <v>AAPL</v>
      </c>
      <c r="F305" s="241">
        <v>266.93</v>
      </c>
      <c r="G305" s="241">
        <v>267.89</v>
      </c>
      <c r="H305" s="241">
        <v>266.77999999999997</v>
      </c>
      <c r="I305" s="241">
        <v>269.60000000000002</v>
      </c>
      <c r="J305" s="241">
        <v>265.32</v>
      </c>
      <c r="K305" s="241">
        <v>265.5</v>
      </c>
      <c r="L305" s="241">
        <v>266.52</v>
      </c>
      <c r="M305" s="241">
        <v>265.82</v>
      </c>
      <c r="N305" s="241">
        <v>276.63</v>
      </c>
      <c r="O305" s="241">
        <v>276.63</v>
      </c>
      <c r="P305" s="241">
        <v>275.98649999999998</v>
      </c>
      <c r="Q305" s="241">
        <v>276.14</v>
      </c>
      <c r="R305" s="241">
        <v>282.63010000000003</v>
      </c>
      <c r="S305" s="241">
        <v>285.89999999999998</v>
      </c>
      <c r="T305" s="241">
        <v>283.3</v>
      </c>
      <c r="U305" s="241">
        <v>279.81</v>
      </c>
      <c r="V305" s="241">
        <v>278.05</v>
      </c>
      <c r="W305" s="241">
        <v>277.02999999999997</v>
      </c>
      <c r="X305" s="241">
        <v>276.44</v>
      </c>
      <c r="Y305" s="241">
        <v>273.81</v>
      </c>
      <c r="Z305" s="243">
        <f ca="1">[1]ExtEntry!$I3</f>
        <v>273.81</v>
      </c>
      <c r="AB305" s="259">
        <v>14535</v>
      </c>
      <c r="AC305" s="259">
        <v>21850</v>
      </c>
      <c r="AD305" s="259">
        <v>-16843.5</v>
      </c>
      <c r="AE305" s="259">
        <v>12920.000000000466</v>
      </c>
      <c r="AF305" s="259">
        <v>-24225</v>
      </c>
      <c r="AG305" s="259">
        <v>43034.999999999534</v>
      </c>
      <c r="AH305" s="259">
        <v>-39424.999999999534</v>
      </c>
      <c r="AI305" s="259">
        <v>57190</v>
      </c>
      <c r="AJ305" s="259">
        <v>10354.999999999534</v>
      </c>
      <c r="AK305" s="259">
        <v>5605</v>
      </c>
      <c r="AL305" s="259">
        <v>15105</v>
      </c>
      <c r="AM305" s="259">
        <v>25650</v>
      </c>
      <c r="AN305" s="259">
        <v>27122.5</v>
      </c>
      <c r="AO305" s="259">
        <v>8360</v>
      </c>
      <c r="AP305" s="259">
        <v>-19475</v>
      </c>
      <c r="AQ305" s="259">
        <v>-37430</v>
      </c>
      <c r="AR305" s="259">
        <v>-16720.000000000466</v>
      </c>
      <c r="AS305" s="259">
        <v>-5890</v>
      </c>
      <c r="AT305" s="259">
        <v>9784.9999999995343</v>
      </c>
      <c r="AU305" s="259">
        <v>-9120.0000000004657</v>
      </c>
      <c r="AV305" s="259">
        <f ca="1">Calc!AQ3</f>
        <v>-9120.0000000004657</v>
      </c>
      <c r="AX305" s="86" t="str">
        <f t="shared" ref="AX305:AX336" ca="1" si="27">A305</f>
        <v>AAPL</v>
      </c>
    </row>
    <row r="306" spans="1:50">
      <c r="A306" s="86" t="str">
        <f t="shared" ca="1" si="26"/>
        <v>ADEA</v>
      </c>
      <c r="F306" s="249">
        <v>12.7</v>
      </c>
      <c r="G306" s="249">
        <v>13.55</v>
      </c>
      <c r="H306" s="249">
        <v>13.66</v>
      </c>
      <c r="I306" s="249">
        <v>12.82</v>
      </c>
      <c r="J306" s="249">
        <v>11.98</v>
      </c>
      <c r="K306" s="249">
        <v>12.12</v>
      </c>
      <c r="L306" s="249">
        <v>11.85</v>
      </c>
      <c r="M306" s="249">
        <v>11.62</v>
      </c>
      <c r="N306" s="249">
        <v>12.3</v>
      </c>
      <c r="O306" s="249">
        <v>12.28</v>
      </c>
      <c r="P306" s="249">
        <v>12.25</v>
      </c>
      <c r="Q306" s="249">
        <v>12.14</v>
      </c>
      <c r="R306" s="249">
        <v>12.395</v>
      </c>
      <c r="S306" s="249">
        <v>12.305</v>
      </c>
      <c r="T306" s="249">
        <v>12.281499999999999</v>
      </c>
      <c r="U306" s="249">
        <v>12.47</v>
      </c>
      <c r="V306" s="249">
        <v>12.32</v>
      </c>
      <c r="W306" s="249">
        <v>12.7</v>
      </c>
      <c r="X306" s="249">
        <v>12.71</v>
      </c>
      <c r="Y306" s="249">
        <v>13.36</v>
      </c>
      <c r="Z306" s="243">
        <f ca="1">[1]ExtEntry!$I4</f>
        <v>13.36</v>
      </c>
      <c r="AB306" s="262">
        <v>4700</v>
      </c>
      <c r="AC306" s="262">
        <v>1925</v>
      </c>
      <c r="AD306" s="262">
        <v>1175</v>
      </c>
      <c r="AE306" s="262">
        <v>-500.00000000000728</v>
      </c>
      <c r="AF306" s="262">
        <v>350</v>
      </c>
      <c r="AG306" s="262">
        <v>-650</v>
      </c>
      <c r="AH306" s="262">
        <v>-2125</v>
      </c>
      <c r="AI306" s="262">
        <v>2250</v>
      </c>
      <c r="AJ306" s="262">
        <v>350.00000000000728</v>
      </c>
      <c r="AK306" s="262">
        <v>-400</v>
      </c>
      <c r="AL306" s="262">
        <v>299.99999999999272</v>
      </c>
      <c r="AM306" s="262">
        <v>1000</v>
      </c>
      <c r="AN306" s="262">
        <v>-225</v>
      </c>
      <c r="AO306" s="262">
        <v>-850</v>
      </c>
      <c r="AP306" s="262">
        <v>400</v>
      </c>
      <c r="AQ306" s="262">
        <v>-75</v>
      </c>
      <c r="AR306" s="262">
        <v>649.99999999999272</v>
      </c>
      <c r="AS306" s="262">
        <v>1325</v>
      </c>
      <c r="AT306" s="262">
        <v>4049.9999999999927</v>
      </c>
      <c r="AU306" s="262">
        <v>300</v>
      </c>
      <c r="AV306" s="259">
        <f ca="1">Calc!AQ4</f>
        <v>300</v>
      </c>
      <c r="AX306" s="86" t="str">
        <f t="shared" ca="1" si="27"/>
        <v>ADEA</v>
      </c>
    </row>
    <row r="307" spans="1:50">
      <c r="A307" s="86" t="str">
        <f t="shared" ca="1" si="26"/>
        <v>AET</v>
      </c>
      <c r="F307" s="241">
        <v>44.3</v>
      </c>
      <c r="G307" s="241">
        <v>44.3</v>
      </c>
      <c r="H307" s="241">
        <v>44.7</v>
      </c>
      <c r="I307" s="241">
        <v>45.2</v>
      </c>
      <c r="J307" s="241">
        <v>45</v>
      </c>
      <c r="K307" s="241">
        <v>44</v>
      </c>
      <c r="L307" s="241">
        <v>44.8</v>
      </c>
      <c r="M307" s="241">
        <v>42.3</v>
      </c>
      <c r="N307" s="241">
        <v>40.1</v>
      </c>
      <c r="O307" s="241">
        <v>38.799999999999997</v>
      </c>
      <c r="P307" s="241">
        <v>38</v>
      </c>
      <c r="Q307" s="241">
        <v>37</v>
      </c>
      <c r="R307" s="241">
        <v>38.1</v>
      </c>
      <c r="S307" s="241">
        <v>38.299999999999997</v>
      </c>
      <c r="T307" s="241">
        <v>38.299999999999997</v>
      </c>
      <c r="U307" s="241">
        <v>38.4</v>
      </c>
      <c r="V307" s="241">
        <v>38</v>
      </c>
      <c r="W307" s="241">
        <v>38.4</v>
      </c>
      <c r="X307" s="241">
        <v>38.700000000000003</v>
      </c>
      <c r="Y307" s="241">
        <v>38.5</v>
      </c>
      <c r="Z307" s="243">
        <f ca="1">[1]ExtEntry!$I5</f>
        <v>38.5</v>
      </c>
      <c r="AB307" s="259">
        <v>13940</v>
      </c>
      <c r="AC307" s="259">
        <v>-12300</v>
      </c>
      <c r="AD307" s="259">
        <v>0</v>
      </c>
      <c r="AE307" s="259">
        <v>-8200</v>
      </c>
      <c r="AF307" s="259">
        <v>-13120</v>
      </c>
      <c r="AG307" s="259">
        <v>-13120</v>
      </c>
      <c r="AH307" s="259">
        <v>-2460</v>
      </c>
      <c r="AI307" s="259">
        <v>-8200</v>
      </c>
      <c r="AJ307" s="259">
        <v>-16400</v>
      </c>
      <c r="AK307" s="259">
        <v>-13120.000000000038</v>
      </c>
      <c r="AL307" s="259">
        <v>-6559.9999999999627</v>
      </c>
      <c r="AM307" s="259">
        <v>0</v>
      </c>
      <c r="AN307" s="259">
        <v>-13120.000000000038</v>
      </c>
      <c r="AO307" s="259">
        <v>4100</v>
      </c>
      <c r="AP307" s="259">
        <v>-820</v>
      </c>
      <c r="AQ307" s="259">
        <v>-3280</v>
      </c>
      <c r="AR307" s="259">
        <v>5740.0000000000373</v>
      </c>
      <c r="AS307" s="259">
        <v>820</v>
      </c>
      <c r="AT307" s="259">
        <v>8200</v>
      </c>
      <c r="AU307" s="259">
        <v>-8200</v>
      </c>
      <c r="AV307" s="259">
        <f ca="1">Calc!AQ5</f>
        <v>-8200</v>
      </c>
      <c r="AX307" s="86" t="str">
        <f t="shared" ca="1" si="27"/>
        <v>AET</v>
      </c>
    </row>
    <row r="308" spans="1:50">
      <c r="A308" s="86" t="str">
        <f t="shared" ca="1" si="26"/>
        <v>AMZN</v>
      </c>
      <c r="F308" s="249">
        <v>246.16</v>
      </c>
      <c r="G308" s="249">
        <v>242.17</v>
      </c>
      <c r="H308" s="249">
        <v>238.49</v>
      </c>
      <c r="I308" s="249">
        <v>232.89</v>
      </c>
      <c r="J308" s="249">
        <v>222.42</v>
      </c>
      <c r="K308" s="249">
        <v>218.53</v>
      </c>
      <c r="L308" s="249">
        <v>218.2</v>
      </c>
      <c r="M308" s="249">
        <v>215.18</v>
      </c>
      <c r="N308" s="249">
        <v>228.77</v>
      </c>
      <c r="O308" s="249">
        <v>228.77</v>
      </c>
      <c r="P308" s="249">
        <v>230.22</v>
      </c>
      <c r="Q308" s="249">
        <v>232.25</v>
      </c>
      <c r="R308" s="249">
        <v>233.55</v>
      </c>
      <c r="S308" s="249">
        <v>230.64</v>
      </c>
      <c r="T308" s="249">
        <v>230.61</v>
      </c>
      <c r="U308" s="249">
        <v>226.8</v>
      </c>
      <c r="V308" s="249">
        <v>228.547</v>
      </c>
      <c r="W308" s="249">
        <v>225.11</v>
      </c>
      <c r="X308" s="249">
        <v>228.46</v>
      </c>
      <c r="Y308" s="249">
        <v>228.6901</v>
      </c>
      <c r="Z308" s="243">
        <f ca="1">[1]ExtEntry!$I6</f>
        <v>228.6901</v>
      </c>
      <c r="AB308" s="262">
        <v>14040</v>
      </c>
      <c r="AC308" s="262">
        <v>-64123.200000000186</v>
      </c>
      <c r="AD308" s="262">
        <v>18720</v>
      </c>
      <c r="AE308" s="262">
        <v>-4440</v>
      </c>
      <c r="AF308" s="262">
        <v>-66600</v>
      </c>
      <c r="AG308" s="262">
        <v>-28896</v>
      </c>
      <c r="AH308" s="262">
        <v>-93120</v>
      </c>
      <c r="AI308" s="262">
        <v>60300</v>
      </c>
      <c r="AJ308" s="262">
        <v>-11760</v>
      </c>
      <c r="AK308" s="262">
        <v>-18960</v>
      </c>
      <c r="AL308" s="262">
        <v>23760</v>
      </c>
      <c r="AM308" s="262">
        <v>21600</v>
      </c>
      <c r="AN308" s="262">
        <v>-8460</v>
      </c>
      <c r="AO308" s="262">
        <v>-20400</v>
      </c>
      <c r="AP308" s="262">
        <v>-11640</v>
      </c>
      <c r="AQ308" s="262">
        <v>-65199.600000000093</v>
      </c>
      <c r="AR308" s="262">
        <v>-9480</v>
      </c>
      <c r="AS308" s="262">
        <v>10285.199999999721</v>
      </c>
      <c r="AT308" s="262">
        <v>35700</v>
      </c>
      <c r="AU308" s="262">
        <v>-8040</v>
      </c>
      <c r="AV308" s="259">
        <f ca="1">Calc!AQ6</f>
        <v>-8040</v>
      </c>
      <c r="AX308" s="86" t="str">
        <f t="shared" ca="1" si="27"/>
        <v>AMZN</v>
      </c>
    </row>
    <row r="309" spans="1:50">
      <c r="A309" s="86" t="str">
        <f t="shared" ca="1" si="26"/>
        <v>ALDNE</v>
      </c>
      <c r="F309" s="241">
        <v>0.77</v>
      </c>
      <c r="G309" s="241">
        <v>0.77</v>
      </c>
      <c r="H309" s="241">
        <v>0.76200000000000001</v>
      </c>
      <c r="I309" s="241">
        <v>0.66200000000000003</v>
      </c>
      <c r="J309" s="241">
        <v>0.67</v>
      </c>
      <c r="K309" s="241">
        <v>0.66400000000000003</v>
      </c>
      <c r="L309" s="241">
        <v>0.66</v>
      </c>
      <c r="M309" s="241">
        <v>0.60199999999999998</v>
      </c>
      <c r="N309" s="241">
        <v>0.61</v>
      </c>
      <c r="O309" s="241">
        <v>0.61799999999999999</v>
      </c>
      <c r="P309" s="241">
        <v>0.60399999999999998</v>
      </c>
      <c r="Q309" s="241">
        <v>0.6</v>
      </c>
      <c r="R309" s="241">
        <v>0.61799999999999999</v>
      </c>
      <c r="S309" s="241">
        <v>0.61</v>
      </c>
      <c r="T309" s="241">
        <v>0.61</v>
      </c>
      <c r="U309" s="241">
        <v>0.62</v>
      </c>
      <c r="V309" s="241">
        <v>0.62</v>
      </c>
      <c r="W309" s="241">
        <v>0.59</v>
      </c>
      <c r="X309" s="241">
        <v>0.55000000000000004</v>
      </c>
      <c r="Y309" s="241">
        <v>0.55000000000000004</v>
      </c>
      <c r="Z309" s="243">
        <f ca="1">[1]ExtEntry!$I7</f>
        <v>0.55000000000000004</v>
      </c>
      <c r="AB309" s="259">
        <v>5060</v>
      </c>
      <c r="AC309" s="259">
        <v>5060</v>
      </c>
      <c r="AD309" s="259">
        <v>0</v>
      </c>
      <c r="AE309" s="259">
        <v>-136620</v>
      </c>
      <c r="AF309" s="259">
        <v>-30360.000000000233</v>
      </c>
      <c r="AG309" s="259">
        <v>15179.999999999534</v>
      </c>
      <c r="AH309" s="259">
        <v>-55659.999999999767</v>
      </c>
      <c r="AI309" s="259">
        <v>-30360</v>
      </c>
      <c r="AJ309" s="259">
        <v>-35420</v>
      </c>
      <c r="AK309" s="259">
        <v>0</v>
      </c>
      <c r="AL309" s="259">
        <v>-70840</v>
      </c>
      <c r="AM309" s="259">
        <v>-5060</v>
      </c>
      <c r="AN309" s="259">
        <v>5060</v>
      </c>
      <c r="AO309" s="259">
        <v>20240</v>
      </c>
      <c r="AP309" s="259">
        <v>15180</v>
      </c>
      <c r="AQ309" s="259">
        <v>-25300</v>
      </c>
      <c r="AR309" s="259">
        <v>-5060</v>
      </c>
      <c r="AS309" s="259">
        <v>-25300</v>
      </c>
      <c r="AT309" s="259">
        <v>15180</v>
      </c>
      <c r="AU309" s="259">
        <v>-91080</v>
      </c>
      <c r="AV309" s="259">
        <f ca="1">Calc!AQ7</f>
        <v>-91080</v>
      </c>
      <c r="AX309" s="86" t="str">
        <f t="shared" ca="1" si="27"/>
        <v>ALDNE</v>
      </c>
    </row>
    <row r="310" spans="1:50">
      <c r="A310" s="86" t="str">
        <f t="shared" ca="1" si="26"/>
        <v>ASML</v>
      </c>
      <c r="F310" s="249">
        <v>878.4</v>
      </c>
      <c r="G310" s="249">
        <v>891.2</v>
      </c>
      <c r="H310" s="249">
        <v>870.8</v>
      </c>
      <c r="I310" s="249">
        <v>841.3</v>
      </c>
      <c r="J310" s="249">
        <v>857.3</v>
      </c>
      <c r="K310" s="249">
        <v>857.3</v>
      </c>
      <c r="L310" s="249">
        <v>889.8</v>
      </c>
      <c r="M310" s="249">
        <v>822.2</v>
      </c>
      <c r="N310" s="249">
        <v>874.4</v>
      </c>
      <c r="O310" s="249">
        <v>896.2</v>
      </c>
      <c r="P310" s="249">
        <v>891.6</v>
      </c>
      <c r="Q310" s="249">
        <v>901.3</v>
      </c>
      <c r="R310" s="249">
        <v>925.2</v>
      </c>
      <c r="S310" s="249">
        <v>942.9</v>
      </c>
      <c r="T310" s="249">
        <v>942.9</v>
      </c>
      <c r="U310" s="249">
        <v>955.8</v>
      </c>
      <c r="V310" s="249">
        <v>951.6</v>
      </c>
      <c r="W310" s="249">
        <v>948.4</v>
      </c>
      <c r="X310" s="249">
        <v>944.3</v>
      </c>
      <c r="Y310" s="249">
        <v>931</v>
      </c>
      <c r="Z310" s="243">
        <f ca="1">[1]ExtEntry!$I8</f>
        <v>931</v>
      </c>
      <c r="AB310" s="262">
        <v>85320</v>
      </c>
      <c r="AC310" s="262">
        <v>-17980</v>
      </c>
      <c r="AD310" s="262">
        <v>-87420</v>
      </c>
      <c r="AE310" s="262">
        <v>21600</v>
      </c>
      <c r="AF310" s="262">
        <v>-5950</v>
      </c>
      <c r="AG310" s="262">
        <v>89250</v>
      </c>
      <c r="AH310" s="262">
        <v>-66500</v>
      </c>
      <c r="AI310" s="262">
        <v>-18200</v>
      </c>
      <c r="AJ310" s="262">
        <v>109760</v>
      </c>
      <c r="AK310" s="262">
        <v>-12800</v>
      </c>
      <c r="AL310" s="262">
        <v>23680</v>
      </c>
      <c r="AM310" s="262">
        <v>53440</v>
      </c>
      <c r="AN310" s="262">
        <v>27300</v>
      </c>
      <c r="AO310" s="262">
        <v>-15960</v>
      </c>
      <c r="AP310" s="262">
        <v>3920</v>
      </c>
      <c r="AQ310" s="262">
        <v>-49560</v>
      </c>
      <c r="AR310" s="262">
        <v>-25200</v>
      </c>
      <c r="AS310" s="262">
        <v>-31080</v>
      </c>
      <c r="AT310" s="262">
        <v>-50680</v>
      </c>
      <c r="AU310" s="262">
        <v>-11760</v>
      </c>
      <c r="AV310" s="259">
        <f ca="1">Calc!AQ8</f>
        <v>-11760</v>
      </c>
      <c r="AX310" s="86" t="str">
        <f t="shared" ca="1" si="27"/>
        <v>ASML</v>
      </c>
    </row>
    <row r="311" spans="1:50">
      <c r="A311" s="86" t="str">
        <f t="shared" ca="1" si="26"/>
        <v>AVGO</v>
      </c>
      <c r="F311" s="249">
        <v>350.09129999999999</v>
      </c>
      <c r="G311" s="249">
        <v>352.71</v>
      </c>
      <c r="H311" s="249">
        <v>337.27</v>
      </c>
      <c r="I311" s="249">
        <v>329.06</v>
      </c>
      <c r="J311" s="249">
        <v>335.51</v>
      </c>
      <c r="K311" s="249">
        <v>337.8</v>
      </c>
      <c r="L311" s="249">
        <v>350.15</v>
      </c>
      <c r="M311" s="249">
        <v>331.8</v>
      </c>
      <c r="N311" s="249">
        <v>383.26</v>
      </c>
      <c r="O311" s="249">
        <v>383.26</v>
      </c>
      <c r="P311" s="249">
        <v>397.16</v>
      </c>
      <c r="Q311" s="249">
        <v>385.64</v>
      </c>
      <c r="R311" s="249">
        <v>379.88</v>
      </c>
      <c r="S311" s="249">
        <v>370.65</v>
      </c>
      <c r="T311" s="249">
        <v>370.65</v>
      </c>
      <c r="U311" s="249">
        <v>376.53</v>
      </c>
      <c r="V311" s="249">
        <v>385.14519999999999</v>
      </c>
      <c r="W311" s="249">
        <v>395.51</v>
      </c>
      <c r="X311" s="249">
        <v>399.56</v>
      </c>
      <c r="Y311" s="249">
        <v>394.19</v>
      </c>
      <c r="Z311" s="243">
        <f ca="1">[1]ExtEntry!$I9</f>
        <v>394.19</v>
      </c>
      <c r="AB311" s="262">
        <v>3236</v>
      </c>
      <c r="AC311" s="262">
        <v>-1796</v>
      </c>
      <c r="AD311" s="262">
        <v>-2718</v>
      </c>
      <c r="AE311" s="262">
        <v>4396</v>
      </c>
      <c r="AF311" s="262">
        <v>-540</v>
      </c>
      <c r="AG311" s="262">
        <v>1454</v>
      </c>
      <c r="AH311" s="262">
        <v>-3094</v>
      </c>
      <c r="AI311" s="262">
        <v>-223.0399999999936</v>
      </c>
      <c r="AJ311" s="262">
        <v>1963.5</v>
      </c>
      <c r="AK311" s="262">
        <v>2404</v>
      </c>
      <c r="AL311" s="262">
        <v>722</v>
      </c>
      <c r="AM311" s="262">
        <v>-964</v>
      </c>
      <c r="AN311" s="262">
        <v>-1368</v>
      </c>
      <c r="AO311" s="262">
        <v>-838</v>
      </c>
      <c r="AP311" s="262">
        <v>122</v>
      </c>
      <c r="AQ311" s="262">
        <v>299.90000000000873</v>
      </c>
      <c r="AR311" s="262">
        <v>815</v>
      </c>
      <c r="AS311" s="262">
        <v>1439.820000000007</v>
      </c>
      <c r="AT311" s="262">
        <v>2154</v>
      </c>
      <c r="AU311" s="262">
        <v>332</v>
      </c>
      <c r="AV311" s="259">
        <f ca="1">Calc!AQ9</f>
        <v>332</v>
      </c>
      <c r="AX311" s="86" t="str">
        <f t="shared" ca="1" si="27"/>
        <v>AVGO</v>
      </c>
    </row>
    <row r="312" spans="1:50" hidden="1">
      <c r="A312" s="86" t="str">
        <f t="shared" ca="1" si="26"/>
        <v>AZN</v>
      </c>
      <c r="F312" s="249">
        <v>81.02</v>
      </c>
      <c r="G312" s="249">
        <v>83.37</v>
      </c>
      <c r="H312" s="249">
        <v>84.23</v>
      </c>
      <c r="I312" s="249">
        <v>88.28</v>
      </c>
      <c r="J312" s="249">
        <v>88.44</v>
      </c>
      <c r="K312" s="249">
        <v>88.85</v>
      </c>
      <c r="L312" s="249">
        <v>88.4101</v>
      </c>
      <c r="M312" s="249">
        <v>89.41</v>
      </c>
      <c r="N312" s="249">
        <v>92.84</v>
      </c>
      <c r="O312" s="249">
        <v>92.84</v>
      </c>
      <c r="P312" s="249">
        <v>92.05</v>
      </c>
      <c r="Q312" s="249">
        <v>90.63</v>
      </c>
      <c r="R312" s="249">
        <v>90.14</v>
      </c>
      <c r="S312" s="249">
        <v>90.52</v>
      </c>
      <c r="T312" s="249">
        <v>90.52</v>
      </c>
      <c r="U312" s="249">
        <v>89.77</v>
      </c>
      <c r="V312" s="249">
        <v>90.064999999999998</v>
      </c>
      <c r="W312" s="249">
        <v>89.96</v>
      </c>
      <c r="X312" s="249">
        <v>89.7</v>
      </c>
      <c r="Y312" s="249">
        <v>90.194999999999993</v>
      </c>
      <c r="Z312" s="243">
        <f ca="1">[1]ExtEntry!$I10</f>
        <v>90.194999999999993</v>
      </c>
      <c r="AB312" s="259">
        <v>-115</v>
      </c>
      <c r="AC312" s="259">
        <v>-307.5</v>
      </c>
      <c r="AD312" s="259">
        <v>22.5</v>
      </c>
      <c r="AE312" s="259">
        <v>292.5</v>
      </c>
      <c r="AF312" s="259">
        <v>260</v>
      </c>
      <c r="AG312" s="259">
        <v>-274.94999999999709</v>
      </c>
      <c r="AH312" s="259">
        <v>-570.40000000000146</v>
      </c>
      <c r="AI312" s="259">
        <v>1085</v>
      </c>
      <c r="AJ312" s="259">
        <v>372.5</v>
      </c>
      <c r="AK312" s="259">
        <v>160</v>
      </c>
      <c r="AL312" s="259">
        <v>80</v>
      </c>
      <c r="AM312" s="259">
        <v>-1060</v>
      </c>
      <c r="AN312" s="259">
        <v>-352.5</v>
      </c>
      <c r="AO312" s="259">
        <v>245</v>
      </c>
      <c r="AP312" s="259">
        <v>80</v>
      </c>
      <c r="AQ312" s="259">
        <v>-175</v>
      </c>
      <c r="AR312" s="259">
        <v>-255</v>
      </c>
      <c r="AS312" s="259">
        <v>-577.5</v>
      </c>
      <c r="AT312" s="259">
        <v>165</v>
      </c>
      <c r="AU312" s="259">
        <v>-170</v>
      </c>
      <c r="AV312" s="259">
        <f ca="1">Calc!AQ10</f>
        <v>-170</v>
      </c>
      <c r="AX312" s="86" t="str">
        <f t="shared" ca="1" si="27"/>
        <v>AZN</v>
      </c>
    </row>
    <row r="313" spans="1:50" hidden="1">
      <c r="A313" s="86" t="str">
        <f t="shared" ca="1" si="26"/>
        <v>BLDP</v>
      </c>
      <c r="F313" s="249">
        <v>3.37</v>
      </c>
      <c r="G313" s="249">
        <v>3.47</v>
      </c>
      <c r="H313" s="249">
        <v>3.21</v>
      </c>
      <c r="I313" s="249">
        <v>2.9340000000000002</v>
      </c>
      <c r="J313" s="249">
        <v>2.8119999999999998</v>
      </c>
      <c r="K313" s="249">
        <v>2.7850000000000001</v>
      </c>
      <c r="L313" s="249">
        <v>2.69</v>
      </c>
      <c r="M313" s="249">
        <v>2.57</v>
      </c>
      <c r="N313" s="249">
        <v>2.6610999999999998</v>
      </c>
      <c r="O313" s="249">
        <v>2.6610999999999998</v>
      </c>
      <c r="P313" s="249">
        <v>2.7671000000000001</v>
      </c>
      <c r="Q313" s="249">
        <v>2.66</v>
      </c>
      <c r="R313" s="249">
        <v>2.66</v>
      </c>
      <c r="S313" s="249">
        <v>2.61</v>
      </c>
      <c r="T313" s="249">
        <v>2.61</v>
      </c>
      <c r="U313" s="249">
        <v>2.63</v>
      </c>
      <c r="V313" s="249">
        <v>2.7101000000000002</v>
      </c>
      <c r="W313" s="249">
        <v>2.75</v>
      </c>
      <c r="X313" s="249">
        <v>2.7401</v>
      </c>
      <c r="Y313" s="249">
        <v>2.6612</v>
      </c>
      <c r="Z313" s="243">
        <f ca="1">[1]ExtEntry!$I11</f>
        <v>2.6612</v>
      </c>
      <c r="AB313" s="262">
        <v>5600</v>
      </c>
      <c r="AC313" s="262">
        <v>-1600</v>
      </c>
      <c r="AD313" s="262">
        <v>1500</v>
      </c>
      <c r="AE313" s="262">
        <v>1799.9999999999927</v>
      </c>
      <c r="AF313" s="262">
        <v>1400</v>
      </c>
      <c r="AG313" s="262">
        <v>-360</v>
      </c>
      <c r="AH313" s="262">
        <v>-4900.0000000000073</v>
      </c>
      <c r="AI313" s="262">
        <v>1400</v>
      </c>
      <c r="AJ313" s="262">
        <v>1100</v>
      </c>
      <c r="AK313" s="262">
        <v>1599.9999999999927</v>
      </c>
      <c r="AL313" s="262">
        <v>800</v>
      </c>
      <c r="AM313" s="262">
        <v>-800</v>
      </c>
      <c r="AN313" s="262">
        <v>700</v>
      </c>
      <c r="AO313" s="262">
        <v>-2200.0000000000073</v>
      </c>
      <c r="AP313" s="262">
        <v>-1400.0000000000073</v>
      </c>
      <c r="AQ313" s="262">
        <v>2001.9999999999927</v>
      </c>
      <c r="AR313" s="262">
        <v>400</v>
      </c>
      <c r="AS313" s="262">
        <v>1200</v>
      </c>
      <c r="AT313" s="262">
        <v>-400.00000000000728</v>
      </c>
      <c r="AU313" s="262">
        <v>2999.9999999999927</v>
      </c>
      <c r="AV313" s="259">
        <f ca="1">Calc!AQ11</f>
        <v>2999.9999999999927</v>
      </c>
      <c r="AX313" s="86" t="str">
        <f t="shared" ca="1" si="27"/>
        <v>BLDP</v>
      </c>
    </row>
    <row r="314" spans="1:50" hidden="1">
      <c r="A314" s="86" t="str">
        <f t="shared" ca="1" si="26"/>
        <v>BMRA</v>
      </c>
      <c r="F314" s="249">
        <v>2.5</v>
      </c>
      <c r="G314" s="249">
        <v>2.5</v>
      </c>
      <c r="H314" s="249">
        <v>2.36</v>
      </c>
      <c r="I314" s="249">
        <v>2.41</v>
      </c>
      <c r="J314" s="249">
        <v>2.1619000000000002</v>
      </c>
      <c r="K314" s="249">
        <v>2.1879</v>
      </c>
      <c r="L314" s="249">
        <v>2.19</v>
      </c>
      <c r="M314" s="249">
        <v>2.25</v>
      </c>
      <c r="N314" s="249">
        <v>2.35</v>
      </c>
      <c r="O314" s="249">
        <v>2.3199999999999998</v>
      </c>
      <c r="P314" s="249">
        <v>2.33</v>
      </c>
      <c r="Q314" s="249">
        <v>2.27</v>
      </c>
      <c r="R314" s="249">
        <v>2.27</v>
      </c>
      <c r="S314" s="249">
        <v>2.3007</v>
      </c>
      <c r="T314" s="249">
        <v>2.2599999999999998</v>
      </c>
      <c r="U314" s="249">
        <v>2.2599999999999998</v>
      </c>
      <c r="V314" s="249">
        <v>2.2999999999999998</v>
      </c>
      <c r="W314" s="249">
        <v>2.4500000000000002</v>
      </c>
      <c r="X314" s="249">
        <v>2.4283000000000001</v>
      </c>
      <c r="Y314" s="249">
        <v>2.5101</v>
      </c>
      <c r="Z314" s="243">
        <f ca="1">[1]ExtEntry!$I12</f>
        <v>2.5101</v>
      </c>
      <c r="AB314" s="259">
        <v>2200</v>
      </c>
      <c r="AC314" s="259">
        <v>-125.00000000000364</v>
      </c>
      <c r="AD314" s="259">
        <v>343.74999999999636</v>
      </c>
      <c r="AE314" s="259">
        <v>-755.00000000000364</v>
      </c>
      <c r="AF314" s="259">
        <v>-250</v>
      </c>
      <c r="AG314" s="259">
        <v>-562.49999999999636</v>
      </c>
      <c r="AH314" s="259">
        <v>125.00000000000364</v>
      </c>
      <c r="AI314" s="259">
        <v>0</v>
      </c>
      <c r="AJ314" s="259">
        <v>187.50000000000364</v>
      </c>
      <c r="AK314" s="259">
        <v>-375.00000000000364</v>
      </c>
      <c r="AL314" s="259">
        <v>0</v>
      </c>
      <c r="AM314" s="259">
        <v>-500</v>
      </c>
      <c r="AN314" s="259">
        <v>656.24999999999636</v>
      </c>
      <c r="AO314" s="259">
        <v>137.50000000000364</v>
      </c>
      <c r="AP314" s="259">
        <v>116.25</v>
      </c>
      <c r="AQ314" s="259">
        <v>517.5</v>
      </c>
      <c r="AR314" s="259">
        <v>500.00000000000364</v>
      </c>
      <c r="AS314" s="259">
        <v>500</v>
      </c>
      <c r="AT314" s="259">
        <v>750</v>
      </c>
      <c r="AU314" s="259">
        <v>125</v>
      </c>
      <c r="AV314" s="259">
        <f ca="1">Calc!AQ12</f>
        <v>125</v>
      </c>
      <c r="AX314" s="86" t="str">
        <f t="shared" ca="1" si="27"/>
        <v>BMRA</v>
      </c>
    </row>
    <row r="315" spans="1:50" hidden="1">
      <c r="A315" s="86" t="str">
        <f t="shared" ca="1" si="26"/>
        <v>C</v>
      </c>
      <c r="F315" s="249">
        <v>99.012</v>
      </c>
      <c r="G315" s="249">
        <v>99.98</v>
      </c>
      <c r="H315" s="249">
        <v>97.367099999999994</v>
      </c>
      <c r="I315" s="249">
        <v>98.147199999999998</v>
      </c>
      <c r="J315" s="249">
        <v>96.38</v>
      </c>
      <c r="K315" s="249">
        <v>98.09</v>
      </c>
      <c r="L315" s="249">
        <v>97.86</v>
      </c>
      <c r="M315" s="249">
        <v>95.830100000000002</v>
      </c>
      <c r="N315" s="249">
        <v>101.47</v>
      </c>
      <c r="O315" s="249">
        <v>101.46</v>
      </c>
      <c r="P315" s="249">
        <v>102.51</v>
      </c>
      <c r="Q315" s="249">
        <v>102.85</v>
      </c>
      <c r="R315" s="249">
        <v>103.01</v>
      </c>
      <c r="S315" s="249">
        <v>103.16</v>
      </c>
      <c r="T315" s="249">
        <v>103.1</v>
      </c>
      <c r="U315" s="249">
        <v>106.5</v>
      </c>
      <c r="V315" s="249">
        <v>107.51</v>
      </c>
      <c r="W315" s="249">
        <v>108.27</v>
      </c>
      <c r="X315" s="249">
        <v>109.26</v>
      </c>
      <c r="Y315" s="249">
        <v>111.1101</v>
      </c>
      <c r="Z315" s="243">
        <f ca="1">[1]ExtEntry!$I13</f>
        <v>111.1101</v>
      </c>
      <c r="AB315" s="262">
        <v>49.350000000000364</v>
      </c>
      <c r="AC315" s="262">
        <v>-48.299999999999272</v>
      </c>
      <c r="AD315" s="262">
        <v>11.550000000001091</v>
      </c>
      <c r="AE315" s="262">
        <v>49.350000000000364</v>
      </c>
      <c r="AF315" s="262">
        <v>86.099999999998545</v>
      </c>
      <c r="AG315" s="262">
        <v>140.69999999999891</v>
      </c>
      <c r="AH315" s="262">
        <v>-334.42500000000109</v>
      </c>
      <c r="AI315" s="262">
        <v>61.950000000000728</v>
      </c>
      <c r="AJ315" s="262">
        <v>110.77499999999964</v>
      </c>
      <c r="AK315" s="262">
        <v>82.950000000000728</v>
      </c>
      <c r="AL315" s="262">
        <v>89.25</v>
      </c>
      <c r="AM315" s="262">
        <v>-9.4499999999989086</v>
      </c>
      <c r="AN315" s="262">
        <v>-35.699999999998909</v>
      </c>
      <c r="AO315" s="262">
        <v>158.54999999999745</v>
      </c>
      <c r="AP315" s="262">
        <v>385.35000000000036</v>
      </c>
      <c r="AQ315" s="262">
        <v>189</v>
      </c>
      <c r="AR315" s="262">
        <v>121.79999999999927</v>
      </c>
      <c r="AS315" s="262">
        <v>22.575000000000728</v>
      </c>
      <c r="AT315" s="262">
        <v>185.85000000000036</v>
      </c>
      <c r="AU315" s="262">
        <v>50.924999999999272</v>
      </c>
      <c r="AV315" s="259">
        <f ca="1">Calc!AQ13</f>
        <v>50.924999999999272</v>
      </c>
      <c r="AX315" s="86" t="str">
        <f t="shared" ca="1" si="27"/>
        <v>C</v>
      </c>
    </row>
    <row r="316" spans="1:50" hidden="1">
      <c r="A316" s="86" t="str">
        <f t="shared" ca="1" si="26"/>
        <v>CSCO</v>
      </c>
      <c r="F316" s="249">
        <v>71.34</v>
      </c>
      <c r="G316" s="249">
        <v>70.690299999999993</v>
      </c>
      <c r="H316" s="249">
        <v>70.540000000000006</v>
      </c>
      <c r="I316" s="249">
        <v>75.840100000000007</v>
      </c>
      <c r="J316" s="249">
        <v>76.45</v>
      </c>
      <c r="K316" s="249">
        <v>77.16</v>
      </c>
      <c r="L316" s="249">
        <v>76.165000000000006</v>
      </c>
      <c r="M316" s="249">
        <v>75.47</v>
      </c>
      <c r="N316" s="249">
        <v>75.34</v>
      </c>
      <c r="O316" s="249">
        <v>75.34</v>
      </c>
      <c r="P316" s="249">
        <v>75.81</v>
      </c>
      <c r="Q316" s="249">
        <v>76.034999999999997</v>
      </c>
      <c r="R316" s="249">
        <v>75.760000000000005</v>
      </c>
      <c r="S316" s="249">
        <v>75.650000000000006</v>
      </c>
      <c r="T316" s="249">
        <v>75.650000000000006</v>
      </c>
      <c r="U316" s="249">
        <v>77.165099999999995</v>
      </c>
      <c r="V316" s="249">
        <v>77.394999999999996</v>
      </c>
      <c r="W316" s="249">
        <v>78.510000000000005</v>
      </c>
      <c r="X316" s="249">
        <v>78.8</v>
      </c>
      <c r="Y316" s="249">
        <v>78.825000000000003</v>
      </c>
      <c r="Z316" s="243">
        <f ca="1">[1]ExtEntry!$I14</f>
        <v>78.825000000000003</v>
      </c>
      <c r="AB316" s="259">
        <v>-120</v>
      </c>
      <c r="AC316" s="259">
        <v>-555</v>
      </c>
      <c r="AD316" s="259">
        <v>-465</v>
      </c>
      <c r="AE316" s="259">
        <v>1420</v>
      </c>
      <c r="AF316" s="259">
        <v>-180</v>
      </c>
      <c r="AG316" s="259">
        <v>1023.6000000000058</v>
      </c>
      <c r="AH316" s="259">
        <v>-2990</v>
      </c>
      <c r="AI316" s="259">
        <v>985</v>
      </c>
      <c r="AJ316" s="259">
        <v>-35</v>
      </c>
      <c r="AK316" s="259">
        <v>-385</v>
      </c>
      <c r="AL316" s="259">
        <v>800</v>
      </c>
      <c r="AM316" s="259">
        <v>-379.90000000000873</v>
      </c>
      <c r="AN316" s="259">
        <v>690</v>
      </c>
      <c r="AO316" s="259">
        <v>535</v>
      </c>
      <c r="AP316" s="259">
        <v>1165</v>
      </c>
      <c r="AQ316" s="259">
        <v>-115</v>
      </c>
      <c r="AR316" s="259">
        <v>0</v>
      </c>
      <c r="AS316" s="259">
        <v>815</v>
      </c>
      <c r="AT316" s="259">
        <v>1420</v>
      </c>
      <c r="AU316" s="259">
        <v>-1060</v>
      </c>
      <c r="AV316" s="259">
        <f ca="1">Calc!AQ14</f>
        <v>-1060</v>
      </c>
      <c r="AX316" s="86" t="str">
        <f t="shared" ca="1" si="27"/>
        <v>CSCO</v>
      </c>
    </row>
    <row r="317" spans="1:50" hidden="1">
      <c r="A317" s="86" t="str">
        <f t="shared" ca="1" si="26"/>
        <v>CVS</v>
      </c>
      <c r="F317" s="249">
        <v>77.89</v>
      </c>
      <c r="G317" s="249">
        <v>78.534999999999997</v>
      </c>
      <c r="H317" s="249">
        <v>78.290000000000006</v>
      </c>
      <c r="I317" s="249">
        <v>77.75</v>
      </c>
      <c r="J317" s="249">
        <v>77.334999999999994</v>
      </c>
      <c r="K317" s="249">
        <v>76.42</v>
      </c>
      <c r="L317" s="249">
        <v>75.95</v>
      </c>
      <c r="M317" s="249">
        <v>76.23</v>
      </c>
      <c r="N317" s="249">
        <v>78.284999999999997</v>
      </c>
      <c r="O317" s="249">
        <v>78.284999999999997</v>
      </c>
      <c r="P317" s="249">
        <v>79.7</v>
      </c>
      <c r="Q317" s="249">
        <v>79.125</v>
      </c>
      <c r="R317" s="249">
        <v>77.195099999999996</v>
      </c>
      <c r="S317" s="249">
        <v>76.739599999999996</v>
      </c>
      <c r="T317" s="249">
        <v>75</v>
      </c>
      <c r="U317" s="249">
        <v>74.14</v>
      </c>
      <c r="V317" s="249">
        <v>74.98</v>
      </c>
      <c r="W317" s="249">
        <v>78.295000000000002</v>
      </c>
      <c r="X317" s="249">
        <v>78.150000000000006</v>
      </c>
      <c r="Y317" s="249">
        <v>78.27</v>
      </c>
      <c r="Z317" s="243">
        <f ca="1">[1]ExtEntry!$I15</f>
        <v>78.27</v>
      </c>
      <c r="AB317" s="262">
        <v>0.57000000000000739</v>
      </c>
      <c r="AC317" s="262">
        <v>-3.0000000000001137E-2</v>
      </c>
      <c r="AD317" s="262">
        <v>-0.14999999999999147</v>
      </c>
      <c r="AE317" s="262">
        <v>-1.519999999999996</v>
      </c>
      <c r="AF317" s="262">
        <v>-0.40999999999999659</v>
      </c>
      <c r="AG317" s="262">
        <v>-1.4849999999999994</v>
      </c>
      <c r="AH317" s="262">
        <v>-0.875</v>
      </c>
      <c r="AI317" s="262">
        <v>1.2149999999999892</v>
      </c>
      <c r="AJ317" s="262">
        <v>1.25</v>
      </c>
      <c r="AK317" s="262">
        <v>1.0699999999999932</v>
      </c>
      <c r="AL317" s="262">
        <v>0.31999999999999318</v>
      </c>
      <c r="AM317" s="262">
        <v>-0.19000000000001194</v>
      </c>
      <c r="AN317" s="262">
        <v>-1.730000000000004</v>
      </c>
      <c r="AO317" s="262">
        <v>-0.65179999999999438</v>
      </c>
      <c r="AP317" s="262">
        <v>-2.8100000000000023</v>
      </c>
      <c r="AQ317" s="262">
        <v>-0.20510000000000161</v>
      </c>
      <c r="AR317" s="262">
        <v>-1.1000000000000085</v>
      </c>
      <c r="AS317" s="262">
        <v>-0.23999999999999488</v>
      </c>
      <c r="AT317" s="262">
        <v>0</v>
      </c>
      <c r="AU317" s="262">
        <v>1.789999999999992</v>
      </c>
      <c r="AV317" s="259">
        <f ca="1">Calc!AQ15</f>
        <v>1.789999999999992</v>
      </c>
      <c r="AX317" s="86" t="str">
        <f t="shared" ca="1" si="27"/>
        <v>CVS</v>
      </c>
    </row>
    <row r="318" spans="1:50" hidden="1">
      <c r="A318" s="86" t="str">
        <f t="shared" ca="1" si="26"/>
        <v>DDD</v>
      </c>
      <c r="F318" s="249">
        <v>2.4</v>
      </c>
      <c r="G318" s="249">
        <v>2.2599999999999998</v>
      </c>
      <c r="H318" s="249">
        <v>2.145</v>
      </c>
      <c r="I318" s="249">
        <v>2.0699999999999998</v>
      </c>
      <c r="J318" s="249">
        <v>2.0299999999999998</v>
      </c>
      <c r="K318" s="249">
        <v>2.04</v>
      </c>
      <c r="L318" s="249">
        <v>1.86</v>
      </c>
      <c r="M318" s="249">
        <v>1.82</v>
      </c>
      <c r="N318" s="249">
        <v>1.99</v>
      </c>
      <c r="O318" s="249">
        <v>1.99</v>
      </c>
      <c r="P318" s="249">
        <v>2.04</v>
      </c>
      <c r="Q318" s="249">
        <v>1.9750000000000001</v>
      </c>
      <c r="R318" s="249">
        <v>1.9844999999999999</v>
      </c>
      <c r="S318" s="249">
        <v>2.0400999999999998</v>
      </c>
      <c r="T318" s="249">
        <v>2.0400999999999998</v>
      </c>
      <c r="U318" s="249">
        <v>2.15</v>
      </c>
      <c r="V318" s="249">
        <v>2.16</v>
      </c>
      <c r="W318" s="249">
        <v>1.7</v>
      </c>
      <c r="X318" s="249">
        <v>1.76</v>
      </c>
      <c r="Y318" s="249">
        <v>1.76</v>
      </c>
      <c r="Z318" s="243">
        <f ca="1">[1]ExtEntry!$I16</f>
        <v>1.76</v>
      </c>
      <c r="AB318" s="259">
        <v>8500</v>
      </c>
      <c r="AC318" s="259">
        <v>-28475</v>
      </c>
      <c r="AD318" s="259">
        <v>424.9999999999709</v>
      </c>
      <c r="AE318" s="259">
        <v>6375</v>
      </c>
      <c r="AF318" s="259">
        <v>2550.0000000000291</v>
      </c>
      <c r="AG318" s="259">
        <v>-4675</v>
      </c>
      <c r="AH318" s="259">
        <v>-12749.999999999971</v>
      </c>
      <c r="AI318" s="259">
        <v>6375</v>
      </c>
      <c r="AJ318" s="259">
        <v>2975</v>
      </c>
      <c r="AK318" s="259">
        <v>2549.9999999999709</v>
      </c>
      <c r="AL318" s="259">
        <v>-850</v>
      </c>
      <c r="AM318" s="259">
        <v>-1275</v>
      </c>
      <c r="AN318" s="259">
        <v>5524.9999999999709</v>
      </c>
      <c r="AO318" s="259">
        <v>2125.0000000000582</v>
      </c>
      <c r="AP318" s="259">
        <v>12750.000000000058</v>
      </c>
      <c r="AQ318" s="259">
        <v>3825</v>
      </c>
      <c r="AR318" s="259">
        <v>-5950</v>
      </c>
      <c r="AS318" s="259">
        <v>-1275</v>
      </c>
      <c r="AT318" s="259">
        <v>-3400</v>
      </c>
      <c r="AU318" s="259">
        <v>14875</v>
      </c>
      <c r="AV318" s="259">
        <f ca="1">Calc!AQ16</f>
        <v>14875</v>
      </c>
      <c r="AX318" s="86" t="str">
        <f t="shared" ca="1" si="27"/>
        <v>DDD</v>
      </c>
    </row>
    <row r="319" spans="1:50" hidden="1">
      <c r="A319" s="86" t="str">
        <f t="shared" ca="1" si="26"/>
        <v>DIS</v>
      </c>
      <c r="F319" s="249">
        <v>110.6</v>
      </c>
      <c r="G319" s="249">
        <v>109.18</v>
      </c>
      <c r="H319" s="249">
        <v>110.04</v>
      </c>
      <c r="I319" s="249">
        <v>105.3</v>
      </c>
      <c r="J319" s="249">
        <v>105</v>
      </c>
      <c r="K319" s="249">
        <v>105.11</v>
      </c>
      <c r="L319" s="249">
        <v>102.78</v>
      </c>
      <c r="M319" s="249">
        <v>102.69</v>
      </c>
      <c r="N319" s="249">
        <v>102.88</v>
      </c>
      <c r="O319" s="249">
        <v>102.88</v>
      </c>
      <c r="P319" s="249">
        <v>103.24</v>
      </c>
      <c r="Q319" s="249">
        <v>104.5</v>
      </c>
      <c r="R319" s="249">
        <v>104.84</v>
      </c>
      <c r="S319" s="249">
        <v>104.47</v>
      </c>
      <c r="T319" s="249">
        <v>104.47</v>
      </c>
      <c r="U319" s="249">
        <v>104.51009999999999</v>
      </c>
      <c r="V319" s="249">
        <v>104.56</v>
      </c>
      <c r="W319" s="249">
        <v>106.56</v>
      </c>
      <c r="X319" s="249">
        <v>106.58</v>
      </c>
      <c r="Y319" s="249">
        <v>109.12</v>
      </c>
      <c r="Z319" s="243">
        <f ca="1">[1]ExtEntry!$I17</f>
        <v>109.12</v>
      </c>
      <c r="AB319" s="262">
        <v>-10</v>
      </c>
      <c r="AC319" s="262">
        <v>-1330</v>
      </c>
      <c r="AD319" s="262">
        <v>380</v>
      </c>
      <c r="AE319" s="262">
        <v>-1720</v>
      </c>
      <c r="AF319" s="262">
        <v>1180</v>
      </c>
      <c r="AG319" s="262">
        <v>-765</v>
      </c>
      <c r="AH319" s="262">
        <v>-2500</v>
      </c>
      <c r="AI319" s="262">
        <v>970</v>
      </c>
      <c r="AJ319" s="262">
        <v>585</v>
      </c>
      <c r="AK319" s="262">
        <v>115</v>
      </c>
      <c r="AL319" s="262">
        <v>1170</v>
      </c>
      <c r="AM319" s="262">
        <v>1640</v>
      </c>
      <c r="AN319" s="262">
        <v>-1555</v>
      </c>
      <c r="AO319" s="262">
        <v>-450</v>
      </c>
      <c r="AP319" s="262">
        <v>830</v>
      </c>
      <c r="AQ319" s="262">
        <v>-869.89999999999418</v>
      </c>
      <c r="AR319" s="262">
        <v>50</v>
      </c>
      <c r="AS319" s="262">
        <v>-1020</v>
      </c>
      <c r="AT319" s="262">
        <v>1710</v>
      </c>
      <c r="AU319" s="262">
        <v>2360</v>
      </c>
      <c r="AV319" s="259">
        <f ca="1">Calc!AQ17</f>
        <v>2360</v>
      </c>
      <c r="AX319" s="86" t="str">
        <f t="shared" ca="1" si="27"/>
        <v>DIS</v>
      </c>
    </row>
    <row r="320" spans="1:50" hidden="1">
      <c r="A320" s="86" t="str">
        <f t="shared" ca="1" si="26"/>
        <v>DSY</v>
      </c>
      <c r="F320" s="249">
        <v>23.75</v>
      </c>
      <c r="G320" s="249">
        <v>23.22</v>
      </c>
      <c r="H320" s="249">
        <v>23.03</v>
      </c>
      <c r="I320" s="249">
        <v>23.67</v>
      </c>
      <c r="J320" s="249">
        <v>22.96</v>
      </c>
      <c r="K320" s="249">
        <v>22.96</v>
      </c>
      <c r="L320" s="249">
        <v>23.25</v>
      </c>
      <c r="M320" s="249">
        <v>22.86</v>
      </c>
      <c r="N320" s="249">
        <v>23.84</v>
      </c>
      <c r="O320" s="249">
        <v>24.07</v>
      </c>
      <c r="P320" s="249">
        <v>24.01</v>
      </c>
      <c r="Q320" s="249">
        <v>23.62</v>
      </c>
      <c r="R320" s="249">
        <v>23.4</v>
      </c>
      <c r="S320" s="249">
        <v>23.08</v>
      </c>
      <c r="T320" s="249">
        <v>23.08</v>
      </c>
      <c r="U320" s="249">
        <v>23.4</v>
      </c>
      <c r="V320" s="249">
        <v>23.45</v>
      </c>
      <c r="W320" s="249">
        <v>23.3</v>
      </c>
      <c r="X320" s="249">
        <v>22.91</v>
      </c>
      <c r="Y320" s="249">
        <v>22.79</v>
      </c>
      <c r="Z320" s="243">
        <f ca="1">[1]ExtEntry!$I18</f>
        <v>22.79</v>
      </c>
      <c r="AB320" s="259">
        <v>480</v>
      </c>
      <c r="AC320" s="259">
        <v>-2280</v>
      </c>
      <c r="AD320" s="259">
        <v>0</v>
      </c>
      <c r="AE320" s="259">
        <v>-80</v>
      </c>
      <c r="AF320" s="259">
        <v>-120</v>
      </c>
      <c r="AG320" s="259">
        <v>720</v>
      </c>
      <c r="AH320" s="259">
        <v>-360</v>
      </c>
      <c r="AI320" s="259">
        <v>1960</v>
      </c>
      <c r="AJ320" s="259">
        <v>120</v>
      </c>
      <c r="AK320" s="259">
        <v>280</v>
      </c>
      <c r="AL320" s="259">
        <v>-200</v>
      </c>
      <c r="AM320" s="259">
        <v>-760</v>
      </c>
      <c r="AN320" s="259">
        <v>-1520</v>
      </c>
      <c r="AO320" s="259">
        <v>40</v>
      </c>
      <c r="AP320" s="259">
        <v>40</v>
      </c>
      <c r="AQ320" s="259">
        <v>1440</v>
      </c>
      <c r="AR320" s="259">
        <v>-120</v>
      </c>
      <c r="AS320" s="259">
        <v>-240</v>
      </c>
      <c r="AT320" s="259">
        <v>-1040</v>
      </c>
      <c r="AU320" s="259">
        <v>920</v>
      </c>
      <c r="AV320" s="259">
        <f ca="1">Calc!AQ18</f>
        <v>920</v>
      </c>
      <c r="AX320" s="86" t="str">
        <f t="shared" ca="1" si="27"/>
        <v>DSY</v>
      </c>
    </row>
    <row r="321" spans="1:50" hidden="1">
      <c r="A321" s="86" t="str">
        <f t="shared" ca="1" si="26"/>
        <v>DVA</v>
      </c>
      <c r="F321" s="249">
        <v>119.245</v>
      </c>
      <c r="G321" s="249">
        <v>120.48</v>
      </c>
      <c r="H321" s="249">
        <v>120.92</v>
      </c>
      <c r="I321" s="249">
        <v>121.51</v>
      </c>
      <c r="J321" s="249">
        <v>115.69</v>
      </c>
      <c r="K321" s="249">
        <v>113.97</v>
      </c>
      <c r="L321" s="249">
        <v>114.1125</v>
      </c>
      <c r="M321" s="249">
        <v>115.78</v>
      </c>
      <c r="N321" s="249">
        <v>119.9</v>
      </c>
      <c r="O321" s="249">
        <v>119.89</v>
      </c>
      <c r="P321" s="249">
        <v>119.6</v>
      </c>
      <c r="Q321" s="249">
        <v>118.66500000000001</v>
      </c>
      <c r="R321" s="249">
        <v>118</v>
      </c>
      <c r="S321" s="249">
        <v>119.57</v>
      </c>
      <c r="T321" s="249">
        <v>117.84</v>
      </c>
      <c r="U321" s="249">
        <v>117.01</v>
      </c>
      <c r="V321" s="249">
        <v>117.16</v>
      </c>
      <c r="W321" s="249">
        <v>116</v>
      </c>
      <c r="X321" s="249">
        <v>116.32</v>
      </c>
      <c r="Y321" s="249">
        <v>117.62</v>
      </c>
      <c r="Z321" s="243">
        <f ca="1">[1]ExtEntry!$I19</f>
        <v>117.62</v>
      </c>
      <c r="AB321" s="262">
        <v>4410</v>
      </c>
      <c r="AC321" s="262">
        <v>1920</v>
      </c>
      <c r="AD321" s="262">
        <v>3171</v>
      </c>
      <c r="AE321" s="262">
        <v>-2576</v>
      </c>
      <c r="AF321" s="262">
        <v>-266</v>
      </c>
      <c r="AG321" s="262">
        <v>-2205</v>
      </c>
      <c r="AH321" s="262">
        <v>-196</v>
      </c>
      <c r="AI321" s="262">
        <v>7168</v>
      </c>
      <c r="AJ321" s="262">
        <v>-2310</v>
      </c>
      <c r="AK321" s="262">
        <v>-1722</v>
      </c>
      <c r="AL321" s="262">
        <v>-588</v>
      </c>
      <c r="AM321" s="262">
        <v>1953</v>
      </c>
      <c r="AN321" s="262">
        <v>-819</v>
      </c>
      <c r="AO321" s="262">
        <v>504</v>
      </c>
      <c r="AP321" s="262">
        <v>-1372</v>
      </c>
      <c r="AQ321" s="262">
        <v>-980</v>
      </c>
      <c r="AR321" s="262">
        <v>-210</v>
      </c>
      <c r="AS321" s="262">
        <v>-1183</v>
      </c>
      <c r="AT321" s="262">
        <v>2422</v>
      </c>
      <c r="AU321" s="262">
        <v>1169</v>
      </c>
      <c r="AV321" s="259">
        <f ca="1">Calc!AQ19</f>
        <v>1169</v>
      </c>
      <c r="AX321" s="86" t="str">
        <f t="shared" ca="1" si="27"/>
        <v>DVA</v>
      </c>
    </row>
    <row r="322" spans="1:50" hidden="1">
      <c r="A322" s="86" t="str">
        <f t="shared" ca="1" si="26"/>
        <v>DXC</v>
      </c>
      <c r="F322" s="249">
        <v>13.59</v>
      </c>
      <c r="G322" s="249">
        <v>13.45</v>
      </c>
      <c r="H322" s="249">
        <v>13.03</v>
      </c>
      <c r="I322" s="249">
        <v>12.76</v>
      </c>
      <c r="J322" s="249">
        <v>12.154999999999999</v>
      </c>
      <c r="K322" s="249">
        <v>12.04</v>
      </c>
      <c r="L322" s="249">
        <v>11.82</v>
      </c>
      <c r="M322" s="249">
        <v>12.305</v>
      </c>
      <c r="N322" s="249">
        <v>12.98</v>
      </c>
      <c r="O322" s="249">
        <v>12.98</v>
      </c>
      <c r="P322" s="249">
        <v>12.992800000000001</v>
      </c>
      <c r="Q322" s="249">
        <v>13.1</v>
      </c>
      <c r="R322" s="249">
        <v>13.43</v>
      </c>
      <c r="S322" s="249">
        <v>13.4</v>
      </c>
      <c r="T322" s="249">
        <v>13.494999999999999</v>
      </c>
      <c r="U322" s="249">
        <v>13.6</v>
      </c>
      <c r="V322" s="249">
        <v>13.89</v>
      </c>
      <c r="W322" s="249">
        <v>14.39</v>
      </c>
      <c r="X322" s="249">
        <v>14.55</v>
      </c>
      <c r="Y322" s="249">
        <v>15.06</v>
      </c>
      <c r="Z322" s="243">
        <f ca="1">[1]ExtEntry!$I20</f>
        <v>15.06</v>
      </c>
      <c r="AB322" s="259">
        <v>1320</v>
      </c>
      <c r="AC322" s="259">
        <v>-870</v>
      </c>
      <c r="AD322" s="259">
        <v>-1950</v>
      </c>
      <c r="AE322" s="259">
        <v>-2040</v>
      </c>
      <c r="AF322" s="259">
        <v>-840</v>
      </c>
      <c r="AG322" s="259">
        <v>-660</v>
      </c>
      <c r="AH322" s="259">
        <v>-1800</v>
      </c>
      <c r="AI322" s="259">
        <v>2190</v>
      </c>
      <c r="AJ322" s="259">
        <v>510</v>
      </c>
      <c r="AK322" s="259">
        <v>300</v>
      </c>
      <c r="AL322" s="259">
        <v>750</v>
      </c>
      <c r="AM322" s="259">
        <v>1620</v>
      </c>
      <c r="AN322" s="259">
        <v>90</v>
      </c>
      <c r="AO322" s="259">
        <v>1680</v>
      </c>
      <c r="AP322" s="259">
        <v>900</v>
      </c>
      <c r="AQ322" s="259">
        <v>2067</v>
      </c>
      <c r="AR322" s="259">
        <v>1020</v>
      </c>
      <c r="AS322" s="259">
        <v>3180</v>
      </c>
      <c r="AT322" s="259">
        <v>1260</v>
      </c>
      <c r="AU322" s="259">
        <v>540</v>
      </c>
      <c r="AV322" s="259">
        <f ca="1">Calc!AQ20</f>
        <v>540</v>
      </c>
      <c r="AX322" s="86" t="str">
        <f t="shared" ca="1" si="27"/>
        <v>DXC</v>
      </c>
    </row>
    <row r="323" spans="1:50" hidden="1">
      <c r="A323" s="86" t="str">
        <f t="shared" ca="1" si="26"/>
        <v>EOAN</v>
      </c>
      <c r="F323" s="249">
        <v>15.824999999999999</v>
      </c>
      <c r="G323" s="249">
        <v>16</v>
      </c>
      <c r="H323" s="249">
        <v>15.994999999999999</v>
      </c>
      <c r="I323" s="249">
        <v>15.05</v>
      </c>
      <c r="J323" s="249">
        <v>15.23</v>
      </c>
      <c r="K323" s="249">
        <v>15.23</v>
      </c>
      <c r="L323" s="249">
        <v>15.345000000000001</v>
      </c>
      <c r="M323" s="249">
        <v>15.365</v>
      </c>
      <c r="N323" s="249">
        <v>15.25</v>
      </c>
      <c r="O323" s="249">
        <v>15.095000000000001</v>
      </c>
      <c r="P323" s="249">
        <v>15.23</v>
      </c>
      <c r="Q323" s="249">
        <v>15.22</v>
      </c>
      <c r="R323" s="249">
        <v>15.19</v>
      </c>
      <c r="S323" s="249">
        <v>15.4</v>
      </c>
      <c r="T323" s="249">
        <v>15.4</v>
      </c>
      <c r="U323" s="249">
        <v>15.565</v>
      </c>
      <c r="V323" s="249">
        <v>15.385</v>
      </c>
      <c r="W323" s="249">
        <v>15.484999999999999</v>
      </c>
      <c r="X323" s="249">
        <v>15.51</v>
      </c>
      <c r="Y323" s="249">
        <v>15</v>
      </c>
      <c r="Z323" s="243">
        <f ca="1">[1]ExtEntry!$I21</f>
        <v>15</v>
      </c>
      <c r="AB323" s="262">
        <v>3375</v>
      </c>
      <c r="AC323" s="262">
        <v>1125</v>
      </c>
      <c r="AD323" s="262">
        <v>0</v>
      </c>
      <c r="AE323" s="262">
        <v>300</v>
      </c>
      <c r="AF323" s="262">
        <v>-1275</v>
      </c>
      <c r="AG323" s="262">
        <v>-225</v>
      </c>
      <c r="AH323" s="262">
        <v>825</v>
      </c>
      <c r="AI323" s="262">
        <v>2475</v>
      </c>
      <c r="AJ323" s="262">
        <v>1350</v>
      </c>
      <c r="AK323" s="262">
        <v>-2250</v>
      </c>
      <c r="AL323" s="262">
        <v>750</v>
      </c>
      <c r="AM323" s="262">
        <v>-1725</v>
      </c>
      <c r="AN323" s="262">
        <v>1425</v>
      </c>
      <c r="AO323" s="262">
        <v>4500</v>
      </c>
      <c r="AP323" s="262">
        <v>6300</v>
      </c>
      <c r="AQ323" s="262">
        <v>-3150</v>
      </c>
      <c r="AR323" s="262">
        <v>-1950</v>
      </c>
      <c r="AS323" s="262">
        <v>2500</v>
      </c>
      <c r="AT323" s="262">
        <v>-125</v>
      </c>
      <c r="AU323" s="262">
        <v>-10625</v>
      </c>
      <c r="AV323" s="259">
        <f ca="1">Calc!AQ21</f>
        <v>-10625</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67.040000000000006</v>
      </c>
      <c r="G325" s="249">
        <v>68.212000000000003</v>
      </c>
      <c r="H325" s="249">
        <v>68.58</v>
      </c>
      <c r="I325" s="249">
        <v>70.44</v>
      </c>
      <c r="J325" s="249">
        <v>67.06</v>
      </c>
      <c r="K325" s="249">
        <v>67.61</v>
      </c>
      <c r="L325" s="249">
        <v>67.78</v>
      </c>
      <c r="M325" s="249">
        <v>68.19</v>
      </c>
      <c r="N325" s="249">
        <v>72.22</v>
      </c>
      <c r="O325" s="249">
        <v>72.22</v>
      </c>
      <c r="P325" s="249">
        <v>72.91</v>
      </c>
      <c r="Q325" s="249">
        <v>73.08</v>
      </c>
      <c r="R325" s="249">
        <v>72.099999999999994</v>
      </c>
      <c r="S325" s="249">
        <v>73.61</v>
      </c>
      <c r="T325" s="249">
        <v>73.61</v>
      </c>
      <c r="U325" s="249">
        <v>74.900000000000006</v>
      </c>
      <c r="V325" s="249">
        <v>75</v>
      </c>
      <c r="W325" s="249">
        <v>75.885000000000005</v>
      </c>
      <c r="X325" s="249">
        <v>77.099999999999994</v>
      </c>
      <c r="Y325" s="249">
        <v>80.3</v>
      </c>
      <c r="Z325" s="243">
        <f ca="1">[1]ExtEntry!$I23</f>
        <v>80.3</v>
      </c>
      <c r="AB325" s="262">
        <v>17.399999999999864</v>
      </c>
      <c r="AC325" s="262">
        <v>1.8999999999999773</v>
      </c>
      <c r="AD325" s="262">
        <v>17.199999999999932</v>
      </c>
      <c r="AE325" s="262">
        <v>-8.4000000000000909</v>
      </c>
      <c r="AF325" s="262">
        <v>1.1000000000000227</v>
      </c>
      <c r="AG325" s="262">
        <v>10.549999999999955</v>
      </c>
      <c r="AH325" s="262">
        <v>-5.2259999999999991</v>
      </c>
      <c r="AI325" s="262">
        <v>17.300000000000068</v>
      </c>
      <c r="AJ325" s="262">
        <v>7.1000000000000227</v>
      </c>
      <c r="AK325" s="262">
        <v>3.7000000000000455</v>
      </c>
      <c r="AL325" s="262">
        <v>5.7999999999999545</v>
      </c>
      <c r="AM325" s="262">
        <v>4.9549999999999272</v>
      </c>
      <c r="AN325" s="262">
        <v>5.0500000000000682</v>
      </c>
      <c r="AO325" s="262">
        <v>6.1500000000000909</v>
      </c>
      <c r="AP325" s="262">
        <v>10.799999999999955</v>
      </c>
      <c r="AQ325" s="262">
        <v>10.650000000000091</v>
      </c>
      <c r="AR325" s="262">
        <v>9.5499999999999545</v>
      </c>
      <c r="AS325" s="262">
        <v>8.75</v>
      </c>
      <c r="AT325" s="262">
        <v>3.6450000000000102</v>
      </c>
      <c r="AU325" s="262">
        <v>0.40500000000000114</v>
      </c>
      <c r="AV325" s="259">
        <f ca="1">Calc!AQ23</f>
        <v>0.40500000000000114</v>
      </c>
      <c r="AX325" s="86" t="str">
        <f t="shared" ca="1" si="27"/>
        <v>GM</v>
      </c>
    </row>
    <row r="326" spans="1:50" hidden="1">
      <c r="A326" s="86" t="str">
        <f t="shared" ca="1" si="26"/>
        <v>HPE</v>
      </c>
      <c r="F326" s="249">
        <v>23.39</v>
      </c>
      <c r="G326" s="249">
        <v>23.125</v>
      </c>
      <c r="H326" s="249">
        <v>22.79</v>
      </c>
      <c r="I326" s="249">
        <v>22.35</v>
      </c>
      <c r="J326" s="249">
        <v>20.72</v>
      </c>
      <c r="K326" s="249">
        <v>20.655000000000001</v>
      </c>
      <c r="L326" s="249">
        <v>20.010000000000002</v>
      </c>
      <c r="M326" s="249">
        <v>19.95</v>
      </c>
      <c r="N326" s="249">
        <v>21.105</v>
      </c>
      <c r="O326" s="249">
        <v>21.1</v>
      </c>
      <c r="P326" s="249">
        <v>21.54</v>
      </c>
      <c r="Q326" s="249">
        <v>21.48</v>
      </c>
      <c r="R326" s="249">
        <v>21.844999999999999</v>
      </c>
      <c r="S326" s="249">
        <v>21.824999999999999</v>
      </c>
      <c r="T326" s="249">
        <v>21.82</v>
      </c>
      <c r="U326" s="249">
        <v>22.3</v>
      </c>
      <c r="V326" s="249">
        <v>20.61</v>
      </c>
      <c r="W326" s="249">
        <v>23.67</v>
      </c>
      <c r="X326" s="249">
        <v>24.58</v>
      </c>
      <c r="Y326" s="249">
        <v>24.045000000000002</v>
      </c>
      <c r="Z326" s="243">
        <f ca="1">[1]ExtEntry!$I24</f>
        <v>24.045000000000002</v>
      </c>
      <c r="AB326" s="259">
        <v>920</v>
      </c>
      <c r="AC326" s="259">
        <v>-1794</v>
      </c>
      <c r="AD326" s="259">
        <v>1196</v>
      </c>
      <c r="AE326" s="259">
        <v>3219.9999999999709</v>
      </c>
      <c r="AF326" s="259">
        <v>-920</v>
      </c>
      <c r="AG326" s="259">
        <v>-782</v>
      </c>
      <c r="AH326" s="259">
        <v>-9236.7999999999593</v>
      </c>
      <c r="AI326" s="259">
        <v>4169.4400000000023</v>
      </c>
      <c r="AJ326" s="259">
        <v>-322</v>
      </c>
      <c r="AK326" s="259">
        <v>-644</v>
      </c>
      <c r="AL326" s="259">
        <v>2622</v>
      </c>
      <c r="AM326" s="259">
        <v>1610</v>
      </c>
      <c r="AN326" s="259">
        <v>-2806</v>
      </c>
      <c r="AO326" s="259">
        <v>1846</v>
      </c>
      <c r="AP326" s="259">
        <v>5467</v>
      </c>
      <c r="AQ326" s="259">
        <v>8165</v>
      </c>
      <c r="AR326" s="259">
        <v>34435</v>
      </c>
      <c r="AS326" s="259">
        <v>10721</v>
      </c>
      <c r="AT326" s="259">
        <v>7526</v>
      </c>
      <c r="AU326" s="259">
        <v>-2272</v>
      </c>
      <c r="AV326" s="259">
        <f ca="1">Calc!AQ24</f>
        <v>-2272</v>
      </c>
      <c r="AX326" s="86" t="str">
        <f t="shared" ca="1" si="27"/>
        <v>HPE</v>
      </c>
    </row>
    <row r="327" spans="1:50" hidden="1">
      <c r="A327" s="86" t="str">
        <f t="shared" ca="1" si="26"/>
        <v>HPQ</v>
      </c>
      <c r="F327" s="249">
        <v>25.76</v>
      </c>
      <c r="G327" s="249">
        <v>26.1</v>
      </c>
      <c r="H327" s="249">
        <v>25.82</v>
      </c>
      <c r="I327" s="249">
        <v>24.47</v>
      </c>
      <c r="J327" s="249">
        <v>22.395</v>
      </c>
      <c r="K327" s="249">
        <v>22.475000000000001</v>
      </c>
      <c r="L327" s="249">
        <v>22.265599999999999</v>
      </c>
      <c r="M327" s="249">
        <v>22.765000000000001</v>
      </c>
      <c r="N327" s="249">
        <v>23.5</v>
      </c>
      <c r="O327" s="249">
        <v>23.495000000000001</v>
      </c>
      <c r="P327" s="249">
        <v>23.835000000000001</v>
      </c>
      <c r="Q327" s="249">
        <v>23.98</v>
      </c>
      <c r="R327" s="249">
        <v>24.43</v>
      </c>
      <c r="S327" s="249">
        <v>24.97</v>
      </c>
      <c r="T327" s="249">
        <v>24.97</v>
      </c>
      <c r="U327" s="249">
        <v>25.11</v>
      </c>
      <c r="V327" s="249">
        <v>25.64</v>
      </c>
      <c r="W327" s="249">
        <v>24.745000000000001</v>
      </c>
      <c r="X327" s="249">
        <v>25.13</v>
      </c>
      <c r="Y327" s="249">
        <v>25.105</v>
      </c>
      <c r="Z327" s="243">
        <f ca="1">[1]ExtEntry!$I25</f>
        <v>25.105</v>
      </c>
      <c r="AB327" s="262">
        <v>3500</v>
      </c>
      <c r="AC327" s="262">
        <v>-2450</v>
      </c>
      <c r="AD327" s="262">
        <v>925</v>
      </c>
      <c r="AE327" s="262">
        <v>-934.99999999998545</v>
      </c>
      <c r="AF327" s="262">
        <v>0</v>
      </c>
      <c r="AG327" s="262">
        <v>-700</v>
      </c>
      <c r="AH327" s="262">
        <v>-1950.0000000000146</v>
      </c>
      <c r="AI327" s="262">
        <v>6574.9999999999854</v>
      </c>
      <c r="AJ327" s="262">
        <v>-824.99999999998545</v>
      </c>
      <c r="AK327" s="262">
        <v>-550</v>
      </c>
      <c r="AL327" s="262">
        <v>1400</v>
      </c>
      <c r="AM327" s="262">
        <v>2125</v>
      </c>
      <c r="AN327" s="262">
        <v>4400</v>
      </c>
      <c r="AO327" s="262">
        <v>625</v>
      </c>
      <c r="AP327" s="262">
        <v>-405</v>
      </c>
      <c r="AQ327" s="262">
        <v>4078.7999999999884</v>
      </c>
      <c r="AR327" s="262">
        <v>-450</v>
      </c>
      <c r="AS327" s="262">
        <v>4725</v>
      </c>
      <c r="AT327" s="262">
        <v>1440</v>
      </c>
      <c r="AU327" s="262">
        <v>2655</v>
      </c>
      <c r="AV327" s="259">
        <f ca="1">Calc!AQ25</f>
        <v>2655</v>
      </c>
      <c r="AX327" s="86" t="str">
        <f t="shared" ca="1" si="27"/>
        <v>HPQ</v>
      </c>
    </row>
    <row r="328" spans="1:50" hidden="1">
      <c r="A328" s="86" t="str">
        <f t="shared" ca="1" si="26"/>
        <v>IAG</v>
      </c>
      <c r="F328" s="249">
        <v>419.5</v>
      </c>
      <c r="G328" s="249">
        <v>412.7</v>
      </c>
      <c r="H328" s="249">
        <v>366.2</v>
      </c>
      <c r="I328" s="249">
        <v>382.2</v>
      </c>
      <c r="J328" s="249">
        <v>367.2</v>
      </c>
      <c r="K328" s="249">
        <v>367.2</v>
      </c>
      <c r="L328" s="249">
        <v>378</v>
      </c>
      <c r="M328" s="249">
        <v>374</v>
      </c>
      <c r="N328" s="249">
        <v>387.3</v>
      </c>
      <c r="O328" s="249">
        <v>395</v>
      </c>
      <c r="P328" s="249">
        <v>394.5</v>
      </c>
      <c r="Q328" s="249">
        <v>390.1</v>
      </c>
      <c r="R328" s="249">
        <v>388.8</v>
      </c>
      <c r="S328" s="249">
        <v>385.5</v>
      </c>
      <c r="T328" s="249">
        <v>385.5</v>
      </c>
      <c r="U328" s="249">
        <v>378.7</v>
      </c>
      <c r="V328" s="249">
        <v>384.2</v>
      </c>
      <c r="W328" s="249">
        <v>384.6</v>
      </c>
      <c r="X328" s="249">
        <v>384.8</v>
      </c>
      <c r="Y328" s="249">
        <v>385.8</v>
      </c>
      <c r="Z328" s="243">
        <f ca="1">[1]ExtEntry!$I26</f>
        <v>385.8</v>
      </c>
      <c r="AB328" s="259">
        <v>5330</v>
      </c>
      <c r="AC328" s="259">
        <v>-11310</v>
      </c>
      <c r="AD328" s="259">
        <v>-23980</v>
      </c>
      <c r="AE328" s="259">
        <v>-3500</v>
      </c>
      <c r="AF328" s="259">
        <v>-611</v>
      </c>
      <c r="AG328" s="259">
        <v>6600</v>
      </c>
      <c r="AH328" s="259">
        <v>-300</v>
      </c>
      <c r="AI328" s="259">
        <v>3960</v>
      </c>
      <c r="AJ328" s="259">
        <v>5610</v>
      </c>
      <c r="AK328" s="259">
        <v>-800</v>
      </c>
      <c r="AL328" s="259">
        <v>-800</v>
      </c>
      <c r="AM328" s="259">
        <v>-300</v>
      </c>
      <c r="AN328" s="259">
        <v>-4000</v>
      </c>
      <c r="AO328" s="259">
        <v>800</v>
      </c>
      <c r="AP328" s="259">
        <v>-500</v>
      </c>
      <c r="AQ328" s="259">
        <v>-7400</v>
      </c>
      <c r="AR328" s="259">
        <v>-2800</v>
      </c>
      <c r="AS328" s="259">
        <v>-2100</v>
      </c>
      <c r="AT328" s="259">
        <v>-700</v>
      </c>
      <c r="AU328" s="259">
        <v>8700</v>
      </c>
      <c r="AV328" s="259">
        <f ca="1">Calc!AQ26</f>
        <v>8700</v>
      </c>
      <c r="AX328" s="86" t="str">
        <f t="shared" ca="1" si="27"/>
        <v>IAG</v>
      </c>
    </row>
    <row r="329" spans="1:50" hidden="1">
      <c r="A329" s="86" t="str">
        <f t="shared" ca="1" si="26"/>
        <v>KR</v>
      </c>
      <c r="F329" s="249">
        <v>62.97</v>
      </c>
      <c r="G329" s="249">
        <v>62.59</v>
      </c>
      <c r="H329" s="249">
        <v>63.47</v>
      </c>
      <c r="I329" s="249">
        <v>65.5</v>
      </c>
      <c r="J329" s="249">
        <v>66.099999999999994</v>
      </c>
      <c r="K329" s="249">
        <v>67.2</v>
      </c>
      <c r="L329" s="249">
        <v>64.860500000000002</v>
      </c>
      <c r="M329" s="249">
        <v>65.61</v>
      </c>
      <c r="N329" s="249">
        <v>66.150000000000006</v>
      </c>
      <c r="O329" s="249">
        <v>66.150000000000006</v>
      </c>
      <c r="P329" s="249">
        <v>66.700800000000001</v>
      </c>
      <c r="Q329" s="249">
        <v>67.14</v>
      </c>
      <c r="R329" s="249">
        <v>66.400000000000006</v>
      </c>
      <c r="S329" s="249">
        <v>66.819999999999993</v>
      </c>
      <c r="T329" s="249">
        <v>66.13</v>
      </c>
      <c r="U329" s="249">
        <v>60.96</v>
      </c>
      <c r="V329" s="249">
        <v>62.67</v>
      </c>
      <c r="W329" s="249">
        <v>62.706899999999997</v>
      </c>
      <c r="X329" s="249">
        <v>61.2</v>
      </c>
      <c r="Y329" s="249">
        <v>61.5931</v>
      </c>
      <c r="Z329" s="243">
        <f ca="1">[1]ExtEntry!$I27</f>
        <v>61.5931</v>
      </c>
      <c r="AB329" s="262">
        <v>-4340</v>
      </c>
      <c r="AC329" s="262">
        <v>-175</v>
      </c>
      <c r="AD329" s="262">
        <v>6600</v>
      </c>
      <c r="AE329" s="262">
        <v>4650</v>
      </c>
      <c r="AF329" s="262">
        <v>5310</v>
      </c>
      <c r="AG329" s="262">
        <v>-60</v>
      </c>
      <c r="AH329" s="262">
        <v>-5580.0000000000582</v>
      </c>
      <c r="AI329" s="262">
        <v>2910</v>
      </c>
      <c r="AJ329" s="262">
        <v>6599.9999999999418</v>
      </c>
      <c r="AK329" s="262">
        <v>4050</v>
      </c>
      <c r="AL329" s="262">
        <v>1800</v>
      </c>
      <c r="AM329" s="262">
        <v>3200</v>
      </c>
      <c r="AN329" s="262">
        <v>-3625</v>
      </c>
      <c r="AO329" s="262">
        <v>-2050.0000000000582</v>
      </c>
      <c r="AP329" s="262">
        <v>-4100.0000000000582</v>
      </c>
      <c r="AQ329" s="262">
        <v>-6020</v>
      </c>
      <c r="AR329" s="262">
        <v>-2030</v>
      </c>
      <c r="AS329" s="262">
        <v>-3241</v>
      </c>
      <c r="AT329" s="262">
        <v>-8260</v>
      </c>
      <c r="AU329" s="262">
        <v>4235</v>
      </c>
      <c r="AV329" s="259">
        <f ca="1">Calc!AQ27</f>
        <v>4235</v>
      </c>
      <c r="AX329" s="86" t="str">
        <f t="shared" ca="1" si="27"/>
        <v>KR</v>
      </c>
    </row>
    <row r="330" spans="1:50" hidden="1">
      <c r="A330" s="86" t="str">
        <f t="shared" ca="1" si="26"/>
        <v>LNSR</v>
      </c>
      <c r="F330" s="249">
        <v>12.11</v>
      </c>
      <c r="G330" s="249">
        <v>11.3725</v>
      </c>
      <c r="H330" s="249">
        <v>10.6035</v>
      </c>
      <c r="I330" s="249">
        <v>10.1</v>
      </c>
      <c r="J330" s="249">
        <v>9.75</v>
      </c>
      <c r="K330" s="249">
        <v>9.9122000000000003</v>
      </c>
      <c r="L330" s="249">
        <v>9.8699999999999992</v>
      </c>
      <c r="M330" s="249">
        <v>9.69</v>
      </c>
      <c r="N330" s="249">
        <v>9.9700000000000006</v>
      </c>
      <c r="O330" s="249">
        <v>9.9700000000000006</v>
      </c>
      <c r="P330" s="249">
        <v>10.09</v>
      </c>
      <c r="Q330" s="249">
        <v>10.07</v>
      </c>
      <c r="R330" s="249">
        <v>10.135</v>
      </c>
      <c r="S330" s="249">
        <v>10.146599999999999</v>
      </c>
      <c r="T330" s="249">
        <v>10.146599999999999</v>
      </c>
      <c r="U330" s="249">
        <v>10.42</v>
      </c>
      <c r="V330" s="249">
        <v>11.1</v>
      </c>
      <c r="W330" s="249">
        <v>11.11</v>
      </c>
      <c r="X330" s="249">
        <v>11.22</v>
      </c>
      <c r="Y330" s="249">
        <v>11.39</v>
      </c>
      <c r="Z330" s="243">
        <f ca="1">[1]ExtEntry!$I28</f>
        <v>11.39</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10.52</v>
      </c>
      <c r="G331" s="249">
        <v>10.6</v>
      </c>
      <c r="H331" s="249">
        <v>10.1501</v>
      </c>
      <c r="I331" s="249">
        <v>7.6</v>
      </c>
      <c r="J331" s="249">
        <v>7.48</v>
      </c>
      <c r="K331" s="249">
        <v>7.4950000000000001</v>
      </c>
      <c r="L331" s="249">
        <v>7.53</v>
      </c>
      <c r="M331" s="249">
        <v>7.29</v>
      </c>
      <c r="N331" s="249">
        <v>7.96</v>
      </c>
      <c r="O331" s="249">
        <v>7.95</v>
      </c>
      <c r="P331" s="249">
        <v>8</v>
      </c>
      <c r="Q331" s="249">
        <v>7.89</v>
      </c>
      <c r="R331" s="249">
        <v>8.3849999999999998</v>
      </c>
      <c r="S331" s="249">
        <v>8.81</v>
      </c>
      <c r="T331" s="249">
        <v>8.81</v>
      </c>
      <c r="U331" s="249">
        <v>8.85</v>
      </c>
      <c r="V331" s="249">
        <v>8.17</v>
      </c>
      <c r="W331" s="249">
        <v>8.2101000000000006</v>
      </c>
      <c r="X331" s="249">
        <v>8.33</v>
      </c>
      <c r="Y331" s="249">
        <v>8.3699999999999992</v>
      </c>
      <c r="Z331" s="243">
        <f ca="1">[1]ExtEntry!$I29</f>
        <v>8.3699999999999992</v>
      </c>
      <c r="AB331" s="262">
        <v>2.0500000000000114</v>
      </c>
      <c r="AC331" s="262">
        <v>-0.89999999999999147</v>
      </c>
      <c r="AD331" s="262">
        <v>-3.9500000000000171</v>
      </c>
      <c r="AE331" s="262">
        <v>2.4500000000000028</v>
      </c>
      <c r="AF331" s="262">
        <v>-2.7999999999999972</v>
      </c>
      <c r="AG331" s="262">
        <v>-2.1500000000000199</v>
      </c>
      <c r="AH331" s="262">
        <v>-5.3440000000000083</v>
      </c>
      <c r="AI331" s="262">
        <v>1.8500000000000085</v>
      </c>
      <c r="AJ331" s="262">
        <v>1.1999999999999886</v>
      </c>
      <c r="AK331" s="262">
        <v>1.0499999999999972</v>
      </c>
      <c r="AL331" s="262">
        <v>-0.34999999999999432</v>
      </c>
      <c r="AM331" s="262">
        <v>2.5499999999999972</v>
      </c>
      <c r="AN331" s="262">
        <v>7.4499999999999886</v>
      </c>
      <c r="AO331" s="262">
        <v>-0.45000000000000284</v>
      </c>
      <c r="AP331" s="262">
        <v>4.4500000000000028</v>
      </c>
      <c r="AQ331" s="262">
        <v>-4.599000000000018</v>
      </c>
      <c r="AR331" s="262">
        <v>-4.6000000000000085</v>
      </c>
      <c r="AS331" s="262">
        <v>0.55100000000000193</v>
      </c>
      <c r="AT331" s="262">
        <v>2.1499999999999915</v>
      </c>
      <c r="AU331" s="262">
        <v>0.40000000000000568</v>
      </c>
      <c r="AV331" s="259">
        <f ca="1">Calc!AQ29</f>
        <v>0.40000000000000568</v>
      </c>
      <c r="AX331" s="86" t="str">
        <f t="shared" ca="1" si="27"/>
        <v>LUMN</v>
      </c>
    </row>
    <row r="332" spans="1:50" hidden="1">
      <c r="A332" s="86" t="str">
        <f t="shared" ca="1" si="26"/>
        <v>MRNA</v>
      </c>
      <c r="F332" s="249">
        <v>23.48</v>
      </c>
      <c r="G332" s="249">
        <v>23.661999999999999</v>
      </c>
      <c r="H332" s="249">
        <v>23.4</v>
      </c>
      <c r="I332" s="249">
        <v>24.18</v>
      </c>
      <c r="J332" s="249">
        <v>23.8</v>
      </c>
      <c r="K332" s="249">
        <v>24.105</v>
      </c>
      <c r="L332" s="249">
        <v>22.76</v>
      </c>
      <c r="M332" s="249">
        <v>22.29</v>
      </c>
      <c r="N332" s="249">
        <v>24.38</v>
      </c>
      <c r="O332" s="249">
        <v>24.38</v>
      </c>
      <c r="P332" s="249">
        <v>24.87</v>
      </c>
      <c r="Q332" s="249">
        <v>24.274999999999999</v>
      </c>
      <c r="R332" s="249">
        <v>23.92</v>
      </c>
      <c r="S332" s="249">
        <v>23.93</v>
      </c>
      <c r="T332" s="249">
        <v>23.93</v>
      </c>
      <c r="U332" s="249">
        <v>24.7</v>
      </c>
      <c r="V332" s="249">
        <v>25.38</v>
      </c>
      <c r="W332" s="249">
        <v>27.5</v>
      </c>
      <c r="X332" s="249">
        <v>27.975000000000001</v>
      </c>
      <c r="Y332" s="249">
        <v>28.89</v>
      </c>
      <c r="Z332" s="243">
        <f ca="1">[1]ExtEntry!$I30</f>
        <v>28.89</v>
      </c>
      <c r="AB332" s="259">
        <v>-4260</v>
      </c>
      <c r="AC332" s="259">
        <v>-13020</v>
      </c>
      <c r="AD332" s="259">
        <v>7860</v>
      </c>
      <c r="AE332" s="259">
        <v>4020</v>
      </c>
      <c r="AF332" s="259">
        <v>5160</v>
      </c>
      <c r="AG332" s="259">
        <v>-8040</v>
      </c>
      <c r="AH332" s="259">
        <v>-19920</v>
      </c>
      <c r="AI332" s="259">
        <v>13260</v>
      </c>
      <c r="AJ332" s="259">
        <v>1860</v>
      </c>
      <c r="AK332" s="259">
        <v>2760</v>
      </c>
      <c r="AL332" s="259">
        <v>11640</v>
      </c>
      <c r="AM332" s="259">
        <v>-8160</v>
      </c>
      <c r="AN332" s="259">
        <v>-1080</v>
      </c>
      <c r="AO332" s="259">
        <v>6421.2000000000116</v>
      </c>
      <c r="AP332" s="259">
        <v>13572</v>
      </c>
      <c r="AQ332" s="259">
        <v>6540</v>
      </c>
      <c r="AR332" s="259">
        <v>25440</v>
      </c>
      <c r="AS332" s="259">
        <v>8796</v>
      </c>
      <c r="AT332" s="259">
        <v>9720</v>
      </c>
      <c r="AU332" s="259">
        <v>7560</v>
      </c>
      <c r="AV332" s="259">
        <f ca="1">Calc!AQ30</f>
        <v>7560</v>
      </c>
      <c r="AX332" s="86" t="str">
        <f t="shared" ca="1" si="27"/>
        <v>MRNA</v>
      </c>
    </row>
    <row r="333" spans="1:50" hidden="1">
      <c r="A333" s="86" t="str">
        <f t="shared" ca="1" si="26"/>
        <v>MSFT</v>
      </c>
      <c r="F333" s="249">
        <v>506.57499999999999</v>
      </c>
      <c r="G333" s="249">
        <v>495.81</v>
      </c>
      <c r="H333" s="249">
        <v>493.25</v>
      </c>
      <c r="I333" s="249">
        <v>497.44</v>
      </c>
      <c r="J333" s="249">
        <v>486.78</v>
      </c>
      <c r="K333" s="249">
        <v>486.125</v>
      </c>
      <c r="L333" s="249">
        <v>478.29</v>
      </c>
      <c r="M333" s="249">
        <v>468.27</v>
      </c>
      <c r="N333" s="249">
        <v>481.21</v>
      </c>
      <c r="O333" s="249">
        <v>481.2</v>
      </c>
      <c r="P333" s="249">
        <v>486.65</v>
      </c>
      <c r="Q333" s="249">
        <v>484.64749999999998</v>
      </c>
      <c r="R333" s="249">
        <v>486.32</v>
      </c>
      <c r="S333" s="249">
        <v>475.2</v>
      </c>
      <c r="T333" s="249">
        <v>475.2</v>
      </c>
      <c r="U333" s="249">
        <v>476.49</v>
      </c>
      <c r="V333" s="249">
        <v>478.88010000000003</v>
      </c>
      <c r="W333" s="249">
        <v>488.50009999999997</v>
      </c>
      <c r="X333" s="249">
        <v>475.08</v>
      </c>
      <c r="Y333" s="249">
        <v>475.86</v>
      </c>
      <c r="Z333" s="243">
        <f ca="1">[1]ExtEntry!$I31</f>
        <v>475.86</v>
      </c>
      <c r="AB333" s="262">
        <v>-60172</v>
      </c>
      <c r="AC333" s="262">
        <v>-83790</v>
      </c>
      <c r="AD333" s="262">
        <v>6174</v>
      </c>
      <c r="AE333" s="262">
        <v>117110</v>
      </c>
      <c r="AF333" s="262">
        <v>-15435</v>
      </c>
      <c r="AG333" s="262">
        <v>-28126</v>
      </c>
      <c r="AH333" s="262">
        <v>-131825.6799999997</v>
      </c>
      <c r="AI333" s="262">
        <v>-36358</v>
      </c>
      <c r="AJ333" s="262">
        <v>5096</v>
      </c>
      <c r="AK333" s="262">
        <v>-7938</v>
      </c>
      <c r="AL333" s="262">
        <v>42385</v>
      </c>
      <c r="AM333" s="262">
        <v>8428</v>
      </c>
      <c r="AN333" s="262">
        <v>28420</v>
      </c>
      <c r="AO333" s="262">
        <v>72667</v>
      </c>
      <c r="AP333" s="262">
        <v>14100</v>
      </c>
      <c r="AQ333" s="262">
        <v>-10950</v>
      </c>
      <c r="AR333" s="262">
        <v>6450</v>
      </c>
      <c r="AS333" s="262">
        <v>18385</v>
      </c>
      <c r="AT333" s="262">
        <v>-57060</v>
      </c>
      <c r="AU333" s="262">
        <v>70700</v>
      </c>
      <c r="AV333" s="259">
        <f ca="1">Calc!AQ31</f>
        <v>70700</v>
      </c>
      <c r="AX333" s="86" t="str">
        <f t="shared" ca="1" si="27"/>
        <v>MSFT</v>
      </c>
    </row>
    <row r="334" spans="1:50" hidden="1">
      <c r="A334" s="86" t="str">
        <f t="shared" ca="1" si="26"/>
        <v>NEE</v>
      </c>
      <c r="F334" s="249">
        <v>81.11</v>
      </c>
      <c r="G334" s="249">
        <v>82.08</v>
      </c>
      <c r="H334" s="249">
        <v>81.635000000000005</v>
      </c>
      <c r="I334" s="249">
        <v>82.530100000000004</v>
      </c>
      <c r="J334" s="249">
        <v>84.62</v>
      </c>
      <c r="K334" s="249">
        <v>84.13</v>
      </c>
      <c r="L334" s="249">
        <v>84.35</v>
      </c>
      <c r="M334" s="249">
        <v>81.640500000000003</v>
      </c>
      <c r="N334" s="249">
        <v>84.69</v>
      </c>
      <c r="O334" s="249">
        <v>84.69</v>
      </c>
      <c r="P334" s="249">
        <v>85.15</v>
      </c>
      <c r="Q334" s="249">
        <v>84.392799999999994</v>
      </c>
      <c r="R334" s="249">
        <v>84.253500000000003</v>
      </c>
      <c r="S334" s="249">
        <v>84.66</v>
      </c>
      <c r="T334" s="249">
        <v>84.5</v>
      </c>
      <c r="U334" s="249">
        <v>83.174999999999997</v>
      </c>
      <c r="V334" s="249">
        <v>83.06</v>
      </c>
      <c r="W334" s="249">
        <v>80.08</v>
      </c>
      <c r="X334" s="249">
        <v>79.64</v>
      </c>
      <c r="Y334" s="249">
        <v>81.064999999999998</v>
      </c>
      <c r="Z334" s="243">
        <f ca="1">[1]ExtEntry!$I32</f>
        <v>81.064999999999998</v>
      </c>
      <c r="AB334" s="259">
        <v>0.71999999999999886</v>
      </c>
      <c r="AC334" s="259">
        <v>0.29000000000000625</v>
      </c>
      <c r="AD334" s="259">
        <v>1.9299999999999926</v>
      </c>
      <c r="AE334" s="259">
        <v>0.3399999999999892</v>
      </c>
      <c r="AF334" s="259">
        <v>-1.4200000000000017</v>
      </c>
      <c r="AG334" s="259">
        <v>-0.43000000000000682</v>
      </c>
      <c r="AH334" s="259">
        <v>-0.31999999999999318</v>
      </c>
      <c r="AI334" s="259">
        <v>-1.1199999999999903</v>
      </c>
      <c r="AJ334" s="259">
        <v>0.21500000000000341</v>
      </c>
      <c r="AK334" s="259">
        <v>0.29000000000000625</v>
      </c>
      <c r="AL334" s="259">
        <v>0.81499999999999773</v>
      </c>
      <c r="AM334" s="259">
        <v>-0.60999999999999943</v>
      </c>
      <c r="AN334" s="259">
        <v>-0.36899999999999977</v>
      </c>
      <c r="AO334" s="259">
        <v>1.25</v>
      </c>
      <c r="AP334" s="259">
        <v>0.31000000000000227</v>
      </c>
      <c r="AQ334" s="259">
        <v>-3796.2649999999849</v>
      </c>
      <c r="AR334" s="259">
        <v>-1215.4049999999988</v>
      </c>
      <c r="AS334" s="259">
        <v>-1950.6500000000233</v>
      </c>
      <c r="AT334" s="259">
        <v>3691.2300000000105</v>
      </c>
      <c r="AU334" s="259">
        <v>-180.05999999999767</v>
      </c>
      <c r="AV334" s="259">
        <f ca="1">Calc!AQ32</f>
        <v>-180.05999999999767</v>
      </c>
      <c r="AX334" s="86" t="str">
        <f t="shared" ca="1" si="27"/>
        <v>NEE</v>
      </c>
    </row>
    <row r="335" spans="1:50" hidden="1">
      <c r="A335" s="86" t="str">
        <f t="shared" ca="1" si="26"/>
        <v>NEM</v>
      </c>
      <c r="F335" s="249">
        <v>80.489999999999995</v>
      </c>
      <c r="G335" s="249">
        <v>82.1</v>
      </c>
      <c r="H335" s="249">
        <v>81.489999999999995</v>
      </c>
      <c r="I335" s="249">
        <v>85.917500000000004</v>
      </c>
      <c r="J335" s="249">
        <v>85.31</v>
      </c>
      <c r="K335" s="249">
        <v>86.984999999999999</v>
      </c>
      <c r="L335" s="249">
        <v>82.61</v>
      </c>
      <c r="M335" s="249">
        <v>81.341700000000003</v>
      </c>
      <c r="N335" s="249">
        <v>87.3</v>
      </c>
      <c r="O335" s="249">
        <v>87.17</v>
      </c>
      <c r="P335" s="249">
        <v>90.265000000000001</v>
      </c>
      <c r="Q335" s="249">
        <v>90.86</v>
      </c>
      <c r="R335" s="249">
        <v>88.25</v>
      </c>
      <c r="S335" s="249">
        <v>90.16</v>
      </c>
      <c r="T335" s="249">
        <v>89.57</v>
      </c>
      <c r="U335" s="249">
        <v>88.65</v>
      </c>
      <c r="V335" s="249">
        <v>89.67</v>
      </c>
      <c r="W335" s="249">
        <v>89.55</v>
      </c>
      <c r="X335" s="249">
        <v>91.7</v>
      </c>
      <c r="Y335" s="249">
        <v>94.894999999999996</v>
      </c>
      <c r="Z335" s="243">
        <f ca="1">[1]ExtEntry!$I33</f>
        <v>94.894999999999996</v>
      </c>
      <c r="AB335" s="262">
        <v>18200.000000000233</v>
      </c>
      <c r="AC335" s="262">
        <v>3695.9999999997672</v>
      </c>
      <c r="AD335" s="262">
        <v>1400</v>
      </c>
      <c r="AE335" s="262">
        <v>32200</v>
      </c>
      <c r="AF335" s="262">
        <v>-9199.9999999997672</v>
      </c>
      <c r="AG335" s="262">
        <v>-10900</v>
      </c>
      <c r="AH335" s="262">
        <v>-96400</v>
      </c>
      <c r="AI335" s="262">
        <v>32200</v>
      </c>
      <c r="AJ335" s="262">
        <v>57400</v>
      </c>
      <c r="AK335" s="262">
        <v>66400</v>
      </c>
      <c r="AL335" s="262">
        <v>-21700</v>
      </c>
      <c r="AM335" s="262">
        <v>-6800</v>
      </c>
      <c r="AN335" s="262">
        <v>-20700</v>
      </c>
      <c r="AO335" s="262">
        <v>-8399.9999999997672</v>
      </c>
      <c r="AP335" s="262">
        <v>-43800</v>
      </c>
      <c r="AQ335" s="262">
        <v>29790.000000000233</v>
      </c>
      <c r="AR335" s="262">
        <v>-15120</v>
      </c>
      <c r="AS335" s="262">
        <v>44100</v>
      </c>
      <c r="AT335" s="262">
        <v>28170</v>
      </c>
      <c r="AU335" s="262">
        <v>75310</v>
      </c>
      <c r="AV335" s="259">
        <f ca="1">Calc!AQ33</f>
        <v>75310</v>
      </c>
      <c r="AX335" s="86" t="str">
        <f t="shared" ca="1" si="27"/>
        <v>NEM</v>
      </c>
    </row>
    <row r="336" spans="1:50" hidden="1">
      <c r="A336" s="86" t="str">
        <f t="shared" ca="1" si="26"/>
        <v>NFLX</v>
      </c>
      <c r="F336" s="249">
        <v>1073.3701000000001</v>
      </c>
      <c r="G336" s="249">
        <v>1085.1300000000001</v>
      </c>
      <c r="H336" s="249">
        <v>1087.5</v>
      </c>
      <c r="I336" s="249">
        <v>1107.21</v>
      </c>
      <c r="J336" s="249">
        <v>109.2</v>
      </c>
      <c r="K336" s="249">
        <v>109.37</v>
      </c>
      <c r="L336" s="249">
        <v>106.17</v>
      </c>
      <c r="M336" s="249">
        <v>104.4</v>
      </c>
      <c r="N336" s="249">
        <v>105.22</v>
      </c>
      <c r="O336" s="249">
        <v>105.22</v>
      </c>
      <c r="P336" s="249">
        <v>106.24</v>
      </c>
      <c r="Q336" s="249">
        <v>106.31</v>
      </c>
      <c r="R336" s="249">
        <v>107.52</v>
      </c>
      <c r="S336" s="249">
        <v>102.03</v>
      </c>
      <c r="T336" s="249">
        <v>102.03</v>
      </c>
      <c r="U336" s="249">
        <v>101.77</v>
      </c>
      <c r="V336" s="249">
        <v>97.74</v>
      </c>
      <c r="W336" s="249">
        <v>95.88</v>
      </c>
      <c r="X336" s="249">
        <v>92.35</v>
      </c>
      <c r="Y336" s="249">
        <v>92.76</v>
      </c>
      <c r="Z336" s="243">
        <f ca="1">[1]ExtEntry!$I34</f>
        <v>92.76</v>
      </c>
      <c r="AB336" s="259">
        <v>40380</v>
      </c>
      <c r="AC336" s="259">
        <v>-3600.0000000004657</v>
      </c>
      <c r="AD336" s="259">
        <v>18570</v>
      </c>
      <c r="AE336" s="259">
        <v>-91680</v>
      </c>
      <c r="AF336" s="259">
        <v>114000</v>
      </c>
      <c r="AG336" s="259">
        <v>-91200</v>
      </c>
      <c r="AH336" s="259">
        <v>-143365.43999999994</v>
      </c>
      <c r="AI336" s="259">
        <v>3322</v>
      </c>
      <c r="AJ336" s="259">
        <v>11840</v>
      </c>
      <c r="AK336" s="259">
        <v>12800</v>
      </c>
      <c r="AL336" s="259">
        <v>36320</v>
      </c>
      <c r="AM336" s="259">
        <v>74080</v>
      </c>
      <c r="AN336" s="259">
        <v>5984</v>
      </c>
      <c r="AO336" s="259">
        <v>-129920</v>
      </c>
      <c r="AP336" s="259">
        <v>-84160</v>
      </c>
      <c r="AQ336" s="259">
        <v>-38400</v>
      </c>
      <c r="AR336" s="259">
        <v>48345</v>
      </c>
      <c r="AS336" s="259">
        <v>-33950</v>
      </c>
      <c r="AT336" s="259">
        <v>-144900</v>
      </c>
      <c r="AU336" s="259">
        <v>10800</v>
      </c>
      <c r="AV336" s="259">
        <f ca="1">Calc!AQ34</f>
        <v>10800</v>
      </c>
      <c r="AX336" s="86" t="str">
        <f t="shared" ca="1" si="27"/>
        <v>NFLX</v>
      </c>
    </row>
    <row r="337" spans="1:50" hidden="1">
      <c r="A337" s="86" t="str">
        <f t="shared" ref="A337:A368" ca="1" si="28">A237</f>
        <v>NOTE</v>
      </c>
      <c r="F337" s="249">
        <v>3.2210000000000001</v>
      </c>
      <c r="G337" s="249">
        <v>2.9550000000000001</v>
      </c>
      <c r="H337" s="249">
        <v>2.5</v>
      </c>
      <c r="I337" s="249">
        <v>2.42</v>
      </c>
      <c r="J337" s="249">
        <v>2.0499999999999998</v>
      </c>
      <c r="K337" s="249">
        <v>2.13</v>
      </c>
      <c r="L337" s="249">
        <v>2.0371000000000001</v>
      </c>
      <c r="M337" s="249">
        <v>1.91</v>
      </c>
      <c r="N337" s="249">
        <v>2.2000000000000002</v>
      </c>
      <c r="O337" s="249">
        <v>2.2000000000000002</v>
      </c>
      <c r="P337" s="249">
        <v>2.23</v>
      </c>
      <c r="Q337" s="249">
        <v>2.21</v>
      </c>
      <c r="R337" s="249">
        <v>1.9663999999999999</v>
      </c>
      <c r="S337" s="249">
        <v>1.88</v>
      </c>
      <c r="T337" s="249">
        <v>1.88</v>
      </c>
      <c r="U337" s="249">
        <v>1.95</v>
      </c>
      <c r="V337" s="249">
        <v>1.94</v>
      </c>
      <c r="W337" s="249">
        <v>1.865</v>
      </c>
      <c r="X337" s="249">
        <v>1.83</v>
      </c>
      <c r="Y337" s="249">
        <v>1.8</v>
      </c>
      <c r="Z337" s="243">
        <f ca="1">[1]ExtEntry!$I35</f>
        <v>1.8</v>
      </c>
      <c r="AB337" s="262">
        <v>-6933.4199999999983</v>
      </c>
      <c r="AC337" s="262">
        <v>-12656.158200000005</v>
      </c>
      <c r="AD337" s="262">
        <v>10133.459999999992</v>
      </c>
      <c r="AE337" s="262">
        <v>600</v>
      </c>
      <c r="AF337" s="262">
        <v>-4500</v>
      </c>
      <c r="AG337" s="262">
        <v>-3000</v>
      </c>
      <c r="AH337" s="262">
        <v>-3990.0000000000073</v>
      </c>
      <c r="AI337" s="262">
        <v>1650.0000000000073</v>
      </c>
      <c r="AJ337" s="262">
        <v>324</v>
      </c>
      <c r="AK337" s="262">
        <v>2100</v>
      </c>
      <c r="AL337" s="262">
        <v>-1200</v>
      </c>
      <c r="AM337" s="262">
        <v>-4500</v>
      </c>
      <c r="AN337" s="262">
        <v>-5699.9999999999927</v>
      </c>
      <c r="AO337" s="262">
        <v>-2100</v>
      </c>
      <c r="AP337" s="262">
        <v>-300.00000000000728</v>
      </c>
      <c r="AQ337" s="262">
        <v>-300</v>
      </c>
      <c r="AR337" s="262">
        <v>-3600</v>
      </c>
      <c r="AS337" s="262">
        <v>-4249.9150000000081</v>
      </c>
      <c r="AT337" s="262">
        <v>-2499.9499999999825</v>
      </c>
      <c r="AU337" s="262">
        <v>-500</v>
      </c>
      <c r="AV337" s="259">
        <f ca="1">Calc!AQ35</f>
        <v>-500</v>
      </c>
      <c r="AX337" s="86" t="str">
        <f t="shared" ref="AX337:AX368" ca="1" si="29">A337</f>
        <v>NOTE</v>
      </c>
    </row>
    <row r="338" spans="1:50" hidden="1">
      <c r="A338" s="86" t="str">
        <f t="shared" ca="1" si="28"/>
        <v>PAAS</v>
      </c>
      <c r="F338" s="249">
        <v>33.36</v>
      </c>
      <c r="G338" s="249">
        <v>33.685000000000002</v>
      </c>
      <c r="H338" s="249">
        <v>33.619999999999997</v>
      </c>
      <c r="I338" s="249">
        <v>36.65</v>
      </c>
      <c r="J338" s="249">
        <v>37.01</v>
      </c>
      <c r="K338" s="249">
        <v>38.325000000000003</v>
      </c>
      <c r="L338" s="249">
        <v>36.44</v>
      </c>
      <c r="M338" s="249">
        <v>35.82</v>
      </c>
      <c r="N338" s="249">
        <v>39.96</v>
      </c>
      <c r="O338" s="249">
        <v>39.96</v>
      </c>
      <c r="P338" s="249">
        <v>43.6</v>
      </c>
      <c r="Q338" s="249">
        <v>44.88</v>
      </c>
      <c r="R338" s="249">
        <v>43.61</v>
      </c>
      <c r="S338" s="249">
        <v>44.8504</v>
      </c>
      <c r="T338" s="249">
        <v>44.284999999999997</v>
      </c>
      <c r="U338" s="249">
        <v>43.44</v>
      </c>
      <c r="V338" s="249">
        <v>44.045000000000002</v>
      </c>
      <c r="W338" s="249">
        <v>44.055</v>
      </c>
      <c r="X338" s="249">
        <v>47</v>
      </c>
      <c r="Y338" s="249">
        <v>49</v>
      </c>
      <c r="Z338" s="243">
        <f ca="1">[1]ExtEntry!$I36</f>
        <v>49</v>
      </c>
      <c r="AB338" s="259">
        <v>-960</v>
      </c>
      <c r="AC338" s="259">
        <v>-1320</v>
      </c>
      <c r="AD338" s="259">
        <v>2519.6000000000058</v>
      </c>
      <c r="AE338" s="259">
        <v>3400</v>
      </c>
      <c r="AF338" s="259">
        <v>870</v>
      </c>
      <c r="AG338" s="259">
        <v>-740</v>
      </c>
      <c r="AH338" s="259">
        <v>-4720</v>
      </c>
      <c r="AI338" s="259">
        <v>1720</v>
      </c>
      <c r="AJ338" s="259">
        <v>4030</v>
      </c>
      <c r="AK338" s="259">
        <v>4620</v>
      </c>
      <c r="AL338" s="259">
        <v>1690</v>
      </c>
      <c r="AM338" s="259">
        <v>-355</v>
      </c>
      <c r="AN338" s="259">
        <v>-1360</v>
      </c>
      <c r="AO338" s="259">
        <v>-375</v>
      </c>
      <c r="AP338" s="259">
        <v>-1010</v>
      </c>
      <c r="AQ338" s="259">
        <v>343.40000000000146</v>
      </c>
      <c r="AR338" s="259">
        <v>-670</v>
      </c>
      <c r="AS338" s="259">
        <v>3945.6999999999971</v>
      </c>
      <c r="AT338" s="259">
        <v>630</v>
      </c>
      <c r="AU338" s="259">
        <v>960</v>
      </c>
      <c r="AV338" s="259">
        <f ca="1">Calc!AQ36</f>
        <v>960</v>
      </c>
      <c r="AX338" s="86" t="str">
        <f t="shared" ca="1" si="29"/>
        <v>PAAS</v>
      </c>
    </row>
    <row r="339" spans="1:50" hidden="1">
      <c r="A339" s="86" t="str">
        <f t="shared" ca="1" si="28"/>
        <v>PROF</v>
      </c>
      <c r="F339" s="249">
        <v>5.75</v>
      </c>
      <c r="G339" s="249">
        <v>5.64</v>
      </c>
      <c r="H339" s="249">
        <v>5.68</v>
      </c>
      <c r="I339" s="249">
        <v>5.99</v>
      </c>
      <c r="J339" s="249">
        <v>6.0949999999999998</v>
      </c>
      <c r="K339" s="249">
        <v>5.9</v>
      </c>
      <c r="L339" s="249">
        <v>5.89</v>
      </c>
      <c r="M339" s="249">
        <v>5.7549999999999999</v>
      </c>
      <c r="N339" s="249">
        <v>6.31</v>
      </c>
      <c r="O339" s="249">
        <v>6.31</v>
      </c>
      <c r="P339" s="249">
        <v>6.4</v>
      </c>
      <c r="Q339" s="249">
        <v>6.25</v>
      </c>
      <c r="R339" s="249">
        <v>6.09</v>
      </c>
      <c r="S339" s="249">
        <v>6.2000999999999999</v>
      </c>
      <c r="T339" s="249">
        <v>6.2000999999999999</v>
      </c>
      <c r="U339" s="249">
        <v>6.7750000000000004</v>
      </c>
      <c r="V339" s="249">
        <v>6.5</v>
      </c>
      <c r="W339" s="249">
        <v>6.76</v>
      </c>
      <c r="X339" s="249">
        <v>7.03</v>
      </c>
      <c r="Y339" s="249">
        <v>7.2396000000000003</v>
      </c>
      <c r="Z339" s="243">
        <f ca="1">[1]ExtEntry!$I37</f>
        <v>7.2396000000000003</v>
      </c>
      <c r="AB339" s="262">
        <v>120</v>
      </c>
      <c r="AC339" s="262">
        <v>0</v>
      </c>
      <c r="AD339" s="262">
        <v>460</v>
      </c>
      <c r="AE339" s="262">
        <v>3440</v>
      </c>
      <c r="AF339" s="262">
        <v>-920</v>
      </c>
      <c r="AG339" s="262">
        <v>-1040</v>
      </c>
      <c r="AH339" s="262">
        <v>-920</v>
      </c>
      <c r="AI339" s="262">
        <v>-120</v>
      </c>
      <c r="AJ339" s="262">
        <v>-260</v>
      </c>
      <c r="AK339" s="262">
        <v>-400</v>
      </c>
      <c r="AL339" s="262">
        <v>200</v>
      </c>
      <c r="AM339" s="262">
        <v>-62</v>
      </c>
      <c r="AN339" s="262">
        <v>-920</v>
      </c>
      <c r="AO339" s="262">
        <v>860</v>
      </c>
      <c r="AP339" s="262">
        <v>2640</v>
      </c>
      <c r="AQ339" s="262">
        <v>-78.799999999999272</v>
      </c>
      <c r="AR339" s="262">
        <v>-20</v>
      </c>
      <c r="AS339" s="262">
        <v>1000</v>
      </c>
      <c r="AT339" s="262">
        <v>-120</v>
      </c>
      <c r="AU339" s="262">
        <v>600</v>
      </c>
      <c r="AV339" s="259">
        <f ca="1">Calc!AQ37</f>
        <v>600</v>
      </c>
      <c r="AX339" s="86" t="str">
        <f t="shared" ca="1" si="29"/>
        <v>PROF</v>
      </c>
    </row>
    <row r="340" spans="1:50" hidden="1">
      <c r="A340" s="86" t="str">
        <f t="shared" ca="1" si="28"/>
        <v>POET</v>
      </c>
      <c r="F340" s="249">
        <v>5.86</v>
      </c>
      <c r="G340" s="249">
        <v>5.3425000000000002</v>
      </c>
      <c r="H340" s="249">
        <v>4.97</v>
      </c>
      <c r="I340" s="249">
        <v>4.1803999999999997</v>
      </c>
      <c r="J340" s="249">
        <v>4.07</v>
      </c>
      <c r="K340" s="249">
        <v>4.17</v>
      </c>
      <c r="L340" s="249">
        <v>4.1900000000000004</v>
      </c>
      <c r="M340" s="249">
        <v>3.87</v>
      </c>
      <c r="N340" s="249">
        <v>4.5599999999999996</v>
      </c>
      <c r="O340" s="249">
        <v>4.5599999999999996</v>
      </c>
      <c r="P340" s="249">
        <v>4.8849999999999998</v>
      </c>
      <c r="Q340" s="249">
        <v>4.63</v>
      </c>
      <c r="R340" s="249">
        <v>4.6500000000000004</v>
      </c>
      <c r="S340" s="249">
        <v>5.1901000000000002</v>
      </c>
      <c r="T340" s="249">
        <v>5.1901000000000002</v>
      </c>
      <c r="U340" s="249">
        <v>5.8125</v>
      </c>
      <c r="V340" s="249">
        <v>5.9</v>
      </c>
      <c r="W340" s="249">
        <v>6.05</v>
      </c>
      <c r="X340" s="249">
        <v>6.75</v>
      </c>
      <c r="Y340" s="249">
        <v>6.89</v>
      </c>
      <c r="Z340" s="243">
        <f ca="1">[1]ExtEntry!$I38</f>
        <v>6.89</v>
      </c>
      <c r="AB340" s="259">
        <v>-1575</v>
      </c>
      <c r="AC340" s="259">
        <v>-35325</v>
      </c>
      <c r="AD340" s="259">
        <v>11695.500000000029</v>
      </c>
      <c r="AE340" s="259">
        <v>9500.0000000000291</v>
      </c>
      <c r="AF340" s="259">
        <v>9595</v>
      </c>
      <c r="AG340" s="259">
        <v>-5016</v>
      </c>
      <c r="AH340" s="259">
        <v>-14962.500000000029</v>
      </c>
      <c r="AI340" s="259">
        <v>8550.0000000000291</v>
      </c>
      <c r="AJ340" s="259">
        <v>-3087.5000000000291</v>
      </c>
      <c r="AK340" s="259">
        <v>475</v>
      </c>
      <c r="AL340" s="259">
        <v>1425</v>
      </c>
      <c r="AM340" s="259">
        <v>-2137.5</v>
      </c>
      <c r="AN340" s="259">
        <v>-4037.5</v>
      </c>
      <c r="AO340" s="259">
        <v>688.7499999999709</v>
      </c>
      <c r="AP340" s="259">
        <v>29450.000000000029</v>
      </c>
      <c r="AQ340" s="259">
        <v>25412.5</v>
      </c>
      <c r="AR340" s="259">
        <v>-5937.5</v>
      </c>
      <c r="AS340" s="259">
        <v>35387.5</v>
      </c>
      <c r="AT340" s="259">
        <v>15675</v>
      </c>
      <c r="AU340" s="259">
        <v>6175</v>
      </c>
      <c r="AV340" s="259">
        <f ca="1">Calc!AQ38</f>
        <v>6175</v>
      </c>
      <c r="AX340" s="86" t="str">
        <f t="shared" ca="1" si="29"/>
        <v>POET</v>
      </c>
    </row>
    <row r="341" spans="1:50" hidden="1">
      <c r="A341" s="86" t="str">
        <f t="shared" ca="1" si="28"/>
        <v>PW</v>
      </c>
      <c r="F341" s="249">
        <v>0.70030000000000003</v>
      </c>
      <c r="G341" s="249">
        <v>0.65059999999999996</v>
      </c>
      <c r="H341" s="249">
        <v>0.65069999999999995</v>
      </c>
      <c r="I341" s="249">
        <v>0.59409999999999996</v>
      </c>
      <c r="J341" s="249">
        <v>0.62490000000000001</v>
      </c>
      <c r="K341" s="249">
        <v>0.64</v>
      </c>
      <c r="L341" s="249">
        <v>0.60589999999999999</v>
      </c>
      <c r="M341" s="249">
        <v>0.60009999999999997</v>
      </c>
      <c r="N341" s="249">
        <v>0.9022</v>
      </c>
      <c r="O341" s="249">
        <v>0.90210000000000001</v>
      </c>
      <c r="P341" s="249">
        <v>0.80230000000000001</v>
      </c>
      <c r="Q341" s="249">
        <v>0.75</v>
      </c>
      <c r="R341" s="249">
        <v>0.74529999999999996</v>
      </c>
      <c r="S341" s="249">
        <v>0.85209999999999997</v>
      </c>
      <c r="T341" s="249">
        <v>0.85</v>
      </c>
      <c r="U341" s="249">
        <v>0.88990000000000002</v>
      </c>
      <c r="V341" s="249">
        <v>0.9617</v>
      </c>
      <c r="W341" s="249">
        <v>0.95750000000000002</v>
      </c>
      <c r="X341" s="249">
        <v>0.99</v>
      </c>
      <c r="Y341" s="249">
        <v>0.96130000000000004</v>
      </c>
      <c r="Z341" s="243">
        <f ca="1">[1]ExtEntry!$I39</f>
        <v>0.96130000000000004</v>
      </c>
      <c r="AB341" s="262">
        <v>447</v>
      </c>
      <c r="AC341" s="262">
        <v>-203</v>
      </c>
      <c r="AD341" s="262">
        <v>93.000000000000909</v>
      </c>
      <c r="AE341" s="262">
        <v>1074</v>
      </c>
      <c r="AF341" s="262">
        <v>-468</v>
      </c>
      <c r="AG341" s="262">
        <v>-238.99999999999909</v>
      </c>
      <c r="AH341" s="262">
        <v>84.999999999999091</v>
      </c>
      <c r="AI341" s="262">
        <v>564</v>
      </c>
      <c r="AJ341" s="262">
        <v>-148</v>
      </c>
      <c r="AK341" s="262">
        <v>-495</v>
      </c>
      <c r="AL341" s="262">
        <v>-949</v>
      </c>
      <c r="AM341" s="262">
        <v>670</v>
      </c>
      <c r="AN341" s="262">
        <v>1650</v>
      </c>
      <c r="AO341" s="262">
        <v>-23</v>
      </c>
      <c r="AP341" s="262">
        <v>211</v>
      </c>
      <c r="AQ341" s="262">
        <v>198</v>
      </c>
      <c r="AR341" s="262">
        <v>-24</v>
      </c>
      <c r="AS341" s="262">
        <v>404</v>
      </c>
      <c r="AT341" s="262">
        <v>0</v>
      </c>
      <c r="AU341" s="262">
        <v>58</v>
      </c>
      <c r="AV341" s="259">
        <f ca="1">Calc!AQ39</f>
        <v>58</v>
      </c>
      <c r="AX341" s="86" t="str">
        <f t="shared" ca="1" si="29"/>
        <v>PW</v>
      </c>
    </row>
    <row r="342" spans="1:50" hidden="1">
      <c r="A342" s="86" t="str">
        <f t="shared" ca="1" si="28"/>
        <v>RIGL</v>
      </c>
      <c r="F342" s="249">
        <v>34.39</v>
      </c>
      <c r="G342" s="249">
        <v>36.281500000000001</v>
      </c>
      <c r="H342" s="249">
        <v>34.64</v>
      </c>
      <c r="I342" s="249">
        <v>39.369999999999997</v>
      </c>
      <c r="J342" s="249">
        <v>41.03</v>
      </c>
      <c r="K342" s="249">
        <v>41.55</v>
      </c>
      <c r="L342" s="249">
        <v>42.36</v>
      </c>
      <c r="M342" s="249">
        <v>43.01</v>
      </c>
      <c r="N342" s="249">
        <v>49.23</v>
      </c>
      <c r="O342" s="249">
        <v>49.23</v>
      </c>
      <c r="P342" s="249">
        <v>50.06</v>
      </c>
      <c r="Q342" s="249">
        <v>47.33</v>
      </c>
      <c r="R342" s="249">
        <v>43.81</v>
      </c>
      <c r="S342" s="249">
        <v>44.09</v>
      </c>
      <c r="T342" s="249">
        <v>44.09</v>
      </c>
      <c r="U342" s="249">
        <v>46.850099999999998</v>
      </c>
      <c r="V342" s="249">
        <v>46.98</v>
      </c>
      <c r="W342" s="249">
        <v>42.1</v>
      </c>
      <c r="X342" s="249">
        <v>41.14</v>
      </c>
      <c r="Y342" s="249">
        <v>40.6</v>
      </c>
      <c r="Z342" s="243">
        <f ca="1">[1]ExtEntry!$I40</f>
        <v>40.6</v>
      </c>
      <c r="AB342" s="259">
        <v>2980</v>
      </c>
      <c r="AC342" s="259">
        <v>-1645</v>
      </c>
      <c r="AD342" s="259">
        <v>-60</v>
      </c>
      <c r="AE342" s="259">
        <v>2410</v>
      </c>
      <c r="AF342" s="259">
        <v>4210</v>
      </c>
      <c r="AG342" s="259">
        <v>-3900</v>
      </c>
      <c r="AH342" s="259">
        <v>2235</v>
      </c>
      <c r="AI342" s="259">
        <v>1440.375</v>
      </c>
      <c r="AJ342" s="259">
        <v>0.71999999999999886</v>
      </c>
      <c r="AK342" s="259">
        <v>0.43999999999999773</v>
      </c>
      <c r="AL342" s="259">
        <v>-0.96000000000000085</v>
      </c>
      <c r="AM342" s="259">
        <v>-2.1700000000000017</v>
      </c>
      <c r="AN342" s="259">
        <v>-3.4200000000000017</v>
      </c>
      <c r="AO342" s="259">
        <v>1.509999999999998</v>
      </c>
      <c r="AP342" s="259">
        <v>3.1199999999999974</v>
      </c>
      <c r="AQ342" s="259">
        <v>0.14000000000000057</v>
      </c>
      <c r="AR342" s="259">
        <v>1.3500000000000014</v>
      </c>
      <c r="AS342" s="259">
        <v>0.57999999999999829</v>
      </c>
      <c r="AT342" s="259">
        <v>-1.2899999999999991</v>
      </c>
      <c r="AU342" s="259">
        <v>1.0999999999999943</v>
      </c>
      <c r="AV342" s="259">
        <f ca="1">Calc!AQ40</f>
        <v>1.0999999999999943</v>
      </c>
      <c r="AX342" s="86" t="str">
        <f t="shared" ca="1" si="29"/>
        <v>RIGL</v>
      </c>
    </row>
    <row r="343" spans="1:50" hidden="1">
      <c r="A343" s="86" t="str">
        <f t="shared" ca="1" si="28"/>
        <v>RWE</v>
      </c>
      <c r="F343" s="249">
        <v>42.17</v>
      </c>
      <c r="G343" s="249">
        <v>42.46</v>
      </c>
      <c r="H343" s="249">
        <v>42.36</v>
      </c>
      <c r="I343" s="249">
        <v>44.88</v>
      </c>
      <c r="J343" s="249">
        <v>44.28</v>
      </c>
      <c r="K343" s="249">
        <v>43.7</v>
      </c>
      <c r="L343" s="249">
        <v>44.07</v>
      </c>
      <c r="M343" s="249">
        <v>43.99</v>
      </c>
      <c r="N343" s="249">
        <v>43.2</v>
      </c>
      <c r="O343" s="249">
        <v>43.5</v>
      </c>
      <c r="P343" s="249">
        <v>43.42</v>
      </c>
      <c r="Q343" s="249">
        <v>43.27</v>
      </c>
      <c r="R343" s="249">
        <v>43.18</v>
      </c>
      <c r="S343" s="249">
        <v>43.43</v>
      </c>
      <c r="T343" s="249">
        <v>43.43</v>
      </c>
      <c r="U343" s="249">
        <v>42.91</v>
      </c>
      <c r="V343" s="249">
        <v>42.89</v>
      </c>
      <c r="W343" s="249">
        <v>43.44</v>
      </c>
      <c r="X343" s="249">
        <v>43.3</v>
      </c>
      <c r="Y343" s="249">
        <v>42.96</v>
      </c>
      <c r="Z343" s="243">
        <f ca="1">[1]ExtEntry!$I41</f>
        <v>42.96</v>
      </c>
      <c r="AB343" s="262">
        <v>16.5</v>
      </c>
      <c r="AC343" s="262">
        <v>31</v>
      </c>
      <c r="AD343" s="262">
        <v>-10</v>
      </c>
      <c r="AE343" s="262">
        <v>-6</v>
      </c>
      <c r="AF343" s="262">
        <v>-34</v>
      </c>
      <c r="AG343" s="262">
        <v>-61.5</v>
      </c>
      <c r="AH343" s="262">
        <v>42.5</v>
      </c>
      <c r="AI343" s="262">
        <v>-20</v>
      </c>
      <c r="AJ343" s="262">
        <v>44.5</v>
      </c>
      <c r="AK343" s="262">
        <v>-25.5</v>
      </c>
      <c r="AL343" s="262">
        <v>12</v>
      </c>
      <c r="AM343" s="262">
        <v>-21.5</v>
      </c>
      <c r="AN343" s="262">
        <v>-6.5</v>
      </c>
      <c r="AO343" s="262">
        <v>34</v>
      </c>
      <c r="AP343" s="262">
        <v>6.5</v>
      </c>
      <c r="AQ343" s="262">
        <v>-18.5</v>
      </c>
      <c r="AR343" s="262">
        <v>-28</v>
      </c>
      <c r="AS343" s="262">
        <v>12.5</v>
      </c>
      <c r="AT343" s="262">
        <v>-2.5</v>
      </c>
      <c r="AU343" s="262">
        <v>-5</v>
      </c>
      <c r="AV343" s="259">
        <f ca="1">Calc!AQ41</f>
        <v>-5</v>
      </c>
      <c r="AX343" s="86" t="str">
        <f t="shared" ca="1" si="29"/>
        <v>RWE</v>
      </c>
    </row>
    <row r="344" spans="1:50" hidden="1">
      <c r="A344" s="86" t="str">
        <f t="shared" ca="1" si="28"/>
        <v>SAP</v>
      </c>
      <c r="F344" s="249">
        <v>223.75</v>
      </c>
      <c r="G344" s="249">
        <v>217.55</v>
      </c>
      <c r="H344" s="249">
        <v>215.1</v>
      </c>
      <c r="I344" s="249">
        <v>207.55</v>
      </c>
      <c r="J344" s="249">
        <v>203.75</v>
      </c>
      <c r="K344" s="249">
        <v>203.75</v>
      </c>
      <c r="L344" s="249">
        <v>206.25</v>
      </c>
      <c r="M344" s="249">
        <v>203.35</v>
      </c>
      <c r="N344" s="249">
        <v>203.65</v>
      </c>
      <c r="O344" s="249">
        <v>206.7</v>
      </c>
      <c r="P344" s="249">
        <v>206.35</v>
      </c>
      <c r="Q344" s="249">
        <v>207.1</v>
      </c>
      <c r="R344" s="249">
        <v>206.45</v>
      </c>
      <c r="S344" s="249">
        <v>206.4</v>
      </c>
      <c r="T344" s="249">
        <v>206.15</v>
      </c>
      <c r="U344" s="249">
        <v>208.05</v>
      </c>
      <c r="V344" s="249">
        <v>210.05</v>
      </c>
      <c r="W344" s="249">
        <v>208.4</v>
      </c>
      <c r="X344" s="249">
        <v>207</v>
      </c>
      <c r="Y344" s="249">
        <v>201.85</v>
      </c>
      <c r="Z344" s="243">
        <f ca="1">[1]ExtEntry!$I42</f>
        <v>201.85</v>
      </c>
      <c r="AB344" s="259">
        <v>11400</v>
      </c>
      <c r="AC344" s="259">
        <v>-29070</v>
      </c>
      <c r="AD344" s="259">
        <v>-15200</v>
      </c>
      <c r="AE344" s="259">
        <v>-10070</v>
      </c>
      <c r="AF344" s="259">
        <v>570</v>
      </c>
      <c r="AG344" s="259">
        <v>1140</v>
      </c>
      <c r="AH344" s="259">
        <v>-1330</v>
      </c>
      <c r="AI344" s="259">
        <v>3800</v>
      </c>
      <c r="AJ344" s="259">
        <v>4560</v>
      </c>
      <c r="AK344" s="259">
        <v>-760</v>
      </c>
      <c r="AL344" s="259">
        <v>6460</v>
      </c>
      <c r="AM344" s="259">
        <v>1140</v>
      </c>
      <c r="AN344" s="259">
        <v>1140</v>
      </c>
      <c r="AO344" s="259">
        <v>-3800</v>
      </c>
      <c r="AP344" s="259">
        <v>-6650</v>
      </c>
      <c r="AQ344" s="259">
        <v>5320</v>
      </c>
      <c r="AR344" s="259">
        <v>7600</v>
      </c>
      <c r="AS344" s="259">
        <v>3230</v>
      </c>
      <c r="AT344" s="259">
        <v>1520</v>
      </c>
      <c r="AU344" s="259">
        <v>20140</v>
      </c>
      <c r="AV344" s="259">
        <f ca="1">Calc!AQ42</f>
        <v>20140</v>
      </c>
      <c r="AX344" s="86" t="str">
        <f t="shared" ca="1" si="29"/>
        <v>SAP</v>
      </c>
    </row>
    <row r="345" spans="1:50" hidden="1">
      <c r="A345" s="86" t="str">
        <f t="shared" ca="1" si="28"/>
        <v>SHECY</v>
      </c>
      <c r="F345" s="249">
        <v>14.27</v>
      </c>
      <c r="G345" s="249">
        <v>14.3</v>
      </c>
      <c r="H345" s="249">
        <v>14.335000000000001</v>
      </c>
      <c r="I345" s="249">
        <v>14.88</v>
      </c>
      <c r="J345" s="249">
        <v>13.85</v>
      </c>
      <c r="K345" s="249">
        <v>14.19</v>
      </c>
      <c r="L345" s="249">
        <v>13.7</v>
      </c>
      <c r="M345" s="249">
        <v>14.07</v>
      </c>
      <c r="N345" s="249">
        <v>14.17</v>
      </c>
      <c r="O345" s="249">
        <v>14.17</v>
      </c>
      <c r="P345" s="249">
        <v>14.52</v>
      </c>
      <c r="Q345" s="249">
        <v>14.73</v>
      </c>
      <c r="R345" s="249">
        <v>14.9</v>
      </c>
      <c r="S345" s="249">
        <v>14.48</v>
      </c>
      <c r="T345" s="249">
        <v>14.48</v>
      </c>
      <c r="U345" s="249">
        <v>15.13</v>
      </c>
      <c r="V345" s="249">
        <v>14.9</v>
      </c>
      <c r="W345" s="249">
        <v>15.25</v>
      </c>
      <c r="X345" s="249">
        <v>14.71</v>
      </c>
      <c r="Y345" s="249">
        <v>14.22</v>
      </c>
      <c r="Z345" s="243">
        <f ca="1">[1]ExtEntry!$I43</f>
        <v>14.22</v>
      </c>
      <c r="AB345" s="262">
        <v>15750</v>
      </c>
      <c r="AC345" s="262">
        <v>-9750</v>
      </c>
      <c r="AD345" s="262">
        <v>8875</v>
      </c>
      <c r="AE345" s="262">
        <v>1250</v>
      </c>
      <c r="AF345" s="262">
        <v>6400</v>
      </c>
      <c r="AG345" s="262">
        <v>-12887.5</v>
      </c>
      <c r="AH345" s="262">
        <v>-9125</v>
      </c>
      <c r="AI345" s="262">
        <v>7500</v>
      </c>
      <c r="AJ345" s="262">
        <v>15750</v>
      </c>
      <c r="AK345" s="262">
        <v>15750</v>
      </c>
      <c r="AL345" s="262">
        <v>10750</v>
      </c>
      <c r="AM345" s="262">
        <v>5000</v>
      </c>
      <c r="AN345" s="262">
        <v>5937.5</v>
      </c>
      <c r="AO345" s="262">
        <v>10850</v>
      </c>
      <c r="AP345" s="262">
        <v>15000</v>
      </c>
      <c r="AQ345" s="262">
        <v>8150</v>
      </c>
      <c r="AR345" s="262">
        <v>16500</v>
      </c>
      <c r="AS345" s="262">
        <v>-200</v>
      </c>
      <c r="AT345" s="262">
        <v>18750</v>
      </c>
      <c r="AU345" s="262">
        <v>12750</v>
      </c>
      <c r="AV345" s="259">
        <f ca="1">Calc!AQ43</f>
        <v>12750</v>
      </c>
      <c r="AX345" s="86" t="str">
        <f t="shared" ca="1" si="29"/>
        <v>SHECY</v>
      </c>
    </row>
    <row r="346" spans="1:50" hidden="1">
      <c r="A346" s="86" t="str">
        <f t="shared" ca="1" si="28"/>
        <v>SSYS</v>
      </c>
      <c r="F346" s="249">
        <v>9.77</v>
      </c>
      <c r="G346" s="249">
        <v>9.35</v>
      </c>
      <c r="H346" s="249">
        <v>9.1766000000000005</v>
      </c>
      <c r="I346" s="249">
        <v>8.8247</v>
      </c>
      <c r="J346" s="249">
        <v>8.3800000000000008</v>
      </c>
      <c r="K346" s="249">
        <v>8.43</v>
      </c>
      <c r="L346" s="249">
        <v>8.18</v>
      </c>
      <c r="M346" s="249">
        <v>8.1199999999999992</v>
      </c>
      <c r="N346" s="249">
        <v>8.51</v>
      </c>
      <c r="O346" s="249">
        <v>8.51</v>
      </c>
      <c r="P346" s="249">
        <v>8.6317000000000004</v>
      </c>
      <c r="Q346" s="249">
        <v>8.4600000000000009</v>
      </c>
      <c r="R346" s="249">
        <v>8.6</v>
      </c>
      <c r="S346" s="249">
        <v>8.6836000000000002</v>
      </c>
      <c r="T346" s="249">
        <v>8.67</v>
      </c>
      <c r="U346" s="249">
        <v>8.93</v>
      </c>
      <c r="V346" s="249">
        <v>9.0449999999999999</v>
      </c>
      <c r="W346" s="249">
        <v>9</v>
      </c>
      <c r="X346" s="249">
        <v>9.1199999999999992</v>
      </c>
      <c r="Y346" s="249">
        <v>9.2449999999999992</v>
      </c>
      <c r="Z346" s="243">
        <f ca="1">[1]ExtEntry!$I44</f>
        <v>9.2449999999999992</v>
      </c>
      <c r="AB346" s="259">
        <v>-480</v>
      </c>
      <c r="AC346" s="259">
        <v>-5600</v>
      </c>
      <c r="AD346" s="259">
        <v>3200</v>
      </c>
      <c r="AE346" s="259">
        <v>640</v>
      </c>
      <c r="AF346" s="259">
        <v>800</v>
      </c>
      <c r="AG346" s="259">
        <v>-800</v>
      </c>
      <c r="AH346" s="259">
        <v>-4960</v>
      </c>
      <c r="AI346" s="259">
        <v>6080</v>
      </c>
      <c r="AJ346" s="259">
        <v>800</v>
      </c>
      <c r="AK346" s="259">
        <v>1440</v>
      </c>
      <c r="AL346" s="259">
        <v>1440</v>
      </c>
      <c r="AM346" s="259">
        <v>1280</v>
      </c>
      <c r="AN346" s="259">
        <v>1920</v>
      </c>
      <c r="AO346" s="259">
        <v>-160</v>
      </c>
      <c r="AP346" s="259">
        <v>3840</v>
      </c>
      <c r="AQ346" s="259">
        <v>2400</v>
      </c>
      <c r="AR346" s="259">
        <v>-1440</v>
      </c>
      <c r="AS346" s="259">
        <v>4320</v>
      </c>
      <c r="AT346" s="259">
        <v>2240</v>
      </c>
      <c r="AU346" s="259">
        <v>2400</v>
      </c>
      <c r="AV346" s="259">
        <f ca="1">Calc!AQ44</f>
        <v>2400</v>
      </c>
      <c r="AX346" s="86" t="str">
        <f t="shared" ca="1" si="29"/>
        <v>SSYS</v>
      </c>
    </row>
    <row r="347" spans="1:50" hidden="1">
      <c r="A347" s="86" t="str">
        <f t="shared" ca="1" si="28"/>
        <v>TSLA</v>
      </c>
      <c r="F347" s="249">
        <v>440.71</v>
      </c>
      <c r="G347" s="249">
        <v>435.09</v>
      </c>
      <c r="H347" s="249">
        <v>421.88</v>
      </c>
      <c r="I347" s="249">
        <v>382.78</v>
      </c>
      <c r="J347" s="249">
        <v>393.71</v>
      </c>
      <c r="K347" s="249">
        <v>400.40159999999997</v>
      </c>
      <c r="L347" s="249">
        <v>397.59</v>
      </c>
      <c r="M347" s="249">
        <v>383.76</v>
      </c>
      <c r="N347" s="249">
        <v>416.89</v>
      </c>
      <c r="O347" s="249">
        <v>416.89</v>
      </c>
      <c r="P347" s="249">
        <v>426.2</v>
      </c>
      <c r="Q347" s="249">
        <v>425.3</v>
      </c>
      <c r="R347" s="249">
        <v>422.12</v>
      </c>
      <c r="S347" s="249">
        <v>431.11739999999998</v>
      </c>
      <c r="T347" s="249">
        <v>431.11</v>
      </c>
      <c r="U347" s="249">
        <v>445.39</v>
      </c>
      <c r="V347" s="249">
        <v>451.66</v>
      </c>
      <c r="W347" s="249">
        <v>435.7</v>
      </c>
      <c r="X347" s="249">
        <v>443.61</v>
      </c>
      <c r="Y347" s="249">
        <v>440.33</v>
      </c>
      <c r="Z347" s="243">
        <f ca="1">[1]ExtEntry!$I45</f>
        <v>440.33</v>
      </c>
      <c r="AB347" s="262">
        <v>10.20799999999997</v>
      </c>
      <c r="AC347" s="262">
        <v>-16.960100000000011</v>
      </c>
      <c r="AD347" s="262">
        <v>-7.57000000000005</v>
      </c>
      <c r="AE347" s="262">
        <v>18.050000000000011</v>
      </c>
      <c r="AF347" s="262">
        <v>-4.1299999999999955</v>
      </c>
      <c r="AG347" s="262">
        <v>-3.8899999999999864</v>
      </c>
      <c r="AH347" s="262">
        <v>-15.654100000000028</v>
      </c>
      <c r="AI347" s="262">
        <v>-3.6999999999999886</v>
      </c>
      <c r="AJ347" s="262">
        <v>-0.62000000000000455</v>
      </c>
      <c r="AK347" s="262">
        <v>2.6299999999999955</v>
      </c>
      <c r="AL347" s="262">
        <v>3.5800000000000409</v>
      </c>
      <c r="AM347" s="262">
        <v>2.4599999999999795</v>
      </c>
      <c r="AN347" s="262">
        <v>-1.5399999999999636</v>
      </c>
      <c r="AO347" s="262">
        <v>10.545000000000016</v>
      </c>
      <c r="AP347" s="262">
        <v>14.639999999999986</v>
      </c>
      <c r="AQ347" s="262">
        <v>6.0099999999977172E-2</v>
      </c>
      <c r="AR347" s="262">
        <v>1.9700000000000273</v>
      </c>
      <c r="AS347" s="262">
        <v>12.149999999999977</v>
      </c>
      <c r="AT347" s="262">
        <v>5.36099999999999</v>
      </c>
      <c r="AU347" s="262">
        <v>-1.9341000000000008</v>
      </c>
      <c r="AV347" s="259">
        <f ca="1">Calc!AQ45</f>
        <v>-1.9341000000000008</v>
      </c>
      <c r="AX347" s="86" t="str">
        <f t="shared" ca="1" si="29"/>
        <v>TSLA</v>
      </c>
    </row>
    <row r="348" spans="1:50" hidden="1">
      <c r="A348" s="86" t="str">
        <f t="shared" ca="1" si="28"/>
        <v>TSM</v>
      </c>
      <c r="F348" s="249">
        <v>291.5</v>
      </c>
      <c r="G348" s="249">
        <v>287.3811</v>
      </c>
      <c r="H348" s="249">
        <v>277.13</v>
      </c>
      <c r="I348" s="249">
        <v>273.23</v>
      </c>
      <c r="J348" s="249">
        <v>272.72000000000003</v>
      </c>
      <c r="K348" s="249">
        <v>276.32</v>
      </c>
      <c r="L348" s="249">
        <v>279.32</v>
      </c>
      <c r="M348" s="249">
        <v>266.82</v>
      </c>
      <c r="N348" s="249">
        <v>287.74400000000003</v>
      </c>
      <c r="O348" s="249">
        <v>287.73</v>
      </c>
      <c r="P348" s="249">
        <v>289</v>
      </c>
      <c r="Q348" s="249">
        <v>286.45999999999998</v>
      </c>
      <c r="R348" s="249">
        <v>289.18</v>
      </c>
      <c r="S348" s="249">
        <v>286.10000000000002</v>
      </c>
      <c r="T348" s="249">
        <v>286.07</v>
      </c>
      <c r="U348" s="249">
        <v>290.2</v>
      </c>
      <c r="V348" s="249">
        <v>293.25</v>
      </c>
      <c r="W348" s="249">
        <v>298.5</v>
      </c>
      <c r="X348" s="249">
        <v>302.5</v>
      </c>
      <c r="Y348" s="249">
        <v>299.66000000000003</v>
      </c>
      <c r="Z348" s="243">
        <f ca="1">[1]ExtEntry!$I46</f>
        <v>299.66000000000003</v>
      </c>
      <c r="AB348" s="259">
        <v>6384</v>
      </c>
      <c r="AC348" s="259">
        <v>-21015</v>
      </c>
      <c r="AD348" s="259">
        <v>3352.5</v>
      </c>
      <c r="AE348" s="259">
        <v>40320</v>
      </c>
      <c r="AF348" s="259">
        <v>2070</v>
      </c>
      <c r="AG348" s="259">
        <v>10710</v>
      </c>
      <c r="AH348" s="259">
        <v>-54720</v>
      </c>
      <c r="AI348" s="259">
        <v>17910</v>
      </c>
      <c r="AJ348" s="259">
        <v>9900.0000000002328</v>
      </c>
      <c r="AK348" s="259">
        <v>3926.25</v>
      </c>
      <c r="AL348" s="259">
        <v>-4410</v>
      </c>
      <c r="AM348" s="259">
        <v>14535</v>
      </c>
      <c r="AN348" s="259">
        <v>1260</v>
      </c>
      <c r="AO348" s="259">
        <v>6502.4999999997672</v>
      </c>
      <c r="AP348" s="259">
        <v>14895</v>
      </c>
      <c r="AQ348" s="259">
        <v>-10440</v>
      </c>
      <c r="AR348" s="259">
        <v>-6165</v>
      </c>
      <c r="AS348" s="259">
        <v>11970</v>
      </c>
      <c r="AT348" s="259">
        <v>21465</v>
      </c>
      <c r="AU348" s="259">
        <v>-1800</v>
      </c>
      <c r="AV348" s="259">
        <f ca="1">Calc!AQ46</f>
        <v>-1800</v>
      </c>
      <c r="AX348" s="86" t="str">
        <f t="shared" ca="1" si="29"/>
        <v>TSM</v>
      </c>
    </row>
    <row r="349" spans="1:50" hidden="1">
      <c r="A349" s="86" t="str">
        <f t="shared" ca="1" si="28"/>
        <v>UN0</v>
      </c>
      <c r="F349" s="249">
        <v>29.5</v>
      </c>
      <c r="G349" s="249">
        <v>27.95</v>
      </c>
      <c r="H349" s="249">
        <v>28.4</v>
      </c>
      <c r="I349" s="249">
        <v>28.3</v>
      </c>
      <c r="J349" s="249">
        <v>29.55</v>
      </c>
      <c r="K349" s="249">
        <v>29.55</v>
      </c>
      <c r="L349" s="249">
        <v>30.2</v>
      </c>
      <c r="M349" s="249">
        <v>30</v>
      </c>
      <c r="N349" s="249">
        <v>32.6</v>
      </c>
      <c r="O349" s="249">
        <v>33.450000000000003</v>
      </c>
      <c r="P349" s="249">
        <v>34.200000000000003</v>
      </c>
      <c r="Q349" s="249">
        <v>34.25</v>
      </c>
      <c r="R349" s="249">
        <v>32.9</v>
      </c>
      <c r="S349" s="249">
        <v>33.4</v>
      </c>
      <c r="T349" s="249">
        <v>33.4</v>
      </c>
      <c r="U349" s="249">
        <v>33.200000000000003</v>
      </c>
      <c r="V349" s="249">
        <v>33.950000000000003</v>
      </c>
      <c r="W349" s="249">
        <v>36.1</v>
      </c>
      <c r="X349" s="249">
        <v>38</v>
      </c>
      <c r="Y349" s="249">
        <v>37.75</v>
      </c>
      <c r="Z349" s="243">
        <f ca="1">[1]ExtEntry!$I47</f>
        <v>37.75</v>
      </c>
      <c r="AB349" s="262">
        <v>0</v>
      </c>
      <c r="AC349" s="262">
        <v>-2850</v>
      </c>
      <c r="AD349" s="262">
        <v>300</v>
      </c>
      <c r="AE349" s="262">
        <v>450</v>
      </c>
      <c r="AF349" s="262">
        <v>0</v>
      </c>
      <c r="AG349" s="262">
        <v>2100</v>
      </c>
      <c r="AH349" s="262">
        <v>-1050</v>
      </c>
      <c r="AI349" s="262">
        <v>-2100</v>
      </c>
      <c r="AJ349" s="262">
        <v>1950</v>
      </c>
      <c r="AK349" s="262">
        <v>1949.9999999999854</v>
      </c>
      <c r="AL349" s="262">
        <v>299.9999999999709</v>
      </c>
      <c r="AM349" s="262">
        <v>-899.99999999998545</v>
      </c>
      <c r="AN349" s="262">
        <v>-450</v>
      </c>
      <c r="AO349" s="262">
        <v>750</v>
      </c>
      <c r="AP349" s="262">
        <v>750</v>
      </c>
      <c r="AQ349" s="262">
        <v>1350</v>
      </c>
      <c r="AR349" s="262">
        <v>149.99999999998545</v>
      </c>
      <c r="AS349" s="262">
        <v>5550</v>
      </c>
      <c r="AT349" s="262">
        <v>-300.00000000001455</v>
      </c>
      <c r="AU349" s="262">
        <v>-3000</v>
      </c>
      <c r="AV349" s="259">
        <f ca="1">Calc!AQ47</f>
        <v>-3000</v>
      </c>
      <c r="AX349" s="86" t="str">
        <f t="shared" ca="1" si="29"/>
        <v>UN0</v>
      </c>
    </row>
    <row r="350" spans="1:50" hidden="1">
      <c r="A350" s="86" t="str">
        <f t="shared" ca="1" si="28"/>
        <v>UNIT</v>
      </c>
      <c r="F350" s="249">
        <v>5.94</v>
      </c>
      <c r="G350" s="249">
        <v>6.15</v>
      </c>
      <c r="H350" s="249">
        <v>6.1303999999999998</v>
      </c>
      <c r="I350" s="249">
        <v>5.87</v>
      </c>
      <c r="J350" s="249">
        <v>6.11</v>
      </c>
      <c r="K350" s="249">
        <v>5.89</v>
      </c>
      <c r="L350" s="249">
        <v>5.97</v>
      </c>
      <c r="M350" s="249">
        <v>5.8449999999999998</v>
      </c>
      <c r="N350" s="249">
        <v>6.2701000000000002</v>
      </c>
      <c r="O350" s="249">
        <v>6.2701000000000002</v>
      </c>
      <c r="P350" s="249">
        <v>6.26</v>
      </c>
      <c r="Q350" s="249">
        <v>6.19</v>
      </c>
      <c r="R350" s="249">
        <v>6.4588000000000001</v>
      </c>
      <c r="S350" s="249">
        <v>6.59</v>
      </c>
      <c r="T350" s="249">
        <v>6.59</v>
      </c>
      <c r="U350" s="249">
        <v>6.56</v>
      </c>
      <c r="V350" s="249">
        <v>6.36</v>
      </c>
      <c r="W350" s="249">
        <v>6.41</v>
      </c>
      <c r="X350" s="249">
        <v>6.46</v>
      </c>
      <c r="Y350" s="249">
        <v>6.78</v>
      </c>
      <c r="Z350" s="243">
        <f ca="1">[1]ExtEntry!$I48</f>
        <v>6.78</v>
      </c>
      <c r="AB350" s="259">
        <v>2894</v>
      </c>
      <c r="AC350" s="259">
        <v>-759.67499999999563</v>
      </c>
      <c r="AD350" s="259">
        <v>2351.375</v>
      </c>
      <c r="AE350" s="259">
        <v>2749.3000000000029</v>
      </c>
      <c r="AF350" s="259">
        <v>-868.19999999999709</v>
      </c>
      <c r="AG350" s="259">
        <v>-1917.2749999999942</v>
      </c>
      <c r="AH350" s="259">
        <v>-434.10000000000582</v>
      </c>
      <c r="AI350" s="259">
        <v>1266.125</v>
      </c>
      <c r="AJ350" s="259">
        <v>904.375</v>
      </c>
      <c r="AK350" s="259">
        <v>144.69999999999709</v>
      </c>
      <c r="AL350" s="259">
        <v>723.50000000000728</v>
      </c>
      <c r="AM350" s="259">
        <v>1085.25</v>
      </c>
      <c r="AN350" s="259">
        <v>832.02500000000146</v>
      </c>
      <c r="AO350" s="259">
        <v>397.92499999999563</v>
      </c>
      <c r="AP350" s="259">
        <v>289.39999999999418</v>
      </c>
      <c r="AQ350" s="259">
        <v>397.92500000000291</v>
      </c>
      <c r="AR350" s="259">
        <v>-1302.3000000000102</v>
      </c>
      <c r="AS350" s="259">
        <v>-325.57499999999709</v>
      </c>
      <c r="AT350" s="259">
        <v>1953.4499999999971</v>
      </c>
      <c r="AU350" s="259">
        <v>3328.0999999999985</v>
      </c>
      <c r="AV350" s="259">
        <f ca="1">Calc!AQ48</f>
        <v>3328.0999999999985</v>
      </c>
      <c r="AX350" s="86" t="str">
        <f t="shared" ca="1" si="29"/>
        <v>UNIT</v>
      </c>
    </row>
    <row r="351" spans="1:50" hidden="1">
      <c r="A351" s="86" t="str">
        <f t="shared" ca="1" si="28"/>
        <v>VLVLY</v>
      </c>
      <c r="F351" s="249">
        <v>27.3</v>
      </c>
      <c r="G351" s="249">
        <v>27.100100000000001</v>
      </c>
      <c r="H351" s="249">
        <v>26.96</v>
      </c>
      <c r="I351" s="249">
        <v>27.82</v>
      </c>
      <c r="J351" s="249">
        <v>26.96</v>
      </c>
      <c r="K351" s="249">
        <v>27.98</v>
      </c>
      <c r="L351" s="249">
        <v>27.44</v>
      </c>
      <c r="M351" s="249">
        <v>27.83</v>
      </c>
      <c r="N351" s="249">
        <v>29.707999999999998</v>
      </c>
      <c r="O351" s="249">
        <v>29.707999999999998</v>
      </c>
      <c r="P351" s="249">
        <v>29.68</v>
      </c>
      <c r="Q351" s="249">
        <v>29.8</v>
      </c>
      <c r="R351" s="249">
        <v>29.77</v>
      </c>
      <c r="S351" s="249">
        <v>29.61</v>
      </c>
      <c r="T351" s="249">
        <v>29.61</v>
      </c>
      <c r="U351" s="249">
        <v>30.552</v>
      </c>
      <c r="V351" s="249">
        <v>31.38</v>
      </c>
      <c r="W351" s="249">
        <v>30.8</v>
      </c>
      <c r="X351" s="249">
        <v>30.88</v>
      </c>
      <c r="Y351" s="249">
        <v>31.94</v>
      </c>
      <c r="Z351" s="243">
        <f ca="1">[1]ExtEntry!$I49</f>
        <v>31.94</v>
      </c>
      <c r="AB351" s="259">
        <v>616.80000000000291</v>
      </c>
      <c r="AC351" s="259">
        <v>-960</v>
      </c>
      <c r="AD351" s="259">
        <v>1129.5</v>
      </c>
      <c r="AE351" s="259">
        <v>660</v>
      </c>
      <c r="AF351" s="259">
        <v>1950</v>
      </c>
      <c r="AG351" s="259">
        <v>-165</v>
      </c>
      <c r="AH351" s="259">
        <v>-1230</v>
      </c>
      <c r="AI351" s="259">
        <v>1260</v>
      </c>
      <c r="AJ351" s="259">
        <v>209.69999999999709</v>
      </c>
      <c r="AK351" s="259">
        <v>240</v>
      </c>
      <c r="AL351" s="259">
        <v>300</v>
      </c>
      <c r="AM351" s="259">
        <v>465</v>
      </c>
      <c r="AN351" s="259">
        <v>180</v>
      </c>
      <c r="AO351" s="259">
        <v>210</v>
      </c>
      <c r="AP351" s="259">
        <v>840</v>
      </c>
      <c r="AQ351" s="259">
        <v>-252</v>
      </c>
      <c r="AR351" s="259">
        <v>-90</v>
      </c>
      <c r="AS351" s="259">
        <v>109.19999999999709</v>
      </c>
      <c r="AT351" s="259">
        <v>1248</v>
      </c>
      <c r="AU351" s="259">
        <v>273</v>
      </c>
      <c r="AV351" s="259">
        <f ca="1">Calc!AQ49</f>
        <v>273</v>
      </c>
      <c r="AX351" s="86" t="str">
        <f t="shared" ca="1" si="29"/>
        <v>VLVLY</v>
      </c>
    </row>
    <row r="352" spans="1:50" hidden="1">
      <c r="A352" s="86" t="str">
        <f t="shared" ca="1" si="28"/>
        <v>VONN</v>
      </c>
      <c r="F352" s="249">
        <v>58.9</v>
      </c>
      <c r="G352" s="249">
        <v>58.2</v>
      </c>
      <c r="H352" s="249">
        <v>58.2</v>
      </c>
      <c r="I352" s="249">
        <v>59.4</v>
      </c>
      <c r="J352" s="249">
        <v>58.2</v>
      </c>
      <c r="K352" s="249">
        <v>58.2</v>
      </c>
      <c r="L352" s="249">
        <v>59.5</v>
      </c>
      <c r="M352" s="249">
        <v>59.1</v>
      </c>
      <c r="N352" s="249">
        <v>59.5</v>
      </c>
      <c r="O352" s="249">
        <v>59.9</v>
      </c>
      <c r="P352" s="249">
        <v>60</v>
      </c>
      <c r="Q352" s="249">
        <v>60.3</v>
      </c>
      <c r="R352" s="249">
        <v>60.7</v>
      </c>
      <c r="S352" s="249">
        <v>60.1</v>
      </c>
      <c r="T352" s="249">
        <v>60.1</v>
      </c>
      <c r="U352" s="249">
        <v>60.7</v>
      </c>
      <c r="V352" s="249">
        <v>60.6</v>
      </c>
      <c r="W352" s="249">
        <v>61.2</v>
      </c>
      <c r="X352" s="249">
        <v>60.8</v>
      </c>
      <c r="Y352" s="249">
        <v>60.6</v>
      </c>
      <c r="Z352" s="243">
        <f ca="1">[1]ExtEntry!$I50</f>
        <v>60.6</v>
      </c>
      <c r="AB352" s="262">
        <v>-3200</v>
      </c>
      <c r="AC352" s="262">
        <v>-14400</v>
      </c>
      <c r="AD352" s="262">
        <v>-2000</v>
      </c>
      <c r="AE352" s="262">
        <v>0</v>
      </c>
      <c r="AF352" s="262">
        <v>5760</v>
      </c>
      <c r="AG352" s="262">
        <v>15360</v>
      </c>
      <c r="AH352" s="262">
        <v>1920</v>
      </c>
      <c r="AI352" s="262">
        <v>5760</v>
      </c>
      <c r="AJ352" s="262">
        <v>3840</v>
      </c>
      <c r="AK352" s="262">
        <v>11520</v>
      </c>
      <c r="AL352" s="262">
        <v>7680</v>
      </c>
      <c r="AM352" s="262">
        <v>1920</v>
      </c>
      <c r="AN352" s="262">
        <v>7680</v>
      </c>
      <c r="AO352" s="262">
        <v>-13440</v>
      </c>
      <c r="AP352" s="262">
        <v>-9600</v>
      </c>
      <c r="AQ352" s="262">
        <v>5400</v>
      </c>
      <c r="AR352" s="262">
        <v>10200</v>
      </c>
      <c r="AS352" s="262">
        <v>0</v>
      </c>
      <c r="AT352" s="262">
        <v>-8250</v>
      </c>
      <c r="AU352" s="262">
        <v>3300</v>
      </c>
      <c r="AV352" s="259">
        <f ca="1">Calc!AQ50</f>
        <v>3300</v>
      </c>
      <c r="AX352" s="86" t="str">
        <f t="shared" ca="1" si="29"/>
        <v>VONN</v>
      </c>
    </row>
    <row r="353" spans="1:50" hidden="1">
      <c r="A353" s="86" t="str">
        <f t="shared" ca="1" si="28"/>
        <v>VTRS</v>
      </c>
      <c r="F353" s="249">
        <v>10.41</v>
      </c>
      <c r="G353" s="249">
        <v>10.029999999999999</v>
      </c>
      <c r="H353" s="249">
        <v>9.92</v>
      </c>
      <c r="I353" s="249">
        <v>10.66</v>
      </c>
      <c r="J353" s="249">
        <v>10.57</v>
      </c>
      <c r="K353" s="249">
        <v>10.48</v>
      </c>
      <c r="L353" s="249">
        <v>10.200100000000001</v>
      </c>
      <c r="M353" s="249">
        <v>10.15</v>
      </c>
      <c r="N353" s="249">
        <v>10.484999999999999</v>
      </c>
      <c r="O353" s="249">
        <v>10.484999999999999</v>
      </c>
      <c r="P353" s="249">
        <v>10.59</v>
      </c>
      <c r="Q353" s="249">
        <v>10.635</v>
      </c>
      <c r="R353" s="249">
        <v>10.645</v>
      </c>
      <c r="S353" s="249">
        <v>10.73</v>
      </c>
      <c r="T353" s="249">
        <v>10.73</v>
      </c>
      <c r="U353" s="249">
        <v>10.68</v>
      </c>
      <c r="V353" s="249">
        <v>10.8</v>
      </c>
      <c r="W353" s="249">
        <v>10.99</v>
      </c>
      <c r="X353" s="249">
        <v>11.1</v>
      </c>
      <c r="Y353" s="249">
        <v>11.31</v>
      </c>
      <c r="Z353" s="243">
        <f ca="1">[1]ExtEntry!$I51</f>
        <v>11.31</v>
      </c>
      <c r="AB353" s="259">
        <v>1500</v>
      </c>
      <c r="AC353" s="259">
        <v>-2775</v>
      </c>
      <c r="AD353" s="259">
        <v>25</v>
      </c>
      <c r="AE353" s="259">
        <v>-550</v>
      </c>
      <c r="AF353" s="259">
        <v>350.00000000000728</v>
      </c>
      <c r="AG353" s="259">
        <v>-675</v>
      </c>
      <c r="AH353" s="259">
        <v>-1275</v>
      </c>
      <c r="AI353" s="259">
        <v>1125</v>
      </c>
      <c r="AJ353" s="259">
        <v>450</v>
      </c>
      <c r="AK353" s="259">
        <v>225</v>
      </c>
      <c r="AL353" s="259">
        <v>200</v>
      </c>
      <c r="AM353" s="259">
        <v>474.99999999999272</v>
      </c>
      <c r="AN353" s="259">
        <v>-75</v>
      </c>
      <c r="AO353" s="259">
        <v>599.99999999999272</v>
      </c>
      <c r="AP353" s="259">
        <v>450</v>
      </c>
      <c r="AQ353" s="259">
        <v>-625</v>
      </c>
      <c r="AR353" s="259">
        <v>650</v>
      </c>
      <c r="AS353" s="259">
        <v>625</v>
      </c>
      <c r="AT353" s="259">
        <v>2000</v>
      </c>
      <c r="AU353" s="259">
        <v>-50</v>
      </c>
      <c r="AV353" s="259">
        <f ca="1">Calc!AQ51</f>
        <v>-50</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113.67</v>
      </c>
      <c r="G355" s="249">
        <v>113.6</v>
      </c>
      <c r="H355" s="249">
        <v>114.9</v>
      </c>
      <c r="I355" s="249">
        <v>116.6564</v>
      </c>
      <c r="J355" s="249">
        <v>116.48</v>
      </c>
      <c r="K355" s="249">
        <v>115.93</v>
      </c>
      <c r="L355" s="249">
        <v>116.78</v>
      </c>
      <c r="M355" s="249">
        <v>115.65</v>
      </c>
      <c r="N355" s="249">
        <v>114.32</v>
      </c>
      <c r="O355" s="249">
        <v>114.31</v>
      </c>
      <c r="P355" s="249">
        <v>114.82</v>
      </c>
      <c r="Q355" s="249">
        <v>116.1</v>
      </c>
      <c r="R355" s="249">
        <v>114.7</v>
      </c>
      <c r="S355" s="249">
        <v>115.875</v>
      </c>
      <c r="T355" s="249">
        <v>115.875</v>
      </c>
      <c r="U355" s="249">
        <v>116.97</v>
      </c>
      <c r="V355" s="249">
        <v>116.41</v>
      </c>
      <c r="W355" s="249">
        <v>116.89</v>
      </c>
      <c r="X355" s="249">
        <v>118.37</v>
      </c>
      <c r="Y355" s="249">
        <v>119.065</v>
      </c>
      <c r="Z355" s="243">
        <f ca="1">[1]ExtEntry!$I53</f>
        <v>119.065</v>
      </c>
      <c r="AB355" s="259">
        <v>-190</v>
      </c>
      <c r="AC355" s="259">
        <v>645</v>
      </c>
      <c r="AD355" s="259">
        <v>1110</v>
      </c>
      <c r="AE355" s="259">
        <v>415</v>
      </c>
      <c r="AF355" s="259">
        <v>885</v>
      </c>
      <c r="AG355" s="259">
        <v>325</v>
      </c>
      <c r="AH355" s="259">
        <v>-540</v>
      </c>
      <c r="AI355" s="259">
        <v>35</v>
      </c>
      <c r="AJ355" s="259">
        <v>370.44999999999709</v>
      </c>
      <c r="AK355" s="259">
        <v>180</v>
      </c>
      <c r="AL355" s="259">
        <v>510</v>
      </c>
      <c r="AM355" s="259">
        <v>490</v>
      </c>
      <c r="AN355" s="259">
        <v>-502.5</v>
      </c>
      <c r="AO355" s="259">
        <v>480.25</v>
      </c>
      <c r="AP355" s="259">
        <v>940</v>
      </c>
      <c r="AQ355" s="259">
        <v>-100</v>
      </c>
      <c r="AR355" s="259">
        <v>-115</v>
      </c>
      <c r="AS355" s="259">
        <v>1197.5</v>
      </c>
      <c r="AT355" s="259">
        <v>400</v>
      </c>
      <c r="AU355" s="259">
        <v>150</v>
      </c>
      <c r="AV355" s="259">
        <f ca="1">Calc!AQ53</f>
        <v>150</v>
      </c>
      <c r="AX355" s="86" t="str">
        <f t="shared" ca="1" si="29"/>
        <v>XOM</v>
      </c>
    </row>
    <row r="356" spans="1:50" hidden="1">
      <c r="A356" s="86" t="str">
        <f t="shared" ca="1" si="28"/>
        <v>XPER</v>
      </c>
      <c r="F356" s="249">
        <v>6.4</v>
      </c>
      <c r="G356" s="249">
        <v>6.8250000000000002</v>
      </c>
      <c r="H356" s="249">
        <v>6.5149999999999997</v>
      </c>
      <c r="I356" s="249">
        <v>6.1</v>
      </c>
      <c r="J356" s="249">
        <v>5.8049999999999997</v>
      </c>
      <c r="K356" s="249">
        <v>5.6849999999999996</v>
      </c>
      <c r="L356" s="249">
        <v>5.51</v>
      </c>
      <c r="M356" s="249">
        <v>5.415</v>
      </c>
      <c r="N356" s="249">
        <v>5.63</v>
      </c>
      <c r="O356" s="249">
        <v>5.63</v>
      </c>
      <c r="P356" s="249">
        <v>5.75</v>
      </c>
      <c r="Q356" s="249">
        <v>5.6310000000000002</v>
      </c>
      <c r="R356" s="249">
        <v>5.7</v>
      </c>
      <c r="S356" s="249">
        <v>5.83</v>
      </c>
      <c r="T356" s="249">
        <v>5.8150000000000004</v>
      </c>
      <c r="U356" s="249">
        <v>5.8650000000000002</v>
      </c>
      <c r="V356" s="249">
        <v>5.81</v>
      </c>
      <c r="W356" s="249">
        <v>5.9720000000000004</v>
      </c>
      <c r="X356" s="249">
        <v>6.125</v>
      </c>
      <c r="Y356" s="249">
        <v>6.1</v>
      </c>
      <c r="Z356" s="243">
        <f ca="1">[1]ExtEntry!$I54</f>
        <v>6.1</v>
      </c>
      <c r="AB356" s="262">
        <v>3400</v>
      </c>
      <c r="AC356" s="262">
        <v>-1300</v>
      </c>
      <c r="AD356" s="262">
        <v>-765</v>
      </c>
      <c r="AE356" s="262">
        <v>-199.99999999999272</v>
      </c>
      <c r="AF356" s="262">
        <v>-1100</v>
      </c>
      <c r="AG356" s="262">
        <v>-1299.9999999999927</v>
      </c>
      <c r="AH356" s="262">
        <v>-1900</v>
      </c>
      <c r="AI356" s="262">
        <v>2200</v>
      </c>
      <c r="AJ356" s="262">
        <v>50</v>
      </c>
      <c r="AK356" s="262">
        <v>300</v>
      </c>
      <c r="AL356" s="262">
        <v>400</v>
      </c>
      <c r="AM356" s="262">
        <v>401.00000000000728</v>
      </c>
      <c r="AN356" s="262">
        <v>850</v>
      </c>
      <c r="AO356" s="262">
        <v>-100</v>
      </c>
      <c r="AP356" s="262">
        <v>1600</v>
      </c>
      <c r="AQ356" s="262">
        <v>-1599.9999999999927</v>
      </c>
      <c r="AR356" s="262">
        <v>1899.9999999999927</v>
      </c>
      <c r="AS356" s="262">
        <v>1250</v>
      </c>
      <c r="AT356" s="262">
        <v>1000</v>
      </c>
      <c r="AU356" s="262">
        <v>-950</v>
      </c>
      <c r="AV356" s="259">
        <f ca="1">Calc!AQ54</f>
        <v>-950</v>
      </c>
      <c r="AX356" s="86" t="str">
        <f t="shared" ca="1" si="29"/>
        <v>XPER</v>
      </c>
    </row>
    <row r="357" spans="1:50" hidden="1">
      <c r="A357" s="86" t="str">
        <f t="shared" ca="1" si="28"/>
        <v>MVEALDNE</v>
      </c>
      <c r="F357" s="249">
        <v>0.77</v>
      </c>
      <c r="G357" s="249">
        <v>0.77</v>
      </c>
      <c r="H357" s="249">
        <v>0.76200000000000001</v>
      </c>
      <c r="I357" s="249">
        <v>0.66200000000000003</v>
      </c>
      <c r="J357" s="249">
        <v>0.67</v>
      </c>
      <c r="K357" s="249">
        <v>0.66400000000000003</v>
      </c>
      <c r="L357" s="249">
        <v>0.66</v>
      </c>
      <c r="M357" s="249">
        <v>0.60199999999999998</v>
      </c>
      <c r="N357" s="249">
        <v>0.61</v>
      </c>
      <c r="O357" s="249">
        <v>0.61799999999999999</v>
      </c>
      <c r="P357" s="249">
        <v>0.60399999999999998</v>
      </c>
      <c r="Q357" s="249">
        <v>0.6</v>
      </c>
      <c r="R357" s="249">
        <v>0.61799999999999999</v>
      </c>
      <c r="S357" s="249">
        <v>0.61</v>
      </c>
      <c r="T357" s="249">
        <v>0.61</v>
      </c>
      <c r="U357" s="249">
        <v>0.62</v>
      </c>
      <c r="V357" s="249">
        <v>0.62</v>
      </c>
      <c r="W357" s="249">
        <v>0.59</v>
      </c>
      <c r="X357" s="249">
        <v>0.55000000000000004</v>
      </c>
      <c r="Y357" s="249">
        <v>0.55000000000000004</v>
      </c>
      <c r="Z357" s="243">
        <f ca="1">[1]ExtEntry!$I55</f>
        <v>0.55000000000000004</v>
      </c>
      <c r="AB357" s="259">
        <v>1010</v>
      </c>
      <c r="AC357" s="259">
        <v>1010</v>
      </c>
      <c r="AD357" s="259">
        <v>0</v>
      </c>
      <c r="AE357" s="259">
        <v>-27270</v>
      </c>
      <c r="AF357" s="259">
        <v>-6060</v>
      </c>
      <c r="AG357" s="259">
        <v>3030</v>
      </c>
      <c r="AH357" s="259">
        <v>-11110</v>
      </c>
      <c r="AI357" s="259">
        <v>-6060</v>
      </c>
      <c r="AJ357" s="259">
        <v>-7070</v>
      </c>
      <c r="AK357" s="259">
        <v>0</v>
      </c>
      <c r="AL357" s="259">
        <v>-14140</v>
      </c>
      <c r="AM357" s="259">
        <v>-1010</v>
      </c>
      <c r="AN357" s="259">
        <v>1010</v>
      </c>
      <c r="AO357" s="259">
        <v>4040</v>
      </c>
      <c r="AP357" s="259">
        <v>3030</v>
      </c>
      <c r="AQ357" s="259">
        <v>-5050</v>
      </c>
      <c r="AR357" s="259">
        <v>-1010</v>
      </c>
      <c r="AS357" s="259">
        <v>-5050</v>
      </c>
      <c r="AT357" s="259">
        <v>3030</v>
      </c>
      <c r="AU357" s="259">
        <v>-18180</v>
      </c>
      <c r="AV357" s="259">
        <f ca="1">Calc!AQ55</f>
        <v>-18180</v>
      </c>
      <c r="AX357" s="86" t="str">
        <f t="shared" ca="1" si="29"/>
        <v>MVEALDNE</v>
      </c>
    </row>
    <row r="358" spans="1:50" hidden="1">
      <c r="A358" s="86" t="str">
        <f t="shared" ca="1" si="28"/>
        <v>MVEDDD</v>
      </c>
      <c r="F358" s="249">
        <v>2.4</v>
      </c>
      <c r="G358" s="249">
        <v>2.2599999999999998</v>
      </c>
      <c r="H358" s="249">
        <v>2.145</v>
      </c>
      <c r="I358" s="249">
        <v>2.0699999999999998</v>
      </c>
      <c r="J358" s="249">
        <v>2.0299999999999998</v>
      </c>
      <c r="K358" s="249">
        <v>2.04</v>
      </c>
      <c r="L358" s="249">
        <v>1.86</v>
      </c>
      <c r="M358" s="249">
        <v>1.82</v>
      </c>
      <c r="N358" s="249">
        <v>1.99</v>
      </c>
      <c r="O358" s="249">
        <v>1.99</v>
      </c>
      <c r="P358" s="249">
        <v>2.04</v>
      </c>
      <c r="Q358" s="249">
        <v>1.9750000000000001</v>
      </c>
      <c r="R358" s="249">
        <v>1.9844999999999999</v>
      </c>
      <c r="S358" s="249">
        <v>2.0400999999999998</v>
      </c>
      <c r="T358" s="249">
        <v>2.0400999999999998</v>
      </c>
      <c r="U358" s="249">
        <v>2.15</v>
      </c>
      <c r="V358" s="249">
        <v>2.16</v>
      </c>
      <c r="W358" s="249">
        <v>1.7</v>
      </c>
      <c r="X358" s="249">
        <v>1.76</v>
      </c>
      <c r="Y358" s="249">
        <v>1.76</v>
      </c>
      <c r="Z358" s="243">
        <f ca="1">[1]ExtEntry!$I56</f>
        <v>1.76</v>
      </c>
      <c r="AB358" s="262">
        <v>1000</v>
      </c>
      <c r="AC358" s="262">
        <v>-3350</v>
      </c>
      <c r="AD358" s="262">
        <v>49.999999999996362</v>
      </c>
      <c r="AE358" s="262">
        <v>750</v>
      </c>
      <c r="AF358" s="262">
        <v>300</v>
      </c>
      <c r="AG358" s="262">
        <v>-550</v>
      </c>
      <c r="AH358" s="262">
        <v>-1499.9999999999964</v>
      </c>
      <c r="AI358" s="262">
        <v>750</v>
      </c>
      <c r="AJ358" s="262">
        <v>350</v>
      </c>
      <c r="AK358" s="262">
        <v>300</v>
      </c>
      <c r="AL358" s="262">
        <v>-100</v>
      </c>
      <c r="AM358" s="262">
        <v>-150</v>
      </c>
      <c r="AN358" s="262">
        <v>650</v>
      </c>
      <c r="AO358" s="262">
        <v>250</v>
      </c>
      <c r="AP358" s="262">
        <v>1500</v>
      </c>
      <c r="AQ358" s="262">
        <v>450</v>
      </c>
      <c r="AR358" s="262">
        <v>-700</v>
      </c>
      <c r="AS358" s="262">
        <v>-150</v>
      </c>
      <c r="AT358" s="262">
        <v>-400</v>
      </c>
      <c r="AU358" s="262">
        <v>1750</v>
      </c>
      <c r="AV358" s="259">
        <f ca="1">Calc!AQ56</f>
        <v>1750</v>
      </c>
      <c r="AX358" s="86" t="str">
        <f t="shared" ca="1" si="29"/>
        <v>MVEDDD</v>
      </c>
    </row>
    <row r="359" spans="1:50" hidden="1">
      <c r="A359" s="86" t="str">
        <f t="shared" ca="1" si="28"/>
        <v>MVEDSY</v>
      </c>
      <c r="F359" s="249">
        <v>23.75</v>
      </c>
      <c r="G359" s="249">
        <v>23.22</v>
      </c>
      <c r="H359" s="249">
        <v>23.03</v>
      </c>
      <c r="I359" s="249">
        <v>23.67</v>
      </c>
      <c r="J359" s="249">
        <v>22.96</v>
      </c>
      <c r="K359" s="249">
        <v>22.96</v>
      </c>
      <c r="L359" s="249">
        <v>23.25</v>
      </c>
      <c r="M359" s="249">
        <v>22.86</v>
      </c>
      <c r="N359" s="249">
        <v>23.84</v>
      </c>
      <c r="O359" s="249">
        <v>24.07</v>
      </c>
      <c r="P359" s="249">
        <v>24.01</v>
      </c>
      <c r="Q359" s="249">
        <v>23.62</v>
      </c>
      <c r="R359" s="249">
        <v>23.4</v>
      </c>
      <c r="S359" s="249">
        <v>23.08</v>
      </c>
      <c r="T359" s="249">
        <v>23.08</v>
      </c>
      <c r="U359" s="249">
        <v>23.4</v>
      </c>
      <c r="V359" s="249">
        <v>23.45</v>
      </c>
      <c r="W359" s="249">
        <v>23.3</v>
      </c>
      <c r="X359" s="249">
        <v>22.91</v>
      </c>
      <c r="Y359" s="249">
        <v>22.79</v>
      </c>
      <c r="Z359" s="243">
        <f ca="1">[1]ExtEntry!$I57</f>
        <v>22.79</v>
      </c>
      <c r="AB359" s="259">
        <v>1440</v>
      </c>
      <c r="AC359" s="259">
        <v>-6840</v>
      </c>
      <c r="AD359" s="259">
        <v>0</v>
      </c>
      <c r="AE359" s="259">
        <v>-240</v>
      </c>
      <c r="AF359" s="259">
        <v>-360</v>
      </c>
      <c r="AG359" s="259">
        <v>2160</v>
      </c>
      <c r="AH359" s="259">
        <v>-1080</v>
      </c>
      <c r="AI359" s="259">
        <v>5880</v>
      </c>
      <c r="AJ359" s="259">
        <v>360</v>
      </c>
      <c r="AK359" s="259">
        <v>840</v>
      </c>
      <c r="AL359" s="259">
        <v>-600</v>
      </c>
      <c r="AM359" s="259">
        <v>-2280</v>
      </c>
      <c r="AN359" s="259">
        <v>-4560</v>
      </c>
      <c r="AO359" s="259">
        <v>120</v>
      </c>
      <c r="AP359" s="259">
        <v>120</v>
      </c>
      <c r="AQ359" s="259">
        <v>4320</v>
      </c>
      <c r="AR359" s="259">
        <v>-360</v>
      </c>
      <c r="AS359" s="259">
        <v>-720</v>
      </c>
      <c r="AT359" s="259">
        <v>-3120</v>
      </c>
      <c r="AU359" s="259">
        <v>2760</v>
      </c>
      <c r="AV359" s="259">
        <f ca="1">Calc!AQ57</f>
        <v>2760</v>
      </c>
      <c r="AX359" s="86" t="str">
        <f t="shared" ca="1" si="29"/>
        <v>MVEDSY</v>
      </c>
    </row>
    <row r="360" spans="1:50" hidden="1">
      <c r="A360" s="86" t="str">
        <f t="shared" ca="1" si="28"/>
        <v>MVEEOAN</v>
      </c>
      <c r="F360" s="249">
        <v>15.824999999999999</v>
      </c>
      <c r="G360" s="249">
        <v>16</v>
      </c>
      <c r="H360" s="249">
        <v>15.994999999999999</v>
      </c>
      <c r="I360" s="249">
        <v>15.05</v>
      </c>
      <c r="J360" s="249">
        <v>15.23</v>
      </c>
      <c r="K360" s="249">
        <v>15.23</v>
      </c>
      <c r="L360" s="249">
        <v>15.345000000000001</v>
      </c>
      <c r="M360" s="249">
        <v>15.365</v>
      </c>
      <c r="N360" s="249">
        <v>15.25</v>
      </c>
      <c r="O360" s="249">
        <v>15.095000000000001</v>
      </c>
      <c r="P360" s="249">
        <v>15.23</v>
      </c>
      <c r="Q360" s="249">
        <v>15.22</v>
      </c>
      <c r="R360" s="249">
        <v>15.19</v>
      </c>
      <c r="S360" s="249">
        <v>15.4</v>
      </c>
      <c r="T360" s="249">
        <v>15.4</v>
      </c>
      <c r="U360" s="249">
        <v>15.565</v>
      </c>
      <c r="V360" s="249">
        <v>15.385</v>
      </c>
      <c r="W360" s="249">
        <v>15.484999999999999</v>
      </c>
      <c r="X360" s="249">
        <v>15.51</v>
      </c>
      <c r="Y360" s="249">
        <v>15</v>
      </c>
      <c r="Z360" s="243">
        <f ca="1">[1]ExtEntry!$I58</f>
        <v>15</v>
      </c>
      <c r="AB360" s="262">
        <v>2.25</v>
      </c>
      <c r="AC360" s="262">
        <v>0.75</v>
      </c>
      <c r="AD360" s="262">
        <v>0</v>
      </c>
      <c r="AE360" s="262">
        <v>0.19999999999998863</v>
      </c>
      <c r="AF360" s="262">
        <v>-0.84999999999999432</v>
      </c>
      <c r="AG360" s="262">
        <v>-0.15000000000000568</v>
      </c>
      <c r="AH360" s="262">
        <v>0.54999999999998295</v>
      </c>
      <c r="AI360" s="262">
        <v>1.6499999999999773</v>
      </c>
      <c r="AJ360" s="262">
        <v>0.90000000000000568</v>
      </c>
      <c r="AK360" s="262">
        <v>-1.5000000000000284</v>
      </c>
      <c r="AL360" s="262">
        <v>0.5</v>
      </c>
      <c r="AM360" s="262">
        <v>-1.1500000000000057</v>
      </c>
      <c r="AN360" s="262">
        <v>0.94999999999998863</v>
      </c>
      <c r="AO360" s="262">
        <v>3</v>
      </c>
      <c r="AP360" s="262">
        <v>4.1999999999999886</v>
      </c>
      <c r="AQ360" s="262">
        <v>-2.0999999999999943</v>
      </c>
      <c r="AR360" s="262">
        <v>-1.3000000000000114</v>
      </c>
      <c r="AS360" s="262">
        <v>1.0000000000000284</v>
      </c>
      <c r="AT360" s="262">
        <v>-5.0000000000011369E-2</v>
      </c>
      <c r="AU360" s="262">
        <v>-4.2500000000000284</v>
      </c>
      <c r="AV360" s="259">
        <f ca="1">Calc!AQ58</f>
        <v>-4.2500000000000284</v>
      </c>
      <c r="AX360" s="86" t="str">
        <f t="shared" ca="1" si="29"/>
        <v>MVEEOAN</v>
      </c>
    </row>
    <row r="361" spans="1:50" hidden="1">
      <c r="A361" s="86" t="str">
        <f t="shared" ca="1" si="28"/>
        <v>MVEENI</v>
      </c>
      <c r="F361" s="249">
        <v>15.832000000000001</v>
      </c>
      <c r="G361" s="249">
        <v>15.862</v>
      </c>
      <c r="H361" s="249">
        <v>15.784000000000001</v>
      </c>
      <c r="I361" s="249">
        <v>16.262</v>
      </c>
      <c r="J361" s="249">
        <v>16.32</v>
      </c>
      <c r="K361" s="249">
        <v>16.106000000000002</v>
      </c>
      <c r="L361" s="249">
        <v>16.28</v>
      </c>
      <c r="M361" s="249">
        <v>15.952</v>
      </c>
      <c r="N361" s="249">
        <v>15.868</v>
      </c>
      <c r="O361" s="249">
        <v>15.853999999999999</v>
      </c>
      <c r="P361" s="249">
        <v>15.926</v>
      </c>
      <c r="Q361" s="249">
        <v>16.026</v>
      </c>
      <c r="R361" s="249">
        <v>16.094000000000001</v>
      </c>
      <c r="S361" s="249">
        <v>16.146000000000001</v>
      </c>
      <c r="T361" s="249">
        <v>16.146000000000001</v>
      </c>
      <c r="U361" s="249">
        <v>16.186</v>
      </c>
      <c r="V361" s="249">
        <v>15.904</v>
      </c>
      <c r="W361" s="249">
        <v>16.018000000000001</v>
      </c>
      <c r="X361" s="249">
        <v>16.012</v>
      </c>
      <c r="Y361" s="249">
        <v>15.896000000000001</v>
      </c>
      <c r="Z361" s="243">
        <f ca="1">[1]ExtEntry!$I59</f>
        <v>15.896000000000001</v>
      </c>
      <c r="AB361" s="259">
        <v>4320</v>
      </c>
      <c r="AC361" s="259">
        <v>1656</v>
      </c>
      <c r="AD361" s="259">
        <v>-2808</v>
      </c>
      <c r="AE361" s="259">
        <v>576</v>
      </c>
      <c r="AF361" s="259">
        <v>-720</v>
      </c>
      <c r="AG361" s="259">
        <v>-5832</v>
      </c>
      <c r="AH361" s="259">
        <v>-1008.0000000001164</v>
      </c>
      <c r="AI361" s="259">
        <v>0</v>
      </c>
      <c r="AJ361" s="259">
        <v>1296</v>
      </c>
      <c r="AK361" s="259">
        <v>-2088</v>
      </c>
      <c r="AL361" s="259">
        <v>7272</v>
      </c>
      <c r="AM361" s="259">
        <v>4896</v>
      </c>
      <c r="AN361" s="259">
        <v>360</v>
      </c>
      <c r="AO361" s="259">
        <v>5040</v>
      </c>
      <c r="AP361" s="259">
        <v>6624</v>
      </c>
      <c r="AQ361" s="259">
        <v>-2520.0000000001164</v>
      </c>
      <c r="AR361" s="259">
        <v>3672</v>
      </c>
      <c r="AS361" s="259">
        <v>2880</v>
      </c>
      <c r="AT361" s="259">
        <v>-3392.0000000000582</v>
      </c>
      <c r="AU361" s="259">
        <v>-3072</v>
      </c>
      <c r="AV361" s="259">
        <f ca="1">Calc!AQ59</f>
        <v>-3072</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53.76</v>
      </c>
      <c r="G363" s="249">
        <v>54.36</v>
      </c>
      <c r="H363" s="249">
        <v>54.3</v>
      </c>
      <c r="I363" s="249">
        <v>57.08</v>
      </c>
      <c r="J363" s="249">
        <v>55.84</v>
      </c>
      <c r="K363" s="249">
        <v>55.84</v>
      </c>
      <c r="L363" s="249">
        <v>57.36</v>
      </c>
      <c r="M363" s="249">
        <v>55.6</v>
      </c>
      <c r="N363" s="249">
        <v>58.56</v>
      </c>
      <c r="O363" s="249">
        <v>59.36</v>
      </c>
      <c r="P363" s="249">
        <v>59.64</v>
      </c>
      <c r="Q363" s="249">
        <v>59.34</v>
      </c>
      <c r="R363" s="249">
        <v>59.72</v>
      </c>
      <c r="S363" s="249">
        <v>60.6</v>
      </c>
      <c r="T363" s="249">
        <v>60.24</v>
      </c>
      <c r="U363" s="249">
        <v>61.48</v>
      </c>
      <c r="V363" s="249">
        <v>61.54</v>
      </c>
      <c r="W363" s="249">
        <v>62.36</v>
      </c>
      <c r="X363" s="249">
        <v>62.82</v>
      </c>
      <c r="Y363" s="249">
        <v>63.12</v>
      </c>
      <c r="Z363" s="243">
        <f ca="1">[1]ExtEntry!$I61</f>
        <v>63.12</v>
      </c>
      <c r="AB363" s="259">
        <v>4760</v>
      </c>
      <c r="AC363" s="259">
        <v>7000</v>
      </c>
      <c r="AD363" s="259">
        <v>-10080</v>
      </c>
      <c r="AE363" s="259">
        <v>-5180</v>
      </c>
      <c r="AF363" s="259">
        <v>-1680</v>
      </c>
      <c r="AG363" s="259">
        <v>2800</v>
      </c>
      <c r="AH363" s="259">
        <v>60</v>
      </c>
      <c r="AI363" s="259">
        <v>1620</v>
      </c>
      <c r="AJ363" s="259">
        <v>2220</v>
      </c>
      <c r="AK363" s="259">
        <v>1440</v>
      </c>
      <c r="AL363" s="259">
        <v>420</v>
      </c>
      <c r="AM363" s="259">
        <v>180</v>
      </c>
      <c r="AN363" s="259">
        <v>4020</v>
      </c>
      <c r="AO363" s="259">
        <v>-1200</v>
      </c>
      <c r="AP363" s="259">
        <v>-1560</v>
      </c>
      <c r="AQ363" s="259">
        <v>1800</v>
      </c>
      <c r="AR363" s="259">
        <v>-2920</v>
      </c>
      <c r="AS363" s="259">
        <v>720</v>
      </c>
      <c r="AT363" s="259">
        <v>1160</v>
      </c>
      <c r="AU363" s="259">
        <v>2120</v>
      </c>
      <c r="AV363" s="259">
        <f ca="1">Calc!AQ61</f>
        <v>2120</v>
      </c>
      <c r="AX363" s="86" t="str">
        <f t="shared" ca="1" si="29"/>
        <v>MVEGLE</v>
      </c>
    </row>
    <row r="364" spans="1:50" hidden="1">
      <c r="A364" s="86" t="str">
        <f t="shared" ca="1" si="28"/>
        <v>MVEORA</v>
      </c>
      <c r="F364" s="249">
        <v>13.705</v>
      </c>
      <c r="G364" s="249">
        <v>13.73</v>
      </c>
      <c r="H364" s="249">
        <v>13.9</v>
      </c>
      <c r="I364" s="249">
        <v>13.89</v>
      </c>
      <c r="J364" s="249">
        <v>13.675000000000001</v>
      </c>
      <c r="K364" s="249">
        <v>13.67</v>
      </c>
      <c r="L364" s="249">
        <v>13.66</v>
      </c>
      <c r="M364" s="249">
        <v>13.61</v>
      </c>
      <c r="N364" s="249">
        <v>13.865</v>
      </c>
      <c r="O364" s="249">
        <v>14.035</v>
      </c>
      <c r="P364" s="249">
        <v>14.065</v>
      </c>
      <c r="Q364" s="249">
        <v>14.105</v>
      </c>
      <c r="R364" s="249">
        <v>13.715</v>
      </c>
      <c r="S364" s="249">
        <v>13.994999999999999</v>
      </c>
      <c r="T364" s="249">
        <v>13.99</v>
      </c>
      <c r="U364" s="249">
        <v>14.005000000000001</v>
      </c>
      <c r="V364" s="249">
        <v>13.74</v>
      </c>
      <c r="W364" s="249">
        <v>13.68</v>
      </c>
      <c r="X364" s="249">
        <v>13.49</v>
      </c>
      <c r="Y364" s="249">
        <v>13.615</v>
      </c>
      <c r="Z364" s="243">
        <f ca="1">[1]ExtEntry!$I62</f>
        <v>13.615</v>
      </c>
      <c r="AB364" s="262">
        <v>-297</v>
      </c>
      <c r="AC364" s="262">
        <v>2178</v>
      </c>
      <c r="AD364" s="262">
        <v>4257</v>
      </c>
      <c r="AE364" s="262">
        <v>-6534</v>
      </c>
      <c r="AF364" s="262">
        <v>-6039</v>
      </c>
      <c r="AG364" s="262">
        <v>-4257</v>
      </c>
      <c r="AH364" s="262">
        <v>-2475</v>
      </c>
      <c r="AI364" s="262">
        <v>6039</v>
      </c>
      <c r="AJ364" s="262">
        <v>2277</v>
      </c>
      <c r="AK364" s="262">
        <v>693</v>
      </c>
      <c r="AL364" s="262">
        <v>1089</v>
      </c>
      <c r="AM364" s="262">
        <v>-198</v>
      </c>
      <c r="AN364" s="262">
        <v>3960</v>
      </c>
      <c r="AO364" s="262">
        <v>693</v>
      </c>
      <c r="AP364" s="262">
        <v>1089</v>
      </c>
      <c r="AQ364" s="262">
        <v>-99</v>
      </c>
      <c r="AR364" s="262">
        <v>-5643</v>
      </c>
      <c r="AS364" s="262">
        <v>-396</v>
      </c>
      <c r="AT364" s="262">
        <v>-297</v>
      </c>
      <c r="AU364" s="262">
        <v>1782</v>
      </c>
      <c r="AV364" s="259">
        <f ca="1">Calc!AQ62</f>
        <v>1782</v>
      </c>
      <c r="AX364" s="86" t="str">
        <f t="shared" ca="1" si="29"/>
        <v>MVEORA</v>
      </c>
    </row>
    <row r="365" spans="1:50" hidden="1">
      <c r="A365" s="86" t="str">
        <f t="shared" ca="1" si="28"/>
        <v>MVERWE</v>
      </c>
      <c r="F365" s="249">
        <v>42.17</v>
      </c>
      <c r="G365" s="249">
        <v>42.46</v>
      </c>
      <c r="H365" s="249">
        <v>42.36</v>
      </c>
      <c r="I365" s="249">
        <v>44.88</v>
      </c>
      <c r="J365" s="249">
        <v>44.28</v>
      </c>
      <c r="K365" s="249">
        <v>43.7</v>
      </c>
      <c r="L365" s="249">
        <v>44.07</v>
      </c>
      <c r="M365" s="249">
        <v>43.99</v>
      </c>
      <c r="N365" s="249">
        <v>43.2</v>
      </c>
      <c r="O365" s="249">
        <v>43.5</v>
      </c>
      <c r="P365" s="249">
        <v>43.42</v>
      </c>
      <c r="Q365" s="249">
        <v>43.27</v>
      </c>
      <c r="R365" s="249">
        <v>43.18</v>
      </c>
      <c r="S365" s="249">
        <v>43.43</v>
      </c>
      <c r="T365" s="249">
        <v>43.43</v>
      </c>
      <c r="U365" s="249">
        <v>42.91</v>
      </c>
      <c r="V365" s="249">
        <v>42.89</v>
      </c>
      <c r="W365" s="249">
        <v>43.44</v>
      </c>
      <c r="X365" s="249">
        <v>43.3</v>
      </c>
      <c r="Y365" s="249">
        <v>42.96</v>
      </c>
      <c r="Z365" s="243">
        <f ca="1">[1]ExtEntry!$I63</f>
        <v>42.96</v>
      </c>
      <c r="AB365" s="259">
        <v>0.32999999999999829</v>
      </c>
      <c r="AC365" s="259">
        <v>0.61999999999999744</v>
      </c>
      <c r="AD365" s="259">
        <v>-0.20000000000000284</v>
      </c>
      <c r="AE365" s="259">
        <v>-0.12000000000000455</v>
      </c>
      <c r="AF365" s="259">
        <v>-0.67999999999999972</v>
      </c>
      <c r="AG365" s="259">
        <v>-1.230000000000004</v>
      </c>
      <c r="AH365" s="259">
        <v>0.85000000000000142</v>
      </c>
      <c r="AI365" s="259">
        <v>-0.39999999999999858</v>
      </c>
      <c r="AJ365" s="259">
        <v>0.89000000000000057</v>
      </c>
      <c r="AK365" s="259">
        <v>-0.50999999999999801</v>
      </c>
      <c r="AL365" s="259">
        <v>0.24000000000000199</v>
      </c>
      <c r="AM365" s="259">
        <v>-0.42999999999999972</v>
      </c>
      <c r="AN365" s="259">
        <v>-0.13000000000000256</v>
      </c>
      <c r="AO365" s="259">
        <v>0.67999999999999972</v>
      </c>
      <c r="AP365" s="259">
        <v>0.13000000000000256</v>
      </c>
      <c r="AQ365" s="259">
        <v>-0.36999999999999744</v>
      </c>
      <c r="AR365" s="259">
        <v>-0.56000000000000227</v>
      </c>
      <c r="AS365" s="259">
        <v>0.25</v>
      </c>
      <c r="AT365" s="259">
        <v>-4.9999999999997158E-2</v>
      </c>
      <c r="AU365" s="259">
        <v>-0.10000000000000142</v>
      </c>
      <c r="AV365" s="259">
        <f ca="1">Calc!AQ63</f>
        <v>-0.10000000000000142</v>
      </c>
      <c r="AX365" s="86" t="str">
        <f t="shared" ca="1" si="29"/>
        <v>MVERWE</v>
      </c>
    </row>
    <row r="366" spans="1:50" hidden="1">
      <c r="A366" s="86" t="str">
        <f t="shared" ca="1" si="28"/>
        <v>MVESAP</v>
      </c>
      <c r="F366" s="249">
        <v>223.75</v>
      </c>
      <c r="G366" s="249">
        <v>217.55</v>
      </c>
      <c r="H366" s="249">
        <v>215.1</v>
      </c>
      <c r="I366" s="249">
        <v>207.55</v>
      </c>
      <c r="J366" s="249">
        <v>203.75</v>
      </c>
      <c r="K366" s="249">
        <v>203.75</v>
      </c>
      <c r="L366" s="249">
        <v>206.25</v>
      </c>
      <c r="M366" s="249">
        <v>203.35</v>
      </c>
      <c r="N366" s="249">
        <v>203.65</v>
      </c>
      <c r="O366" s="249">
        <v>206.7</v>
      </c>
      <c r="P366" s="249">
        <v>206.35</v>
      </c>
      <c r="Q366" s="249">
        <v>207.1</v>
      </c>
      <c r="R366" s="249">
        <v>206.45</v>
      </c>
      <c r="S366" s="249">
        <v>206.4</v>
      </c>
      <c r="T366" s="249">
        <v>206.15</v>
      </c>
      <c r="U366" s="249">
        <v>208.05</v>
      </c>
      <c r="V366" s="249">
        <v>210.05</v>
      </c>
      <c r="W366" s="249">
        <v>208.4</v>
      </c>
      <c r="X366" s="249">
        <v>207</v>
      </c>
      <c r="Y366" s="249">
        <v>201.85</v>
      </c>
      <c r="Z366" s="243">
        <f ca="1">[1]ExtEntry!$I64</f>
        <v>201.85</v>
      </c>
      <c r="AB366" s="262">
        <v>1203</v>
      </c>
      <c r="AC366" s="262">
        <v>-3067.6499999999942</v>
      </c>
      <c r="AD366" s="262">
        <v>-1604</v>
      </c>
      <c r="AE366" s="262">
        <v>-1062.6500000000087</v>
      </c>
      <c r="AF366" s="262">
        <v>60.149999999994179</v>
      </c>
      <c r="AG366" s="262">
        <v>120.30000000000291</v>
      </c>
      <c r="AH366" s="262">
        <v>-140.35000000000582</v>
      </c>
      <c r="AI366" s="262">
        <v>401</v>
      </c>
      <c r="AJ366" s="262">
        <v>481.19999999999709</v>
      </c>
      <c r="AK366" s="262">
        <v>-80.19999999999709</v>
      </c>
      <c r="AL366" s="262">
        <v>681.70000000001164</v>
      </c>
      <c r="AM366" s="262">
        <v>120.30000000001746</v>
      </c>
      <c r="AN366" s="262">
        <v>120.29999999998836</v>
      </c>
      <c r="AO366" s="262">
        <v>-401</v>
      </c>
      <c r="AP366" s="262">
        <v>-1575</v>
      </c>
      <c r="AQ366" s="262">
        <v>1260</v>
      </c>
      <c r="AR366" s="262">
        <v>1800</v>
      </c>
      <c r="AS366" s="262">
        <v>765</v>
      </c>
      <c r="AT366" s="262">
        <v>360</v>
      </c>
      <c r="AU366" s="262">
        <v>4770</v>
      </c>
      <c r="AV366" s="259">
        <f ca="1">Calc!AQ64</f>
        <v>4770</v>
      </c>
      <c r="AX366" s="86" t="str">
        <f t="shared" ca="1" si="29"/>
        <v>MVESAP</v>
      </c>
    </row>
    <row r="367" spans="1:50" hidden="1">
      <c r="A367" s="86" t="str">
        <f t="shared" ca="1" si="28"/>
        <v>MVEUN0</v>
      </c>
      <c r="F367" s="249">
        <v>29.5</v>
      </c>
      <c r="G367" s="249">
        <v>27.95</v>
      </c>
      <c r="H367" s="249">
        <v>28.4</v>
      </c>
      <c r="I367" s="249">
        <v>28.3</v>
      </c>
      <c r="J367" s="249">
        <v>29.55</v>
      </c>
      <c r="K367" s="249">
        <v>29.55</v>
      </c>
      <c r="L367" s="249">
        <v>30.2</v>
      </c>
      <c r="M367" s="249">
        <v>30</v>
      </c>
      <c r="N367" s="249">
        <v>32.6</v>
      </c>
      <c r="O367" s="249">
        <v>33.450000000000003</v>
      </c>
      <c r="P367" s="249">
        <v>34.200000000000003</v>
      </c>
      <c r="Q367" s="249">
        <v>34.25</v>
      </c>
      <c r="R367" s="249">
        <v>32.9</v>
      </c>
      <c r="S367" s="249">
        <v>33.4</v>
      </c>
      <c r="T367" s="249">
        <v>33.4</v>
      </c>
      <c r="U367" s="249">
        <v>33.200000000000003</v>
      </c>
      <c r="V367" s="249">
        <v>33.950000000000003</v>
      </c>
      <c r="W367" s="249">
        <v>36.1</v>
      </c>
      <c r="X367" s="249">
        <v>38</v>
      </c>
      <c r="Y367" s="249">
        <v>37.75</v>
      </c>
      <c r="Z367" s="243">
        <f ca="1">[1]ExtEntry!$I65</f>
        <v>37.75</v>
      </c>
      <c r="AB367" s="259">
        <v>0</v>
      </c>
      <c r="AC367" s="259">
        <v>-532</v>
      </c>
      <c r="AD367" s="259">
        <v>56</v>
      </c>
      <c r="AE367" s="259">
        <v>84</v>
      </c>
      <c r="AF367" s="259">
        <v>0</v>
      </c>
      <c r="AG367" s="259">
        <v>392</v>
      </c>
      <c r="AH367" s="259">
        <v>-196</v>
      </c>
      <c r="AI367" s="259">
        <v>-392</v>
      </c>
      <c r="AJ367" s="259">
        <v>364</v>
      </c>
      <c r="AK367" s="259">
        <v>364</v>
      </c>
      <c r="AL367" s="259">
        <v>56</v>
      </c>
      <c r="AM367" s="259">
        <v>-168</v>
      </c>
      <c r="AN367" s="259">
        <v>-84</v>
      </c>
      <c r="AO367" s="259">
        <v>140</v>
      </c>
      <c r="AP367" s="259">
        <v>140</v>
      </c>
      <c r="AQ367" s="259">
        <v>252</v>
      </c>
      <c r="AR367" s="259">
        <v>28</v>
      </c>
      <c r="AS367" s="259">
        <v>1036</v>
      </c>
      <c r="AT367" s="259">
        <v>-56</v>
      </c>
      <c r="AU367" s="259">
        <v>-560</v>
      </c>
      <c r="AV367" s="259">
        <f ca="1">Calc!AQ65</f>
        <v>-560</v>
      </c>
      <c r="AX367" s="86" t="str">
        <f t="shared" ca="1" si="29"/>
        <v>MVEUN0</v>
      </c>
    </row>
    <row r="368" spans="1:50" hidden="1">
      <c r="A368" s="86" t="str">
        <f t="shared" ca="1" si="28"/>
        <v>SAFAAPL</v>
      </c>
      <c r="F368" s="249">
        <v>266.93</v>
      </c>
      <c r="G368" s="249">
        <v>267.89</v>
      </c>
      <c r="H368" s="249">
        <v>266.77999999999997</v>
      </c>
      <c r="I368" s="249">
        <v>269.60000000000002</v>
      </c>
      <c r="J368" s="249">
        <v>265.32</v>
      </c>
      <c r="K368" s="249">
        <v>265.5</v>
      </c>
      <c r="L368" s="249">
        <v>266.52</v>
      </c>
      <c r="M368" s="249">
        <v>265.82</v>
      </c>
      <c r="N368" s="249">
        <v>276.63</v>
      </c>
      <c r="O368" s="249">
        <v>276.63</v>
      </c>
      <c r="P368" s="249">
        <v>275.98649999999998</v>
      </c>
      <c r="Q368" s="249">
        <v>276.14</v>
      </c>
      <c r="R368" s="249">
        <v>282.63010000000003</v>
      </c>
      <c r="S368" s="249">
        <v>285.89999999999998</v>
      </c>
      <c r="T368" s="249">
        <v>283.3</v>
      </c>
      <c r="U368" s="249">
        <v>279.81</v>
      </c>
      <c r="V368" s="249">
        <v>278.05</v>
      </c>
      <c r="W368" s="249">
        <v>277.02999999999997</v>
      </c>
      <c r="X368" s="249">
        <v>276.44</v>
      </c>
      <c r="Y368" s="249">
        <v>273.81</v>
      </c>
      <c r="Z368" s="243">
        <f ca="1">[1]ExtEntry!$I66</f>
        <v>273.81</v>
      </c>
      <c r="AB368" s="262">
        <v>535.5</v>
      </c>
      <c r="AC368" s="262">
        <v>805</v>
      </c>
      <c r="AD368" s="262">
        <v>-620.54999999998836</v>
      </c>
      <c r="AE368" s="262">
        <v>476.00000000001455</v>
      </c>
      <c r="AF368" s="262">
        <v>-892.5</v>
      </c>
      <c r="AG368" s="262">
        <v>1585.4999999999854</v>
      </c>
      <c r="AH368" s="262">
        <v>-1452.4999999999854</v>
      </c>
      <c r="AI368" s="262">
        <v>2107</v>
      </c>
      <c r="AJ368" s="262">
        <v>381.49999999998545</v>
      </c>
      <c r="AK368" s="262">
        <v>206.5</v>
      </c>
      <c r="AL368" s="262">
        <v>556.50000000001455</v>
      </c>
      <c r="AM368" s="262">
        <v>945</v>
      </c>
      <c r="AN368" s="262">
        <v>999.24999999998545</v>
      </c>
      <c r="AO368" s="262">
        <v>308</v>
      </c>
      <c r="AP368" s="262">
        <v>-717.50000000001455</v>
      </c>
      <c r="AQ368" s="262">
        <v>-1379</v>
      </c>
      <c r="AR368" s="262">
        <v>-616.00000000001455</v>
      </c>
      <c r="AS368" s="262">
        <v>-217</v>
      </c>
      <c r="AT368" s="262">
        <v>360.49999999998545</v>
      </c>
      <c r="AU368" s="262">
        <v>-336.00000000001455</v>
      </c>
      <c r="AV368" s="259">
        <f ca="1">Calc!AQ66</f>
        <v>-336.00000000001455</v>
      </c>
      <c r="AX368" s="86" t="str">
        <f t="shared" ca="1" si="29"/>
        <v>SAFAAPL</v>
      </c>
    </row>
    <row r="369" spans="1:50" hidden="1">
      <c r="A369" s="86" t="str">
        <f t="shared" ref="A369:A398" ca="1" si="30">A269</f>
        <v>SAFAMZN</v>
      </c>
      <c r="F369" s="249">
        <v>246.16</v>
      </c>
      <c r="G369" s="249">
        <v>242.17</v>
      </c>
      <c r="H369" s="249">
        <v>238.49</v>
      </c>
      <c r="I369" s="249">
        <v>232.89</v>
      </c>
      <c r="J369" s="249">
        <v>222.42</v>
      </c>
      <c r="K369" s="249">
        <v>218.53</v>
      </c>
      <c r="L369" s="249">
        <v>218.2</v>
      </c>
      <c r="M369" s="249">
        <v>215.18</v>
      </c>
      <c r="N369" s="249">
        <v>228.77</v>
      </c>
      <c r="O369" s="249">
        <v>228.77</v>
      </c>
      <c r="P369" s="249">
        <v>230.22</v>
      </c>
      <c r="Q369" s="249">
        <v>232.25</v>
      </c>
      <c r="R369" s="249">
        <v>233.55</v>
      </c>
      <c r="S369" s="249">
        <v>230.64</v>
      </c>
      <c r="T369" s="249">
        <v>230.61</v>
      </c>
      <c r="U369" s="249">
        <v>226.8</v>
      </c>
      <c r="V369" s="249">
        <v>228.547</v>
      </c>
      <c r="W369" s="249">
        <v>225.11</v>
      </c>
      <c r="X369" s="249">
        <v>228.46</v>
      </c>
      <c r="Y369" s="249">
        <v>228.6901</v>
      </c>
      <c r="Z369" s="243">
        <f ca="1">[1]ExtEntry!$I67</f>
        <v>228.6901</v>
      </c>
      <c r="AB369" s="259">
        <v>1755</v>
      </c>
      <c r="AC369" s="259">
        <v>-8015.4000000000233</v>
      </c>
      <c r="AD369" s="259">
        <v>2340</v>
      </c>
      <c r="AE369" s="259">
        <v>-555</v>
      </c>
      <c r="AF369" s="259">
        <v>-8325</v>
      </c>
      <c r="AG369" s="259">
        <v>-3612</v>
      </c>
      <c r="AH369" s="259">
        <v>-11640</v>
      </c>
      <c r="AI369" s="259">
        <v>7537.5</v>
      </c>
      <c r="AJ369" s="259">
        <v>-1470</v>
      </c>
      <c r="AK369" s="259">
        <v>-2370</v>
      </c>
      <c r="AL369" s="259">
        <v>2970</v>
      </c>
      <c r="AM369" s="259">
        <v>2700</v>
      </c>
      <c r="AN369" s="259">
        <v>-1057.5</v>
      </c>
      <c r="AO369" s="259">
        <v>-2550</v>
      </c>
      <c r="AP369" s="259">
        <v>-1455</v>
      </c>
      <c r="AQ369" s="259">
        <v>-8149.9500000000116</v>
      </c>
      <c r="AR369" s="259">
        <v>-1185</v>
      </c>
      <c r="AS369" s="259">
        <v>1285.6499999999651</v>
      </c>
      <c r="AT369" s="259">
        <v>4462.5</v>
      </c>
      <c r="AU369" s="259">
        <v>-1005</v>
      </c>
      <c r="AV369" s="259">
        <f ca="1">Calc!AQ67</f>
        <v>-1005</v>
      </c>
      <c r="AX369" s="86" t="str">
        <f t="shared" ref="AX369:AX398" ca="1" si="31">A369</f>
        <v>SAFAMZN</v>
      </c>
    </row>
    <row r="370" spans="1:50" hidden="1">
      <c r="A370" s="86" t="str">
        <f t="shared" ca="1" si="30"/>
        <v>SAFASML</v>
      </c>
      <c r="F370" s="249">
        <v>878.4</v>
      </c>
      <c r="G370" s="249">
        <v>891.2</v>
      </c>
      <c r="H370" s="249">
        <v>870.8</v>
      </c>
      <c r="I370" s="249">
        <v>841.3</v>
      </c>
      <c r="J370" s="249">
        <v>857.3</v>
      </c>
      <c r="K370" s="249">
        <v>857.3</v>
      </c>
      <c r="L370" s="249">
        <v>889.8</v>
      </c>
      <c r="M370" s="249">
        <v>822.2</v>
      </c>
      <c r="N370" s="249">
        <v>874.4</v>
      </c>
      <c r="O370" s="249">
        <v>896.2</v>
      </c>
      <c r="P370" s="249">
        <v>891.6</v>
      </c>
      <c r="Q370" s="249">
        <v>901.3</v>
      </c>
      <c r="R370" s="249">
        <v>925.2</v>
      </c>
      <c r="S370" s="249">
        <v>942.9</v>
      </c>
      <c r="T370" s="249">
        <v>942.9</v>
      </c>
      <c r="U370" s="249">
        <v>955.8</v>
      </c>
      <c r="V370" s="249">
        <v>951.6</v>
      </c>
      <c r="W370" s="249">
        <v>948.4</v>
      </c>
      <c r="X370" s="249">
        <v>944.3</v>
      </c>
      <c r="Y370" s="249">
        <v>931</v>
      </c>
      <c r="Z370" s="243">
        <f ca="1">[1]ExtEntry!$I68</f>
        <v>931</v>
      </c>
      <c r="AB370" s="262">
        <v>5925</v>
      </c>
      <c r="AC370" s="262">
        <v>-1450</v>
      </c>
      <c r="AD370" s="262">
        <v>-7050</v>
      </c>
      <c r="AE370" s="262">
        <v>1800</v>
      </c>
      <c r="AF370" s="262">
        <v>-425</v>
      </c>
      <c r="AG370" s="262">
        <v>6375</v>
      </c>
      <c r="AH370" s="262">
        <v>-4750</v>
      </c>
      <c r="AI370" s="262">
        <v>-1300</v>
      </c>
      <c r="AJ370" s="262">
        <v>8575</v>
      </c>
      <c r="AK370" s="262">
        <v>-1000</v>
      </c>
      <c r="AL370" s="262">
        <v>1850</v>
      </c>
      <c r="AM370" s="262">
        <v>4175</v>
      </c>
      <c r="AN370" s="262">
        <v>2275</v>
      </c>
      <c r="AO370" s="262">
        <v>0</v>
      </c>
      <c r="AP370" s="262">
        <v>0</v>
      </c>
      <c r="AQ370" s="262">
        <v>0</v>
      </c>
      <c r="AR370" s="262">
        <v>0</v>
      </c>
      <c r="AS370" s="262">
        <v>0</v>
      </c>
      <c r="AT370" s="262">
        <v>0</v>
      </c>
      <c r="AU370" s="262">
        <v>0</v>
      </c>
      <c r="AV370" s="259">
        <f ca="1">Calc!AQ68</f>
        <v>0</v>
      </c>
      <c r="AX370" s="86" t="str">
        <f t="shared" ca="1" si="31"/>
        <v>SAFASML</v>
      </c>
    </row>
    <row r="371" spans="1:50" hidden="1">
      <c r="A371" s="86" t="str">
        <f t="shared" ca="1" si="30"/>
        <v>SAFDDD</v>
      </c>
      <c r="F371" s="249">
        <v>2.4</v>
      </c>
      <c r="G371" s="249">
        <v>2.2599999999999998</v>
      </c>
      <c r="H371" s="249">
        <v>2.145</v>
      </c>
      <c r="I371" s="249">
        <v>2.0699999999999998</v>
      </c>
      <c r="J371" s="249">
        <v>2.0299999999999998</v>
      </c>
      <c r="K371" s="249">
        <v>2.04</v>
      </c>
      <c r="L371" s="249">
        <v>1.86</v>
      </c>
      <c r="M371" s="249">
        <v>1.82</v>
      </c>
      <c r="N371" s="249">
        <v>1.99</v>
      </c>
      <c r="O371" s="249">
        <v>1.99</v>
      </c>
      <c r="P371" s="249">
        <v>2.04</v>
      </c>
      <c r="Q371" s="249">
        <v>1.9750000000000001</v>
      </c>
      <c r="R371" s="249">
        <v>1.9844999999999999</v>
      </c>
      <c r="S371" s="249">
        <v>2.0400999999999998</v>
      </c>
      <c r="T371" s="249">
        <v>2.0400999999999998</v>
      </c>
      <c r="U371" s="249">
        <v>2.15</v>
      </c>
      <c r="V371" s="249">
        <v>2.16</v>
      </c>
      <c r="W371" s="249">
        <v>1.7</v>
      </c>
      <c r="X371" s="249">
        <v>1.76</v>
      </c>
      <c r="Y371" s="249">
        <v>1.76</v>
      </c>
      <c r="Z371" s="243">
        <f ca="1">[1]ExtEntry!$I69</f>
        <v>1.76</v>
      </c>
      <c r="AB371" s="259">
        <v>11000</v>
      </c>
      <c r="AC371" s="259">
        <v>-36850</v>
      </c>
      <c r="AD371" s="259">
        <v>549.9999999999709</v>
      </c>
      <c r="AE371" s="259">
        <v>8250.0000000000291</v>
      </c>
      <c r="AF371" s="259">
        <v>3300.0000000000291</v>
      </c>
      <c r="AG371" s="259">
        <v>-6050</v>
      </c>
      <c r="AH371" s="259">
        <v>-16499.999999999971</v>
      </c>
      <c r="AI371" s="259">
        <v>8250</v>
      </c>
      <c r="AJ371" s="259">
        <v>3850.0000000000291</v>
      </c>
      <c r="AK371" s="259">
        <v>3299.9999999999709</v>
      </c>
      <c r="AL371" s="259">
        <v>-1099.9999999999709</v>
      </c>
      <c r="AM371" s="259">
        <v>-1650</v>
      </c>
      <c r="AN371" s="259">
        <v>7149.9999999999709</v>
      </c>
      <c r="AO371" s="259">
        <v>2750.0000000000582</v>
      </c>
      <c r="AP371" s="259">
        <v>16500.000000000058</v>
      </c>
      <c r="AQ371" s="259">
        <v>4949.9999999999709</v>
      </c>
      <c r="AR371" s="259">
        <v>-7699.9999999999709</v>
      </c>
      <c r="AS371" s="259">
        <v>-1650</v>
      </c>
      <c r="AT371" s="259">
        <v>-4400</v>
      </c>
      <c r="AU371" s="259">
        <v>19250</v>
      </c>
      <c r="AV371" s="259">
        <f ca="1">Calc!AQ69</f>
        <v>19250</v>
      </c>
      <c r="AX371" s="86" t="str">
        <f t="shared" ca="1" si="31"/>
        <v>SAFDDD</v>
      </c>
    </row>
    <row r="372" spans="1:50" hidden="1">
      <c r="A372" s="86" t="str">
        <f t="shared" ca="1" si="30"/>
        <v>SAFDIS</v>
      </c>
      <c r="F372" s="249">
        <v>110.6</v>
      </c>
      <c r="G372" s="249">
        <v>109.18</v>
      </c>
      <c r="H372" s="249">
        <v>110.04</v>
      </c>
      <c r="I372" s="249">
        <v>105.3</v>
      </c>
      <c r="J372" s="249">
        <v>105</v>
      </c>
      <c r="K372" s="249">
        <v>105.11</v>
      </c>
      <c r="L372" s="249">
        <v>102.78</v>
      </c>
      <c r="M372" s="249">
        <v>102.69</v>
      </c>
      <c r="N372" s="249">
        <v>102.88</v>
      </c>
      <c r="O372" s="249">
        <v>102.88</v>
      </c>
      <c r="P372" s="249">
        <v>103.24</v>
      </c>
      <c r="Q372" s="249">
        <v>104.5</v>
      </c>
      <c r="R372" s="249">
        <v>104.84</v>
      </c>
      <c r="S372" s="249">
        <v>104.47</v>
      </c>
      <c r="T372" s="249">
        <v>104.47</v>
      </c>
      <c r="U372" s="249">
        <v>104.51009999999999</v>
      </c>
      <c r="V372" s="249">
        <v>104.56</v>
      </c>
      <c r="W372" s="249">
        <v>106.56</v>
      </c>
      <c r="X372" s="249">
        <v>106.58</v>
      </c>
      <c r="Y372" s="249">
        <v>109.12</v>
      </c>
      <c r="Z372" s="243">
        <f ca="1">[1]ExtEntry!$I70</f>
        <v>109.12</v>
      </c>
      <c r="AB372" s="262">
        <v>-12</v>
      </c>
      <c r="AC372" s="262">
        <v>-1596</v>
      </c>
      <c r="AD372" s="262">
        <v>456</v>
      </c>
      <c r="AE372" s="262">
        <v>-2064</v>
      </c>
      <c r="AF372" s="262">
        <v>1416</v>
      </c>
      <c r="AG372" s="262">
        <v>-918</v>
      </c>
      <c r="AH372" s="262">
        <v>-3000</v>
      </c>
      <c r="AI372" s="262">
        <v>1164</v>
      </c>
      <c r="AJ372" s="262">
        <v>702</v>
      </c>
      <c r="AK372" s="262">
        <v>138.00000000001455</v>
      </c>
      <c r="AL372" s="262">
        <v>1404</v>
      </c>
      <c r="AM372" s="262">
        <v>1968</v>
      </c>
      <c r="AN372" s="262">
        <v>-1866</v>
      </c>
      <c r="AO372" s="262">
        <v>-540</v>
      </c>
      <c r="AP372" s="262">
        <v>996</v>
      </c>
      <c r="AQ372" s="262">
        <v>-1043.8800000000047</v>
      </c>
      <c r="AR372" s="262">
        <v>59.999999999985448</v>
      </c>
      <c r="AS372" s="262">
        <v>-1224</v>
      </c>
      <c r="AT372" s="262">
        <v>2052</v>
      </c>
      <c r="AU372" s="262">
        <v>2832</v>
      </c>
      <c r="AV372" s="259">
        <f ca="1">Calc!AQ70</f>
        <v>2832</v>
      </c>
      <c r="AX372" s="86" t="str">
        <f t="shared" ca="1" si="31"/>
        <v>SAFDIS</v>
      </c>
    </row>
    <row r="373" spans="1:50" hidden="1">
      <c r="A373" s="86" t="str">
        <f t="shared" ca="1" si="30"/>
        <v>SAFGM</v>
      </c>
      <c r="F373" s="249">
        <v>67.040000000000006</v>
      </c>
      <c r="G373" s="249">
        <v>68.212000000000003</v>
      </c>
      <c r="H373" s="249">
        <v>68.58</v>
      </c>
      <c r="I373" s="249">
        <v>70.44</v>
      </c>
      <c r="J373" s="249">
        <v>67.06</v>
      </c>
      <c r="K373" s="249">
        <v>67.61</v>
      </c>
      <c r="L373" s="249">
        <v>67.78</v>
      </c>
      <c r="M373" s="249">
        <v>68.19</v>
      </c>
      <c r="N373" s="249">
        <v>72.22</v>
      </c>
      <c r="O373" s="249">
        <v>72.22</v>
      </c>
      <c r="P373" s="249">
        <v>72.91</v>
      </c>
      <c r="Q373" s="249">
        <v>73.08</v>
      </c>
      <c r="R373" s="249">
        <v>72.099999999999994</v>
      </c>
      <c r="S373" s="249">
        <v>73.61</v>
      </c>
      <c r="T373" s="249">
        <v>73.61</v>
      </c>
      <c r="U373" s="249">
        <v>74.900000000000006</v>
      </c>
      <c r="V373" s="249">
        <v>75</v>
      </c>
      <c r="W373" s="249">
        <v>75.885000000000005</v>
      </c>
      <c r="X373" s="249">
        <v>77.099999999999994</v>
      </c>
      <c r="Y373" s="249">
        <v>80.3</v>
      </c>
      <c r="Z373" s="243">
        <f ca="1">[1]ExtEntry!$I71</f>
        <v>80.3</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419.5</v>
      </c>
      <c r="G374" s="249">
        <v>412.7</v>
      </c>
      <c r="H374" s="249">
        <v>366.2</v>
      </c>
      <c r="I374" s="249">
        <v>382.2</v>
      </c>
      <c r="J374" s="249">
        <v>367.2</v>
      </c>
      <c r="K374" s="249">
        <v>367.2</v>
      </c>
      <c r="L374" s="249">
        <v>378</v>
      </c>
      <c r="M374" s="249">
        <v>374</v>
      </c>
      <c r="N374" s="249">
        <v>387.3</v>
      </c>
      <c r="O374" s="249">
        <v>395</v>
      </c>
      <c r="P374" s="249">
        <v>394.5</v>
      </c>
      <c r="Q374" s="249">
        <v>390.1</v>
      </c>
      <c r="R374" s="249">
        <v>388.8</v>
      </c>
      <c r="S374" s="249">
        <v>385.5</v>
      </c>
      <c r="T374" s="249">
        <v>385.5</v>
      </c>
      <c r="U374" s="249">
        <v>378.7</v>
      </c>
      <c r="V374" s="249">
        <v>384.2</v>
      </c>
      <c r="W374" s="249">
        <v>384.6</v>
      </c>
      <c r="X374" s="249">
        <v>384.8</v>
      </c>
      <c r="Y374" s="249">
        <v>385.8</v>
      </c>
      <c r="Z374" s="243">
        <f ca="1">[1]ExtEntry!$I72</f>
        <v>385.8</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23.48</v>
      </c>
      <c r="G375" s="249">
        <v>23.661999999999999</v>
      </c>
      <c r="H375" s="249">
        <v>23.4</v>
      </c>
      <c r="I375" s="249">
        <v>24.18</v>
      </c>
      <c r="J375" s="249">
        <v>23.8</v>
      </c>
      <c r="K375" s="249">
        <v>24.105</v>
      </c>
      <c r="L375" s="249">
        <v>22.76</v>
      </c>
      <c r="M375" s="249">
        <v>22.29</v>
      </c>
      <c r="N375" s="249">
        <v>24.38</v>
      </c>
      <c r="O375" s="249">
        <v>24.38</v>
      </c>
      <c r="P375" s="249">
        <v>24.87</v>
      </c>
      <c r="Q375" s="249">
        <v>24.274999999999999</v>
      </c>
      <c r="R375" s="249">
        <v>23.92</v>
      </c>
      <c r="S375" s="249">
        <v>23.93</v>
      </c>
      <c r="T375" s="249">
        <v>23.93</v>
      </c>
      <c r="U375" s="249">
        <v>24.7</v>
      </c>
      <c r="V375" s="249">
        <v>25.38</v>
      </c>
      <c r="W375" s="249">
        <v>27.5</v>
      </c>
      <c r="X375" s="249">
        <v>27.975000000000001</v>
      </c>
      <c r="Y375" s="249">
        <v>28.89</v>
      </c>
      <c r="Z375" s="243">
        <f ca="1">[1]ExtEntry!$I73</f>
        <v>28.89</v>
      </c>
      <c r="AB375" s="259">
        <v>-1775</v>
      </c>
      <c r="AC375" s="259">
        <v>-5425</v>
      </c>
      <c r="AD375" s="259">
        <v>3275</v>
      </c>
      <c r="AE375" s="259">
        <v>1675</v>
      </c>
      <c r="AF375" s="259">
        <v>2150.0000000000291</v>
      </c>
      <c r="AG375" s="259">
        <v>-3350</v>
      </c>
      <c r="AH375" s="259">
        <v>-8300</v>
      </c>
      <c r="AI375" s="259">
        <v>5525</v>
      </c>
      <c r="AJ375" s="259">
        <v>775</v>
      </c>
      <c r="AK375" s="259">
        <v>1150.0000000000146</v>
      </c>
      <c r="AL375" s="259">
        <v>4849.9999999999854</v>
      </c>
      <c r="AM375" s="259">
        <v>-3400</v>
      </c>
      <c r="AN375" s="259">
        <v>-450</v>
      </c>
      <c r="AO375" s="259">
        <v>2675.5</v>
      </c>
      <c r="AP375" s="259">
        <v>5655</v>
      </c>
      <c r="AQ375" s="259">
        <v>2725.0000000000146</v>
      </c>
      <c r="AR375" s="259">
        <v>10600.000000000015</v>
      </c>
      <c r="AS375" s="259">
        <v>3665</v>
      </c>
      <c r="AT375" s="259">
        <v>4050</v>
      </c>
      <c r="AU375" s="259">
        <v>3150</v>
      </c>
      <c r="AV375" s="259">
        <f ca="1">Calc!AQ73</f>
        <v>3150</v>
      </c>
      <c r="AX375" s="86" t="str">
        <f t="shared" ca="1" si="31"/>
        <v>SAFMRNA</v>
      </c>
    </row>
    <row r="376" spans="1:50" hidden="1">
      <c r="A376" s="86" t="str">
        <f t="shared" ca="1" si="30"/>
        <v>BLNK</v>
      </c>
      <c r="F376" s="249">
        <v>1.5</v>
      </c>
      <c r="G376" s="249">
        <v>1.4950000000000001</v>
      </c>
      <c r="H376" s="249">
        <v>1.3501000000000001</v>
      </c>
      <c r="I376" s="249">
        <v>1.4</v>
      </c>
      <c r="J376" s="249">
        <v>1.3201000000000001</v>
      </c>
      <c r="K376" s="249">
        <v>1.35</v>
      </c>
      <c r="L376" s="249">
        <v>1.34</v>
      </c>
      <c r="M376" s="249">
        <v>1.2</v>
      </c>
      <c r="N376" s="249">
        <v>1.25</v>
      </c>
      <c r="O376" s="249">
        <v>1.25</v>
      </c>
      <c r="P376" s="249">
        <v>1.29</v>
      </c>
      <c r="Q376" s="249">
        <v>1.2404999999999999</v>
      </c>
      <c r="R376" s="249">
        <v>1.25</v>
      </c>
      <c r="S376" s="249">
        <v>1.24</v>
      </c>
      <c r="T376" s="249">
        <v>1.24</v>
      </c>
      <c r="U376" s="249">
        <v>1.33</v>
      </c>
      <c r="V376" s="249">
        <v>1.18</v>
      </c>
      <c r="W376" s="249">
        <v>0.99</v>
      </c>
      <c r="X376" s="249">
        <v>0.92020000000000002</v>
      </c>
      <c r="Y376" s="249">
        <v>0.85499999999999998</v>
      </c>
      <c r="Z376" s="243">
        <f ca="1">[1]ExtEntry!$I74</f>
        <v>0.85499999999999998</v>
      </c>
      <c r="AB376" s="262">
        <v>16800</v>
      </c>
      <c r="AC376" s="262">
        <v>-15000</v>
      </c>
      <c r="AD376" s="262">
        <v>26388</v>
      </c>
      <c r="AE376" s="262">
        <v>1200</v>
      </c>
      <c r="AF376" s="262">
        <v>7800</v>
      </c>
      <c r="AG376" s="262">
        <v>-5400</v>
      </c>
      <c r="AH376" s="262">
        <v>-6600</v>
      </c>
      <c r="AI376" s="262">
        <v>-3000</v>
      </c>
      <c r="AJ376" s="262">
        <v>1800</v>
      </c>
      <c r="AK376" s="262">
        <v>1200</v>
      </c>
      <c r="AL376" s="262">
        <v>2400</v>
      </c>
      <c r="AM376" s="262">
        <v>1800</v>
      </c>
      <c r="AN376" s="262">
        <v>1800</v>
      </c>
      <c r="AO376" s="262">
        <v>600</v>
      </c>
      <c r="AP376" s="262">
        <v>12000</v>
      </c>
      <c r="AQ376" s="262">
        <v>6600</v>
      </c>
      <c r="AR376" s="262">
        <v>-21000</v>
      </c>
      <c r="AS376" s="262">
        <v>-7800.0000000000291</v>
      </c>
      <c r="AT376" s="262">
        <v>-7944</v>
      </c>
      <c r="AU376" s="262">
        <v>-1164</v>
      </c>
      <c r="AV376" s="259">
        <f ca="1">Calc!AQ74</f>
        <v>-1164</v>
      </c>
      <c r="AX376" s="86" t="str">
        <f t="shared" ca="1" si="31"/>
        <v>BLNK</v>
      </c>
    </row>
    <row r="377" spans="1:50" hidden="1">
      <c r="A377" s="86" t="str">
        <f t="shared" ca="1" si="30"/>
        <v>ENI</v>
      </c>
      <c r="F377" s="249">
        <v>15.832000000000001</v>
      </c>
      <c r="G377" s="249">
        <v>15.862</v>
      </c>
      <c r="H377" s="249">
        <v>15.784000000000001</v>
      </c>
      <c r="I377" s="249">
        <v>16.262</v>
      </c>
      <c r="J377" s="249">
        <v>16.32</v>
      </c>
      <c r="K377" s="249">
        <v>16.106000000000002</v>
      </c>
      <c r="L377" s="249">
        <v>16.28</v>
      </c>
      <c r="M377" s="249">
        <v>15.952</v>
      </c>
      <c r="N377" s="249">
        <v>15.868</v>
      </c>
      <c r="O377" s="249">
        <v>15.853999999999999</v>
      </c>
      <c r="P377" s="249">
        <v>15.926</v>
      </c>
      <c r="Q377" s="249">
        <v>16.026</v>
      </c>
      <c r="R377" s="249">
        <v>16.094000000000001</v>
      </c>
      <c r="S377" s="249">
        <v>16.146000000000001</v>
      </c>
      <c r="T377" s="249">
        <v>16.146000000000001</v>
      </c>
      <c r="U377" s="249">
        <v>16.186</v>
      </c>
      <c r="V377" s="249">
        <v>15.904</v>
      </c>
      <c r="W377" s="249">
        <v>16.018000000000001</v>
      </c>
      <c r="X377" s="249">
        <v>16.012</v>
      </c>
      <c r="Y377" s="249">
        <v>15.896000000000001</v>
      </c>
      <c r="Z377" s="243">
        <f ca="1">[1]ExtEntry!$I75</f>
        <v>15.896000000000001</v>
      </c>
      <c r="AB377" s="259">
        <v>2040</v>
      </c>
      <c r="AC377" s="259">
        <v>782</v>
      </c>
      <c r="AD377" s="259">
        <v>-1326</v>
      </c>
      <c r="AE377" s="259">
        <v>272</v>
      </c>
      <c r="AF377" s="259">
        <v>-340</v>
      </c>
      <c r="AG377" s="259">
        <v>-2754</v>
      </c>
      <c r="AH377" s="259">
        <v>-476</v>
      </c>
      <c r="AI377" s="259">
        <v>0</v>
      </c>
      <c r="AJ377" s="259">
        <v>540</v>
      </c>
      <c r="AK377" s="259">
        <v>-870</v>
      </c>
      <c r="AL377" s="259">
        <v>3030.0000000000291</v>
      </c>
      <c r="AM377" s="259">
        <v>2039.9999999999709</v>
      </c>
      <c r="AN377" s="259">
        <v>149.9999999999709</v>
      </c>
      <c r="AO377" s="259">
        <v>1400</v>
      </c>
      <c r="AP377" s="259">
        <v>1840</v>
      </c>
      <c r="AQ377" s="259">
        <v>-700.0000000000291</v>
      </c>
      <c r="AR377" s="259">
        <v>1020</v>
      </c>
      <c r="AS377" s="259">
        <v>900</v>
      </c>
      <c r="AT377" s="259">
        <v>-1060</v>
      </c>
      <c r="AU377" s="259">
        <v>-960</v>
      </c>
      <c r="AV377" s="259">
        <f ca="1">Calc!AQ75</f>
        <v>-960</v>
      </c>
      <c r="AX377" s="86" t="str">
        <f t="shared" ca="1" si="31"/>
        <v>ENI</v>
      </c>
    </row>
    <row r="378" spans="1:50" hidden="1">
      <c r="A378" s="86" t="str">
        <f t="shared" ca="1" si="30"/>
        <v>EZJ</v>
      </c>
      <c r="F378" s="249">
        <v>478.3</v>
      </c>
      <c r="G378" s="249">
        <v>476.7</v>
      </c>
      <c r="H378" s="249">
        <v>463.7</v>
      </c>
      <c r="I378" s="249">
        <v>463.2</v>
      </c>
      <c r="J378" s="249">
        <v>454</v>
      </c>
      <c r="K378" s="249">
        <v>454</v>
      </c>
      <c r="L378" s="249">
        <v>455.2</v>
      </c>
      <c r="M378" s="249">
        <v>453.6</v>
      </c>
      <c r="N378" s="249">
        <v>461.9</v>
      </c>
      <c r="O378" s="249">
        <v>479.3</v>
      </c>
      <c r="P378" s="249">
        <v>489.2</v>
      </c>
      <c r="Q378" s="249">
        <v>488.7</v>
      </c>
      <c r="R378" s="249">
        <v>487</v>
      </c>
      <c r="S378" s="249">
        <v>484.3</v>
      </c>
      <c r="T378" s="249">
        <v>483.3</v>
      </c>
      <c r="U378" s="249">
        <v>487.3</v>
      </c>
      <c r="V378" s="249">
        <v>487.2</v>
      </c>
      <c r="W378" s="249">
        <v>475.9</v>
      </c>
      <c r="X378" s="249">
        <v>474</v>
      </c>
      <c r="Y378" s="249">
        <v>475.6</v>
      </c>
      <c r="Z378" s="243">
        <f ca="1">[1]ExtEntry!$I76</f>
        <v>475.6</v>
      </c>
      <c r="AB378" s="262">
        <v>1740</v>
      </c>
      <c r="AC378" s="262">
        <v>-2430</v>
      </c>
      <c r="AD378" s="262">
        <v>-2130</v>
      </c>
      <c r="AE378" s="262">
        <v>-900</v>
      </c>
      <c r="AF378" s="262">
        <v>-1110</v>
      </c>
      <c r="AG378" s="262">
        <v>1380</v>
      </c>
      <c r="AH378" s="262">
        <v>-2790</v>
      </c>
      <c r="AI378" s="262">
        <v>2700</v>
      </c>
      <c r="AJ378" s="262">
        <v>4230</v>
      </c>
      <c r="AK378" s="262">
        <v>210</v>
      </c>
      <c r="AL378" s="262">
        <v>870</v>
      </c>
      <c r="AM378" s="262">
        <v>120</v>
      </c>
      <c r="AN378" s="262">
        <v>-120</v>
      </c>
      <c r="AO378" s="262">
        <v>-1740</v>
      </c>
      <c r="AP378" s="262">
        <v>-2760</v>
      </c>
      <c r="AQ378" s="262">
        <v>360</v>
      </c>
      <c r="AR378" s="262">
        <v>-540</v>
      </c>
      <c r="AS378" s="262">
        <v>-2160</v>
      </c>
      <c r="AT378" s="262">
        <v>120</v>
      </c>
      <c r="AU378" s="262">
        <v>2640</v>
      </c>
      <c r="AV378" s="259">
        <f ca="1">Calc!AQ76</f>
        <v>2640</v>
      </c>
      <c r="AX378" s="86" t="str">
        <f t="shared" ca="1" si="31"/>
        <v>EZJ</v>
      </c>
    </row>
    <row r="379" spans="1:50" hidden="1">
      <c r="A379" s="86" t="str">
        <f t="shared" ca="1" si="30"/>
        <v>F</v>
      </c>
      <c r="F379" s="249">
        <v>12.88</v>
      </c>
      <c r="G379" s="249">
        <v>12.98</v>
      </c>
      <c r="H379" s="249">
        <v>12.95</v>
      </c>
      <c r="I379" s="249">
        <v>13.1</v>
      </c>
      <c r="J379" s="249">
        <v>12.76</v>
      </c>
      <c r="K379" s="249">
        <v>12.99</v>
      </c>
      <c r="L379" s="249">
        <v>12.38</v>
      </c>
      <c r="M379" s="249">
        <v>12.49</v>
      </c>
      <c r="N379" s="249">
        <v>13.12</v>
      </c>
      <c r="O379" s="249">
        <v>13.12</v>
      </c>
      <c r="P379" s="249">
        <v>13.18</v>
      </c>
      <c r="Q379" s="249">
        <v>13.185</v>
      </c>
      <c r="R379" s="249">
        <v>12.87</v>
      </c>
      <c r="S379" s="249">
        <v>12.96</v>
      </c>
      <c r="T379" s="249">
        <v>12.96</v>
      </c>
      <c r="U379" s="249">
        <v>13.06</v>
      </c>
      <c r="V379" s="249">
        <v>13</v>
      </c>
      <c r="W379" s="249">
        <v>13.09</v>
      </c>
      <c r="X379" s="249">
        <v>13.07</v>
      </c>
      <c r="Y379" s="249">
        <v>13.3</v>
      </c>
      <c r="Z379" s="243">
        <f ca="1">[1]ExtEntry!$I77</f>
        <v>13.3</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53.76</v>
      </c>
      <c r="G380" s="249">
        <v>54.36</v>
      </c>
      <c r="H380" s="249">
        <v>54.3</v>
      </c>
      <c r="I380" s="249">
        <v>57.08</v>
      </c>
      <c r="J380" s="249">
        <v>55.84</v>
      </c>
      <c r="K380" s="249">
        <v>55.84</v>
      </c>
      <c r="L380" s="249">
        <v>57.36</v>
      </c>
      <c r="M380" s="249">
        <v>55.6</v>
      </c>
      <c r="N380" s="249">
        <v>58.56</v>
      </c>
      <c r="O380" s="249">
        <v>59.36</v>
      </c>
      <c r="P380" s="249">
        <v>59.64</v>
      </c>
      <c r="Q380" s="249">
        <v>59.34</v>
      </c>
      <c r="R380" s="249">
        <v>59.72</v>
      </c>
      <c r="S380" s="249">
        <v>60.6</v>
      </c>
      <c r="T380" s="249">
        <v>60.24</v>
      </c>
      <c r="U380" s="249">
        <v>61.48</v>
      </c>
      <c r="V380" s="249">
        <v>61.54</v>
      </c>
      <c r="W380" s="249">
        <v>62.36</v>
      </c>
      <c r="X380" s="249">
        <v>62.82</v>
      </c>
      <c r="Y380" s="249">
        <v>63.12</v>
      </c>
      <c r="Z380" s="243">
        <f ca="1">[1]ExtEntry!$I78</f>
        <v>63.12</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156</v>
      </c>
      <c r="G381" s="249">
        <v>153.4</v>
      </c>
      <c r="H381" s="249">
        <v>150.08000000000001</v>
      </c>
      <c r="I381" s="249">
        <v>149.76</v>
      </c>
      <c r="J381" s="249">
        <v>137.6</v>
      </c>
      <c r="K381" s="249">
        <v>143.55000000000001</v>
      </c>
      <c r="L381" s="249">
        <v>141.44999999999999</v>
      </c>
      <c r="M381" s="249">
        <v>139.44499999999999</v>
      </c>
      <c r="N381" s="249">
        <v>148.52500000000001</v>
      </c>
      <c r="O381" s="249">
        <v>148.13</v>
      </c>
      <c r="P381" s="249">
        <v>148.94</v>
      </c>
      <c r="Q381" s="249">
        <v>148</v>
      </c>
      <c r="R381" s="249">
        <v>147.63999999999999</v>
      </c>
      <c r="S381" s="249">
        <v>154.77000000000001</v>
      </c>
      <c r="T381" s="249">
        <v>154.77000000000001</v>
      </c>
      <c r="U381" s="249">
        <v>157.07</v>
      </c>
      <c r="V381" s="249">
        <v>162.28</v>
      </c>
      <c r="W381" s="249">
        <v>160.92009999999999</v>
      </c>
      <c r="X381" s="249">
        <v>160.02010000000001</v>
      </c>
      <c r="Y381" s="249">
        <v>164.53639999999999</v>
      </c>
      <c r="Z381" s="243">
        <f ca="1">[1]ExtEntry!$I79</f>
        <v>164.53639999999999</v>
      </c>
      <c r="AB381" s="259">
        <v>2385</v>
      </c>
      <c r="AC381" s="259">
        <v>-4473</v>
      </c>
      <c r="AD381" s="259">
        <v>2106</v>
      </c>
      <c r="AE381" s="259">
        <v>180</v>
      </c>
      <c r="AF381" s="259">
        <v>3014.9999999999854</v>
      </c>
      <c r="AG381" s="259">
        <v>2601</v>
      </c>
      <c r="AH381" s="259">
        <v>-9207.0000000000146</v>
      </c>
      <c r="AI381" s="259">
        <v>6012.0000000000146</v>
      </c>
      <c r="AJ381" s="259">
        <v>1341</v>
      </c>
      <c r="AK381" s="259">
        <v>639</v>
      </c>
      <c r="AL381" s="259">
        <v>1926</v>
      </c>
      <c r="AM381" s="259">
        <v>2218.5</v>
      </c>
      <c r="AN381" s="259">
        <v>4635</v>
      </c>
      <c r="AO381" s="259">
        <v>3445.3800000000047</v>
      </c>
      <c r="AP381" s="259">
        <v>3838.5</v>
      </c>
      <c r="AQ381" s="259">
        <v>4482</v>
      </c>
      <c r="AR381" s="259">
        <v>-351</v>
      </c>
      <c r="AS381" s="259">
        <v>-1455.75</v>
      </c>
      <c r="AT381" s="259">
        <v>4932</v>
      </c>
      <c r="AU381" s="259">
        <v>1062</v>
      </c>
      <c r="AV381" s="259">
        <f ca="1">Calc!AQ79</f>
        <v>1062</v>
      </c>
      <c r="AX381" s="86" t="str">
        <f t="shared" ca="1" si="31"/>
        <v>GNRC</v>
      </c>
    </row>
    <row r="382" spans="1:50" hidden="1">
      <c r="A382" s="86" t="str">
        <f t="shared" ca="1" si="30"/>
        <v>GS</v>
      </c>
      <c r="F382" s="249">
        <v>775.58</v>
      </c>
      <c r="G382" s="249">
        <v>777</v>
      </c>
      <c r="H382" s="249">
        <v>762.8</v>
      </c>
      <c r="I382" s="249">
        <v>778</v>
      </c>
      <c r="J382" s="249">
        <v>766.54459999999995</v>
      </c>
      <c r="K382" s="249">
        <v>775.01</v>
      </c>
      <c r="L382" s="249">
        <v>772.19</v>
      </c>
      <c r="M382" s="249">
        <v>754</v>
      </c>
      <c r="N382" s="249">
        <v>805.83500000000004</v>
      </c>
      <c r="O382" s="249">
        <v>805</v>
      </c>
      <c r="P382" s="249">
        <v>818.95</v>
      </c>
      <c r="Q382" s="249">
        <v>810</v>
      </c>
      <c r="R382" s="249">
        <v>808.3</v>
      </c>
      <c r="S382" s="249">
        <v>812.95</v>
      </c>
      <c r="T382" s="249">
        <v>812.95</v>
      </c>
      <c r="U382" s="249">
        <v>834.5</v>
      </c>
      <c r="V382" s="249">
        <v>836.51499999999999</v>
      </c>
      <c r="W382" s="249">
        <v>865.57</v>
      </c>
      <c r="X382" s="249">
        <v>869.27099999999996</v>
      </c>
      <c r="Y382" s="249">
        <v>888.05</v>
      </c>
      <c r="Z382" s="243">
        <f ca="1">[1]ExtEntry!$I80</f>
        <v>888.05</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1.2101</v>
      </c>
      <c r="G383" s="249">
        <v>1.17</v>
      </c>
      <c r="H383" s="249">
        <v>1.1299999999999999</v>
      </c>
      <c r="I383" s="249">
        <v>1.01</v>
      </c>
      <c r="J383" s="249">
        <v>0.81120000000000003</v>
      </c>
      <c r="K383" s="249">
        <v>0.88049999999999995</v>
      </c>
      <c r="L383" s="249">
        <v>0.91</v>
      </c>
      <c r="M383" s="249">
        <v>0.84740000000000004</v>
      </c>
      <c r="N383" s="249">
        <v>0.77769999999999995</v>
      </c>
      <c r="O383" s="249">
        <v>0.77769999999999995</v>
      </c>
      <c r="P383" s="249">
        <v>0.8</v>
      </c>
      <c r="Q383" s="249">
        <v>0.85150000000000003</v>
      </c>
      <c r="R383" s="249">
        <v>0.82399999999999995</v>
      </c>
      <c r="S383" s="249">
        <v>0.80500000000000005</v>
      </c>
      <c r="T383" s="249">
        <v>0.80359999999999998</v>
      </c>
      <c r="U383" s="249">
        <v>0.89</v>
      </c>
      <c r="V383" s="249">
        <v>0.91500000000000004</v>
      </c>
      <c r="W383" s="249">
        <v>0.85</v>
      </c>
      <c r="X383" s="249">
        <v>0.85</v>
      </c>
      <c r="Y383" s="249">
        <v>0.84499999999999997</v>
      </c>
      <c r="Z383" s="243">
        <f ca="1">[1]ExtEntry!$I81</f>
        <v>0.84499999999999997</v>
      </c>
      <c r="AB383" s="259">
        <v>-1551.8000000000029</v>
      </c>
      <c r="AC383" s="259">
        <v>-802.28060000000187</v>
      </c>
      <c r="AD383" s="259">
        <v>1319.0300000000025</v>
      </c>
      <c r="AE383" s="259">
        <v>-2172.5199999999968</v>
      </c>
      <c r="AF383" s="259">
        <v>-58.968400000001566</v>
      </c>
      <c r="AG383" s="259">
        <v>-220.35560000000078</v>
      </c>
      <c r="AH383" s="259">
        <v>211.04479999999785</v>
      </c>
      <c r="AI383" s="259">
        <v>-454.67740000000049</v>
      </c>
      <c r="AJ383" s="259">
        <v>720.03520000000026</v>
      </c>
      <c r="AK383" s="259">
        <v>558.64799999999741</v>
      </c>
      <c r="AL383" s="259">
        <v>1649.5633999999991</v>
      </c>
      <c r="AM383" s="259">
        <v>-24.828800000001138</v>
      </c>
      <c r="AN383" s="259">
        <v>-373.98379999999997</v>
      </c>
      <c r="AO383" s="259">
        <v>18.62159999999858</v>
      </c>
      <c r="AP383" s="259">
        <v>927.97640000000138</v>
      </c>
      <c r="AQ383" s="259">
        <v>3036.8726000000024</v>
      </c>
      <c r="AR383" s="259">
        <v>-1868.3672000000024</v>
      </c>
      <c r="AS383" s="259">
        <v>473.29899999999907</v>
      </c>
      <c r="AT383" s="259">
        <v>162.93900000000031</v>
      </c>
      <c r="AU383" s="259">
        <v>1492.8315999999995</v>
      </c>
      <c r="AV383" s="259">
        <f ca="1">Calc!AQ81</f>
        <v>1492.8315999999995</v>
      </c>
      <c r="AX383" s="86" t="str">
        <f t="shared" ca="1" si="31"/>
        <v>LAZR</v>
      </c>
    </row>
    <row r="384" spans="1:50" hidden="1">
      <c r="A384" s="86" t="str">
        <f t="shared" ca="1" si="30"/>
        <v>LUV</v>
      </c>
      <c r="F384" s="249">
        <v>29.8</v>
      </c>
      <c r="G384" s="249">
        <v>31.045000000000002</v>
      </c>
      <c r="H384" s="249">
        <v>30.844999999999999</v>
      </c>
      <c r="I384" s="249">
        <v>32.42</v>
      </c>
      <c r="J384" s="249">
        <v>31.53</v>
      </c>
      <c r="K384" s="249">
        <v>31.78</v>
      </c>
      <c r="L384" s="249">
        <v>31.34</v>
      </c>
      <c r="M384" s="249">
        <v>31.31</v>
      </c>
      <c r="N384" s="249">
        <v>34.270000000000003</v>
      </c>
      <c r="O384" s="249">
        <v>34.229999999999997</v>
      </c>
      <c r="P384" s="249">
        <v>34.78</v>
      </c>
      <c r="Q384" s="249">
        <v>34.29</v>
      </c>
      <c r="R384" s="249">
        <v>34.44</v>
      </c>
      <c r="S384" s="249">
        <v>35.284999999999997</v>
      </c>
      <c r="T384" s="249">
        <v>35.284999999999997</v>
      </c>
      <c r="U384" s="249">
        <v>35.119999999999997</v>
      </c>
      <c r="V384" s="249">
        <v>35.31</v>
      </c>
      <c r="W384" s="249">
        <v>37.549999999999997</v>
      </c>
      <c r="X384" s="249">
        <v>38.090000000000003</v>
      </c>
      <c r="Y384" s="249">
        <v>39.770000000000003</v>
      </c>
      <c r="Z384" s="243">
        <f ca="1">[1]ExtEntry!$I82</f>
        <v>39.770000000000003</v>
      </c>
      <c r="AB384" s="262">
        <v>2178</v>
      </c>
      <c r="AC384" s="262">
        <v>24</v>
      </c>
      <c r="AD384" s="262">
        <v>1446</v>
      </c>
      <c r="AE384" s="262">
        <v>342</v>
      </c>
      <c r="AF384" s="262">
        <v>360</v>
      </c>
      <c r="AG384" s="262">
        <v>-636</v>
      </c>
      <c r="AH384" s="262">
        <v>-1044</v>
      </c>
      <c r="AI384" s="262">
        <v>1630.8000000000029</v>
      </c>
      <c r="AJ384" s="262">
        <v>996</v>
      </c>
      <c r="AK384" s="262">
        <v>846</v>
      </c>
      <c r="AL384" s="262">
        <v>-270</v>
      </c>
      <c r="AM384" s="262">
        <v>522</v>
      </c>
      <c r="AN384" s="262">
        <v>672</v>
      </c>
      <c r="AO384" s="262">
        <v>132</v>
      </c>
      <c r="AP384" s="262">
        <v>318</v>
      </c>
      <c r="AQ384" s="262">
        <v>360</v>
      </c>
      <c r="AR384" s="262">
        <v>5292</v>
      </c>
      <c r="AS384" s="262">
        <v>1617</v>
      </c>
      <c r="AT384" s="262">
        <v>3412.5</v>
      </c>
      <c r="AU384" s="262">
        <v>1911</v>
      </c>
      <c r="AV384" s="259">
        <f ca="1">Calc!AQ82</f>
        <v>1911</v>
      </c>
      <c r="AX384" s="86" t="str">
        <f t="shared" ca="1" si="31"/>
        <v>LUV</v>
      </c>
    </row>
    <row r="385" spans="1:70" hidden="1">
      <c r="A385" s="86" t="str">
        <f t="shared" ca="1" si="30"/>
        <v>MA</v>
      </c>
      <c r="F385" s="249">
        <v>549.36599999999999</v>
      </c>
      <c r="G385" s="249">
        <v>547.86</v>
      </c>
      <c r="H385" s="249">
        <v>550.66999999999996</v>
      </c>
      <c r="I385" s="249">
        <v>544.04999999999995</v>
      </c>
      <c r="J385" s="249">
        <v>524.70000000000005</v>
      </c>
      <c r="K385" s="249">
        <v>525.06290000000001</v>
      </c>
      <c r="L385" s="249">
        <v>531.28</v>
      </c>
      <c r="M385" s="249">
        <v>531.66999999999996</v>
      </c>
      <c r="N385" s="249">
        <v>544.16999999999996</v>
      </c>
      <c r="O385" s="249">
        <v>544.16999999999996</v>
      </c>
      <c r="P385" s="249">
        <v>545.41999999999996</v>
      </c>
      <c r="Q385" s="249">
        <v>545.54999999999995</v>
      </c>
      <c r="R385" s="249">
        <v>541.04</v>
      </c>
      <c r="S385" s="249">
        <v>546.50049999999999</v>
      </c>
      <c r="T385" s="249">
        <v>546.50049999999999</v>
      </c>
      <c r="U385" s="249">
        <v>541.20450000000005</v>
      </c>
      <c r="V385" s="249">
        <v>541.25</v>
      </c>
      <c r="W385" s="249">
        <v>536.13</v>
      </c>
      <c r="X385" s="249">
        <v>537.5</v>
      </c>
      <c r="Y385" s="249">
        <v>542.65</v>
      </c>
      <c r="Z385" s="243">
        <f ca="1">[1]ExtEntry!$I83</f>
        <v>542.65</v>
      </c>
      <c r="AB385" s="259">
        <v>152</v>
      </c>
      <c r="AC385" s="259">
        <v>332.0000000000291</v>
      </c>
      <c r="AD385" s="259">
        <v>-490.00000000001455</v>
      </c>
      <c r="AE385" s="259">
        <v>-2062</v>
      </c>
      <c r="AF385" s="259">
        <v>-1291.9999999999854</v>
      </c>
      <c r="AG385" s="259">
        <v>-443.49999999998545</v>
      </c>
      <c r="AH385" s="259">
        <v>540</v>
      </c>
      <c r="AI385" s="259">
        <v>1735.9999999999854</v>
      </c>
      <c r="AJ385" s="259">
        <v>240</v>
      </c>
      <c r="AK385" s="259">
        <v>-709.00000000001455</v>
      </c>
      <c r="AL385" s="259">
        <v>391.00000000001455</v>
      </c>
      <c r="AM385" s="259">
        <v>297</v>
      </c>
      <c r="AN385" s="259">
        <v>-248</v>
      </c>
      <c r="AO385" s="259">
        <v>544</v>
      </c>
      <c r="AP385" s="259">
        <v>1471.9999999999709</v>
      </c>
      <c r="AQ385" s="259">
        <v>-2852</v>
      </c>
      <c r="AR385" s="259">
        <v>719.99999999998545</v>
      </c>
      <c r="AS385" s="259">
        <v>124</v>
      </c>
      <c r="AT385" s="259">
        <v>150</v>
      </c>
      <c r="AU385" s="259">
        <v>3958.0000000000146</v>
      </c>
      <c r="AV385" s="259">
        <f ca="1">Calc!AQ83</f>
        <v>3958.0000000000146</v>
      </c>
      <c r="AX385" s="86" t="str">
        <f t="shared" ca="1" si="31"/>
        <v>MA</v>
      </c>
    </row>
    <row r="386" spans="1:70" hidden="1">
      <c r="A386" s="86" t="str">
        <f t="shared" ca="1" si="30"/>
        <v>NVAX</v>
      </c>
      <c r="F386" s="249">
        <v>7.51</v>
      </c>
      <c r="G386" s="249">
        <v>7.4</v>
      </c>
      <c r="H386" s="249">
        <v>7.2801</v>
      </c>
      <c r="I386" s="249">
        <v>6.9008000000000003</v>
      </c>
      <c r="J386" s="249">
        <v>6.5149999999999997</v>
      </c>
      <c r="K386" s="249">
        <v>6.38</v>
      </c>
      <c r="L386" s="249">
        <v>6.21</v>
      </c>
      <c r="M386" s="249">
        <v>6.2450000000000001</v>
      </c>
      <c r="N386" s="249">
        <v>6.72</v>
      </c>
      <c r="O386" s="249">
        <v>6.72</v>
      </c>
      <c r="P386" s="249">
        <v>6.9</v>
      </c>
      <c r="Q386" s="249">
        <v>6.72</v>
      </c>
      <c r="R386" s="249">
        <v>6.56</v>
      </c>
      <c r="S386" s="249">
        <v>6.59</v>
      </c>
      <c r="T386" s="249">
        <v>6.59</v>
      </c>
      <c r="U386" s="249">
        <v>6.73</v>
      </c>
      <c r="V386" s="249">
        <v>6.77</v>
      </c>
      <c r="W386" s="249">
        <v>6.68</v>
      </c>
      <c r="X386" s="249">
        <v>6.57</v>
      </c>
      <c r="Y386" s="249">
        <v>6.6449999999999996</v>
      </c>
      <c r="Z386" s="243">
        <f ca="1">[1]ExtEntry!$I84</f>
        <v>6.6449999999999996</v>
      </c>
      <c r="AB386" s="262">
        <v>975</v>
      </c>
      <c r="AC386" s="262">
        <v>1430.6500000000015</v>
      </c>
      <c r="AD386" s="262">
        <v>-331.5</v>
      </c>
      <c r="AE386" s="262">
        <v>325</v>
      </c>
      <c r="AF386" s="262">
        <v>-180</v>
      </c>
      <c r="AG386" s="262">
        <v>-967.50000000000364</v>
      </c>
      <c r="AH386" s="262">
        <v>-787.5</v>
      </c>
      <c r="AI386" s="262">
        <v>1012.5</v>
      </c>
      <c r="AJ386" s="262">
        <v>427.5</v>
      </c>
      <c r="AK386" s="262">
        <v>810.00000000000364</v>
      </c>
      <c r="AL386" s="262">
        <v>360</v>
      </c>
      <c r="AM386" s="262">
        <v>-427.5</v>
      </c>
      <c r="AN386" s="262">
        <v>-472.49999999999636</v>
      </c>
      <c r="AO386" s="262">
        <v>786.15000000000146</v>
      </c>
      <c r="AP386" s="262">
        <v>1080</v>
      </c>
      <c r="AQ386" s="262">
        <v>202.5</v>
      </c>
      <c r="AR386" s="262">
        <v>270</v>
      </c>
      <c r="AS386" s="262">
        <v>405</v>
      </c>
      <c r="AT386" s="262">
        <v>450</v>
      </c>
      <c r="AU386" s="262">
        <v>-135</v>
      </c>
      <c r="AV386" s="259">
        <f ca="1">Calc!AQ84</f>
        <v>-135</v>
      </c>
      <c r="AX386" s="86" t="str">
        <f t="shared" ca="1" si="31"/>
        <v>NVAX</v>
      </c>
    </row>
    <row r="387" spans="1:70" hidden="1">
      <c r="A387" s="86" t="str">
        <f t="shared" ca="1" si="30"/>
        <v>NVS</v>
      </c>
      <c r="F387" s="249">
        <v>124.47</v>
      </c>
      <c r="G387" s="249">
        <v>126.065</v>
      </c>
      <c r="H387" s="249">
        <v>126.0001</v>
      </c>
      <c r="I387" s="249">
        <v>130.30000000000001</v>
      </c>
      <c r="J387" s="249">
        <v>126.94</v>
      </c>
      <c r="K387" s="249">
        <v>126.31</v>
      </c>
      <c r="L387" s="249">
        <v>123.24</v>
      </c>
      <c r="M387" s="249">
        <v>125.94</v>
      </c>
      <c r="N387" s="249">
        <v>129.85</v>
      </c>
      <c r="O387" s="249">
        <v>129.85</v>
      </c>
      <c r="P387" s="249">
        <v>129.43</v>
      </c>
      <c r="Q387" s="249">
        <v>128.99</v>
      </c>
      <c r="R387" s="249">
        <v>130.72999999999999</v>
      </c>
      <c r="S387" s="249">
        <v>133.43</v>
      </c>
      <c r="T387" s="249">
        <v>133.43</v>
      </c>
      <c r="U387" s="249">
        <v>132.9589</v>
      </c>
      <c r="V387" s="249">
        <v>132.09</v>
      </c>
      <c r="W387" s="249">
        <v>131.74</v>
      </c>
      <c r="X387" s="249">
        <v>130.46</v>
      </c>
      <c r="Y387" s="249">
        <v>132.19999999999999</v>
      </c>
      <c r="Z387" s="243">
        <f ca="1">[1]ExtEntry!$I85</f>
        <v>132.19999999999999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13.705</v>
      </c>
      <c r="G388" s="249">
        <v>13.73</v>
      </c>
      <c r="H388" s="249">
        <v>13.9</v>
      </c>
      <c r="I388" s="249">
        <v>13.89</v>
      </c>
      <c r="J388" s="249">
        <v>13.675000000000001</v>
      </c>
      <c r="K388" s="249">
        <v>13.67</v>
      </c>
      <c r="L388" s="249">
        <v>13.66</v>
      </c>
      <c r="M388" s="249">
        <v>13.61</v>
      </c>
      <c r="N388" s="249">
        <v>13.865</v>
      </c>
      <c r="O388" s="249">
        <v>14.035</v>
      </c>
      <c r="P388" s="249">
        <v>14.065</v>
      </c>
      <c r="Q388" s="249">
        <v>14.105</v>
      </c>
      <c r="R388" s="249">
        <v>13.715</v>
      </c>
      <c r="S388" s="249">
        <v>13.994999999999999</v>
      </c>
      <c r="T388" s="249">
        <v>13.99</v>
      </c>
      <c r="U388" s="249">
        <v>14.005000000000001</v>
      </c>
      <c r="V388" s="249">
        <v>13.74</v>
      </c>
      <c r="W388" s="249">
        <v>13.68</v>
      </c>
      <c r="X388" s="249">
        <v>13.49</v>
      </c>
      <c r="Y388" s="249">
        <v>13.615</v>
      </c>
      <c r="Z388" s="243">
        <f ca="1">[1]ExtEntry!$I86</f>
        <v>13.615</v>
      </c>
      <c r="AB388" s="262">
        <v>-18</v>
      </c>
      <c r="AC388" s="262">
        <v>132</v>
      </c>
      <c r="AD388" s="262">
        <v>258</v>
      </c>
      <c r="AE388" s="262">
        <v>-396</v>
      </c>
      <c r="AF388" s="262">
        <v>-366</v>
      </c>
      <c r="AG388" s="262">
        <v>-258</v>
      </c>
      <c r="AH388" s="262">
        <v>-150</v>
      </c>
      <c r="AI388" s="262">
        <v>366</v>
      </c>
      <c r="AJ388" s="262">
        <v>138</v>
      </c>
      <c r="AK388" s="262">
        <v>42</v>
      </c>
      <c r="AL388" s="262">
        <v>66</v>
      </c>
      <c r="AM388" s="262">
        <v>-12</v>
      </c>
      <c r="AN388" s="262">
        <v>240</v>
      </c>
      <c r="AO388" s="262">
        <v>42</v>
      </c>
      <c r="AP388" s="262">
        <v>66</v>
      </c>
      <c r="AQ388" s="262">
        <v>-6</v>
      </c>
      <c r="AR388" s="262">
        <v>-342</v>
      </c>
      <c r="AS388" s="262">
        <v>-24</v>
      </c>
      <c r="AT388" s="262">
        <v>-18</v>
      </c>
      <c r="AU388" s="262">
        <v>108</v>
      </c>
      <c r="AV388" s="259">
        <f ca="1">Calc!AQ86</f>
        <v>108</v>
      </c>
      <c r="AX388" s="86" t="str">
        <f t="shared" ca="1" si="31"/>
        <v>ORA</v>
      </c>
    </row>
    <row r="389" spans="1:70" hidden="1">
      <c r="A389" s="86" t="str">
        <f t="shared" ca="1" si="30"/>
        <v>OXY</v>
      </c>
      <c r="F389" s="249">
        <v>39.75</v>
      </c>
      <c r="G389" s="249">
        <v>39.83</v>
      </c>
      <c r="H389" s="249">
        <v>40.31</v>
      </c>
      <c r="I389" s="249">
        <v>41.92</v>
      </c>
      <c r="J389" s="249">
        <v>41.2</v>
      </c>
      <c r="K389" s="249">
        <v>40.937100000000001</v>
      </c>
      <c r="L389" s="249">
        <v>41.31</v>
      </c>
      <c r="M389" s="249">
        <v>40.4</v>
      </c>
      <c r="N389" s="249">
        <v>41.343800000000002</v>
      </c>
      <c r="O389" s="249">
        <v>41.33</v>
      </c>
      <c r="P389" s="249">
        <v>41.39</v>
      </c>
      <c r="Q389" s="249">
        <v>41.784999999999997</v>
      </c>
      <c r="R389" s="249">
        <v>41.41</v>
      </c>
      <c r="S389" s="249">
        <v>42.265000000000001</v>
      </c>
      <c r="T389" s="249">
        <v>42.26</v>
      </c>
      <c r="U389" s="249">
        <v>42.305</v>
      </c>
      <c r="V389" s="249">
        <v>42.39</v>
      </c>
      <c r="W389" s="249">
        <v>41.04</v>
      </c>
      <c r="X389" s="249">
        <v>41.164999999999999</v>
      </c>
      <c r="Y389" s="249">
        <v>40.9</v>
      </c>
      <c r="Z389" s="243">
        <f ca="1">[1]ExtEntry!$I87</f>
        <v>40.9</v>
      </c>
      <c r="AB389" s="259">
        <v>-1220</v>
      </c>
      <c r="AC389" s="259">
        <v>1080</v>
      </c>
      <c r="AD389" s="259">
        <v>3077.2000000000116</v>
      </c>
      <c r="AE389" s="259">
        <v>2980</v>
      </c>
      <c r="AF389" s="259">
        <v>4060</v>
      </c>
      <c r="AG389" s="259">
        <v>300</v>
      </c>
      <c r="AH389" s="259">
        <v>-1760</v>
      </c>
      <c r="AI389" s="259">
        <v>1400</v>
      </c>
      <c r="AJ389" s="259">
        <v>940</v>
      </c>
      <c r="AK389" s="259">
        <v>100</v>
      </c>
      <c r="AL389" s="259">
        <v>2280</v>
      </c>
      <c r="AM389" s="259">
        <v>2540.3999999999942</v>
      </c>
      <c r="AN389" s="259">
        <v>-1140</v>
      </c>
      <c r="AO389" s="259">
        <v>320</v>
      </c>
      <c r="AP389" s="259">
        <v>740</v>
      </c>
      <c r="AQ389" s="259">
        <v>680</v>
      </c>
      <c r="AR389" s="259">
        <v>-520</v>
      </c>
      <c r="AS389" s="259">
        <v>2580</v>
      </c>
      <c r="AT389" s="259">
        <v>1040</v>
      </c>
      <c r="AU389" s="259">
        <v>480</v>
      </c>
      <c r="AV389" s="259">
        <f ca="1">Calc!AQ87</f>
        <v>480</v>
      </c>
      <c r="AX389" s="86" t="str">
        <f t="shared" ca="1" si="31"/>
        <v>OXY</v>
      </c>
    </row>
    <row r="390" spans="1:70" hidden="1">
      <c r="A390" s="86" t="str">
        <f t="shared" ca="1" si="30"/>
        <v>PFE</v>
      </c>
      <c r="F390" s="249">
        <v>24.16</v>
      </c>
      <c r="G390" s="249">
        <v>24.543199999999999</v>
      </c>
      <c r="H390" s="249">
        <v>24.110900000000001</v>
      </c>
      <c r="I390" s="249">
        <v>24.97</v>
      </c>
      <c r="J390" s="249">
        <v>24.98</v>
      </c>
      <c r="K390" s="249">
        <v>24.9</v>
      </c>
      <c r="L390" s="249">
        <v>24.28</v>
      </c>
      <c r="M390" s="249">
        <v>24.585000000000001</v>
      </c>
      <c r="N390" s="249">
        <v>25.58</v>
      </c>
      <c r="O390" s="249">
        <v>25.58</v>
      </c>
      <c r="P390" s="249">
        <v>25.66</v>
      </c>
      <c r="Q390" s="249">
        <v>25.27</v>
      </c>
      <c r="R390" s="249">
        <v>25.04</v>
      </c>
      <c r="S390" s="249">
        <v>25.3</v>
      </c>
      <c r="T390" s="249">
        <v>25.3</v>
      </c>
      <c r="U390" s="249">
        <v>25.35</v>
      </c>
      <c r="V390" s="249">
        <v>25.64</v>
      </c>
      <c r="W390" s="249">
        <v>25.51</v>
      </c>
      <c r="X390" s="249">
        <v>25.22</v>
      </c>
      <c r="Y390" s="249">
        <v>25.61</v>
      </c>
      <c r="Z390" s="243">
        <f ca="1">[1]ExtEntry!$I88</f>
        <v>25.61</v>
      </c>
      <c r="AB390" s="262">
        <v>408</v>
      </c>
      <c r="AC390" s="262">
        <v>248</v>
      </c>
      <c r="AD390" s="262">
        <v>56</v>
      </c>
      <c r="AE390" s="262">
        <v>-936</v>
      </c>
      <c r="AF390" s="262">
        <v>640</v>
      </c>
      <c r="AG390" s="262">
        <v>-552</v>
      </c>
      <c r="AH390" s="262">
        <v>0</v>
      </c>
      <c r="AI390" s="262">
        <v>0</v>
      </c>
      <c r="AJ390" s="262">
        <v>-20</v>
      </c>
      <c r="AK390" s="262">
        <v>20</v>
      </c>
      <c r="AL390" s="262">
        <v>-280</v>
      </c>
      <c r="AM390" s="262">
        <v>-890</v>
      </c>
      <c r="AN390" s="262">
        <v>-270</v>
      </c>
      <c r="AO390" s="262">
        <v>730</v>
      </c>
      <c r="AP390" s="262">
        <v>586</v>
      </c>
      <c r="AQ390" s="262">
        <v>-20</v>
      </c>
      <c r="AR390" s="262">
        <v>500</v>
      </c>
      <c r="AS390" s="262">
        <v>-850</v>
      </c>
      <c r="AT390" s="262">
        <v>570</v>
      </c>
      <c r="AU390" s="262">
        <v>-140</v>
      </c>
      <c r="AV390" s="259">
        <f ca="1">Calc!AQ88</f>
        <v>-140</v>
      </c>
      <c r="AX390" s="86" t="str">
        <f t="shared" ca="1" si="31"/>
        <v>PFE</v>
      </c>
    </row>
    <row r="391" spans="1:70" hidden="1">
      <c r="A391" s="86" t="str">
        <f t="shared" ca="1" si="30"/>
        <v>RIG</v>
      </c>
      <c r="F391" s="249">
        <v>3.86</v>
      </c>
      <c r="G391" s="249">
        <v>3.76</v>
      </c>
      <c r="H391" s="249">
        <v>3.7940999999999998</v>
      </c>
      <c r="I391" s="249">
        <v>3.96</v>
      </c>
      <c r="J391" s="249">
        <v>3.97</v>
      </c>
      <c r="K391" s="249">
        <v>3.98</v>
      </c>
      <c r="L391" s="249">
        <v>3.88</v>
      </c>
      <c r="M391" s="249">
        <v>3.68</v>
      </c>
      <c r="N391" s="249">
        <v>4.03</v>
      </c>
      <c r="O391" s="249">
        <v>4.03</v>
      </c>
      <c r="P391" s="249">
        <v>4.24</v>
      </c>
      <c r="Q391" s="249">
        <v>4.3739999999999997</v>
      </c>
      <c r="R391" s="249">
        <v>4.2149999999999999</v>
      </c>
      <c r="S391" s="249">
        <v>4.3499999999999996</v>
      </c>
      <c r="T391" s="249">
        <v>4.3499999999999996</v>
      </c>
      <c r="U391" s="249">
        <v>4.38</v>
      </c>
      <c r="V391" s="249">
        <v>4.43</v>
      </c>
      <c r="W391" s="249">
        <v>4.41</v>
      </c>
      <c r="X391" s="249">
        <v>4.16</v>
      </c>
      <c r="Y391" s="249">
        <v>4.22</v>
      </c>
      <c r="Z391" s="243">
        <f ca="1">[1]ExtEntry!$I89</f>
        <v>4.22</v>
      </c>
      <c r="AB391" s="259">
        <v>1680</v>
      </c>
      <c r="AC391" s="259">
        <v>1680</v>
      </c>
      <c r="AD391" s="259">
        <v>3010</v>
      </c>
      <c r="AE391" s="259">
        <v>0</v>
      </c>
      <c r="AF391" s="259">
        <v>4300</v>
      </c>
      <c r="AG391" s="259">
        <v>3440</v>
      </c>
      <c r="AH391" s="259">
        <v>-10750</v>
      </c>
      <c r="AI391" s="259">
        <v>3624.8999999999942</v>
      </c>
      <c r="AJ391" s="259">
        <v>4200</v>
      </c>
      <c r="AK391" s="259">
        <v>4200</v>
      </c>
      <c r="AL391" s="259">
        <v>2100</v>
      </c>
      <c r="AM391" s="259">
        <v>2030</v>
      </c>
      <c r="AN391" s="259">
        <v>-1050</v>
      </c>
      <c r="AO391" s="259">
        <v>2450</v>
      </c>
      <c r="AP391" s="259">
        <v>1787.5000000000146</v>
      </c>
      <c r="AQ391" s="259">
        <v>-137.49999999998545</v>
      </c>
      <c r="AR391" s="259">
        <v>-274.99999999998545</v>
      </c>
      <c r="AS391" s="259">
        <v>3025</v>
      </c>
      <c r="AT391" s="259">
        <v>-2062.5</v>
      </c>
      <c r="AU391" s="259">
        <v>550.00000000001455</v>
      </c>
      <c r="AV391" s="259">
        <f ca="1">Calc!AQ89</f>
        <v>550.00000000001455</v>
      </c>
      <c r="AX391" s="86" t="str">
        <f t="shared" ca="1" si="31"/>
        <v>RIG</v>
      </c>
    </row>
    <row r="392" spans="1:70">
      <c r="A392" s="86" t="str">
        <f t="shared" ca="1" si="30"/>
        <v>RRC</v>
      </c>
      <c r="F392" s="249">
        <v>36.72</v>
      </c>
      <c r="G392" s="249">
        <v>36.545000000000002</v>
      </c>
      <c r="H392" s="249">
        <v>36.21</v>
      </c>
      <c r="I392" s="249">
        <v>36.94</v>
      </c>
      <c r="J392" s="249">
        <v>37.299999999999997</v>
      </c>
      <c r="K392" s="249">
        <v>38.42</v>
      </c>
      <c r="L392" s="249">
        <v>38.69</v>
      </c>
      <c r="M392" s="249">
        <v>37.44</v>
      </c>
      <c r="N392" s="249">
        <v>37.96</v>
      </c>
      <c r="O392" s="249">
        <v>37.96</v>
      </c>
      <c r="P392" s="249">
        <v>38.548699999999997</v>
      </c>
      <c r="Q392" s="249">
        <v>38.92</v>
      </c>
      <c r="R392" s="249">
        <v>38.1</v>
      </c>
      <c r="S392" s="249">
        <v>38.42</v>
      </c>
      <c r="T392" s="249">
        <v>38.42</v>
      </c>
      <c r="U392" s="249">
        <v>39.630000000000003</v>
      </c>
      <c r="V392" s="249">
        <v>39.555</v>
      </c>
      <c r="W392" s="249">
        <v>37.35</v>
      </c>
      <c r="X392" s="249">
        <v>36.36</v>
      </c>
      <c r="Y392" s="249">
        <v>35.92</v>
      </c>
      <c r="Z392" s="243">
        <f ca="1">[1]ExtEntry!$I90</f>
        <v>35.92</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189</v>
      </c>
      <c r="BR392" t="s">
        <v>178</v>
      </c>
    </row>
    <row r="393" spans="1:70">
      <c r="A393" s="86" t="str">
        <f t="shared" ca="1" si="30"/>
        <v>XYZ</v>
      </c>
      <c r="F393" s="241">
        <v>72.349999999999994</v>
      </c>
      <c r="G393" s="241">
        <v>70.930000000000007</v>
      </c>
      <c r="H393" s="241">
        <v>60.77</v>
      </c>
      <c r="I393" s="241">
        <v>60.17</v>
      </c>
      <c r="J393" s="241">
        <v>57.29</v>
      </c>
      <c r="K393" s="241">
        <v>57.15</v>
      </c>
      <c r="L393" s="241">
        <v>62.88</v>
      </c>
      <c r="M393" s="241">
        <v>59.57</v>
      </c>
      <c r="N393" s="241">
        <v>63.61</v>
      </c>
      <c r="O393" s="241">
        <v>63.55</v>
      </c>
      <c r="P393" s="241">
        <v>65.5</v>
      </c>
      <c r="Q393" s="241">
        <v>64.88</v>
      </c>
      <c r="R393" s="241">
        <v>59.97</v>
      </c>
      <c r="S393" s="241">
        <v>60.3</v>
      </c>
      <c r="T393" s="241">
        <v>60.29</v>
      </c>
      <c r="U393" s="241">
        <v>60.7</v>
      </c>
      <c r="V393" s="241">
        <v>60.73</v>
      </c>
      <c r="W393" s="241">
        <v>60.2226</v>
      </c>
      <c r="X393" s="241">
        <v>60.982100000000003</v>
      </c>
      <c r="Y393" s="241">
        <v>62.67</v>
      </c>
      <c r="Z393" s="243">
        <f ca="1">[1]ExtEntry!$I91</f>
        <v>62.67</v>
      </c>
      <c r="AB393" s="259">
        <v>462</v>
      </c>
      <c r="AC393" s="259">
        <v>-1962</v>
      </c>
      <c r="AD393" s="259">
        <v>2850</v>
      </c>
      <c r="AE393" s="259">
        <v>-339</v>
      </c>
      <c r="AF393" s="259">
        <v>-444</v>
      </c>
      <c r="AG393" s="259">
        <v>-663</v>
      </c>
      <c r="AH393" s="259">
        <v>-678</v>
      </c>
      <c r="AI393" s="259">
        <v>-273</v>
      </c>
      <c r="AJ393" s="259">
        <v>1211.9999999999927</v>
      </c>
      <c r="AK393" s="259">
        <v>702</v>
      </c>
      <c r="AL393" s="259">
        <v>624</v>
      </c>
      <c r="AM393" s="259">
        <v>408.00000000000728</v>
      </c>
      <c r="AN393" s="259">
        <v>-2793</v>
      </c>
      <c r="AO393" s="259">
        <v>565.5</v>
      </c>
      <c r="AP393" s="259">
        <v>42</v>
      </c>
      <c r="AQ393" s="259">
        <v>-246</v>
      </c>
      <c r="AR393" s="259">
        <v>-108</v>
      </c>
      <c r="AS393" s="259">
        <v>678.4800000000032</v>
      </c>
      <c r="AT393" s="259">
        <v>1098</v>
      </c>
      <c r="AU393" s="259">
        <v>264</v>
      </c>
      <c r="AV393" s="259">
        <f ca="1">Calc!AQ91</f>
        <v>264</v>
      </c>
      <c r="AX393" s="86" t="str">
        <f t="shared" ca="1" si="31"/>
        <v>XYZ</v>
      </c>
      <c r="BQ393" t="s">
        <v>190</v>
      </c>
      <c r="BR393" t="s">
        <v>2186</v>
      </c>
    </row>
    <row r="394" spans="1:70">
      <c r="A394" s="86" t="str">
        <f t="shared" ca="1" si="30"/>
        <v>THC</v>
      </c>
      <c r="F394" s="249">
        <v>203.94</v>
      </c>
      <c r="G394" s="249">
        <v>203.71850000000001</v>
      </c>
      <c r="H394" s="249">
        <v>201.96</v>
      </c>
      <c r="I394" s="249">
        <v>191.88</v>
      </c>
      <c r="J394" s="249">
        <v>190.96</v>
      </c>
      <c r="K394" s="249">
        <v>190.24</v>
      </c>
      <c r="L394" s="249">
        <v>187.91800000000001</v>
      </c>
      <c r="M394" s="249">
        <v>187.52</v>
      </c>
      <c r="N394" s="249">
        <v>217.45</v>
      </c>
      <c r="O394" s="249">
        <v>217.04</v>
      </c>
      <c r="P394" s="249">
        <v>215.8</v>
      </c>
      <c r="Q394" s="249">
        <v>212.85499999999999</v>
      </c>
      <c r="R394" s="249">
        <v>214.54</v>
      </c>
      <c r="S394" s="249">
        <v>211.5043</v>
      </c>
      <c r="T394" s="249">
        <v>209.52</v>
      </c>
      <c r="U394" s="249">
        <v>209.12</v>
      </c>
      <c r="V394" s="249">
        <v>209.75</v>
      </c>
      <c r="W394" s="249">
        <v>201.37</v>
      </c>
      <c r="X394" s="249">
        <v>194.54</v>
      </c>
      <c r="Y394" s="249">
        <v>196.63</v>
      </c>
      <c r="Z394" s="243">
        <f ca="1">[1]ExtEntry!$I92</f>
        <v>196.63</v>
      </c>
      <c r="AB394" s="262">
        <v>3195</v>
      </c>
      <c r="AC394" s="262">
        <v>-3555</v>
      </c>
      <c r="AD394" s="262">
        <v>502.5</v>
      </c>
      <c r="AE394" s="262">
        <v>-4905</v>
      </c>
      <c r="AF394" s="262">
        <v>2310</v>
      </c>
      <c r="AG394" s="262">
        <v>1477.5</v>
      </c>
      <c r="AH394" s="262">
        <v>-8865</v>
      </c>
      <c r="AI394" s="262">
        <v>9360</v>
      </c>
      <c r="AJ394" s="262">
        <v>-172.5</v>
      </c>
      <c r="AK394" s="262">
        <v>-3570</v>
      </c>
      <c r="AL394" s="262">
        <v>-990</v>
      </c>
      <c r="AM394" s="262">
        <v>3427.5</v>
      </c>
      <c r="AN394" s="262">
        <v>-8347.5</v>
      </c>
      <c r="AO394" s="262">
        <v>-1755</v>
      </c>
      <c r="AP394" s="262">
        <v>-6502.5</v>
      </c>
      <c r="AQ394" s="262">
        <v>1042.5</v>
      </c>
      <c r="AR394" s="262">
        <v>-4740</v>
      </c>
      <c r="AS394" s="262">
        <v>-8820</v>
      </c>
      <c r="AT394" s="262">
        <v>-7785</v>
      </c>
      <c r="AU394" s="262">
        <v>-112.5</v>
      </c>
      <c r="AV394" s="259">
        <f ca="1">Calc!AQ92</f>
        <v>-112.5</v>
      </c>
      <c r="AX394" s="86" t="str">
        <f t="shared" ca="1" si="31"/>
        <v>THC</v>
      </c>
      <c r="BQ394" t="s">
        <v>139</v>
      </c>
      <c r="BR394" t="s">
        <v>2187</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191</v>
      </c>
      <c r="BR395" t="s">
        <v>1878</v>
      </c>
    </row>
    <row r="396" spans="1:70">
      <c r="A396" s="86" t="str">
        <f t="shared" ca="1" si="30"/>
        <v>LOCK</v>
      </c>
      <c r="F396" s="344">
        <v>10.228</v>
      </c>
      <c r="G396" s="344">
        <v>10.199999999999999</v>
      </c>
      <c r="H396" s="241">
        <v>10.173999999999999</v>
      </c>
      <c r="I396" s="241">
        <v>9.9740000000000002</v>
      </c>
      <c r="J396" s="241">
        <v>9.7729999999999997</v>
      </c>
      <c r="K396" s="241">
        <v>9.7650000000000006</v>
      </c>
      <c r="L396" s="241">
        <v>9.8339999999999996</v>
      </c>
      <c r="M396" s="241">
        <v>9.4789999999999992</v>
      </c>
      <c r="N396" s="241">
        <v>9.8759999999999994</v>
      </c>
      <c r="O396" s="241">
        <v>9.843</v>
      </c>
      <c r="P396" s="241">
        <v>9.8829999999999991</v>
      </c>
      <c r="Q396" s="241">
        <v>9.8580000000000005</v>
      </c>
      <c r="R396" s="241">
        <v>9.9290000000000003</v>
      </c>
      <c r="S396" s="241">
        <v>9.9120000000000008</v>
      </c>
      <c r="T396" s="241">
        <v>9.9120000000000008</v>
      </c>
      <c r="U396" s="241">
        <v>9.9559999999999995</v>
      </c>
      <c r="V396" s="241">
        <v>9.9949999999999992</v>
      </c>
      <c r="W396" s="241">
        <v>10.135999999999999</v>
      </c>
      <c r="X396" s="241">
        <v>10.173999999999999</v>
      </c>
      <c r="Y396" s="241">
        <v>10.238</v>
      </c>
      <c r="Z396" s="243">
        <f ca="1">[1]ExtEntry!$I94</f>
        <v>10.238</v>
      </c>
      <c r="AB396" s="259">
        <v>5088.6000000000931</v>
      </c>
      <c r="AC396" s="259">
        <v>-6322.1999999999534</v>
      </c>
      <c r="AD396" s="259">
        <v>-4009.2000000001863</v>
      </c>
      <c r="AE396" s="259">
        <v>2775.5999999999767</v>
      </c>
      <c r="AF396" s="259">
        <v>-154.20000000006985</v>
      </c>
      <c r="AG396" s="259">
        <v>-2544.3000000000466</v>
      </c>
      <c r="AH396" s="259">
        <v>-1542</v>
      </c>
      <c r="AI396" s="259">
        <v>-5397</v>
      </c>
      <c r="AJ396" s="259">
        <v>-5474.0999999999767</v>
      </c>
      <c r="AK396" s="259">
        <v>3932.0999999999767</v>
      </c>
      <c r="AL396" s="259">
        <v>-7170.300000000163</v>
      </c>
      <c r="AM396" s="259">
        <v>-2390.1000000000931</v>
      </c>
      <c r="AN396" s="259">
        <v>5397</v>
      </c>
      <c r="AO396" s="259">
        <v>231.30000000004657</v>
      </c>
      <c r="AP396" s="259">
        <v>231.30000000004657</v>
      </c>
      <c r="AQ396" s="259">
        <v>4317.6000000000931</v>
      </c>
      <c r="AR396" s="259">
        <v>3777.9000000001397</v>
      </c>
      <c r="AS396" s="259">
        <v>4163.4000000000233</v>
      </c>
      <c r="AT396" s="259">
        <v>4780.2000000001863</v>
      </c>
      <c r="AU396" s="259">
        <v>6939</v>
      </c>
      <c r="AV396" s="259">
        <f ca="1">Calc!AQ94</f>
        <v>6939</v>
      </c>
      <c r="AX396" s="86" t="str">
        <f t="shared" ca="1" si="31"/>
        <v>LOCK</v>
      </c>
      <c r="BQ396" t="s">
        <v>192</v>
      </c>
      <c r="BR396" t="s">
        <v>2188</v>
      </c>
    </row>
    <row r="397" spans="1:70">
      <c r="A397" s="86" t="str">
        <f t="shared" ca="1" si="30"/>
        <v>JBASML</v>
      </c>
      <c r="F397" s="344">
        <v>878.4</v>
      </c>
      <c r="G397" s="241">
        <v>891.2</v>
      </c>
      <c r="H397" s="241">
        <v>870.8</v>
      </c>
      <c r="I397" s="241">
        <v>841.3</v>
      </c>
      <c r="J397" s="1068">
        <v>857.3</v>
      </c>
      <c r="K397" s="243">
        <v>857.3</v>
      </c>
      <c r="L397" s="1069">
        <v>889.8</v>
      </c>
      <c r="M397" s="239">
        <v>822.2</v>
      </c>
      <c r="N397" s="241">
        <v>874.4</v>
      </c>
      <c r="O397" s="1070">
        <v>896.2</v>
      </c>
      <c r="P397" s="1070">
        <v>891.6</v>
      </c>
      <c r="Q397" s="241">
        <v>901.3</v>
      </c>
      <c r="R397" s="245">
        <v>925.2</v>
      </c>
      <c r="S397" s="241">
        <v>942.9</v>
      </c>
      <c r="T397" s="241">
        <v>942.9</v>
      </c>
      <c r="U397" s="241">
        <v>955.8</v>
      </c>
      <c r="V397" s="241">
        <v>951.6</v>
      </c>
      <c r="W397" s="1071">
        <v>948.4</v>
      </c>
      <c r="X397" s="343">
        <v>944.3</v>
      </c>
      <c r="Y397" s="241">
        <v>931</v>
      </c>
      <c r="Z397" s="243">
        <f ca="1">[1]ExtEntry!$I95</f>
        <v>931</v>
      </c>
      <c r="AB397" s="259">
        <v>4740</v>
      </c>
      <c r="AC397" s="259">
        <v>-1160</v>
      </c>
      <c r="AD397" s="259">
        <v>-5640</v>
      </c>
      <c r="AE397" s="259">
        <v>1440</v>
      </c>
      <c r="AF397" s="259">
        <v>-340</v>
      </c>
      <c r="AG397" s="259">
        <v>5100</v>
      </c>
      <c r="AH397" s="259">
        <v>-3800</v>
      </c>
      <c r="AI397" s="259">
        <v>-1040</v>
      </c>
      <c r="AJ397" s="259">
        <v>6860</v>
      </c>
      <c r="AK397" s="259">
        <v>-800</v>
      </c>
      <c r="AL397" s="259">
        <v>1480</v>
      </c>
      <c r="AM397" s="259">
        <v>3340</v>
      </c>
      <c r="AN397" s="259">
        <v>1820</v>
      </c>
      <c r="AO397" s="259">
        <v>0</v>
      </c>
      <c r="AP397" s="259">
        <v>0</v>
      </c>
      <c r="AQ397" s="259">
        <v>0</v>
      </c>
      <c r="AR397" s="259">
        <v>0</v>
      </c>
      <c r="AS397" s="259">
        <v>0</v>
      </c>
      <c r="AT397" s="259">
        <v>0</v>
      </c>
      <c r="AU397" s="259">
        <v>0</v>
      </c>
      <c r="AV397" s="259">
        <f ca="1">Calc!AQ95</f>
        <v>0</v>
      </c>
      <c r="AX397" s="86" t="str">
        <f t="shared" ca="1" si="31"/>
        <v>JBASML</v>
      </c>
      <c r="BQ397" t="s">
        <v>2189</v>
      </c>
      <c r="BR397" t="s">
        <v>1821</v>
      </c>
    </row>
    <row r="398" spans="1:70">
      <c r="A398" s="86" t="str">
        <f t="shared" ca="1" si="30"/>
        <v>JBEOAN</v>
      </c>
      <c r="F398" s="249">
        <v>15.824999999999999</v>
      </c>
      <c r="G398" s="249">
        <v>16</v>
      </c>
      <c r="H398" s="249">
        <v>15.994999999999999</v>
      </c>
      <c r="I398" s="249">
        <v>15.05</v>
      </c>
      <c r="J398" s="249">
        <v>15.23</v>
      </c>
      <c r="K398" s="249">
        <v>15.23</v>
      </c>
      <c r="L398" s="249">
        <v>15.345000000000001</v>
      </c>
      <c r="M398" s="249">
        <v>15.365</v>
      </c>
      <c r="N398" s="249">
        <v>15.25</v>
      </c>
      <c r="O398" s="249">
        <v>15.095000000000001</v>
      </c>
      <c r="P398" s="249">
        <v>15.23</v>
      </c>
      <c r="Q398" s="249">
        <v>15.22</v>
      </c>
      <c r="R398" s="249">
        <v>15.19</v>
      </c>
      <c r="S398" s="249">
        <v>15.4</v>
      </c>
      <c r="T398" s="249">
        <v>15.4</v>
      </c>
      <c r="U398" s="249">
        <v>15.565</v>
      </c>
      <c r="V398" s="249">
        <v>15.385</v>
      </c>
      <c r="W398" s="249">
        <v>15.484999999999999</v>
      </c>
      <c r="X398" s="249">
        <v>15.51</v>
      </c>
      <c r="Y398" s="249">
        <v>15</v>
      </c>
      <c r="Z398" s="243">
        <f ca="1">[1]ExtEntry!$I96</f>
        <v>15</v>
      </c>
      <c r="AB398" s="262">
        <v>4050</v>
      </c>
      <c r="AC398" s="262">
        <v>1349.9999999999418</v>
      </c>
      <c r="AD398" s="262">
        <v>0</v>
      </c>
      <c r="AE398" s="262">
        <v>420</v>
      </c>
      <c r="AF398" s="262">
        <v>-1785</v>
      </c>
      <c r="AG398" s="262">
        <v>-315</v>
      </c>
      <c r="AH398" s="262">
        <v>1155</v>
      </c>
      <c r="AI398" s="262">
        <v>3465</v>
      </c>
      <c r="AJ398" s="262">
        <v>1890</v>
      </c>
      <c r="AK398" s="262">
        <v>-3150</v>
      </c>
      <c r="AL398" s="262">
        <v>1050</v>
      </c>
      <c r="AM398" s="262">
        <v>-2415</v>
      </c>
      <c r="AN398" s="262">
        <v>1995</v>
      </c>
      <c r="AO398" s="262">
        <v>6300</v>
      </c>
      <c r="AP398" s="262">
        <v>8820</v>
      </c>
      <c r="AQ398" s="262">
        <v>-4410</v>
      </c>
      <c r="AR398" s="262">
        <v>-2730</v>
      </c>
      <c r="AS398" s="262">
        <v>2100</v>
      </c>
      <c r="AT398" s="262">
        <v>-105</v>
      </c>
      <c r="AU398" s="262">
        <v>-8925</v>
      </c>
      <c r="AV398" s="259">
        <f ca="1">Calc!AQ96</f>
        <v>-8925</v>
      </c>
      <c r="AX398" s="86" t="str">
        <f t="shared" ca="1" si="31"/>
        <v>JBEOAN</v>
      </c>
      <c r="BQ398" t="s">
        <v>194</v>
      </c>
      <c r="BR398" t="s">
        <v>701</v>
      </c>
    </row>
    <row r="399" spans="1:70">
      <c r="AX399" s="86"/>
      <c r="BQ399" t="s">
        <v>2191</v>
      </c>
      <c r="BR399" t="s">
        <v>2190</v>
      </c>
    </row>
    <row r="400" spans="1:70">
      <c r="AX400" s="86"/>
      <c r="BQ400" t="s">
        <v>2192</v>
      </c>
      <c r="BR400" t="s">
        <v>2193</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1879</v>
      </c>
      <c r="BQ401" t="s">
        <v>2194</v>
      </c>
      <c r="BR401" t="s">
        <v>661</v>
      </c>
    </row>
    <row r="402" spans="1:70">
      <c r="F402" s="115">
        <f t="shared" ref="F402:Z402" ca="1" si="32">F303</f>
        <v>45974</v>
      </c>
      <c r="G402" s="115">
        <f t="shared" ca="1" si="32"/>
        <v>45975</v>
      </c>
      <c r="H402" s="115">
        <f t="shared" ca="1" si="32"/>
        <v>45978</v>
      </c>
      <c r="I402" s="115">
        <f t="shared" ca="1" si="32"/>
        <v>45979</v>
      </c>
      <c r="J402" s="115">
        <f t="shared" ca="1" si="32"/>
        <v>45980</v>
      </c>
      <c r="K402" s="115">
        <f t="shared" ca="1" si="32"/>
        <v>45981</v>
      </c>
      <c r="L402" s="115">
        <f t="shared" ca="1" si="32"/>
        <v>45982</v>
      </c>
      <c r="M402" s="115">
        <f t="shared" ca="1" si="32"/>
        <v>45985</v>
      </c>
      <c r="N402" s="115">
        <f t="shared" ca="1" si="32"/>
        <v>45986</v>
      </c>
      <c r="O402" s="115">
        <f t="shared" ca="1" si="32"/>
        <v>45987</v>
      </c>
      <c r="P402" s="115">
        <f t="shared" ca="1" si="32"/>
        <v>45988</v>
      </c>
      <c r="Q402" s="115">
        <f t="shared" ca="1" si="32"/>
        <v>45989</v>
      </c>
      <c r="R402" s="115">
        <f t="shared" ca="1" si="32"/>
        <v>45992</v>
      </c>
      <c r="S402" s="115">
        <f t="shared" ca="1" si="32"/>
        <v>45993</v>
      </c>
      <c r="T402" s="115">
        <f t="shared" ca="1" si="32"/>
        <v>45994</v>
      </c>
      <c r="U402" s="115">
        <f t="shared" ca="1" si="32"/>
        <v>45995</v>
      </c>
      <c r="V402" s="115">
        <f t="shared" ca="1" si="32"/>
        <v>45996</v>
      </c>
      <c r="W402" s="115">
        <f t="shared" ca="1" si="32"/>
        <v>45999</v>
      </c>
      <c r="X402" s="115">
        <f t="shared" ca="1" si="32"/>
        <v>46000</v>
      </c>
      <c r="Y402" s="115">
        <f t="shared" ca="1" si="32"/>
        <v>46001</v>
      </c>
      <c r="Z402" s="115">
        <f t="shared" ca="1" si="32"/>
        <v>46002</v>
      </c>
      <c r="AB402" s="115">
        <f t="shared" ref="AB402:AV402" ca="1" si="33">AB303</f>
        <v>45974</v>
      </c>
      <c r="AC402" s="115">
        <f t="shared" ca="1" si="33"/>
        <v>45975</v>
      </c>
      <c r="AD402" s="115">
        <f t="shared" ca="1" si="33"/>
        <v>45978</v>
      </c>
      <c r="AE402" s="115">
        <f t="shared" ca="1" si="33"/>
        <v>45979</v>
      </c>
      <c r="AF402" s="115">
        <f t="shared" ca="1" si="33"/>
        <v>45980</v>
      </c>
      <c r="AG402" s="115">
        <f t="shared" ca="1" si="33"/>
        <v>45981</v>
      </c>
      <c r="AH402" s="115">
        <f t="shared" ca="1" si="33"/>
        <v>45982</v>
      </c>
      <c r="AI402" s="115">
        <f t="shared" ca="1" si="33"/>
        <v>45985</v>
      </c>
      <c r="AJ402" s="115">
        <f t="shared" ca="1" si="33"/>
        <v>45986</v>
      </c>
      <c r="AK402" s="115">
        <f t="shared" ca="1" si="33"/>
        <v>45987</v>
      </c>
      <c r="AL402" s="115">
        <f t="shared" ca="1" si="33"/>
        <v>45988</v>
      </c>
      <c r="AM402" s="115">
        <f t="shared" ca="1" si="33"/>
        <v>45989</v>
      </c>
      <c r="AN402" s="115">
        <f t="shared" ca="1" si="33"/>
        <v>45992</v>
      </c>
      <c r="AO402" s="115">
        <f t="shared" ca="1" si="33"/>
        <v>45993</v>
      </c>
      <c r="AP402" s="115">
        <f t="shared" ca="1" si="33"/>
        <v>45994</v>
      </c>
      <c r="AQ402" s="115">
        <f t="shared" ca="1" si="33"/>
        <v>45995</v>
      </c>
      <c r="AR402" s="115">
        <f t="shared" ca="1" si="33"/>
        <v>45996</v>
      </c>
      <c r="AS402" s="115">
        <f t="shared" ca="1" si="33"/>
        <v>45999</v>
      </c>
      <c r="AT402" s="115">
        <f t="shared" ca="1" si="33"/>
        <v>46000</v>
      </c>
      <c r="AU402" s="115">
        <f t="shared" ca="1" si="33"/>
        <v>46001</v>
      </c>
      <c r="AV402" s="115">
        <f t="shared" ca="1" si="33"/>
        <v>46002</v>
      </c>
      <c r="BQ402" t="s">
        <v>198</v>
      </c>
      <c r="BR402" t="s">
        <v>2195</v>
      </c>
    </row>
    <row r="403" spans="1:70">
      <c r="BQ403" t="s">
        <v>2196</v>
      </c>
      <c r="BR403" t="s">
        <v>177</v>
      </c>
    </row>
    <row r="404" spans="1:70">
      <c r="A404" s="86"/>
      <c r="F404" s="264" t="s">
        <v>287</v>
      </c>
      <c r="G404" s="305" t="s">
        <v>288</v>
      </c>
      <c r="H404" s="305" t="s">
        <v>289</v>
      </c>
      <c r="I404" s="305" t="s">
        <v>290</v>
      </c>
      <c r="J404" s="305" t="s">
        <v>291</v>
      </c>
      <c r="K404" s="264" t="s">
        <v>292</v>
      </c>
      <c r="L404" s="264" t="s">
        <v>293</v>
      </c>
      <c r="M404" s="264" t="s">
        <v>294</v>
      </c>
      <c r="N404" s="264" t="s">
        <v>295</v>
      </c>
      <c r="O404" s="264" t="s">
        <v>296</v>
      </c>
      <c r="P404" s="264" t="s">
        <v>297</v>
      </c>
      <c r="Q404" s="264" t="s">
        <v>298</v>
      </c>
      <c r="R404" s="264" t="s">
        <v>299</v>
      </c>
      <c r="S404" s="264" t="s">
        <v>300</v>
      </c>
      <c r="T404" s="264" t="s">
        <v>301</v>
      </c>
      <c r="U404" s="264" t="s">
        <v>302</v>
      </c>
      <c r="V404" s="264" t="s">
        <v>303</v>
      </c>
      <c r="W404" s="264" t="s">
        <v>304</v>
      </c>
      <c r="X404" s="264" t="s">
        <v>305</v>
      </c>
      <c r="Y404" s="264" t="s">
        <v>306</v>
      </c>
      <c r="Z404" s="264" t="s">
        <v>307</v>
      </c>
      <c r="AB404" s="277" t="s">
        <v>2667</v>
      </c>
      <c r="AC404" s="277" t="s">
        <v>2668</v>
      </c>
      <c r="AD404" s="277" t="s">
        <v>2669</v>
      </c>
      <c r="AE404" s="277" t="s">
        <v>2670</v>
      </c>
      <c r="AF404" s="277" t="s">
        <v>2671</v>
      </c>
      <c r="AG404" s="277" t="s">
        <v>2672</v>
      </c>
      <c r="AH404" s="277" t="s">
        <v>2673</v>
      </c>
      <c r="AI404" s="277" t="s">
        <v>2674</v>
      </c>
      <c r="AJ404" s="277" t="s">
        <v>2675</v>
      </c>
      <c r="AK404" s="277" t="s">
        <v>2676</v>
      </c>
      <c r="AL404" s="277" t="s">
        <v>2677</v>
      </c>
      <c r="AM404" s="277" t="s">
        <v>2678</v>
      </c>
      <c r="AN404" s="277" t="s">
        <v>2679</v>
      </c>
      <c r="AO404" s="277" t="s">
        <v>2680</v>
      </c>
      <c r="AP404" s="277" t="s">
        <v>2681</v>
      </c>
      <c r="AQ404" s="277" t="s">
        <v>2682</v>
      </c>
      <c r="AR404" s="277" t="s">
        <v>2683</v>
      </c>
      <c r="AS404" s="277" t="s">
        <v>2684</v>
      </c>
      <c r="AT404" s="277" t="s">
        <v>2685</v>
      </c>
      <c r="AU404" s="277" t="s">
        <v>2686</v>
      </c>
      <c r="AV404" s="277" t="s">
        <v>2687</v>
      </c>
      <c r="AX404" s="86"/>
      <c r="BQ404" t="s">
        <v>179</v>
      </c>
      <c r="BR404" t="s">
        <v>2197</v>
      </c>
    </row>
    <row r="405" spans="1:70">
      <c r="A405" s="86" t="str">
        <f ca="1">A5</f>
        <v>AAPL</v>
      </c>
      <c r="F405" s="241">
        <v>271.7</v>
      </c>
      <c r="G405" s="241">
        <v>273.39999999999998</v>
      </c>
      <c r="H405" s="241">
        <v>272.29000000000002</v>
      </c>
      <c r="I405" s="241">
        <v>275.95999999999998</v>
      </c>
      <c r="J405" s="241">
        <v>270.70999999999998</v>
      </c>
      <c r="K405" s="241">
        <v>272.20999999999998</v>
      </c>
      <c r="L405" s="241">
        <v>275.43</v>
      </c>
      <c r="M405" s="241">
        <v>273.315</v>
      </c>
      <c r="N405" s="241">
        <v>279.52999999999997</v>
      </c>
      <c r="O405" s="241">
        <v>279.52999999999997</v>
      </c>
      <c r="P405" s="241">
        <v>279</v>
      </c>
      <c r="Q405" s="241">
        <v>280.92</v>
      </c>
      <c r="R405" s="241">
        <v>287.39999999999998</v>
      </c>
      <c r="S405" s="241">
        <v>288.61</v>
      </c>
      <c r="T405" s="241">
        <v>288.62</v>
      </c>
      <c r="U405" s="241">
        <v>284.73</v>
      </c>
      <c r="V405" s="241">
        <v>281.14</v>
      </c>
      <c r="W405" s="241">
        <v>280.02999999999997</v>
      </c>
      <c r="X405" s="241">
        <v>279.75</v>
      </c>
      <c r="Y405" s="241">
        <v>279.58</v>
      </c>
      <c r="Z405" s="243">
        <f ca="1">[1]ExtEntry!$J3</f>
        <v>279.58</v>
      </c>
      <c r="AB405" s="260">
        <v>-1765</v>
      </c>
      <c r="AC405" s="260">
        <v>-17450</v>
      </c>
      <c r="AD405" s="260">
        <v>-16993.5</v>
      </c>
      <c r="AE405" s="260">
        <v>-5.4657999999999996E-4</v>
      </c>
      <c r="AF405" s="260">
        <v>4.6041999999999985E-4</v>
      </c>
      <c r="AG405" s="260">
        <v>-6.4396333333333327E-4</v>
      </c>
      <c r="AH405" s="260">
        <v>2.7582033333333326E-3</v>
      </c>
      <c r="AI405" s="260">
        <v>7.4778700000000002E-3</v>
      </c>
      <c r="AJ405" s="260">
        <v>5.8068440000000002E-3</v>
      </c>
      <c r="AK405" s="260">
        <v>6.2405999999999998E-3</v>
      </c>
      <c r="AL405" s="260">
        <v>5.2405999999999998E-3</v>
      </c>
      <c r="AM405" s="260">
        <v>7.9048E-3</v>
      </c>
      <c r="AN405" s="260">
        <v>5.5726000000000005E-3</v>
      </c>
      <c r="AO405" s="260">
        <v>5.4006000000000002E-3</v>
      </c>
      <c r="AP405" s="260">
        <v>3.5562000000000002E-3</v>
      </c>
      <c r="AQ405" s="260">
        <v>-2.2419999999999976E-4</v>
      </c>
      <c r="AR405" s="244">
        <v>-3.0052E-3</v>
      </c>
      <c r="AS405" s="244">
        <v>-5.2453999999999999E-3</v>
      </c>
      <c r="AT405" s="244">
        <v>-4.7060000000000001E-3</v>
      </c>
      <c r="AU405" s="244">
        <v>-3.8184000000000004E-3</v>
      </c>
      <c r="AV405" s="244">
        <f t="shared" ref="AV405:AV436" si="34">AVERAGE(U704:Y704)</f>
        <v>-3.8184000000000004E-3</v>
      </c>
      <c r="AX405" s="86" t="str">
        <f ca="1">A5</f>
        <v>AAPL</v>
      </c>
      <c r="AY405" t="str" cm="1">
        <f t="array" aca="1" ref="AY405" ca="1">_xlfn.LET(_xlpm.MaxPercent,MAX(Tab2Saldo5Days[AvCh%_5d20]),_xlfn.XLOOKUP(_xlpm.MaxPercent,Tab2Saldo5Days[AvCh%_5d20],AX405:AX498)&amp;": "&amp;TEXT(_xlpm.MaxPercent,"#0.0%"))</f>
        <v>LAZR: 5.5%</v>
      </c>
      <c r="BQ405" t="s">
        <v>1014</v>
      </c>
      <c r="BR405" t="s">
        <v>2198</v>
      </c>
    </row>
    <row r="406" spans="1:70">
      <c r="A406" s="86" t="str">
        <f t="shared" ref="A406:A469" ca="1" si="35">A6</f>
        <v>ADEA</v>
      </c>
      <c r="F406" s="249">
        <v>13.84</v>
      </c>
      <c r="G406" s="249">
        <v>14.15</v>
      </c>
      <c r="H406" s="249">
        <v>14.095000000000001</v>
      </c>
      <c r="I406" s="249">
        <v>13.18</v>
      </c>
      <c r="J406" s="249">
        <v>12.51</v>
      </c>
      <c r="K406" s="249">
        <v>12.445</v>
      </c>
      <c r="L406" s="249">
        <v>12.421200000000001</v>
      </c>
      <c r="M406" s="249">
        <v>12.28</v>
      </c>
      <c r="N406" s="249">
        <v>12.505000000000001</v>
      </c>
      <c r="O406" s="249">
        <v>12.58</v>
      </c>
      <c r="P406" s="249">
        <v>12.385</v>
      </c>
      <c r="Q406" s="249">
        <v>12.469900000000001</v>
      </c>
      <c r="R406" s="249">
        <v>12.595000000000001</v>
      </c>
      <c r="S406" s="249">
        <v>12.5</v>
      </c>
      <c r="T406" s="249">
        <v>12.62</v>
      </c>
      <c r="U406" s="249">
        <v>12.605</v>
      </c>
      <c r="V406" s="249">
        <v>12.64</v>
      </c>
      <c r="W406" s="249">
        <v>13.005000000000001</v>
      </c>
      <c r="X406" s="249">
        <v>13.68</v>
      </c>
      <c r="Y406" s="249">
        <v>13.619899999999999</v>
      </c>
      <c r="Z406" s="243">
        <f ca="1">[1]ExtEntry!$J4</f>
        <v>13.619899999999999</v>
      </c>
      <c r="AB406" s="263">
        <v>4650</v>
      </c>
      <c r="AC406" s="263">
        <v>-424.99999999998545</v>
      </c>
      <c r="AD406" s="263">
        <v>625</v>
      </c>
      <c r="AE406" s="263">
        <v>-6.8396666666666632E-3</v>
      </c>
      <c r="AF406" s="263">
        <v>1.0302499999999999E-2</v>
      </c>
      <c r="AG406" s="263">
        <v>-4.6161666666666669E-3</v>
      </c>
      <c r="AH406" s="263">
        <v>-6.70333333333333E-4</v>
      </c>
      <c r="AI406" s="263">
        <v>4.6145000000000005E-3</v>
      </c>
      <c r="AJ406" s="263">
        <v>4.5960000000000003E-3</v>
      </c>
      <c r="AK406" s="263">
        <v>4.9151999999999998E-3</v>
      </c>
      <c r="AL406" s="263">
        <v>7.3474000000000013E-3</v>
      </c>
      <c r="AM406" s="263">
        <v>9.4164000000000019E-3</v>
      </c>
      <c r="AN406" s="263">
        <v>3.3196000000000002E-3</v>
      </c>
      <c r="AO406" s="263">
        <v>-1.1862000000000001E-3</v>
      </c>
      <c r="AP406" s="263">
        <v>7.4359999999999997E-4</v>
      </c>
      <c r="AQ406" s="263">
        <v>-6.2920000000000001E-4</v>
      </c>
      <c r="AR406" s="244">
        <v>1.7280000000000003E-4</v>
      </c>
      <c r="AS406" s="244">
        <v>2.6576E-3</v>
      </c>
      <c r="AT406" s="244">
        <v>1.6632000000000001E-2</v>
      </c>
      <c r="AU406" s="244">
        <v>1.5941799999999999E-2</v>
      </c>
      <c r="AV406" s="244">
        <f t="shared" si="34"/>
        <v>1.5941799999999999E-2</v>
      </c>
      <c r="AX406" s="86" t="str">
        <f t="shared" ref="AX406:AX469" ca="1" si="36">A6</f>
        <v>ADEA</v>
      </c>
      <c r="BR406" t="s">
        <v>2199</v>
      </c>
    </row>
    <row r="407" spans="1:70">
      <c r="A407" s="86" t="str">
        <f t="shared" ca="1" si="35"/>
        <v>AET</v>
      </c>
      <c r="F407" s="241">
        <v>46</v>
      </c>
      <c r="G407" s="241">
        <v>45.9</v>
      </c>
      <c r="H407" s="241">
        <v>44.7</v>
      </c>
      <c r="I407" s="241">
        <v>46.6</v>
      </c>
      <c r="J407" s="241">
        <v>46.6</v>
      </c>
      <c r="K407" s="241">
        <v>46.6</v>
      </c>
      <c r="L407" s="241">
        <v>46.3</v>
      </c>
      <c r="M407" s="241">
        <v>45</v>
      </c>
      <c r="N407" s="241">
        <v>42.1</v>
      </c>
      <c r="O407" s="241">
        <v>40.4</v>
      </c>
      <c r="P407" s="241">
        <v>39.5</v>
      </c>
      <c r="Q407" s="241">
        <v>39.9</v>
      </c>
      <c r="R407" s="241">
        <v>40.200000000000003</v>
      </c>
      <c r="S407" s="241">
        <v>39</v>
      </c>
      <c r="T407" s="241">
        <v>39.1</v>
      </c>
      <c r="U407" s="241">
        <v>39.1</v>
      </c>
      <c r="V407" s="241">
        <v>39.6</v>
      </c>
      <c r="W407" s="241">
        <v>40.200000000000003</v>
      </c>
      <c r="X407" s="241">
        <v>40.1</v>
      </c>
      <c r="Y407" s="241">
        <v>40</v>
      </c>
      <c r="Z407" s="243">
        <f ca="1">[1]ExtEntry!$J5</f>
        <v>40</v>
      </c>
      <c r="AB407" s="260">
        <v>6560</v>
      </c>
      <c r="AC407" s="260">
        <v>-2460</v>
      </c>
      <c r="AD407" s="260">
        <v>3280</v>
      </c>
      <c r="AE407" s="260">
        <v>-1.49915E-2</v>
      </c>
      <c r="AF407" s="260">
        <v>-4.5748333333333335E-3</v>
      </c>
      <c r="AG407" s="260">
        <v>-6.4266666666666665E-3</v>
      </c>
      <c r="AH407" s="260">
        <v>-6.1240000000000001E-3</v>
      </c>
      <c r="AI407" s="260">
        <v>-1.2744666666666666E-2</v>
      </c>
      <c r="AJ407" s="260">
        <v>-8.761399999999999E-3</v>
      </c>
      <c r="AK407" s="260">
        <v>-1.5245199999999997E-2</v>
      </c>
      <c r="AL407" s="260">
        <v>-1.9368999999999997E-2</v>
      </c>
      <c r="AM407" s="260">
        <v>-1.6327999999999999E-2</v>
      </c>
      <c r="AN407" s="260">
        <v>-1.4349999999999998E-2</v>
      </c>
      <c r="AO407" s="260">
        <v>-5.2353999999999994E-3</v>
      </c>
      <c r="AP407" s="260">
        <v>2.8232000000000001E-3</v>
      </c>
      <c r="AQ407" s="260">
        <v>7.9886000000000019E-3</v>
      </c>
      <c r="AR407" s="244">
        <v>5.8342000000000003E-3</v>
      </c>
      <c r="AS407" s="244">
        <v>8.3984000000000003E-3</v>
      </c>
      <c r="AT407" s="244">
        <v>1.1446E-2</v>
      </c>
      <c r="AU407" s="244">
        <v>4.3849999999999991E-3</v>
      </c>
      <c r="AV407" s="244">
        <f t="shared" si="34"/>
        <v>4.3849999999999991E-3</v>
      </c>
      <c r="AX407" s="86" t="str">
        <f t="shared" ca="1" si="36"/>
        <v>AET</v>
      </c>
      <c r="BR407" t="s">
        <v>2131</v>
      </c>
    </row>
    <row r="408" spans="1:70">
      <c r="A408" s="86" t="str">
        <f t="shared" ca="1" si="35"/>
        <v>AMZN</v>
      </c>
      <c r="F408" s="249">
        <v>251</v>
      </c>
      <c r="G408" s="249">
        <v>250.38</v>
      </c>
      <c r="H408" s="249">
        <v>244.9</v>
      </c>
      <c r="I408" s="249">
        <v>238.73</v>
      </c>
      <c r="J408" s="249">
        <v>230.2</v>
      </c>
      <c r="K408" s="249">
        <v>223.73500000000001</v>
      </c>
      <c r="L408" s="249">
        <v>227.41</v>
      </c>
      <c r="M408" s="249">
        <v>222.202</v>
      </c>
      <c r="N408" s="249">
        <v>231.7474</v>
      </c>
      <c r="O408" s="249">
        <v>231.7474</v>
      </c>
      <c r="P408" s="249">
        <v>233.285</v>
      </c>
      <c r="Q408" s="249">
        <v>235.797</v>
      </c>
      <c r="R408" s="249">
        <v>238.97</v>
      </c>
      <c r="S408" s="249">
        <v>233.38</v>
      </c>
      <c r="T408" s="249">
        <v>233.38</v>
      </c>
      <c r="U408" s="249">
        <v>233.5</v>
      </c>
      <c r="V408" s="249">
        <v>231.24</v>
      </c>
      <c r="W408" s="249">
        <v>228.57</v>
      </c>
      <c r="X408" s="249">
        <v>232.42</v>
      </c>
      <c r="Y408" s="249">
        <v>232.11</v>
      </c>
      <c r="Z408" s="243">
        <f ca="1">[1]ExtEntry!$J6</f>
        <v>232.11</v>
      </c>
      <c r="AB408" s="263">
        <v>-12840</v>
      </c>
      <c r="AC408" s="263">
        <v>-55843.200000000186</v>
      </c>
      <c r="AD408" s="263">
        <v>6300</v>
      </c>
      <c r="AE408" s="263">
        <v>-1.5440833333333334E-2</v>
      </c>
      <c r="AF408" s="263">
        <v>-1.3066333333333334E-2</v>
      </c>
      <c r="AG408" s="263">
        <v>-1.6528666666666667E-2</v>
      </c>
      <c r="AH408" s="263">
        <v>-9.1265000000000009E-3</v>
      </c>
      <c r="AI408" s="263">
        <v>-7.0256666666666662E-3</v>
      </c>
      <c r="AJ408" s="263">
        <v>-9.7175600000000001E-3</v>
      </c>
      <c r="AK408" s="263">
        <v>-1.2983599999999997E-3</v>
      </c>
      <c r="AL408" s="263">
        <v>3.4744400000000001E-3</v>
      </c>
      <c r="AM408" s="263">
        <v>8.4668399999999998E-3</v>
      </c>
      <c r="AN408" s="263">
        <v>5.0498399999999999E-3</v>
      </c>
      <c r="AO408" s="263">
        <v>2.66E-3</v>
      </c>
      <c r="AP408" s="263">
        <v>1.3638000000000001E-3</v>
      </c>
      <c r="AQ408" s="263">
        <v>-6.5201999999999994E-3</v>
      </c>
      <c r="AR408" s="244">
        <v>-7.6971999999999995E-3</v>
      </c>
      <c r="AS408" s="244">
        <v>-7.3229999999999988E-3</v>
      </c>
      <c r="AT408" s="244">
        <v>-1.5982000000000004E-3</v>
      </c>
      <c r="AU408" s="244">
        <v>-1.1522000000000001E-3</v>
      </c>
      <c r="AV408" s="244">
        <f t="shared" si="34"/>
        <v>-1.1522000000000001E-3</v>
      </c>
      <c r="AX408" s="86" t="str">
        <f t="shared" ca="1" si="36"/>
        <v>AMZN</v>
      </c>
    </row>
    <row r="409" spans="1:70" hidden="1">
      <c r="A409" s="86" t="str">
        <f t="shared" ca="1" si="35"/>
        <v>ALDNE</v>
      </c>
      <c r="F409" s="241">
        <v>0.79800000000000004</v>
      </c>
      <c r="G409" s="241">
        <v>0.79800000000000004</v>
      </c>
      <c r="H409" s="241">
        <v>0.78200000000000003</v>
      </c>
      <c r="I409" s="241">
        <v>0.72</v>
      </c>
      <c r="J409" s="241">
        <v>0.68200000000000005</v>
      </c>
      <c r="K409" s="241">
        <v>0.68799999999999994</v>
      </c>
      <c r="L409" s="241">
        <v>0.69</v>
      </c>
      <c r="M409" s="241">
        <v>0.67400000000000004</v>
      </c>
      <c r="N409" s="241">
        <v>0.69</v>
      </c>
      <c r="O409" s="241">
        <v>0.64</v>
      </c>
      <c r="P409" s="241">
        <v>0.63200000000000001</v>
      </c>
      <c r="Q409" s="241">
        <v>0.62</v>
      </c>
      <c r="R409" s="241">
        <v>0.628</v>
      </c>
      <c r="S409" s="241">
        <v>0.628</v>
      </c>
      <c r="T409" s="241">
        <v>0.628</v>
      </c>
      <c r="U409" s="241">
        <v>0.63</v>
      </c>
      <c r="V409" s="241">
        <v>0.628</v>
      </c>
      <c r="W409" s="241">
        <v>0.61799999999999999</v>
      </c>
      <c r="X409" s="241">
        <v>0.59799999999999998</v>
      </c>
      <c r="Y409" s="241">
        <v>0.59</v>
      </c>
      <c r="Z409" s="243">
        <f ca="1">[1]ExtEntry!$J7</f>
        <v>0.59</v>
      </c>
      <c r="AB409" s="260">
        <v>-10120.000000000233</v>
      </c>
      <c r="AC409" s="260">
        <v>0</v>
      </c>
      <c r="AD409" s="260">
        <v>-5060</v>
      </c>
      <c r="AE409" s="260">
        <v>-1.7064166666666665E-2</v>
      </c>
      <c r="AF409" s="260">
        <v>-1.4681333333333333E-2</v>
      </c>
      <c r="AG409" s="260">
        <v>-1.9949333333333333E-2</v>
      </c>
      <c r="AH409" s="260">
        <v>-2.12555E-2</v>
      </c>
      <c r="AI409" s="260">
        <v>-2.382316666666667E-2</v>
      </c>
      <c r="AJ409" s="260">
        <v>-1.6000999999999998E-2</v>
      </c>
      <c r="AK409" s="260">
        <v>-2.11094E-2</v>
      </c>
      <c r="AL409" s="260">
        <v>-2.8623599999999999E-2</v>
      </c>
      <c r="AM409" s="260">
        <v>-1.81738E-2</v>
      </c>
      <c r="AN409" s="260">
        <v>-1.39338E-2</v>
      </c>
      <c r="AO409" s="260">
        <v>-5.3472000000000007E-3</v>
      </c>
      <c r="AP409" s="260">
        <v>4.6378000000000001E-3</v>
      </c>
      <c r="AQ409" s="260">
        <v>7.8820000000000001E-3</v>
      </c>
      <c r="AR409" s="244">
        <v>3.2461999999999999E-3</v>
      </c>
      <c r="AS409" s="244">
        <v>2.5989999999999997E-3</v>
      </c>
      <c r="AT409" s="244">
        <v>2.7302000000000003E-3</v>
      </c>
      <c r="AU409" s="244">
        <v>-1.5258799999999998E-2</v>
      </c>
      <c r="AV409" s="244">
        <f t="shared" si="34"/>
        <v>-1.5258799999999998E-2</v>
      </c>
      <c r="AX409" s="86" t="str">
        <f t="shared" ca="1" si="36"/>
        <v>ALDNE</v>
      </c>
    </row>
    <row r="410" spans="1:70" hidden="1">
      <c r="A410" s="86" t="str">
        <f t="shared" ca="1" si="35"/>
        <v>ASML</v>
      </c>
      <c r="F410" s="249">
        <v>913.3</v>
      </c>
      <c r="G410" s="249">
        <v>912.6</v>
      </c>
      <c r="H410" s="249">
        <v>900.9</v>
      </c>
      <c r="I410" s="249">
        <v>876.8</v>
      </c>
      <c r="J410" s="249">
        <v>864.9</v>
      </c>
      <c r="K410" s="249">
        <v>895.2</v>
      </c>
      <c r="L410" s="249">
        <v>914.7</v>
      </c>
      <c r="M410" s="249">
        <v>859.3</v>
      </c>
      <c r="N410" s="249">
        <v>909.3</v>
      </c>
      <c r="O410" s="249">
        <v>904.6</v>
      </c>
      <c r="P410" s="249">
        <v>905.7</v>
      </c>
      <c r="Q410" s="249">
        <v>931.3</v>
      </c>
      <c r="R410" s="249">
        <v>954.9</v>
      </c>
      <c r="S410" s="249">
        <v>968</v>
      </c>
      <c r="T410" s="249">
        <v>968</v>
      </c>
      <c r="U410" s="249">
        <v>977.1</v>
      </c>
      <c r="V410" s="249">
        <v>968.8</v>
      </c>
      <c r="W410" s="249">
        <v>965.8</v>
      </c>
      <c r="X410" s="249">
        <v>965.8</v>
      </c>
      <c r="Y410" s="249">
        <v>953.7</v>
      </c>
      <c r="Z410" s="243">
        <f ca="1">[1]ExtEntry!$J8</f>
        <v>953.7</v>
      </c>
      <c r="AB410" s="263">
        <v>106040</v>
      </c>
      <c r="AC410" s="263">
        <v>-47140</v>
      </c>
      <c r="AD410" s="263">
        <v>-99300</v>
      </c>
      <c r="AE410" s="263">
        <v>-1.2829833333333334E-2</v>
      </c>
      <c r="AF410" s="263">
        <v>-7.2573333333333344E-3</v>
      </c>
      <c r="AG410" s="263">
        <v>-4.5861666666666681E-3</v>
      </c>
      <c r="AH410" s="263">
        <v>-1.2960666666666669E-2</v>
      </c>
      <c r="AI410" s="263">
        <v>-1.8851666666666669E-2</v>
      </c>
      <c r="AJ410" s="263">
        <v>2.9906000000000017E-3</v>
      </c>
      <c r="AK410" s="263">
        <v>1.7618000000000009E-3</v>
      </c>
      <c r="AL410" s="263">
        <v>-1.7083999999999988E-3</v>
      </c>
      <c r="AM410" s="263">
        <v>2.7280000000000004E-3</v>
      </c>
      <c r="AN410" s="263">
        <v>1.7946400000000001E-2</v>
      </c>
      <c r="AO410" s="263">
        <v>1.0218E-2</v>
      </c>
      <c r="AP410" s="263">
        <v>1.8054599999999997E-2</v>
      </c>
      <c r="AQ410" s="263">
        <v>1.5406199999999998E-2</v>
      </c>
      <c r="AR410" s="244">
        <v>9.0571999999999996E-3</v>
      </c>
      <c r="AS410" s="244">
        <v>4.2421999999999998E-3</v>
      </c>
      <c r="AT410" s="244">
        <v>-8.690000000000002E-4</v>
      </c>
      <c r="AU410" s="244">
        <v>-7.122400000000001E-3</v>
      </c>
      <c r="AV410" s="244">
        <f t="shared" si="34"/>
        <v>-7.122400000000001E-3</v>
      </c>
      <c r="AX410" s="86" t="str">
        <f t="shared" ca="1" si="36"/>
        <v>ASML</v>
      </c>
    </row>
    <row r="411" spans="1:70" hidden="1">
      <c r="A411" s="86" t="str">
        <f t="shared" ca="1" si="35"/>
        <v>AVGO</v>
      </c>
      <c r="F411" s="249">
        <v>364.86989999999997</v>
      </c>
      <c r="G411" s="249">
        <v>363.5</v>
      </c>
      <c r="H411" s="249">
        <v>354.5</v>
      </c>
      <c r="I411" s="249">
        <v>344.74</v>
      </c>
      <c r="J411" s="249">
        <v>347.97</v>
      </c>
      <c r="K411" s="249">
        <v>359.69</v>
      </c>
      <c r="L411" s="249">
        <v>376.08</v>
      </c>
      <c r="M411" s="249">
        <v>348.6</v>
      </c>
      <c r="N411" s="249">
        <v>398.91</v>
      </c>
      <c r="O411" s="249">
        <v>399.87</v>
      </c>
      <c r="P411" s="249">
        <v>403</v>
      </c>
      <c r="Q411" s="249">
        <v>395.42</v>
      </c>
      <c r="R411" s="249">
        <v>393.5</v>
      </c>
      <c r="S411" s="249">
        <v>380.54500000000002</v>
      </c>
      <c r="T411" s="249">
        <v>382.3</v>
      </c>
      <c r="U411" s="249">
        <v>383.89</v>
      </c>
      <c r="V411" s="249">
        <v>393.53</v>
      </c>
      <c r="W411" s="249">
        <v>406.34</v>
      </c>
      <c r="X411" s="249">
        <v>414.61</v>
      </c>
      <c r="Y411" s="249">
        <v>409.09969999999998</v>
      </c>
      <c r="Z411" s="243">
        <f ca="1">[1]ExtEntry!$J9</f>
        <v>409.09969999999998</v>
      </c>
      <c r="AB411" s="260">
        <v>2588</v>
      </c>
      <c r="AC411" s="260">
        <v>-2000</v>
      </c>
      <c r="AD411" s="260">
        <v>-6858</v>
      </c>
      <c r="AE411" s="260">
        <v>-6.6511666666666637E-3</v>
      </c>
      <c r="AF411" s="260">
        <v>1.7451666666666674E-3</v>
      </c>
      <c r="AG411" s="260">
        <v>-3.4131666666666663E-3</v>
      </c>
      <c r="AH411" s="260">
        <v>-3.4418333333333328E-3</v>
      </c>
      <c r="AI411" s="260">
        <v>-1.1941666666666665E-3</v>
      </c>
      <c r="AJ411" s="260">
        <v>4.3693999999999998E-3</v>
      </c>
      <c r="AK411" s="260">
        <v>1.21382E-2</v>
      </c>
      <c r="AL411" s="260">
        <v>1.0462000000000001E-2</v>
      </c>
      <c r="AM411" s="260">
        <v>6.3084000000000013E-3</v>
      </c>
      <c r="AN411" s="260">
        <v>5.8895999999999992E-3</v>
      </c>
      <c r="AO411" s="260">
        <v>-2.3737999999999997E-3</v>
      </c>
      <c r="AP411" s="260">
        <v>-9.3907999999999995E-3</v>
      </c>
      <c r="AQ411" s="260">
        <v>-1.1508599999999999E-2</v>
      </c>
      <c r="AR411" s="244">
        <v>-3.3139999999999906E-4</v>
      </c>
      <c r="AS411" s="244">
        <v>4.2234000000000004E-3</v>
      </c>
      <c r="AT411" s="244">
        <v>1.04312E-2</v>
      </c>
      <c r="AU411" s="244">
        <v>7.7380000000000001E-3</v>
      </c>
      <c r="AV411" s="244">
        <f t="shared" si="34"/>
        <v>7.7380000000000001E-3</v>
      </c>
      <c r="AX411" s="86" t="str">
        <f t="shared" ca="1" si="36"/>
        <v>AVGO</v>
      </c>
    </row>
    <row r="412" spans="1:70" hidden="1">
      <c r="A412" s="86" t="str">
        <f t="shared" ca="1" si="35"/>
        <v>AZN</v>
      </c>
      <c r="F412" s="249">
        <v>82.09</v>
      </c>
      <c r="G412" s="249">
        <v>85.02</v>
      </c>
      <c r="H412" s="249">
        <v>85.15</v>
      </c>
      <c r="I412" s="249">
        <v>89.365399999999994</v>
      </c>
      <c r="J412" s="249">
        <v>89.704999999999998</v>
      </c>
      <c r="K412" s="249">
        <v>90.064999999999998</v>
      </c>
      <c r="L412" s="249">
        <v>90.01</v>
      </c>
      <c r="M412" s="249">
        <v>91.905000000000001</v>
      </c>
      <c r="N412" s="249">
        <v>94.015000000000001</v>
      </c>
      <c r="O412" s="249">
        <v>94.015000000000001</v>
      </c>
      <c r="P412" s="249">
        <v>92.83</v>
      </c>
      <c r="Q412" s="249">
        <v>92.98</v>
      </c>
      <c r="R412" s="249">
        <v>91.08</v>
      </c>
      <c r="S412" s="249">
        <v>91.17</v>
      </c>
      <c r="T412" s="249">
        <v>91.28</v>
      </c>
      <c r="U412" s="249">
        <v>90.87</v>
      </c>
      <c r="V412" s="249">
        <v>91.18</v>
      </c>
      <c r="W412" s="249">
        <v>91.444999999999993</v>
      </c>
      <c r="X412" s="249">
        <v>91.66</v>
      </c>
      <c r="Y412" s="249">
        <v>91.52</v>
      </c>
      <c r="Z412" s="243">
        <f ca="1">[1]ExtEntry!$J10</f>
        <v>91.52</v>
      </c>
      <c r="AB412" s="263">
        <v>-35</v>
      </c>
      <c r="AC412" s="263">
        <v>-607.5</v>
      </c>
      <c r="AD412" s="263">
        <v>737.5</v>
      </c>
      <c r="AE412" s="263">
        <v>6.6816666666666665E-3</v>
      </c>
      <c r="AF412" s="263">
        <v>5.1228333333333325E-3</v>
      </c>
      <c r="AG412" s="263">
        <v>6.1976666666666673E-3</v>
      </c>
      <c r="AH412" s="263">
        <v>6.4773333333333341E-3</v>
      </c>
      <c r="AI412" s="263">
        <v>1.0422166666666668E-2</v>
      </c>
      <c r="AJ412" s="263">
        <v>5.7042000000000004E-3</v>
      </c>
      <c r="AK412" s="263">
        <v>5.5402000000000003E-3</v>
      </c>
      <c r="AL412" s="263">
        <v>5.5709999999999996E-3</v>
      </c>
      <c r="AM412" s="263">
        <v>2.263799999999999E-3</v>
      </c>
      <c r="AN412" s="263">
        <v>-5.0401999999999999E-3</v>
      </c>
      <c r="AO412" s="263">
        <v>-4.0000000000000001E-3</v>
      </c>
      <c r="AP412" s="263">
        <v>-2.6634000000000007E-3</v>
      </c>
      <c r="AQ412" s="263">
        <v>-2.5878000000000003E-3</v>
      </c>
      <c r="AR412" s="244">
        <v>1.9084000000000004E-3</v>
      </c>
      <c r="AS412" s="244">
        <v>-1.4540000000000039E-4</v>
      </c>
      <c r="AT412" s="244">
        <v>1.6657999999999992E-3</v>
      </c>
      <c r="AU412" s="244">
        <v>-2.5088000000000007E-3</v>
      </c>
      <c r="AV412" s="244">
        <f t="shared" si="34"/>
        <v>-2.5088000000000007E-3</v>
      </c>
      <c r="AX412" s="86" t="str">
        <f t="shared" ca="1" si="36"/>
        <v>AZN</v>
      </c>
    </row>
    <row r="413" spans="1:70" hidden="1">
      <c r="A413" s="86" t="str">
        <f t="shared" ca="1" si="35"/>
        <v>BLDP</v>
      </c>
      <c r="F413" s="249">
        <v>3.6850000000000001</v>
      </c>
      <c r="G413" s="249">
        <v>3.6549999999999998</v>
      </c>
      <c r="H413" s="249">
        <v>3.5</v>
      </c>
      <c r="I413" s="249">
        <v>3.19</v>
      </c>
      <c r="J413" s="249">
        <v>2.97</v>
      </c>
      <c r="K413" s="249">
        <v>2.89</v>
      </c>
      <c r="L413" s="249">
        <v>2.9950000000000001</v>
      </c>
      <c r="M413" s="249">
        <v>2.7749999999999999</v>
      </c>
      <c r="N413" s="249">
        <v>2.77</v>
      </c>
      <c r="O413" s="249">
        <v>2.8</v>
      </c>
      <c r="P413" s="249">
        <v>2.89</v>
      </c>
      <c r="Q413" s="249">
        <v>2.78</v>
      </c>
      <c r="R413" s="249">
        <v>2.77</v>
      </c>
      <c r="S413" s="249">
        <v>2.74</v>
      </c>
      <c r="T413" s="249">
        <v>2.74</v>
      </c>
      <c r="U413" s="249">
        <v>2.7991000000000001</v>
      </c>
      <c r="V413" s="249">
        <v>2.84</v>
      </c>
      <c r="W413" s="249">
        <v>2.85</v>
      </c>
      <c r="X413" s="249">
        <v>2.85</v>
      </c>
      <c r="Y413" s="249">
        <v>2.91</v>
      </c>
      <c r="Z413" s="243">
        <f ca="1">[1]ExtEntry!$J11</f>
        <v>2.91</v>
      </c>
      <c r="AB413" s="260">
        <v>4400</v>
      </c>
      <c r="AC413" s="260">
        <v>200</v>
      </c>
      <c r="AD413" s="260">
        <v>1400</v>
      </c>
      <c r="AE413" s="260">
        <v>-1.0086666666666667E-2</v>
      </c>
      <c r="AF413" s="260">
        <v>-5.1301666666666666E-3</v>
      </c>
      <c r="AG413" s="260">
        <v>-2.6287833333333333E-2</v>
      </c>
      <c r="AH413" s="260">
        <v>-1.9525333333333336E-2</v>
      </c>
      <c r="AI413" s="260">
        <v>-1.3364166666666663E-2</v>
      </c>
      <c r="AJ413" s="260">
        <v>-4.9042000000000001E-3</v>
      </c>
      <c r="AK413" s="260">
        <v>3.1617999999999993E-3</v>
      </c>
      <c r="AL413" s="260">
        <v>1.0800199999999999E-2</v>
      </c>
      <c r="AM413" s="260">
        <v>1.1825800000000001E-2</v>
      </c>
      <c r="AN413" s="260">
        <v>1.07064E-2</v>
      </c>
      <c r="AO413" s="260">
        <v>-3.0399999999999177E-5</v>
      </c>
      <c r="AP413" s="260">
        <v>-9.6737999999999998E-3</v>
      </c>
      <c r="AQ413" s="260">
        <v>-6.4922000000000009E-3</v>
      </c>
      <c r="AR413" s="244">
        <v>2.6827999999999982E-3</v>
      </c>
      <c r="AS413" s="244">
        <v>7.8499999999999924E-4</v>
      </c>
      <c r="AT413" s="244">
        <v>3.8521999999999988E-3</v>
      </c>
      <c r="AU413" s="244">
        <v>1.4717799999999998E-2</v>
      </c>
      <c r="AV413" s="244">
        <f t="shared" si="34"/>
        <v>1.4717799999999998E-2</v>
      </c>
      <c r="AX413" s="86" t="str">
        <f t="shared" ca="1" si="36"/>
        <v>BLDP</v>
      </c>
    </row>
    <row r="414" spans="1:70" hidden="1">
      <c r="A414" s="86" t="str">
        <f t="shared" ca="1" si="35"/>
        <v>BMRA</v>
      </c>
      <c r="F414" s="249">
        <v>2.65</v>
      </c>
      <c r="G414" s="249">
        <v>2.5899000000000001</v>
      </c>
      <c r="H414" s="249">
        <v>2.5099</v>
      </c>
      <c r="I414" s="249">
        <v>2.4704000000000002</v>
      </c>
      <c r="J414" s="249">
        <v>2.3338000000000001</v>
      </c>
      <c r="K414" s="249">
        <v>2.327</v>
      </c>
      <c r="L414" s="249">
        <v>2.27</v>
      </c>
      <c r="M414" s="249">
        <v>2.3199999999999998</v>
      </c>
      <c r="N414" s="249">
        <v>2.38</v>
      </c>
      <c r="O414" s="249">
        <v>2.38</v>
      </c>
      <c r="P414" s="249">
        <v>2.39</v>
      </c>
      <c r="Q414" s="249">
        <v>2.3401000000000001</v>
      </c>
      <c r="R414" s="249">
        <v>2.34</v>
      </c>
      <c r="S414" s="249">
        <v>2.3450000000000002</v>
      </c>
      <c r="T414" s="249">
        <v>2.3450000000000002</v>
      </c>
      <c r="U414" s="249">
        <v>2.3313999999999999</v>
      </c>
      <c r="V414" s="249">
        <v>2.38</v>
      </c>
      <c r="W414" s="249">
        <v>2.4900000000000002</v>
      </c>
      <c r="X414" s="249">
        <v>2.5731000000000002</v>
      </c>
      <c r="Y414" s="249">
        <v>2.6665000000000001</v>
      </c>
      <c r="Z414" s="243">
        <f ca="1">[1]ExtEntry!$J12</f>
        <v>2.6665000000000001</v>
      </c>
      <c r="AB414" s="263">
        <v>1450</v>
      </c>
      <c r="AC414" s="263">
        <v>249.99999999999636</v>
      </c>
      <c r="AD414" s="263">
        <v>718.74999999999636</v>
      </c>
      <c r="AE414" s="263">
        <v>-2.1705166666666668E-2</v>
      </c>
      <c r="AF414" s="263">
        <v>-1.0152666666666666E-2</v>
      </c>
      <c r="AG414" s="263">
        <v>-1.5344166666666666E-2</v>
      </c>
      <c r="AH414" s="263">
        <v>-1.1174000000000002E-2</v>
      </c>
      <c r="AI414" s="263">
        <v>-5.5104999999999989E-3</v>
      </c>
      <c r="AJ414" s="263">
        <v>-4.1831999999999998E-3</v>
      </c>
      <c r="AK414" s="263">
        <v>-6.5476000000000006E-3</v>
      </c>
      <c r="AL414" s="263">
        <v>8.7399999999999913E-4</v>
      </c>
      <c r="AM414" s="263">
        <v>-9.399600000000001E-3</v>
      </c>
      <c r="AN414" s="263">
        <v>-6.5472000000000004E-3</v>
      </c>
      <c r="AO414" s="263">
        <v>-8.9000000000000125E-4</v>
      </c>
      <c r="AP414" s="263">
        <v>2.4035999999999984E-3</v>
      </c>
      <c r="AQ414" s="263">
        <v>-5.4000000000001272E-5</v>
      </c>
      <c r="AR414" s="244">
        <v>1.1598000000000001E-2</v>
      </c>
      <c r="AS414" s="244">
        <v>6.4694000000000002E-3</v>
      </c>
      <c r="AT414" s="244">
        <v>-2.4539999999999978E-4</v>
      </c>
      <c r="AU414" s="244">
        <v>9.5188000000000009E-3</v>
      </c>
      <c r="AV414" s="244">
        <f t="shared" si="34"/>
        <v>9.5188000000000009E-3</v>
      </c>
      <c r="AX414" s="86" t="str">
        <f t="shared" ca="1" si="36"/>
        <v>BMRA</v>
      </c>
    </row>
    <row r="415" spans="1:70" hidden="1">
      <c r="A415" s="86" t="str">
        <f t="shared" ca="1" si="35"/>
        <v>C</v>
      </c>
      <c r="F415" s="249">
        <v>102.27500000000001</v>
      </c>
      <c r="G415" s="249">
        <v>102.34</v>
      </c>
      <c r="H415" s="249">
        <v>100.54</v>
      </c>
      <c r="I415" s="249">
        <v>101.545</v>
      </c>
      <c r="J415" s="249">
        <v>99.57</v>
      </c>
      <c r="K415" s="249">
        <v>100.5851</v>
      </c>
      <c r="L415" s="249">
        <v>102.86</v>
      </c>
      <c r="M415" s="249">
        <v>99.32</v>
      </c>
      <c r="N415" s="249">
        <v>103.3</v>
      </c>
      <c r="O415" s="249">
        <v>103.3</v>
      </c>
      <c r="P415" s="249">
        <v>104.37</v>
      </c>
      <c r="Q415" s="249">
        <v>104.35</v>
      </c>
      <c r="R415" s="249">
        <v>104.2</v>
      </c>
      <c r="S415" s="249">
        <v>104.82</v>
      </c>
      <c r="T415" s="249">
        <v>106.99</v>
      </c>
      <c r="U415" s="249">
        <v>108.36</v>
      </c>
      <c r="V415" s="249">
        <v>109.367</v>
      </c>
      <c r="W415" s="249">
        <v>109.842</v>
      </c>
      <c r="X415" s="249">
        <v>111.905</v>
      </c>
      <c r="Y415" s="249">
        <v>112.34</v>
      </c>
      <c r="Z415" s="243">
        <f ca="1">[1]ExtEntry!$J13</f>
        <v>112.34</v>
      </c>
      <c r="AB415" s="260">
        <v>42.300000000000352</v>
      </c>
      <c r="AC415" s="260">
        <v>-56.899999999999238</v>
      </c>
      <c r="AD415" s="260">
        <v>9.6000000000011028</v>
      </c>
      <c r="AE415" s="260">
        <v>-1.9463333333333331E-3</v>
      </c>
      <c r="AF415" s="260">
        <v>1.2896666666666668E-3</v>
      </c>
      <c r="AG415" s="260">
        <v>-2.6783333333333325E-3</v>
      </c>
      <c r="AH415" s="260">
        <v>4.846666666666671E-4</v>
      </c>
      <c r="AI415" s="260">
        <v>3.0785000000000009E-3</v>
      </c>
      <c r="AJ415" s="260">
        <v>5.1438000000000013E-3</v>
      </c>
      <c r="AK415" s="260">
        <v>7.5280000000000017E-3</v>
      </c>
      <c r="AL415" s="260">
        <v>7.1682000000000013E-3</v>
      </c>
      <c r="AM415" s="260">
        <v>9.8676000000000007E-3</v>
      </c>
      <c r="AN415" s="260">
        <v>8.3832000000000004E-3</v>
      </c>
      <c r="AO415" s="260">
        <v>8.1175999999999991E-3</v>
      </c>
      <c r="AP415" s="260">
        <v>1.24072E-2</v>
      </c>
      <c r="AQ415" s="260">
        <v>1.3124199999999999E-2</v>
      </c>
      <c r="AR415" s="244">
        <v>1.5710200000000001E-2</v>
      </c>
      <c r="AS415" s="244">
        <v>1.4910840000000003E-2</v>
      </c>
      <c r="AT415" s="244">
        <v>1.5101440000000002E-2</v>
      </c>
      <c r="AU415" s="244">
        <v>9.3510399999999997E-3</v>
      </c>
      <c r="AV415" s="244">
        <f t="shared" si="34"/>
        <v>9.3510399999999997E-3</v>
      </c>
      <c r="AX415" s="86" t="str">
        <f t="shared" ca="1" si="36"/>
        <v>C</v>
      </c>
    </row>
    <row r="416" spans="1:70" hidden="1">
      <c r="A416" s="86" t="str">
        <f t="shared" ca="1" si="35"/>
        <v>CSCO</v>
      </c>
      <c r="F416" s="249">
        <v>72.58</v>
      </c>
      <c r="G416" s="249">
        <v>72.23</v>
      </c>
      <c r="H416" s="249">
        <v>71.584999999999994</v>
      </c>
      <c r="I416" s="249">
        <v>78.665000000000006</v>
      </c>
      <c r="J416" s="249">
        <v>78.2</v>
      </c>
      <c r="K416" s="249">
        <v>78.84</v>
      </c>
      <c r="L416" s="249">
        <v>80.055000000000007</v>
      </c>
      <c r="M416" s="249">
        <v>76.94</v>
      </c>
      <c r="N416" s="249">
        <v>76.599999999999994</v>
      </c>
      <c r="O416" s="249">
        <v>76.599999999999994</v>
      </c>
      <c r="P416" s="249">
        <v>76.959999999999994</v>
      </c>
      <c r="Q416" s="249">
        <v>76.817999999999998</v>
      </c>
      <c r="R416" s="249">
        <v>76.98</v>
      </c>
      <c r="S416" s="249">
        <v>77.344999999999999</v>
      </c>
      <c r="T416" s="249">
        <v>77.816500000000005</v>
      </c>
      <c r="U416" s="249">
        <v>77.790000000000006</v>
      </c>
      <c r="V416" s="249">
        <v>78.19</v>
      </c>
      <c r="W416" s="249">
        <v>79.739999999999995</v>
      </c>
      <c r="X416" s="249">
        <v>80.814999999999998</v>
      </c>
      <c r="Y416" s="249">
        <v>80.37</v>
      </c>
      <c r="Z416" s="243">
        <f ca="1">[1]ExtEntry!$J14</f>
        <v>80.37</v>
      </c>
      <c r="AB416" s="263">
        <v>-115</v>
      </c>
      <c r="AC416" s="263">
        <v>-1405</v>
      </c>
      <c r="AD416" s="263">
        <v>-1885</v>
      </c>
      <c r="AE416" s="263">
        <v>-7.0825000000000011E-3</v>
      </c>
      <c r="AF416" s="263">
        <v>-5.5799999999999979E-4</v>
      </c>
      <c r="AG416" s="263">
        <v>-4.6646666666666668E-3</v>
      </c>
      <c r="AH416" s="263">
        <v>1.1566666666666641E-4</v>
      </c>
      <c r="AI416" s="263">
        <v>2.9813333333333328E-3</v>
      </c>
      <c r="AJ416" s="263">
        <v>-1.2315200000000003E-3</v>
      </c>
      <c r="AK416" s="263">
        <v>-8.3252000000000044E-4</v>
      </c>
      <c r="AL416" s="263">
        <v>-8.8092000000000031E-4</v>
      </c>
      <c r="AM416" s="263">
        <v>2.9660800000000003E-3</v>
      </c>
      <c r="AN416" s="263">
        <v>2.0866799999999996E-3</v>
      </c>
      <c r="AO416" s="263">
        <v>3.1279999999999997E-3</v>
      </c>
      <c r="AP416" s="263">
        <v>6.0727999999999997E-3</v>
      </c>
      <c r="AQ416" s="263">
        <v>3.3352E-3</v>
      </c>
      <c r="AR416" s="244">
        <v>5.5648E-3</v>
      </c>
      <c r="AS416" s="244">
        <v>5.2186000000000003E-3</v>
      </c>
      <c r="AT416" s="244">
        <v>6.1304000000000003E-3</v>
      </c>
      <c r="AU416" s="244">
        <v>1.3983999999999997E-3</v>
      </c>
      <c r="AV416" s="244">
        <f t="shared" si="34"/>
        <v>1.3983999999999997E-3</v>
      </c>
      <c r="AX416" s="86" t="str">
        <f t="shared" ca="1" si="36"/>
        <v>CSCO</v>
      </c>
    </row>
    <row r="417" spans="1:50" hidden="1">
      <c r="A417" s="86" t="str">
        <f t="shared" ca="1" si="35"/>
        <v>CVS</v>
      </c>
      <c r="F417" s="249">
        <v>79.260000000000005</v>
      </c>
      <c r="G417" s="249">
        <v>79.86</v>
      </c>
      <c r="H417" s="249">
        <v>79.44</v>
      </c>
      <c r="I417" s="249">
        <v>79.739999999999995</v>
      </c>
      <c r="J417" s="249">
        <v>78.44</v>
      </c>
      <c r="K417" s="249">
        <v>78.17</v>
      </c>
      <c r="L417" s="249">
        <v>77.5</v>
      </c>
      <c r="M417" s="249">
        <v>78.260000000000005</v>
      </c>
      <c r="N417" s="249">
        <v>80.604799999999997</v>
      </c>
      <c r="O417" s="249">
        <v>80.604799999999997</v>
      </c>
      <c r="P417" s="249">
        <v>80.405000000000001</v>
      </c>
      <c r="Q417" s="249">
        <v>81.06</v>
      </c>
      <c r="R417" s="249">
        <v>79.430000000000007</v>
      </c>
      <c r="S417" s="249">
        <v>77.875</v>
      </c>
      <c r="T417" s="249">
        <v>77.875</v>
      </c>
      <c r="U417" s="249">
        <v>76.02</v>
      </c>
      <c r="V417" s="249">
        <v>76.89</v>
      </c>
      <c r="W417" s="249">
        <v>80.5</v>
      </c>
      <c r="X417" s="249">
        <v>79.69</v>
      </c>
      <c r="Y417" s="249">
        <v>80.89</v>
      </c>
      <c r="Z417" s="243">
        <f ca="1">[1]ExtEntry!$J15</f>
        <v>80.89</v>
      </c>
      <c r="AB417" s="260">
        <v>0.18999999999999773</v>
      </c>
      <c r="AC417" s="260">
        <v>-1.125</v>
      </c>
      <c r="AD417" s="260">
        <v>1.4000000000000057</v>
      </c>
      <c r="AE417" s="260">
        <v>-2.793666666666667E-3</v>
      </c>
      <c r="AF417" s="260">
        <v>-5.342833333333334E-3</v>
      </c>
      <c r="AG417" s="260">
        <v>-7.2710000000000006E-3</v>
      </c>
      <c r="AH417" s="260">
        <v>-3.8940000000000016E-3</v>
      </c>
      <c r="AI417" s="260">
        <v>-5.1633333333333511E-4</v>
      </c>
      <c r="AJ417" s="260">
        <v>1.8701999999999996E-3</v>
      </c>
      <c r="AK417" s="260">
        <v>6.6117999999999993E-3</v>
      </c>
      <c r="AL417" s="260">
        <v>1.17644E-2</v>
      </c>
      <c r="AM417" s="260">
        <v>1.1305599999999999E-2</v>
      </c>
      <c r="AN417" s="260">
        <v>3.040000000000001E-3</v>
      </c>
      <c r="AO417" s="260">
        <v>-2.0406000000000001E-3</v>
      </c>
      <c r="AP417" s="260">
        <v>-1.2179599999999999E-2</v>
      </c>
      <c r="AQ417" s="260">
        <v>-1.3818800000000001E-2</v>
      </c>
      <c r="AR417" s="244">
        <v>-1.51944E-2</v>
      </c>
      <c r="AS417" s="244">
        <v>-5.7685999999999996E-3</v>
      </c>
      <c r="AT417" s="244">
        <v>-2.313599999999999E-3</v>
      </c>
      <c r="AU417" s="244">
        <v>8.9932000000000015E-3</v>
      </c>
      <c r="AV417" s="244">
        <f t="shared" si="34"/>
        <v>8.9932000000000015E-3</v>
      </c>
      <c r="AX417" s="86" t="str">
        <f t="shared" ca="1" si="36"/>
        <v>CVS</v>
      </c>
    </row>
    <row r="418" spans="1:50" hidden="1">
      <c r="A418" s="86" t="str">
        <f t="shared" ca="1" si="35"/>
        <v>DDD</v>
      </c>
      <c r="F418" s="249">
        <v>2.6949999999999998</v>
      </c>
      <c r="G418" s="249">
        <v>2.65</v>
      </c>
      <c r="H418" s="249">
        <v>2.27</v>
      </c>
      <c r="I418" s="249">
        <v>2.23</v>
      </c>
      <c r="J418" s="249">
        <v>2.105</v>
      </c>
      <c r="K418" s="249">
        <v>2.1899000000000002</v>
      </c>
      <c r="L418" s="249">
        <v>2.0449999999999999</v>
      </c>
      <c r="M418" s="249">
        <v>1.97</v>
      </c>
      <c r="N418" s="249">
        <v>2.0699999999999998</v>
      </c>
      <c r="O418" s="249">
        <v>2.1</v>
      </c>
      <c r="P418" s="249">
        <v>2.1</v>
      </c>
      <c r="Q418" s="249">
        <v>2.0499000000000001</v>
      </c>
      <c r="R418" s="249">
        <v>2.085</v>
      </c>
      <c r="S418" s="249">
        <v>2.11</v>
      </c>
      <c r="T418" s="249">
        <v>2.21</v>
      </c>
      <c r="U418" s="249">
        <v>2.2400000000000002</v>
      </c>
      <c r="V418" s="249">
        <v>2.2578</v>
      </c>
      <c r="W418" s="249">
        <v>1.84</v>
      </c>
      <c r="X418" s="249">
        <v>1.8459000000000001</v>
      </c>
      <c r="Y418" s="249">
        <v>2</v>
      </c>
      <c r="Z418" s="243">
        <f ca="1">[1]ExtEntry!$J16</f>
        <v>2</v>
      </c>
      <c r="AB418" s="263">
        <v>13175</v>
      </c>
      <c r="AC418" s="263">
        <v>-17850.000000000029</v>
      </c>
      <c r="AD418" s="263">
        <v>4249.9999999999709</v>
      </c>
      <c r="AE418" s="263">
        <v>-3.4574333333333339E-2</v>
      </c>
      <c r="AF418" s="263">
        <v>-2.7403000000000007E-2</v>
      </c>
      <c r="AG418" s="263">
        <v>-3.4548166666666671E-2</v>
      </c>
      <c r="AH418" s="263">
        <v>-6.3893333333333337E-3</v>
      </c>
      <c r="AI418" s="263">
        <v>2.1469999999999983E-3</v>
      </c>
      <c r="AJ418" s="263">
        <v>-3.9598000000000012E-3</v>
      </c>
      <c r="AK418" s="263">
        <v>-9.8960000000000064E-4</v>
      </c>
      <c r="AL418" s="263">
        <v>6.2973999999999999E-3</v>
      </c>
      <c r="AM418" s="263">
        <v>9.1868000000000019E-3</v>
      </c>
      <c r="AN418" s="263">
        <v>6.1654000000000014E-3</v>
      </c>
      <c r="AO418" s="263">
        <v>8.1116000000000001E-3</v>
      </c>
      <c r="AP418" s="263">
        <v>2.0827600000000002E-2</v>
      </c>
      <c r="AQ418" s="263">
        <v>1.8263399999999999E-2</v>
      </c>
      <c r="AR418" s="244">
        <v>1.7474999999999997E-2</v>
      </c>
      <c r="AS418" s="244">
        <v>-2.1797399999999995E-2</v>
      </c>
      <c r="AT418" s="244">
        <v>-2.5228799999999996E-2</v>
      </c>
      <c r="AU418" s="244">
        <v>-1.8881199999999994E-2</v>
      </c>
      <c r="AV418" s="244">
        <f t="shared" si="34"/>
        <v>-1.8881199999999994E-2</v>
      </c>
      <c r="AX418" s="86" t="str">
        <f t="shared" ca="1" si="36"/>
        <v>DDD</v>
      </c>
    </row>
    <row r="419" spans="1:50" hidden="1">
      <c r="A419" s="86" t="str">
        <f t="shared" ca="1" si="35"/>
        <v>DIS</v>
      </c>
      <c r="F419" s="249">
        <v>111.97</v>
      </c>
      <c r="G419" s="249">
        <v>111.71</v>
      </c>
      <c r="H419" s="249">
        <v>111.425</v>
      </c>
      <c r="I419" s="249">
        <v>108.73</v>
      </c>
      <c r="J419" s="249">
        <v>107.08</v>
      </c>
      <c r="K419" s="249">
        <v>107.59</v>
      </c>
      <c r="L419" s="249">
        <v>105.8</v>
      </c>
      <c r="M419" s="249">
        <v>104.78</v>
      </c>
      <c r="N419" s="249">
        <v>104.2509</v>
      </c>
      <c r="O419" s="249">
        <v>104.2509</v>
      </c>
      <c r="P419" s="249">
        <v>104.74</v>
      </c>
      <c r="Q419" s="249">
        <v>106.83</v>
      </c>
      <c r="R419" s="249">
        <v>106.57</v>
      </c>
      <c r="S419" s="249">
        <v>105.8489</v>
      </c>
      <c r="T419" s="249">
        <v>105.85</v>
      </c>
      <c r="U419" s="249">
        <v>106.215</v>
      </c>
      <c r="V419" s="249">
        <v>106.17</v>
      </c>
      <c r="W419" s="249">
        <v>107.745</v>
      </c>
      <c r="X419" s="249">
        <v>109.66500000000001</v>
      </c>
      <c r="Y419" s="249">
        <v>111.56</v>
      </c>
      <c r="Z419" s="243">
        <f ca="1">[1]ExtEntry!$J17</f>
        <v>111.56</v>
      </c>
      <c r="AB419" s="260">
        <v>1550</v>
      </c>
      <c r="AC419" s="260">
        <v>-1700</v>
      </c>
      <c r="AD419" s="260">
        <v>625</v>
      </c>
      <c r="AE419" s="260">
        <v>-4.6608333333333319E-3</v>
      </c>
      <c r="AF419" s="260">
        <v>-5.0381666666666656E-3</v>
      </c>
      <c r="AG419" s="260">
        <v>-7.709999999999999E-3</v>
      </c>
      <c r="AH419" s="260">
        <v>-3.0740000000000003E-3</v>
      </c>
      <c r="AI419" s="260">
        <v>-5.9599999999999931E-4</v>
      </c>
      <c r="AJ419" s="260">
        <v>2.7659999999999995E-4</v>
      </c>
      <c r="AK419" s="260">
        <v>-6.0740000000000013E-4</v>
      </c>
      <c r="AL419" s="260">
        <v>3.2477999999999999E-3</v>
      </c>
      <c r="AM419" s="260">
        <v>1.04586E-2</v>
      </c>
      <c r="AN419" s="260">
        <v>3.6882E-3</v>
      </c>
      <c r="AO419" s="260">
        <v>2.4426000000000001E-3</v>
      </c>
      <c r="AP419" s="260">
        <v>3.9272000000000005E-3</v>
      </c>
      <c r="AQ419" s="260">
        <v>4.6000000000000001E-4</v>
      </c>
      <c r="AR419" s="244">
        <v>-3.7666000000000006E-3</v>
      </c>
      <c r="AS419" s="244">
        <v>-2.1323999999999996E-3</v>
      </c>
      <c r="AT419" s="244">
        <v>1.4600000000000006E-3</v>
      </c>
      <c r="AU419" s="244">
        <v>4.6130000000000008E-3</v>
      </c>
      <c r="AV419" s="244">
        <f t="shared" si="34"/>
        <v>4.6130000000000008E-3</v>
      </c>
      <c r="AX419" s="86" t="str">
        <f t="shared" ca="1" si="36"/>
        <v>DIS</v>
      </c>
    </row>
    <row r="420" spans="1:50" hidden="1">
      <c r="A420" s="86" t="str">
        <f t="shared" ca="1" si="35"/>
        <v>DSY</v>
      </c>
      <c r="F420" s="249">
        <v>24.12</v>
      </c>
      <c r="G420" s="249">
        <v>23.92</v>
      </c>
      <c r="H420" s="249">
        <v>23.48</v>
      </c>
      <c r="I420" s="249">
        <v>24.04</v>
      </c>
      <c r="J420" s="249">
        <v>23.23</v>
      </c>
      <c r="K420" s="249">
        <v>23.56</v>
      </c>
      <c r="L420" s="249">
        <v>23.55</v>
      </c>
      <c r="M420" s="249">
        <v>23.8</v>
      </c>
      <c r="N420" s="249">
        <v>24.18</v>
      </c>
      <c r="O420" s="249">
        <v>24.32</v>
      </c>
      <c r="P420" s="249">
        <v>24.18</v>
      </c>
      <c r="Q420" s="249">
        <v>24.04</v>
      </c>
      <c r="R420" s="249">
        <v>23.84</v>
      </c>
      <c r="S420" s="249">
        <v>23.44</v>
      </c>
      <c r="T420" s="249">
        <v>23.44</v>
      </c>
      <c r="U420" s="249">
        <v>24</v>
      </c>
      <c r="V420" s="249">
        <v>23.99</v>
      </c>
      <c r="W420" s="249">
        <v>23.58</v>
      </c>
      <c r="X420" s="249">
        <v>23.32</v>
      </c>
      <c r="Y420" s="249">
        <v>23.36</v>
      </c>
      <c r="Z420" s="243">
        <f ca="1">[1]ExtEntry!$J18</f>
        <v>23.36</v>
      </c>
      <c r="AB420" s="263">
        <v>2920</v>
      </c>
      <c r="AC420" s="263">
        <v>-1040</v>
      </c>
      <c r="AD420" s="263">
        <v>1360</v>
      </c>
      <c r="AE420" s="263">
        <v>-8.7590666666666674E-3</v>
      </c>
      <c r="AF420" s="263">
        <v>-5.1317333333333335E-3</v>
      </c>
      <c r="AG420" s="263">
        <v>-5.1433999999999985E-3</v>
      </c>
      <c r="AH420" s="263">
        <v>1.0757666666666662E-3</v>
      </c>
      <c r="AI420" s="263">
        <v>1.7175999999999997E-3</v>
      </c>
      <c r="AJ420" s="263">
        <v>4.1701199999999994E-3</v>
      </c>
      <c r="AK420" s="263">
        <v>4.2563999999999996E-3</v>
      </c>
      <c r="AL420" s="263">
        <v>2.1995999999999999E-3</v>
      </c>
      <c r="AM420" s="263">
        <v>5.5599999999999985E-4</v>
      </c>
      <c r="AN420" s="263">
        <v>-4.5078000000000002E-3</v>
      </c>
      <c r="AO420" s="263">
        <v>-6.1792000000000001E-3</v>
      </c>
      <c r="AP420" s="263">
        <v>-6.2645999999999995E-3</v>
      </c>
      <c r="AQ420" s="263">
        <v>-2.9431999999999995E-3</v>
      </c>
      <c r="AR420" s="244">
        <v>-6.1803999999999993E-4</v>
      </c>
      <c r="AS420" s="244">
        <v>1.6265600000000002E-3</v>
      </c>
      <c r="AT420" s="244">
        <v>-1.1146399999999996E-3</v>
      </c>
      <c r="AU420" s="244">
        <v>-7.3639999999999993E-5</v>
      </c>
      <c r="AV420" s="244">
        <f t="shared" si="34"/>
        <v>-7.3639999999999993E-5</v>
      </c>
      <c r="AX420" s="86" t="str">
        <f t="shared" ca="1" si="36"/>
        <v>DSY</v>
      </c>
    </row>
    <row r="421" spans="1:50" hidden="1">
      <c r="A421" s="86" t="str">
        <f t="shared" ca="1" si="35"/>
        <v>DVA</v>
      </c>
      <c r="F421" s="249">
        <v>121.87</v>
      </c>
      <c r="G421" s="249">
        <v>122.19</v>
      </c>
      <c r="H421" s="249">
        <v>123.79</v>
      </c>
      <c r="I421" s="249">
        <v>123.4</v>
      </c>
      <c r="J421" s="249">
        <v>117.72</v>
      </c>
      <c r="K421" s="249">
        <v>116.77500000000001</v>
      </c>
      <c r="L421" s="249">
        <v>116.77</v>
      </c>
      <c r="M421" s="249">
        <v>121.5</v>
      </c>
      <c r="N421" s="249">
        <v>122.16</v>
      </c>
      <c r="O421" s="249">
        <v>122.16</v>
      </c>
      <c r="P421" s="249">
        <v>120.5</v>
      </c>
      <c r="Q421" s="249">
        <v>120.6</v>
      </c>
      <c r="R421" s="249">
        <v>120.59</v>
      </c>
      <c r="S421" s="249">
        <v>120.37</v>
      </c>
      <c r="T421" s="249">
        <v>120.37</v>
      </c>
      <c r="U421" s="249">
        <v>118.5</v>
      </c>
      <c r="V421" s="249">
        <v>118.72</v>
      </c>
      <c r="W421" s="249">
        <v>117.622</v>
      </c>
      <c r="X421" s="249">
        <v>119.36</v>
      </c>
      <c r="Y421" s="249">
        <v>122.61</v>
      </c>
      <c r="Z421" s="243">
        <f ca="1">[1]ExtEntry!$J19</f>
        <v>122.61</v>
      </c>
      <c r="AB421" s="260">
        <v>4550</v>
      </c>
      <c r="AC421" s="260">
        <v>1437</v>
      </c>
      <c r="AD421" s="260">
        <v>3087</v>
      </c>
      <c r="AE421" s="260">
        <v>3.5214999999999999E-3</v>
      </c>
      <c r="AF421" s="260">
        <v>-1.3499999999999913E-5</v>
      </c>
      <c r="AG421" s="260">
        <v>-2.2888333333333341E-3</v>
      </c>
      <c r="AH421" s="260">
        <v>4.9958333333333322E-3</v>
      </c>
      <c r="AI421" s="260">
        <v>1.0726666666666667E-2</v>
      </c>
      <c r="AJ421" s="260">
        <v>3.6501999999999993E-3</v>
      </c>
      <c r="AK421" s="260">
        <v>2.7681999999999989E-3</v>
      </c>
      <c r="AL421" s="260">
        <v>4.4795999999999985E-3</v>
      </c>
      <c r="AM421" s="260">
        <v>6.4377999999999987E-3</v>
      </c>
      <c r="AN421" s="260">
        <v>-3.6952E-3</v>
      </c>
      <c r="AO421" s="260">
        <v>-6.0720000000000012E-4</v>
      </c>
      <c r="AP421" s="260">
        <v>-7.4999999999999899E-5</v>
      </c>
      <c r="AQ421" s="260">
        <v>-9.8239999999999981E-4</v>
      </c>
      <c r="AR421" s="244">
        <v>-2.0064199999999996E-3</v>
      </c>
      <c r="AS421" s="244">
        <v>-2.8834199999999998E-3</v>
      </c>
      <c r="AT421" s="244">
        <v>-7.1321999999999987E-4</v>
      </c>
      <c r="AU421" s="244">
        <v>3.6531800000000002E-3</v>
      </c>
      <c r="AV421" s="244">
        <f t="shared" si="34"/>
        <v>3.6531800000000002E-3</v>
      </c>
      <c r="AX421" s="86" t="str">
        <f t="shared" ca="1" si="36"/>
        <v>DVA</v>
      </c>
    </row>
    <row r="422" spans="1:50" hidden="1">
      <c r="A422" s="86" t="str">
        <f t="shared" ca="1" si="35"/>
        <v>DXC</v>
      </c>
      <c r="F422" s="249">
        <v>14.135</v>
      </c>
      <c r="G422" s="249">
        <v>13.99</v>
      </c>
      <c r="H422" s="249">
        <v>13.7</v>
      </c>
      <c r="I422" s="249">
        <v>13.25</v>
      </c>
      <c r="J422" s="249">
        <v>12.469900000000001</v>
      </c>
      <c r="K422" s="249">
        <v>12.27</v>
      </c>
      <c r="L422" s="249">
        <v>12.21</v>
      </c>
      <c r="M422" s="249">
        <v>12.865</v>
      </c>
      <c r="N422" s="249">
        <v>13.18</v>
      </c>
      <c r="O422" s="249">
        <v>13.215</v>
      </c>
      <c r="P422" s="249">
        <v>13.425000000000001</v>
      </c>
      <c r="Q422" s="249">
        <v>13.44</v>
      </c>
      <c r="R422" s="249">
        <v>13.645</v>
      </c>
      <c r="S422" s="249">
        <v>13.88</v>
      </c>
      <c r="T422" s="249">
        <v>13.88</v>
      </c>
      <c r="U422" s="249">
        <v>13.99</v>
      </c>
      <c r="V422" s="249">
        <v>14.285</v>
      </c>
      <c r="W422" s="249">
        <v>15.15</v>
      </c>
      <c r="X422" s="249">
        <v>15.19</v>
      </c>
      <c r="Y422" s="249">
        <v>15.315</v>
      </c>
      <c r="Z422" s="243">
        <f ca="1">[1]ExtEntry!$J20</f>
        <v>15.315</v>
      </c>
      <c r="AB422" s="263">
        <v>1140</v>
      </c>
      <c r="AC422" s="263">
        <v>870</v>
      </c>
      <c r="AD422" s="263">
        <v>-2250</v>
      </c>
      <c r="AE422" s="263">
        <v>-8.0245000000000004E-3</v>
      </c>
      <c r="AF422" s="263">
        <v>-1.3104333333333334E-2</v>
      </c>
      <c r="AG422" s="263">
        <v>-1.7539833333333334E-2</v>
      </c>
      <c r="AH422" s="263">
        <v>-9.5250000000000005E-3</v>
      </c>
      <c r="AI422" s="263">
        <v>3.2664999999999986E-3</v>
      </c>
      <c r="AJ422" s="263">
        <v>2.6164000000000001E-3</v>
      </c>
      <c r="AK422" s="263">
        <v>7.2343999999999993E-3</v>
      </c>
      <c r="AL422" s="263">
        <v>1.0941799999999998E-2</v>
      </c>
      <c r="AM422" s="263">
        <v>1.5912599999999999E-2</v>
      </c>
      <c r="AN422" s="263">
        <v>8.6458000000000004E-3</v>
      </c>
      <c r="AO422" s="263">
        <v>9.3437999999999993E-3</v>
      </c>
      <c r="AP422" s="263">
        <v>1.0643E-2</v>
      </c>
      <c r="AQ422" s="263">
        <v>1.2305399999999999E-2</v>
      </c>
      <c r="AR422" s="244">
        <v>1.0671799999999999E-2</v>
      </c>
      <c r="AS422" s="244">
        <v>1.76242E-2</v>
      </c>
      <c r="AT422" s="244">
        <v>1.6917999999999999E-2</v>
      </c>
      <c r="AU422" s="244">
        <v>1.64406E-2</v>
      </c>
      <c r="AV422" s="244">
        <f t="shared" si="34"/>
        <v>1.64406E-2</v>
      </c>
      <c r="AX422" s="86" t="str">
        <f t="shared" ca="1" si="36"/>
        <v>DXC</v>
      </c>
    </row>
    <row r="423" spans="1:50" hidden="1">
      <c r="A423" s="86" t="str">
        <f t="shared" ca="1" si="35"/>
        <v>EOAN</v>
      </c>
      <c r="F423" s="249">
        <v>16.05</v>
      </c>
      <c r="G423" s="249">
        <v>16.2</v>
      </c>
      <c r="H423" s="249">
        <v>16.155000000000001</v>
      </c>
      <c r="I423" s="249">
        <v>15.3</v>
      </c>
      <c r="J423" s="249">
        <v>15.315</v>
      </c>
      <c r="K423" s="249">
        <v>15.49</v>
      </c>
      <c r="L423" s="249">
        <v>15.43</v>
      </c>
      <c r="M423" s="249">
        <v>15.55</v>
      </c>
      <c r="N423" s="249">
        <v>15.475</v>
      </c>
      <c r="O423" s="249">
        <v>15.46</v>
      </c>
      <c r="P423" s="249">
        <v>15.324999999999999</v>
      </c>
      <c r="Q423" s="249">
        <v>15.365</v>
      </c>
      <c r="R423" s="249">
        <v>15.335000000000001</v>
      </c>
      <c r="S423" s="249">
        <v>15.74</v>
      </c>
      <c r="T423" s="249">
        <v>15.86</v>
      </c>
      <c r="U423" s="249">
        <v>15.8</v>
      </c>
      <c r="V423" s="249">
        <v>15.565</v>
      </c>
      <c r="W423" s="249">
        <v>15.63</v>
      </c>
      <c r="X423" s="249">
        <v>15.725</v>
      </c>
      <c r="Y423" s="249">
        <v>15.5</v>
      </c>
      <c r="Z423" s="243">
        <f ca="1">[1]ExtEntry!$J21</f>
        <v>15.5</v>
      </c>
      <c r="AB423" s="260">
        <v>3333.75</v>
      </c>
      <c r="AC423" s="260">
        <v>1100.25</v>
      </c>
      <c r="AD423" s="260">
        <v>-118.25</v>
      </c>
      <c r="AE423" s="260">
        <v>1.0411666666666666E-3</v>
      </c>
      <c r="AF423" s="260">
        <v>2.3344999999999998E-3</v>
      </c>
      <c r="AG423" s="260">
        <v>2.491666666666668E-4</v>
      </c>
      <c r="AH423" s="260">
        <v>1.453833333333333E-3</v>
      </c>
      <c r="AI423" s="260">
        <v>2.7108333333333329E-3</v>
      </c>
      <c r="AJ423" s="260">
        <v>2.1459999999999999E-3</v>
      </c>
      <c r="AK423" s="260">
        <v>1.7038000000000001E-3</v>
      </c>
      <c r="AL423" s="260">
        <v>2.42136E-3</v>
      </c>
      <c r="AM423" s="260">
        <v>-2.5624000000000014E-4</v>
      </c>
      <c r="AN423" s="260">
        <v>-1.2214400000000003E-3</v>
      </c>
      <c r="AO423" s="260">
        <v>3.7569599999999993E-3</v>
      </c>
      <c r="AP423" s="260">
        <v>1.3157160000000001E-2</v>
      </c>
      <c r="AQ423" s="260">
        <v>9.5564000000000014E-3</v>
      </c>
      <c r="AR423" s="244">
        <v>8.9384000000000009E-3</v>
      </c>
      <c r="AS423" s="244">
        <v>8.9218000000000006E-3</v>
      </c>
      <c r="AT423" s="244">
        <v>2.3910000000000008E-3</v>
      </c>
      <c r="AU423" s="244">
        <v>-1.1756600000000001E-2</v>
      </c>
      <c r="AV423" s="244">
        <f t="shared" si="34"/>
        <v>-1.1756600000000001E-2</v>
      </c>
      <c r="AX423" s="86" t="str">
        <f t="shared" ca="1" si="36"/>
        <v>EOAN</v>
      </c>
    </row>
    <row r="424" spans="1:50" hidden="1">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c r="A425" s="86" t="str">
        <f t="shared" ca="1" si="35"/>
        <v>GM</v>
      </c>
      <c r="F425" s="249">
        <v>69.260000000000005</v>
      </c>
      <c r="G425" s="249">
        <v>69.397999999999996</v>
      </c>
      <c r="H425" s="249">
        <v>70.734999999999999</v>
      </c>
      <c r="I425" s="249">
        <v>71.765000000000001</v>
      </c>
      <c r="J425" s="249">
        <v>68.42</v>
      </c>
      <c r="K425" s="249">
        <v>69.66</v>
      </c>
      <c r="L425" s="249">
        <v>69.89</v>
      </c>
      <c r="M425" s="249">
        <v>70.528899999999993</v>
      </c>
      <c r="N425" s="249">
        <v>73.424999999999997</v>
      </c>
      <c r="O425" s="249">
        <v>73.444999999999993</v>
      </c>
      <c r="P425" s="249">
        <v>73.86</v>
      </c>
      <c r="Q425" s="249">
        <v>73.929599999999994</v>
      </c>
      <c r="R425" s="249">
        <v>73.84</v>
      </c>
      <c r="S425" s="249">
        <v>74.63</v>
      </c>
      <c r="T425" s="249">
        <v>74.915000000000006</v>
      </c>
      <c r="U425" s="249">
        <v>76.224999999999994</v>
      </c>
      <c r="V425" s="249">
        <v>77</v>
      </c>
      <c r="W425" s="249">
        <v>77.349999999999994</v>
      </c>
      <c r="X425" s="249">
        <v>80.95</v>
      </c>
      <c r="Y425" s="249">
        <v>81.22</v>
      </c>
      <c r="Z425" s="243">
        <f ca="1">[1]ExtEntry!$J23</f>
        <v>81.22</v>
      </c>
      <c r="AB425" s="260">
        <v>-4.7000000000002728</v>
      </c>
      <c r="AC425" s="260">
        <v>4.0499999999998408</v>
      </c>
      <c r="AD425" s="260">
        <v>13.099999999999795</v>
      </c>
      <c r="AE425" s="260">
        <v>3.3494666666666669E-3</v>
      </c>
      <c r="AF425" s="260">
        <v>9.3351333333333338E-3</v>
      </c>
      <c r="AG425" s="260">
        <v>4.1546333333333336E-3</v>
      </c>
      <c r="AH425" s="260">
        <v>9.1556333333333347E-3</v>
      </c>
      <c r="AI425" s="260">
        <v>1.0113799999999999E-2</v>
      </c>
      <c r="AJ425" s="260">
        <v>1.0417360000000001E-2</v>
      </c>
      <c r="AK425" s="260">
        <v>1.0411439999999999E-2</v>
      </c>
      <c r="AL425" s="260">
        <v>8.8728399999999982E-3</v>
      </c>
      <c r="AM425" s="260">
        <v>9.5550200000000009E-3</v>
      </c>
      <c r="AN425" s="260">
        <v>4.9134199999999999E-3</v>
      </c>
      <c r="AO425" s="260">
        <v>5.7578199999999994E-3</v>
      </c>
      <c r="AP425" s="260">
        <v>8.4719800000000005E-3</v>
      </c>
      <c r="AQ425" s="260">
        <v>1.017698E-2</v>
      </c>
      <c r="AR425" s="244">
        <v>1.2381E-2</v>
      </c>
      <c r="AS425" s="244">
        <v>1.3358999999999999E-2</v>
      </c>
      <c r="AT425" s="244">
        <v>2.1055800000000003E-2</v>
      </c>
      <c r="AU425" s="244">
        <v>1.8370580000000001E-2</v>
      </c>
      <c r="AV425" s="244">
        <f t="shared" si="34"/>
        <v>1.8370580000000001E-2</v>
      </c>
      <c r="AX425" s="86" t="str">
        <f t="shared" ca="1" si="36"/>
        <v>GM</v>
      </c>
    </row>
    <row r="426" spans="1:50" hidden="1">
      <c r="A426" s="86" t="str">
        <f t="shared" ca="1" si="35"/>
        <v>HPE</v>
      </c>
      <c r="F426" s="249">
        <v>24.03</v>
      </c>
      <c r="G426" s="249">
        <v>23.9</v>
      </c>
      <c r="H426" s="249">
        <v>23.524999999999999</v>
      </c>
      <c r="I426" s="249">
        <v>23.419899999999998</v>
      </c>
      <c r="J426" s="249">
        <v>21.454999999999998</v>
      </c>
      <c r="K426" s="249">
        <v>21.145</v>
      </c>
      <c r="L426" s="249">
        <v>21.3</v>
      </c>
      <c r="M426" s="249">
        <v>20.79</v>
      </c>
      <c r="N426" s="249">
        <v>21.6</v>
      </c>
      <c r="O426" s="249">
        <v>21.61</v>
      </c>
      <c r="P426" s="249">
        <v>21.934999999999999</v>
      </c>
      <c r="Q426" s="249">
        <v>21.925000000000001</v>
      </c>
      <c r="R426" s="249">
        <v>22.24</v>
      </c>
      <c r="S426" s="249">
        <v>22.05</v>
      </c>
      <c r="T426" s="249">
        <v>22.41</v>
      </c>
      <c r="U426" s="249">
        <v>22.93</v>
      </c>
      <c r="V426" s="249">
        <v>23.555</v>
      </c>
      <c r="W426" s="249">
        <v>24.59</v>
      </c>
      <c r="X426" s="249">
        <v>25.41</v>
      </c>
      <c r="Y426" s="249">
        <v>24.899899999999999</v>
      </c>
      <c r="Z426" s="243">
        <f ca="1">[1]ExtEntry!$J24</f>
        <v>24.899899999999999</v>
      </c>
      <c r="AB426" s="263">
        <v>2680</v>
      </c>
      <c r="AC426" s="263">
        <v>-6084</v>
      </c>
      <c r="AD426" s="263">
        <v>1012</v>
      </c>
      <c r="AE426" s="263">
        <v>-1.0676166666666667E-2</v>
      </c>
      <c r="AF426" s="263">
        <v>-5.4273333333333335E-3</v>
      </c>
      <c r="AG426" s="263">
        <v>-1.0657166666666667E-2</v>
      </c>
      <c r="AH426" s="263">
        <v>-3.7309999999999995E-3</v>
      </c>
      <c r="AI426" s="263">
        <v>1.3323333333333336E-3</v>
      </c>
      <c r="AJ426" s="263">
        <v>-2.0600000000000015E-3</v>
      </c>
      <c r="AK426" s="263">
        <v>2.5463999999999994E-3</v>
      </c>
      <c r="AL426" s="263">
        <v>7.2838E-3</v>
      </c>
      <c r="AM426" s="263">
        <v>1.2416920000000001E-2</v>
      </c>
      <c r="AN426" s="263">
        <v>6.2041800000000018E-3</v>
      </c>
      <c r="AO426" s="263">
        <v>5.2065800000000006E-3</v>
      </c>
      <c r="AP426" s="263">
        <v>6.8081799999999996E-3</v>
      </c>
      <c r="AQ426" s="263">
        <v>9.1753800000000003E-3</v>
      </c>
      <c r="AR426" s="244">
        <v>1.2841460000000002E-2</v>
      </c>
      <c r="AS426" s="244">
        <v>1.83848E-2</v>
      </c>
      <c r="AT426" s="244">
        <v>2.1874600000000001E-2</v>
      </c>
      <c r="AU426" s="244">
        <v>1.2980400000000003E-2</v>
      </c>
      <c r="AV426" s="244">
        <f t="shared" si="34"/>
        <v>1.2980400000000003E-2</v>
      </c>
      <c r="AX426" s="86" t="str">
        <f t="shared" ca="1" si="36"/>
        <v>HPE</v>
      </c>
    </row>
    <row r="427" spans="1:50" hidden="1">
      <c r="A427" s="86" t="str">
        <f t="shared" ca="1" si="35"/>
        <v>HPQ</v>
      </c>
      <c r="F427" s="249">
        <v>26.71</v>
      </c>
      <c r="G427" s="249">
        <v>26.69</v>
      </c>
      <c r="H427" s="249">
        <v>26.33</v>
      </c>
      <c r="I427" s="249">
        <v>25</v>
      </c>
      <c r="J427" s="249">
        <v>23.005099999999999</v>
      </c>
      <c r="K427" s="249">
        <v>22.785</v>
      </c>
      <c r="L427" s="249">
        <v>22.94</v>
      </c>
      <c r="M427" s="249">
        <v>24.26</v>
      </c>
      <c r="N427" s="249">
        <v>24.58</v>
      </c>
      <c r="O427" s="249">
        <v>24.58</v>
      </c>
      <c r="P427" s="249">
        <v>24.43</v>
      </c>
      <c r="Q427" s="249">
        <v>24.72</v>
      </c>
      <c r="R427" s="249">
        <v>25.45</v>
      </c>
      <c r="S427" s="249">
        <v>25.439900000000002</v>
      </c>
      <c r="T427" s="249">
        <v>25.47</v>
      </c>
      <c r="U427" s="249">
        <v>25.73</v>
      </c>
      <c r="V427" s="249">
        <v>26.04</v>
      </c>
      <c r="W427" s="249">
        <v>25.364999999999998</v>
      </c>
      <c r="X427" s="249">
        <v>25.58</v>
      </c>
      <c r="Y427" s="249">
        <v>25.49</v>
      </c>
      <c r="Z427" s="243">
        <f ca="1">[1]ExtEntry!$J25</f>
        <v>25.49</v>
      </c>
      <c r="AB427" s="260">
        <v>6500</v>
      </c>
      <c r="AC427" s="260">
        <v>-2325</v>
      </c>
      <c r="AD427" s="260">
        <v>-400</v>
      </c>
      <c r="AE427" s="260">
        <v>-8.7003333333333325E-3</v>
      </c>
      <c r="AF427" s="260">
        <v>-3.6231666666666656E-3</v>
      </c>
      <c r="AG427" s="260">
        <v>-9.1591666666666662E-3</v>
      </c>
      <c r="AH427" s="260">
        <v>4.8124999999999999E-3</v>
      </c>
      <c r="AI427" s="260">
        <v>1.5619666666666665E-2</v>
      </c>
      <c r="AJ427" s="260">
        <v>5.0991999999999999E-3</v>
      </c>
      <c r="AK427" s="260">
        <v>3.7433999999999987E-3</v>
      </c>
      <c r="AL427" s="260">
        <v>8.9937999999999997E-3</v>
      </c>
      <c r="AM427" s="260">
        <v>1.1181800000000002E-2</v>
      </c>
      <c r="AN427" s="260">
        <v>3.6911999999999999E-3</v>
      </c>
      <c r="AO427" s="260">
        <v>9.3524000000000003E-3</v>
      </c>
      <c r="AP427" s="260">
        <v>1.2465200000000001E-2</v>
      </c>
      <c r="AQ427" s="260">
        <v>1.235E-2</v>
      </c>
      <c r="AR427" s="244">
        <v>1.1253759999999998E-2</v>
      </c>
      <c r="AS427" s="244">
        <v>7.3863599999999989E-3</v>
      </c>
      <c r="AT427" s="244">
        <v>6.7415599999999989E-3</v>
      </c>
      <c r="AU427" s="244">
        <v>8.0907599999999989E-3</v>
      </c>
      <c r="AV427" s="244">
        <f t="shared" si="34"/>
        <v>8.0907599999999989E-3</v>
      </c>
      <c r="AX427" s="86" t="str">
        <f t="shared" ca="1" si="36"/>
        <v>HPQ</v>
      </c>
    </row>
    <row r="428" spans="1:50" hidden="1">
      <c r="A428" s="86" t="str">
        <f t="shared" ca="1" si="35"/>
        <v>IAG</v>
      </c>
      <c r="F428" s="249">
        <v>426.1</v>
      </c>
      <c r="G428" s="249">
        <v>426.1</v>
      </c>
      <c r="H428" s="249">
        <v>389.2</v>
      </c>
      <c r="I428" s="249">
        <v>392.7</v>
      </c>
      <c r="J428" s="249">
        <v>372.3</v>
      </c>
      <c r="K428" s="249">
        <v>380.9</v>
      </c>
      <c r="L428" s="249">
        <v>385</v>
      </c>
      <c r="M428" s="249">
        <v>382.3</v>
      </c>
      <c r="N428" s="249">
        <v>399.2</v>
      </c>
      <c r="O428" s="249">
        <v>400.1</v>
      </c>
      <c r="P428" s="249">
        <v>399.4</v>
      </c>
      <c r="Q428" s="249">
        <v>400</v>
      </c>
      <c r="R428" s="249">
        <v>394</v>
      </c>
      <c r="S428" s="249">
        <v>393.6</v>
      </c>
      <c r="T428" s="249">
        <v>393.6</v>
      </c>
      <c r="U428" s="249">
        <v>392.6</v>
      </c>
      <c r="V428" s="249">
        <v>390.1</v>
      </c>
      <c r="W428" s="249">
        <v>389.7</v>
      </c>
      <c r="X428" s="249">
        <v>389.4</v>
      </c>
      <c r="Y428" s="249">
        <v>397.7</v>
      </c>
      <c r="Z428" s="243">
        <f ca="1">[1]ExtEntry!$J26</f>
        <v>397.7</v>
      </c>
      <c r="AB428" s="263">
        <v>530</v>
      </c>
      <c r="AC428" s="263">
        <v>-7728</v>
      </c>
      <c r="AD428" s="263">
        <v>-29490</v>
      </c>
      <c r="AE428" s="263">
        <v>-2.8457166666666669E-2</v>
      </c>
      <c r="AF428" s="263">
        <v>-2.3680499999999997E-2</v>
      </c>
      <c r="AG428" s="263">
        <v>-2.2587166666666662E-2</v>
      </c>
      <c r="AH428" s="263">
        <v>-1.9587500000000001E-2</v>
      </c>
      <c r="AI428" s="263">
        <v>-1.6598333333333333E-3</v>
      </c>
      <c r="AJ428" s="263">
        <v>7.9135999999999998E-3</v>
      </c>
      <c r="AK428" s="263">
        <v>7.1518000000000016E-3</v>
      </c>
      <c r="AL428" s="263">
        <v>3.556800000000001E-3</v>
      </c>
      <c r="AM428" s="263">
        <v>-3.9859999999999999E-4</v>
      </c>
      <c r="AN428" s="263">
        <v>-9.1179999999999972E-4</v>
      </c>
      <c r="AO428" s="263">
        <v>-3.5119999999999991E-3</v>
      </c>
      <c r="AP428" s="263">
        <v>-1.4373999999999997E-3</v>
      </c>
      <c r="AQ428" s="263">
        <v>-4.2543999999999993E-3</v>
      </c>
      <c r="AR428" s="244">
        <v>-2.4777999999999996E-3</v>
      </c>
      <c r="AS428" s="244">
        <v>-2.0824000000000003E-3</v>
      </c>
      <c r="AT428" s="244">
        <v>-4.604200000000001E-3</v>
      </c>
      <c r="AU428" s="244">
        <v>7.9779999999999988E-4</v>
      </c>
      <c r="AV428" s="244">
        <f t="shared" si="34"/>
        <v>7.9779999999999988E-4</v>
      </c>
      <c r="AX428" s="86" t="str">
        <f t="shared" ca="1" si="36"/>
        <v>IAG</v>
      </c>
    </row>
    <row r="429" spans="1:50" hidden="1">
      <c r="A429" s="86" t="str">
        <f t="shared" ca="1" si="35"/>
        <v>KR</v>
      </c>
      <c r="F429" s="249">
        <v>64.085700000000003</v>
      </c>
      <c r="G429" s="249">
        <v>64.099999999999994</v>
      </c>
      <c r="H429" s="249">
        <v>65.08</v>
      </c>
      <c r="I429" s="249">
        <v>66.915000000000006</v>
      </c>
      <c r="J429" s="249">
        <v>67.775000000000006</v>
      </c>
      <c r="K429" s="249">
        <v>68.36</v>
      </c>
      <c r="L429" s="249">
        <v>67.41</v>
      </c>
      <c r="M429" s="249">
        <v>66.7</v>
      </c>
      <c r="N429" s="249">
        <v>67.47</v>
      </c>
      <c r="O429" s="249">
        <v>67.47</v>
      </c>
      <c r="P429" s="249">
        <v>67.546700000000001</v>
      </c>
      <c r="Q429" s="249">
        <v>67.911000000000001</v>
      </c>
      <c r="R429" s="249">
        <v>67.814999999999998</v>
      </c>
      <c r="S429" s="249">
        <v>67.73</v>
      </c>
      <c r="T429" s="249">
        <v>67.75</v>
      </c>
      <c r="U429" s="249">
        <v>64.25</v>
      </c>
      <c r="V429" s="249">
        <v>63.94</v>
      </c>
      <c r="W429" s="249">
        <v>63.55</v>
      </c>
      <c r="X429" s="249">
        <v>62.42</v>
      </c>
      <c r="Y429" s="249">
        <v>62.5871</v>
      </c>
      <c r="Z429" s="243">
        <f ca="1">[1]ExtEntry!$J27</f>
        <v>62.5871</v>
      </c>
      <c r="AB429" s="260">
        <v>4510</v>
      </c>
      <c r="AC429" s="260">
        <v>-6200.0000000000582</v>
      </c>
      <c r="AD429" s="260">
        <v>6850</v>
      </c>
      <c r="AE429" s="260">
        <v>9.6956666666666667E-3</v>
      </c>
      <c r="AF429" s="260">
        <v>9.4331666666666661E-3</v>
      </c>
      <c r="AG429" s="260">
        <v>7.813500000000001E-3</v>
      </c>
      <c r="AH429" s="260">
        <v>8.3169999999999997E-3</v>
      </c>
      <c r="AI429" s="260">
        <v>5.6046666666666667E-3</v>
      </c>
      <c r="AJ429" s="260">
        <v>5.6506000000000004E-3</v>
      </c>
      <c r="AK429" s="260">
        <v>4.3625999999999995E-3</v>
      </c>
      <c r="AL429" s="260">
        <v>4.6040000000000005E-3</v>
      </c>
      <c r="AM429" s="260">
        <v>1.0289199999999998E-2</v>
      </c>
      <c r="AN429" s="260">
        <v>7.3387999999999978E-3</v>
      </c>
      <c r="AO429" s="260">
        <v>3.0537999999999997E-3</v>
      </c>
      <c r="AP429" s="260">
        <v>-2.0235999999999995E-3</v>
      </c>
      <c r="AQ429" s="260">
        <v>-1.3494600000000001E-2</v>
      </c>
      <c r="AR429" s="244">
        <v>-1.66848E-2</v>
      </c>
      <c r="AS429" s="244">
        <v>-1.6622999999999999E-2</v>
      </c>
      <c r="AT429" s="244">
        <v>-2.1274599999999998E-2</v>
      </c>
      <c r="AU429" s="244">
        <v>-1.5673599999999999E-2</v>
      </c>
      <c r="AV429" s="244">
        <f t="shared" si="34"/>
        <v>-1.5673599999999999E-2</v>
      </c>
      <c r="AX429" s="86" t="str">
        <f t="shared" ca="1" si="36"/>
        <v>KR</v>
      </c>
    </row>
    <row r="430" spans="1:50" hidden="1">
      <c r="A430" s="86" t="str">
        <f t="shared" ca="1" si="35"/>
        <v>LNSR</v>
      </c>
      <c r="F430" s="249">
        <v>12.6</v>
      </c>
      <c r="G430" s="249">
        <v>12.395</v>
      </c>
      <c r="H430" s="249">
        <v>11.540800000000001</v>
      </c>
      <c r="I430" s="249">
        <v>10.479900000000001</v>
      </c>
      <c r="J430" s="249">
        <v>10.06</v>
      </c>
      <c r="K430" s="249">
        <v>10.14</v>
      </c>
      <c r="L430" s="249">
        <v>10.220000000000001</v>
      </c>
      <c r="M430" s="249">
        <v>9.93</v>
      </c>
      <c r="N430" s="249">
        <v>10.26</v>
      </c>
      <c r="O430" s="249">
        <v>10.43</v>
      </c>
      <c r="P430" s="249">
        <v>10.48</v>
      </c>
      <c r="Q430" s="249">
        <v>10.43</v>
      </c>
      <c r="R430" s="249">
        <v>10.35</v>
      </c>
      <c r="S430" s="249">
        <v>10.25</v>
      </c>
      <c r="T430" s="249">
        <v>10.574999999999999</v>
      </c>
      <c r="U430" s="249">
        <v>10.84</v>
      </c>
      <c r="V430" s="249">
        <v>11.57</v>
      </c>
      <c r="W430" s="249">
        <v>11.490500000000001</v>
      </c>
      <c r="X430" s="249">
        <v>11.625</v>
      </c>
      <c r="Y430" s="249">
        <v>11.55</v>
      </c>
      <c r="Z430" s="243">
        <f ca="1">[1]ExtEntry!$J28</f>
        <v>11.55</v>
      </c>
      <c r="AB430" s="263">
        <v>0</v>
      </c>
      <c r="AC430" s="263">
        <v>0</v>
      </c>
      <c r="AD430" s="263">
        <v>0</v>
      </c>
      <c r="AE430" s="263">
        <v>-2.3531333333333335E-2</v>
      </c>
      <c r="AF430" s="263">
        <v>-1.7125333333333333E-2</v>
      </c>
      <c r="AG430" s="263">
        <v>-2.4881500000000004E-2</v>
      </c>
      <c r="AH430" s="263">
        <v>-9.339666666666668E-3</v>
      </c>
      <c r="AI430" s="263">
        <v>6.1551666666666673E-3</v>
      </c>
      <c r="AJ430" s="263">
        <v>1.0475399999999999E-2</v>
      </c>
      <c r="AK430" s="263">
        <v>1.4831E-2</v>
      </c>
      <c r="AL430" s="263">
        <v>9.138799999999999E-3</v>
      </c>
      <c r="AM430" s="263">
        <v>1.6945600000000002E-2</v>
      </c>
      <c r="AN430" s="263">
        <v>1.3878399999999999E-2</v>
      </c>
      <c r="AO430" s="263">
        <v>6.6847999999999994E-3</v>
      </c>
      <c r="AP430" s="263">
        <v>4.382399999999999E-3</v>
      </c>
      <c r="AQ430" s="263">
        <v>1.0145999999999999E-2</v>
      </c>
      <c r="AR430" s="244">
        <v>2.3894000000000007E-3</v>
      </c>
      <c r="AS430" s="244">
        <v>1.9172000000000002E-3</v>
      </c>
      <c r="AT430" s="244">
        <v>8.9262000000000005E-3</v>
      </c>
      <c r="AU430" s="244">
        <v>3.7760000000000007E-3</v>
      </c>
      <c r="AV430" s="244">
        <f t="shared" si="34"/>
        <v>3.7760000000000007E-3</v>
      </c>
      <c r="AX430" s="86" t="str">
        <f t="shared" ca="1" si="36"/>
        <v>LNSR</v>
      </c>
    </row>
    <row r="431" spans="1:50" hidden="1">
      <c r="A431" s="86" t="str">
        <f t="shared" ca="1" si="35"/>
        <v>LUMN</v>
      </c>
      <c r="F431" s="249">
        <v>11.29</v>
      </c>
      <c r="G431" s="249">
        <v>11.43</v>
      </c>
      <c r="H431" s="249">
        <v>10.98</v>
      </c>
      <c r="I431" s="249">
        <v>8.2100000000000009</v>
      </c>
      <c r="J431" s="249">
        <v>8</v>
      </c>
      <c r="K431" s="249">
        <v>7.99</v>
      </c>
      <c r="L431" s="249">
        <v>8.16</v>
      </c>
      <c r="M431" s="249">
        <v>7.7750000000000004</v>
      </c>
      <c r="N431" s="249">
        <v>8.1999999999999993</v>
      </c>
      <c r="O431" s="249">
        <v>8.1999999999999993</v>
      </c>
      <c r="P431" s="249">
        <v>8.18</v>
      </c>
      <c r="Q431" s="249">
        <v>8.27</v>
      </c>
      <c r="R431" s="249">
        <v>9.17</v>
      </c>
      <c r="S431" s="249">
        <v>9.19</v>
      </c>
      <c r="T431" s="249">
        <v>9.6300000000000008</v>
      </c>
      <c r="U431" s="249">
        <v>9.52</v>
      </c>
      <c r="V431" s="249">
        <v>8.8683999999999994</v>
      </c>
      <c r="W431" s="249">
        <v>8.51</v>
      </c>
      <c r="X431" s="249">
        <v>9.1364000000000001</v>
      </c>
      <c r="Y431" s="249">
        <v>8.8149999999999995</v>
      </c>
      <c r="Z431" s="243">
        <f ca="1">[1]ExtEntry!$J29</f>
        <v>8.8149999999999995</v>
      </c>
      <c r="AB431" s="260">
        <v>1.5</v>
      </c>
      <c r="AC431" s="260">
        <v>-8.5000000000000142</v>
      </c>
      <c r="AD431" s="260">
        <v>-10.799999999999997</v>
      </c>
      <c r="AE431" s="260">
        <v>-3.0853000000000002E-2</v>
      </c>
      <c r="AF431" s="260">
        <v>-1.6525333333333333E-2</v>
      </c>
      <c r="AG431" s="260">
        <v>-2.4205999999999995E-2</v>
      </c>
      <c r="AH431" s="260">
        <v>-1.8355999999999997E-2</v>
      </c>
      <c r="AI431" s="260">
        <v>-6.1881666666666682E-3</v>
      </c>
      <c r="AJ431" s="260">
        <v>-7.6304000000000007E-3</v>
      </c>
      <c r="AK431" s="260">
        <v>5.6628000000000008E-3</v>
      </c>
      <c r="AL431" s="260">
        <v>8.7895999999999998E-3</v>
      </c>
      <c r="AM431" s="260">
        <v>1.4371999999999999E-2</v>
      </c>
      <c r="AN431" s="260">
        <v>2.8474599999999999E-2</v>
      </c>
      <c r="AO431" s="260">
        <v>2.5365199999999997E-2</v>
      </c>
      <c r="AP431" s="260">
        <v>3.2289999999999999E-2</v>
      </c>
      <c r="AQ431" s="260">
        <v>2.0635999999999998E-2</v>
      </c>
      <c r="AR431" s="244">
        <v>6.447999999999998E-3</v>
      </c>
      <c r="AS431" s="244">
        <v>-1.3577200000000001E-2</v>
      </c>
      <c r="AT431" s="244">
        <v>-8.8796000000000014E-3</v>
      </c>
      <c r="AU431" s="244">
        <v>-1.9099999999999999E-2</v>
      </c>
      <c r="AV431" s="244">
        <f t="shared" si="34"/>
        <v>-1.9099999999999999E-2</v>
      </c>
      <c r="AX431" s="86" t="str">
        <f t="shared" ca="1" si="36"/>
        <v>LUMN</v>
      </c>
    </row>
    <row r="432" spans="1:50" hidden="1">
      <c r="A432" s="86" t="str">
        <f t="shared" ca="1" si="35"/>
        <v>MRNA</v>
      </c>
      <c r="F432" s="249">
        <v>24.04</v>
      </c>
      <c r="G432" s="249">
        <v>25.56</v>
      </c>
      <c r="H432" s="249">
        <v>24.524999999999999</v>
      </c>
      <c r="I432" s="249">
        <v>24.88</v>
      </c>
      <c r="J432" s="249">
        <v>24.99</v>
      </c>
      <c r="K432" s="249">
        <v>25.06</v>
      </c>
      <c r="L432" s="249">
        <v>24.91</v>
      </c>
      <c r="M432" s="249">
        <v>23.94</v>
      </c>
      <c r="N432" s="249">
        <v>25.19</v>
      </c>
      <c r="O432" s="249">
        <v>25.32</v>
      </c>
      <c r="P432" s="249">
        <v>26.045000000000002</v>
      </c>
      <c r="Q432" s="249">
        <v>25.251000000000001</v>
      </c>
      <c r="R432" s="249">
        <v>24.6341</v>
      </c>
      <c r="S432" s="249">
        <v>25.04</v>
      </c>
      <c r="T432" s="249">
        <v>25.2</v>
      </c>
      <c r="U432" s="249">
        <v>25.84</v>
      </c>
      <c r="V432" s="249">
        <v>27.75</v>
      </c>
      <c r="W432" s="249">
        <v>28.364999999999998</v>
      </c>
      <c r="X432" s="249">
        <v>29.12</v>
      </c>
      <c r="Y432" s="249">
        <v>29.68</v>
      </c>
      <c r="Z432" s="243">
        <f ca="1">[1]ExtEntry!$J30</f>
        <v>29.68</v>
      </c>
      <c r="AB432" s="263">
        <v>-6900</v>
      </c>
      <c r="AC432" s="263">
        <v>-8820</v>
      </c>
      <c r="AD432" s="263">
        <v>23700</v>
      </c>
      <c r="AE432" s="263">
        <v>-3.9278333333333335E-3</v>
      </c>
      <c r="AF432" s="263">
        <v>-6.1416666666666683E-4</v>
      </c>
      <c r="AG432" s="263">
        <v>-8.8618333333333327E-3</v>
      </c>
      <c r="AH432" s="263">
        <v>-4.257166666666666E-3</v>
      </c>
      <c r="AI432" s="263">
        <v>2.8669999999999993E-3</v>
      </c>
      <c r="AJ432" s="263">
        <v>-3.7749999999999993E-3</v>
      </c>
      <c r="AK432" s="263">
        <v>-2.9663999999999984E-3</v>
      </c>
      <c r="AL432" s="263">
        <v>9.9268000000000012E-3</v>
      </c>
      <c r="AM432" s="263">
        <v>9.4918000000000016E-3</v>
      </c>
      <c r="AN432" s="263">
        <v>-1.4051999999999997E-3</v>
      </c>
      <c r="AO432" s="263">
        <v>1.2962000000000002E-3</v>
      </c>
      <c r="AP432" s="263">
        <v>8.4304000000000011E-3</v>
      </c>
      <c r="AQ432" s="263">
        <v>5.5584000000000007E-3</v>
      </c>
      <c r="AR432" s="244">
        <v>3.4830800000000002E-2</v>
      </c>
      <c r="AS432" s="244">
        <v>3.8171400000000001E-2</v>
      </c>
      <c r="AT432" s="244">
        <v>3.96508E-2</v>
      </c>
      <c r="AU432" s="244">
        <v>3.4549199999999995E-2</v>
      </c>
      <c r="AV432" s="244">
        <f t="shared" si="34"/>
        <v>3.4549199999999995E-2</v>
      </c>
      <c r="AX432" s="86" t="str">
        <f t="shared" ca="1" si="36"/>
        <v>MRNA</v>
      </c>
    </row>
    <row r="433" spans="1:50" hidden="1">
      <c r="A433" s="86" t="str">
        <f t="shared" ca="1" si="35"/>
        <v>MSFT</v>
      </c>
      <c r="F433" s="249">
        <v>514.83000000000004</v>
      </c>
      <c r="G433" s="249">
        <v>505.7</v>
      </c>
      <c r="H433" s="249">
        <v>499.37700000000001</v>
      </c>
      <c r="I433" s="249">
        <v>511.6</v>
      </c>
      <c r="J433" s="249">
        <v>502.98</v>
      </c>
      <c r="K433" s="249">
        <v>495.18720000000002</v>
      </c>
      <c r="L433" s="249">
        <v>493.57</v>
      </c>
      <c r="M433" s="249">
        <v>478.92</v>
      </c>
      <c r="N433" s="249">
        <v>488.303</v>
      </c>
      <c r="O433" s="249">
        <v>488.31</v>
      </c>
      <c r="P433" s="249">
        <v>492.63</v>
      </c>
      <c r="Q433" s="249">
        <v>489.85989999999998</v>
      </c>
      <c r="R433" s="249">
        <v>493.49990000000003</v>
      </c>
      <c r="S433" s="249">
        <v>483.99990000000003</v>
      </c>
      <c r="T433" s="249">
        <v>484.24</v>
      </c>
      <c r="U433" s="249">
        <v>481.322</v>
      </c>
      <c r="V433" s="249">
        <v>483.4</v>
      </c>
      <c r="W433" s="249">
        <v>492.1</v>
      </c>
      <c r="X433" s="249">
        <v>484.25</v>
      </c>
      <c r="Y433" s="249">
        <v>486.03</v>
      </c>
      <c r="Z433" s="243">
        <f ca="1">[1]ExtEntry!$J31</f>
        <v>486.03</v>
      </c>
      <c r="AB433" s="260">
        <v>-68208</v>
      </c>
      <c r="AC433" s="260">
        <v>-81242</v>
      </c>
      <c r="AD433" s="260">
        <v>83887.999999999069</v>
      </c>
      <c r="AE433" s="260">
        <v>-8.6004999999999988E-3</v>
      </c>
      <c r="AF433" s="260">
        <v>-1.0083E-2</v>
      </c>
      <c r="AG433" s="260">
        <v>-1.0056833333333334E-2</v>
      </c>
      <c r="AH433" s="260">
        <v>-8.0736666666666665E-3</v>
      </c>
      <c r="AI433" s="260">
        <v>-9.5576666666666657E-3</v>
      </c>
      <c r="AJ433" s="260">
        <v>-8.7694000000000001E-3</v>
      </c>
      <c r="AK433" s="260">
        <v>1.9800000000000026E-4</v>
      </c>
      <c r="AL433" s="260">
        <v>5.7587999999999997E-3</v>
      </c>
      <c r="AM433" s="260">
        <v>7.2268000000000002E-3</v>
      </c>
      <c r="AN433" s="260">
        <v>1.00394E-2</v>
      </c>
      <c r="AO433" s="260">
        <v>3.5630000000000011E-3</v>
      </c>
      <c r="AP433" s="260">
        <v>-5.0133999999999995E-3</v>
      </c>
      <c r="AQ433" s="260">
        <v>-7.3670000000000003E-3</v>
      </c>
      <c r="AR433" s="244">
        <v>-5.1133999999999997E-3</v>
      </c>
      <c r="AS433" s="244">
        <v>-6.3915999999999999E-3</v>
      </c>
      <c r="AT433" s="244">
        <v>-9.3525999999999991E-3</v>
      </c>
      <c r="AU433" s="244">
        <v>-2.2924000000000004E-3</v>
      </c>
      <c r="AV433" s="244">
        <f t="shared" si="34"/>
        <v>-2.2924000000000004E-3</v>
      </c>
      <c r="AX433" s="86" t="str">
        <f t="shared" ca="1" si="36"/>
        <v>MSFT</v>
      </c>
    </row>
    <row r="434" spans="1:50" hidden="1">
      <c r="A434" s="86" t="str">
        <f t="shared" ca="1" si="35"/>
        <v>NEE</v>
      </c>
      <c r="F434" s="249">
        <v>82.63</v>
      </c>
      <c r="G434" s="249">
        <v>82.96</v>
      </c>
      <c r="H434" s="249">
        <v>83.765000000000001</v>
      </c>
      <c r="I434" s="249">
        <v>84.49</v>
      </c>
      <c r="J434" s="249">
        <v>86.69</v>
      </c>
      <c r="K434" s="249">
        <v>85.34</v>
      </c>
      <c r="L434" s="249">
        <v>86.49</v>
      </c>
      <c r="M434" s="249">
        <v>84.67</v>
      </c>
      <c r="N434" s="249">
        <v>85.52</v>
      </c>
      <c r="O434" s="249">
        <v>85.69</v>
      </c>
      <c r="P434" s="249">
        <v>86.47</v>
      </c>
      <c r="Q434" s="249">
        <v>85.67</v>
      </c>
      <c r="R434" s="249">
        <v>85.28</v>
      </c>
      <c r="S434" s="249">
        <v>85.97</v>
      </c>
      <c r="T434" s="249">
        <v>85.97</v>
      </c>
      <c r="U434" s="249">
        <v>84.81</v>
      </c>
      <c r="V434" s="249">
        <v>84.194999999999993</v>
      </c>
      <c r="W434" s="249">
        <v>81.135000000000005</v>
      </c>
      <c r="X434" s="249">
        <v>81.92</v>
      </c>
      <c r="Y434" s="249">
        <v>82.41</v>
      </c>
      <c r="Z434" s="243">
        <f ca="1">[1]ExtEntry!$J32</f>
        <v>82.41</v>
      </c>
      <c r="AB434" s="263">
        <v>-331.28</v>
      </c>
      <c r="AC434" s="263">
        <v>-805.71</v>
      </c>
      <c r="AD434" s="263">
        <v>1589.93</v>
      </c>
      <c r="AE434" s="263">
        <v>1.9303333333333332E-3</v>
      </c>
      <c r="AF434" s="263">
        <v>2.7203333333333333E-3</v>
      </c>
      <c r="AG434" s="263">
        <v>2.6129999999999994E-3</v>
      </c>
      <c r="AH434" s="263">
        <v>6.0583333333333322E-4</v>
      </c>
      <c r="AI434" s="263">
        <v>-4.3696666666666667E-3</v>
      </c>
      <c r="AJ434" s="263">
        <v>-1.7312E-3</v>
      </c>
      <c r="AK434" s="263">
        <v>2.3917999999999995E-3</v>
      </c>
      <c r="AL434" s="263">
        <v>3.8863999999999995E-3</v>
      </c>
      <c r="AM434" s="263">
        <v>-3.0200000000000019E-5</v>
      </c>
      <c r="AN434" s="263">
        <v>1.6774599999999993E-3</v>
      </c>
      <c r="AO434" s="263">
        <v>3.4904599999999995E-3</v>
      </c>
      <c r="AP434" s="263">
        <v>2.73866E-3</v>
      </c>
      <c r="AQ434" s="263">
        <v>-2.2763399999999995E-3</v>
      </c>
      <c r="AR434" s="244">
        <v>-1.6339999999999932E-5</v>
      </c>
      <c r="AS434" s="244">
        <v>-4.7039999999999962E-4</v>
      </c>
      <c r="AT434" s="244">
        <v>4.5600000000000013E-4</v>
      </c>
      <c r="AU434" s="244">
        <v>-5.8923999999999988E-4</v>
      </c>
      <c r="AV434" s="244">
        <f t="shared" si="34"/>
        <v>-5.8923999999999988E-4</v>
      </c>
      <c r="AX434" s="86" t="str">
        <f t="shared" ca="1" si="36"/>
        <v>NEE</v>
      </c>
    </row>
    <row r="435" spans="1:50" hidden="1">
      <c r="A435" s="86" t="str">
        <f t="shared" ca="1" si="35"/>
        <v>NEM</v>
      </c>
      <c r="F435" s="249">
        <v>81.915000000000006</v>
      </c>
      <c r="G435" s="249">
        <v>84.34</v>
      </c>
      <c r="H435" s="249">
        <v>83.5</v>
      </c>
      <c r="I435" s="249">
        <v>89.47</v>
      </c>
      <c r="J435" s="249">
        <v>88.334999999999994</v>
      </c>
      <c r="K435" s="249">
        <v>89.27</v>
      </c>
      <c r="L435" s="249">
        <v>88.305000000000007</v>
      </c>
      <c r="M435" s="249">
        <v>83.89</v>
      </c>
      <c r="N435" s="249">
        <v>90.9</v>
      </c>
      <c r="O435" s="249">
        <v>90.9</v>
      </c>
      <c r="P435" s="249">
        <v>91.97</v>
      </c>
      <c r="Q435" s="249">
        <v>92.88</v>
      </c>
      <c r="R435" s="249">
        <v>91.73</v>
      </c>
      <c r="S435" s="249">
        <v>91.93</v>
      </c>
      <c r="T435" s="249">
        <v>91.93</v>
      </c>
      <c r="U435" s="249">
        <v>90.58</v>
      </c>
      <c r="V435" s="249">
        <v>92.7</v>
      </c>
      <c r="W435" s="249">
        <v>92.986000000000004</v>
      </c>
      <c r="X435" s="249">
        <v>95.29</v>
      </c>
      <c r="Y435" s="249">
        <v>100.4</v>
      </c>
      <c r="Z435" s="243">
        <f ca="1">[1]ExtEntry!$J33</f>
        <v>100.4</v>
      </c>
      <c r="AB435" s="260">
        <v>4770.0000000002328</v>
      </c>
      <c r="AC435" s="260">
        <v>14235.999999999767</v>
      </c>
      <c r="AD435" s="260">
        <v>-45220</v>
      </c>
      <c r="AE435" s="260">
        <v>-5.0466666666666791E-4</v>
      </c>
      <c r="AF435" s="260">
        <v>6.8419999999999983E-3</v>
      </c>
      <c r="AG435" s="260">
        <v>-7.7408333333333348E-3</v>
      </c>
      <c r="AH435" s="260">
        <v>-6.4588333333333347E-3</v>
      </c>
      <c r="AI435" s="260">
        <v>-4.8221666666666682E-3</v>
      </c>
      <c r="AJ435" s="260">
        <v>4.8421999999999996E-3</v>
      </c>
      <c r="AK435" s="260">
        <v>1.64072E-2</v>
      </c>
      <c r="AL435" s="260">
        <v>1.45732E-2</v>
      </c>
      <c r="AM435" s="260">
        <v>2.7977400000000003E-2</v>
      </c>
      <c r="AN435" s="260">
        <v>2.1031600000000001E-2</v>
      </c>
      <c r="AO435" s="260">
        <v>1.2279E-2</v>
      </c>
      <c r="AP435" s="260">
        <v>2.5999999999999981E-5</v>
      </c>
      <c r="AQ435" s="260">
        <v>1.5810000000000002E-3</v>
      </c>
      <c r="AR435" s="244">
        <v>-3.3350000000000003E-3</v>
      </c>
      <c r="AS435" s="244">
        <v>7.8393999999999998E-3</v>
      </c>
      <c r="AT435" s="244">
        <v>6.9827999999999991E-3</v>
      </c>
      <c r="AU435" s="244">
        <v>1.9429999999999999E-2</v>
      </c>
      <c r="AV435" s="244">
        <f t="shared" si="34"/>
        <v>1.9429999999999999E-2</v>
      </c>
      <c r="AX435" s="86" t="str">
        <f t="shared" ca="1" si="36"/>
        <v>NEM</v>
      </c>
    </row>
    <row r="436" spans="1:50" hidden="1">
      <c r="A436" s="86" t="str">
        <f t="shared" ca="1" si="35"/>
        <v>NFLX</v>
      </c>
      <c r="F436" s="249">
        <v>1100.8499999999999</v>
      </c>
      <c r="G436" s="249">
        <v>1103.7</v>
      </c>
      <c r="H436" s="249">
        <v>1108.22</v>
      </c>
      <c r="I436" s="249">
        <v>1142.73</v>
      </c>
      <c r="J436" s="249">
        <v>115.25</v>
      </c>
      <c r="K436" s="249">
        <v>113.34</v>
      </c>
      <c r="L436" s="249">
        <v>111.1</v>
      </c>
      <c r="M436" s="249">
        <v>106.53</v>
      </c>
      <c r="N436" s="249">
        <v>106.95</v>
      </c>
      <c r="O436" s="249">
        <v>106.95</v>
      </c>
      <c r="P436" s="249">
        <v>107.94</v>
      </c>
      <c r="Q436" s="249">
        <v>109.14</v>
      </c>
      <c r="R436" s="249">
        <v>109.73</v>
      </c>
      <c r="S436" s="249">
        <v>106.87</v>
      </c>
      <c r="T436" s="249">
        <v>106.87</v>
      </c>
      <c r="U436" s="249">
        <v>103.64</v>
      </c>
      <c r="V436" s="249">
        <v>104.79</v>
      </c>
      <c r="W436" s="249">
        <v>97.11</v>
      </c>
      <c r="X436" s="249">
        <v>96.97</v>
      </c>
      <c r="Y436" s="249">
        <v>94.82</v>
      </c>
      <c r="Z436" s="243">
        <f ca="1">[1]ExtEntry!$J34</f>
        <v>94.82</v>
      </c>
      <c r="AB436" s="263">
        <v>89310</v>
      </c>
      <c r="AC436" s="263">
        <v>14729.999999999534</v>
      </c>
      <c r="AD436" s="263">
        <v>-6930</v>
      </c>
      <c r="AE436" s="263">
        <v>-1.6498333333333341E-3</v>
      </c>
      <c r="AF436" s="263">
        <v>-6.0943333333333335E-3</v>
      </c>
      <c r="AG436" s="263">
        <v>-1.2565166666666667E-2</v>
      </c>
      <c r="AH436" s="263">
        <v>-1.2803666666666666E-2</v>
      </c>
      <c r="AI436" s="263">
        <v>-1.4025833333333335E-2</v>
      </c>
      <c r="AJ436" s="263">
        <v>-5.1879999999999999E-3</v>
      </c>
      <c r="AK436" s="263">
        <v>-8.7455999999999975E-3</v>
      </c>
      <c r="AL436" s="263">
        <v>1.5043999999999995E-3</v>
      </c>
      <c r="AM436" s="263">
        <v>1.0577600000000001E-2</v>
      </c>
      <c r="AN436" s="263">
        <v>1.2072000000000001E-2</v>
      </c>
      <c r="AO436" s="263">
        <v>-3.660200000000001E-3</v>
      </c>
      <c r="AP436" s="263">
        <v>-1.68518E-2</v>
      </c>
      <c r="AQ436" s="263">
        <v>-2.2701400000000004E-2</v>
      </c>
      <c r="AR436" s="244">
        <v>-3.0790000000000005E-2</v>
      </c>
      <c r="AS436" s="244">
        <v>-3.2794799999999999E-2</v>
      </c>
      <c r="AT436" s="244">
        <v>-2.86298E-2</v>
      </c>
      <c r="AU436" s="244">
        <v>-1.5794599999999999E-2</v>
      </c>
      <c r="AV436" s="244">
        <f t="shared" si="34"/>
        <v>-1.5794599999999999E-2</v>
      </c>
      <c r="AX436" s="86" t="str">
        <f t="shared" ca="1" si="36"/>
        <v>NFLX</v>
      </c>
    </row>
    <row r="437" spans="1:50" hidden="1">
      <c r="A437" s="86" t="str">
        <f t="shared" ca="1" si="35"/>
        <v>NOTE</v>
      </c>
      <c r="F437" s="249">
        <v>3.74</v>
      </c>
      <c r="G437" s="249">
        <v>3.4712999999999998</v>
      </c>
      <c r="H437" s="249">
        <v>3.12</v>
      </c>
      <c r="I437" s="249">
        <v>2.63</v>
      </c>
      <c r="J437" s="249">
        <v>2.41</v>
      </c>
      <c r="K437" s="249">
        <v>2.3199999999999998</v>
      </c>
      <c r="L437" s="249">
        <v>2.2825000000000002</v>
      </c>
      <c r="M437" s="249">
        <v>2.0729000000000002</v>
      </c>
      <c r="N437" s="249">
        <v>2.27</v>
      </c>
      <c r="O437" s="249">
        <v>2.2999999999999998</v>
      </c>
      <c r="P437" s="249">
        <v>2.3965999999999998</v>
      </c>
      <c r="Q437" s="249">
        <v>2.4</v>
      </c>
      <c r="R437" s="249">
        <v>2.3679999999999999</v>
      </c>
      <c r="S437" s="249">
        <v>2.0699999999999998</v>
      </c>
      <c r="T437" s="249">
        <v>2.0699999999999998</v>
      </c>
      <c r="U437" s="249">
        <v>2.1212</v>
      </c>
      <c r="V437" s="249">
        <v>2.15</v>
      </c>
      <c r="W437" s="249">
        <v>1.99</v>
      </c>
      <c r="X437" s="249">
        <v>1.92</v>
      </c>
      <c r="Y437" s="249">
        <v>1.91</v>
      </c>
      <c r="Z437" s="243">
        <f ca="1">[1]ExtEntry!$J35</f>
        <v>1.91</v>
      </c>
      <c r="AB437" s="260">
        <v>-4000.0499999999884</v>
      </c>
      <c r="AC437" s="260">
        <v>-10522.798200000005</v>
      </c>
      <c r="AD437" s="260">
        <v>14133.50999999998</v>
      </c>
      <c r="AE437" s="260">
        <v>-5.3949333333333342E-2</v>
      </c>
      <c r="AF437" s="260">
        <v>-4.9872833333333338E-2</v>
      </c>
      <c r="AG437" s="260">
        <v>-3.7224166666666669E-2</v>
      </c>
      <c r="AH437" s="260">
        <v>-1.5312166666666668E-2</v>
      </c>
      <c r="AI437" s="260">
        <v>-1.35295E-2</v>
      </c>
      <c r="AJ437" s="260">
        <v>-2.0624800000000002E-2</v>
      </c>
      <c r="AK437" s="260">
        <v>-2.5536000000000018E-3</v>
      </c>
      <c r="AL437" s="260">
        <v>1.1672999999999999E-2</v>
      </c>
      <c r="AM437" s="260">
        <v>6.1431999999999997E-3</v>
      </c>
      <c r="AN437" s="260">
        <v>-1.5311199999999997E-2</v>
      </c>
      <c r="AO437" s="260">
        <v>-2.8022400000000003E-2</v>
      </c>
      <c r="AP437" s="260">
        <v>-3.6299199999999997E-2</v>
      </c>
      <c r="AQ437" s="260">
        <v>-4.26944E-2</v>
      </c>
      <c r="AR437" s="244">
        <v>-4.2208199999999994E-2</v>
      </c>
      <c r="AS437" s="244">
        <v>-2.6761200000000006E-2</v>
      </c>
      <c r="AT437" s="244">
        <v>-2.1187000000000001E-2</v>
      </c>
      <c r="AU437" s="244">
        <v>-1.92166E-2</v>
      </c>
      <c r="AV437" s="244">
        <f t="shared" ref="AV437:AV468" si="37">AVERAGE(U736:Y736)</f>
        <v>-1.92166E-2</v>
      </c>
      <c r="AX437" s="86" t="str">
        <f t="shared" ca="1" si="36"/>
        <v>NOTE</v>
      </c>
    </row>
    <row r="438" spans="1:50" hidden="1">
      <c r="A438" s="86" t="str">
        <f t="shared" ca="1" si="35"/>
        <v>PAAS</v>
      </c>
      <c r="F438" s="249">
        <v>34.020000000000003</v>
      </c>
      <c r="G438" s="249">
        <v>34.64</v>
      </c>
      <c r="H438" s="249">
        <v>34.765000000000001</v>
      </c>
      <c r="I438" s="249">
        <v>38.795499999999997</v>
      </c>
      <c r="J438" s="249">
        <v>38.25</v>
      </c>
      <c r="K438" s="249">
        <v>39.935000000000002</v>
      </c>
      <c r="L438" s="249">
        <v>39.56</v>
      </c>
      <c r="M438" s="249">
        <v>37.119999999999997</v>
      </c>
      <c r="N438" s="249">
        <v>42.3217</v>
      </c>
      <c r="O438" s="249">
        <v>42.6</v>
      </c>
      <c r="P438" s="249">
        <v>45.97</v>
      </c>
      <c r="Q438" s="249">
        <v>46.598399999999998</v>
      </c>
      <c r="R438" s="249">
        <v>46.19</v>
      </c>
      <c r="S438" s="249">
        <v>45.906799999999997</v>
      </c>
      <c r="T438" s="249">
        <v>45.906799999999997</v>
      </c>
      <c r="U438" s="249">
        <v>44.419499999999999</v>
      </c>
      <c r="V438" s="249">
        <v>45.84</v>
      </c>
      <c r="W438" s="249">
        <v>48.777000000000001</v>
      </c>
      <c r="X438" s="249">
        <v>49.305</v>
      </c>
      <c r="Y438" s="249">
        <v>51.89</v>
      </c>
      <c r="Z438" s="243">
        <f ca="1">[1]ExtEntry!$J36</f>
        <v>51.89</v>
      </c>
      <c r="AB438" s="263">
        <v>-3800</v>
      </c>
      <c r="AC438" s="263">
        <v>240</v>
      </c>
      <c r="AD438" s="263">
        <v>-2600.3999999999942</v>
      </c>
      <c r="AE438" s="263">
        <v>1.1216166666666676E-3</v>
      </c>
      <c r="AF438" s="263">
        <v>9.6874500000000002E-3</v>
      </c>
      <c r="AG438" s="263">
        <v>-3.5027166666666671E-3</v>
      </c>
      <c r="AH438" s="263">
        <v>-1.2776666666666672E-3</v>
      </c>
      <c r="AI438" s="263">
        <v>-3.5601666666666668E-3</v>
      </c>
      <c r="AJ438" s="263">
        <v>1.0025599999999999E-2</v>
      </c>
      <c r="AK438" s="263">
        <v>2.1936400000000002E-2</v>
      </c>
      <c r="AL438" s="263">
        <v>3.4146600000000006E-2</v>
      </c>
      <c r="AM438" s="263">
        <v>4.8883799999999998E-2</v>
      </c>
      <c r="AN438" s="263">
        <v>4.0936400000000005E-2</v>
      </c>
      <c r="AO438" s="263">
        <v>2.7840999999999998E-2</v>
      </c>
      <c r="AP438" s="263">
        <v>1.0419800000000003E-2</v>
      </c>
      <c r="AQ438" s="263">
        <v>-4.6115999999999996E-3</v>
      </c>
      <c r="AR438" s="244">
        <v>-6.0945999999999995E-3</v>
      </c>
      <c r="AS438" s="244">
        <v>2.0436199999999998E-2</v>
      </c>
      <c r="AT438" s="244">
        <v>2.0469000000000001E-2</v>
      </c>
      <c r="AU438" s="244">
        <v>2.9247000000000002E-2</v>
      </c>
      <c r="AV438" s="244">
        <f t="shared" si="37"/>
        <v>2.9247000000000002E-2</v>
      </c>
      <c r="AX438" s="86" t="str">
        <f t="shared" ca="1" si="36"/>
        <v>PAAS</v>
      </c>
    </row>
    <row r="439" spans="1:50" hidden="1">
      <c r="A439" s="86" t="str">
        <f t="shared" ca="1" si="35"/>
        <v>PROF</v>
      </c>
      <c r="F439" s="249">
        <v>5.95</v>
      </c>
      <c r="G439" s="249">
        <v>5.95</v>
      </c>
      <c r="H439" s="249">
        <v>5.95</v>
      </c>
      <c r="I439" s="249">
        <v>6.9898999999999996</v>
      </c>
      <c r="J439" s="249">
        <v>6.4859999999999998</v>
      </c>
      <c r="K439" s="249">
        <v>6.25</v>
      </c>
      <c r="L439" s="249">
        <v>6.22</v>
      </c>
      <c r="M439" s="249">
        <v>6.0149999999999997</v>
      </c>
      <c r="N439" s="249">
        <v>6.6</v>
      </c>
      <c r="O439" s="249">
        <v>6.6</v>
      </c>
      <c r="P439" s="249">
        <v>6.7290000000000001</v>
      </c>
      <c r="Q439" s="249">
        <v>6.58</v>
      </c>
      <c r="R439" s="249">
        <v>6.44</v>
      </c>
      <c r="S439" s="249">
        <v>6.4550000000000001</v>
      </c>
      <c r="T439" s="249">
        <v>7.0350000000000001</v>
      </c>
      <c r="U439" s="249">
        <v>7</v>
      </c>
      <c r="V439" s="249">
        <v>6.7899000000000003</v>
      </c>
      <c r="W439" s="249">
        <v>7.25</v>
      </c>
      <c r="X439" s="249">
        <v>7.27</v>
      </c>
      <c r="Y439" s="249">
        <v>7.5</v>
      </c>
      <c r="Z439" s="243">
        <f ca="1">[1]ExtEntry!$J37</f>
        <v>7.5</v>
      </c>
      <c r="AB439" s="260">
        <v>-360</v>
      </c>
      <c r="AC439" s="260">
        <v>-120</v>
      </c>
      <c r="AD439" s="260">
        <v>-2380</v>
      </c>
      <c r="AE439" s="260">
        <v>6.1003333333333326E-3</v>
      </c>
      <c r="AF439" s="260">
        <v>2.056833333333332E-3</v>
      </c>
      <c r="AG439" s="260">
        <v>-2.036666666666668E-3</v>
      </c>
      <c r="AH439" s="260">
        <v>-1.3275000000000014E-3</v>
      </c>
      <c r="AI439" s="260">
        <v>-2.7551666666666675E-3</v>
      </c>
      <c r="AJ439" s="260">
        <v>-2.0982199999999999E-2</v>
      </c>
      <c r="AK439" s="260">
        <v>-1.50922E-2</v>
      </c>
      <c r="AL439" s="260">
        <v>-3.0532000000000003E-3</v>
      </c>
      <c r="AM439" s="260">
        <v>-3.0466E-3</v>
      </c>
      <c r="AN439" s="260">
        <v>-1.0751199999999999E-2</v>
      </c>
      <c r="AO439" s="260">
        <v>-3.6087999999999988E-3</v>
      </c>
      <c r="AP439" s="260">
        <v>1.78934E-2</v>
      </c>
      <c r="AQ439" s="260">
        <v>1.2988000000000003E-2</v>
      </c>
      <c r="AR439" s="244">
        <v>1.4467800000000003E-2</v>
      </c>
      <c r="AS439" s="244">
        <v>2.8106000000000003E-2</v>
      </c>
      <c r="AT439" s="244">
        <v>2.3993200000000003E-2</v>
      </c>
      <c r="AU439" s="244">
        <v>8.9703999999999999E-3</v>
      </c>
      <c r="AV439" s="244">
        <f t="shared" si="37"/>
        <v>8.9703999999999999E-3</v>
      </c>
      <c r="AX439" s="86" t="str">
        <f t="shared" ca="1" si="36"/>
        <v>PROF</v>
      </c>
    </row>
    <row r="440" spans="1:50" hidden="1">
      <c r="A440" s="86" t="str">
        <f t="shared" ca="1" si="35"/>
        <v>POET</v>
      </c>
      <c r="F440" s="249">
        <v>6.1</v>
      </c>
      <c r="G440" s="249">
        <v>6.141</v>
      </c>
      <c r="H440" s="249">
        <v>5.44</v>
      </c>
      <c r="I440" s="249">
        <v>4.84</v>
      </c>
      <c r="J440" s="249">
        <v>4.375</v>
      </c>
      <c r="K440" s="249">
        <v>4.3890000000000002</v>
      </c>
      <c r="L440" s="249">
        <v>4.75</v>
      </c>
      <c r="M440" s="249">
        <v>4.33</v>
      </c>
      <c r="N440" s="249">
        <v>4.8499999999999996</v>
      </c>
      <c r="O440" s="249">
        <v>4.9000000000000004</v>
      </c>
      <c r="P440" s="249">
        <v>5.0449999999999999</v>
      </c>
      <c r="Q440" s="249">
        <v>4.87</v>
      </c>
      <c r="R440" s="249">
        <v>4.9550000000000001</v>
      </c>
      <c r="S440" s="249">
        <v>5.52</v>
      </c>
      <c r="T440" s="249">
        <v>6.08</v>
      </c>
      <c r="U440" s="249">
        <v>6.49</v>
      </c>
      <c r="V440" s="249">
        <v>6.27</v>
      </c>
      <c r="W440" s="249">
        <v>6.93</v>
      </c>
      <c r="X440" s="249">
        <v>7.3</v>
      </c>
      <c r="Y440" s="249">
        <v>7.48</v>
      </c>
      <c r="Z440" s="243">
        <f ca="1">[1]ExtEntry!$J38</f>
        <v>7.48</v>
      </c>
      <c r="AB440" s="263">
        <v>-31050</v>
      </c>
      <c r="AC440" s="263">
        <v>675.00000000005821</v>
      </c>
      <c r="AD440" s="263">
        <v>33295.500000000029</v>
      </c>
      <c r="AE440" s="263">
        <v>-3.7241166666666665E-2</v>
      </c>
      <c r="AF440" s="263">
        <v>-2.5055833333333333E-2</v>
      </c>
      <c r="AG440" s="263">
        <v>-2.8417166666666663E-2</v>
      </c>
      <c r="AH440" s="263">
        <v>-6.1870000000000007E-3</v>
      </c>
      <c r="AI440" s="263">
        <v>-4.5756666666666671E-3</v>
      </c>
      <c r="AJ440" s="263">
        <v>7.5341999999999996E-3</v>
      </c>
      <c r="AK440" s="263">
        <v>9.0593999999999987E-3</v>
      </c>
      <c r="AL440" s="263">
        <v>1.8527800000000001E-2</v>
      </c>
      <c r="AM440" s="263">
        <v>1.14214E-2</v>
      </c>
      <c r="AN440" s="263">
        <v>9.5639999999999996E-3</v>
      </c>
      <c r="AO440" s="263">
        <v>3.5174799999999999E-2</v>
      </c>
      <c r="AP440" s="263">
        <v>8.4731799999999996E-2</v>
      </c>
      <c r="AQ440" s="263">
        <v>9.5993400000000007E-2</v>
      </c>
      <c r="AR440" s="244">
        <v>9.4229199999999985E-2</v>
      </c>
      <c r="AS440" s="244">
        <v>0.11202019999999999</v>
      </c>
      <c r="AT440" s="244">
        <v>8.9587200000000006E-2</v>
      </c>
      <c r="AU440" s="244">
        <v>3.4707599999999998E-2</v>
      </c>
      <c r="AV440" s="244">
        <f t="shared" si="37"/>
        <v>3.4707599999999998E-2</v>
      </c>
      <c r="AX440" s="86" t="str">
        <f t="shared" ca="1" si="36"/>
        <v>POET</v>
      </c>
    </row>
    <row r="441" spans="1:50" hidden="1">
      <c r="A441" s="86" t="str">
        <f t="shared" ca="1" si="35"/>
        <v>PW</v>
      </c>
      <c r="F441" s="249">
        <v>0.77990000000000004</v>
      </c>
      <c r="G441" s="249">
        <v>0.78010000000000002</v>
      </c>
      <c r="H441" s="249">
        <v>0.69</v>
      </c>
      <c r="I441" s="249">
        <v>0.72709999999999997</v>
      </c>
      <c r="J441" s="249">
        <v>0.71450000000000002</v>
      </c>
      <c r="K441" s="249">
        <v>0.66679999999999995</v>
      </c>
      <c r="L441" s="249">
        <v>0.63190000000000002</v>
      </c>
      <c r="M441" s="249">
        <v>0.70220000000000005</v>
      </c>
      <c r="N441" s="249">
        <v>1.1200000000000001</v>
      </c>
      <c r="O441" s="249">
        <v>1.24</v>
      </c>
      <c r="P441" s="249">
        <v>0.92490000000000006</v>
      </c>
      <c r="Q441" s="249">
        <v>0.87939999999999996</v>
      </c>
      <c r="R441" s="249">
        <v>1.038</v>
      </c>
      <c r="S441" s="249">
        <v>0.89790000000000003</v>
      </c>
      <c r="T441" s="249">
        <v>0.94779999999999998</v>
      </c>
      <c r="U441" s="249">
        <v>0.94979999999999998</v>
      </c>
      <c r="V441" s="249">
        <v>1.02</v>
      </c>
      <c r="W441" s="249">
        <v>1.02</v>
      </c>
      <c r="X441" s="249">
        <v>1.0501</v>
      </c>
      <c r="Y441" s="249">
        <v>0.99470000000000003</v>
      </c>
      <c r="Z441" s="243">
        <f ca="1">[1]ExtEntry!$J39</f>
        <v>0.99470000000000003</v>
      </c>
      <c r="AB441" s="260">
        <v>12.000000000000909</v>
      </c>
      <c r="AC441" s="260">
        <v>-808</v>
      </c>
      <c r="AD441" s="260">
        <v>616.00000000000091</v>
      </c>
      <c r="AE441" s="260">
        <v>9.2008333333333334E-3</v>
      </c>
      <c r="AF441" s="260">
        <v>5.8236666666666645E-3</v>
      </c>
      <c r="AG441" s="260">
        <v>-9.0373333333333347E-3</v>
      </c>
      <c r="AH441" s="260">
        <v>1.4765166666666664E-2</v>
      </c>
      <c r="AI441" s="260">
        <v>4.0497499999999999E-2</v>
      </c>
      <c r="AJ441" s="260">
        <v>3.47972E-2</v>
      </c>
      <c r="AK441" s="260">
        <v>9.1767000000000015E-2</v>
      </c>
      <c r="AL441" s="260">
        <v>6.5772999999999998E-2</v>
      </c>
      <c r="AM441" s="260">
        <v>6.5289399999999997E-2</v>
      </c>
      <c r="AN441" s="260">
        <v>6.4930200000000007E-2</v>
      </c>
      <c r="AO441" s="260">
        <v>1.9977399999999999E-2</v>
      </c>
      <c r="AP441" s="260">
        <v>-1.1114000000000004E-2</v>
      </c>
      <c r="AQ441" s="260">
        <v>2.5551799999999996E-2</v>
      </c>
      <c r="AR441" s="244">
        <v>2.6498999999999995E-2</v>
      </c>
      <c r="AS441" s="244">
        <v>5.2341999999999996E-3</v>
      </c>
      <c r="AT441" s="244">
        <v>5.5866000000000015E-3</v>
      </c>
      <c r="AU441" s="244">
        <v>-8.2172000000000009E-3</v>
      </c>
      <c r="AV441" s="244">
        <f t="shared" si="37"/>
        <v>-8.2172000000000009E-3</v>
      </c>
      <c r="AX441" s="86" t="str">
        <f t="shared" ca="1" si="36"/>
        <v>PW</v>
      </c>
    </row>
    <row r="442" spans="1:50" hidden="1">
      <c r="A442" s="86" t="str">
        <f t="shared" ca="1" si="35"/>
        <v>RIGL</v>
      </c>
      <c r="F442" s="249">
        <v>39.56</v>
      </c>
      <c r="G442" s="249">
        <v>38.83</v>
      </c>
      <c r="H442" s="249">
        <v>35.9099</v>
      </c>
      <c r="I442" s="249">
        <v>42.47</v>
      </c>
      <c r="J442" s="249">
        <v>46.31</v>
      </c>
      <c r="K442" s="249">
        <v>47.264899999999997</v>
      </c>
      <c r="L442" s="249">
        <v>44.79</v>
      </c>
      <c r="M442" s="249">
        <v>47.2</v>
      </c>
      <c r="N442" s="249">
        <v>51.58</v>
      </c>
      <c r="O442" s="249">
        <v>51.725000000000001</v>
      </c>
      <c r="P442" s="249">
        <v>52.24</v>
      </c>
      <c r="Q442" s="249">
        <v>50.104999999999997</v>
      </c>
      <c r="R442" s="249">
        <v>47.82</v>
      </c>
      <c r="S442" s="249">
        <v>46.38</v>
      </c>
      <c r="T442" s="249">
        <v>47.3</v>
      </c>
      <c r="U442" s="249">
        <v>48.5</v>
      </c>
      <c r="V442" s="249">
        <v>49.96</v>
      </c>
      <c r="W442" s="249">
        <v>44.46</v>
      </c>
      <c r="X442" s="249">
        <v>43.45</v>
      </c>
      <c r="Y442" s="249">
        <v>43.575000000000003</v>
      </c>
      <c r="Z442" s="243">
        <f ca="1">[1]ExtEntry!$J40</f>
        <v>43.575000000000003</v>
      </c>
      <c r="AB442" s="263">
        <v>2460</v>
      </c>
      <c r="AC442" s="263">
        <v>-545</v>
      </c>
      <c r="AD442" s="263">
        <v>-780</v>
      </c>
      <c r="AE442" s="263">
        <v>5.5701000000000001E-2</v>
      </c>
      <c r="AF442" s="263">
        <v>5.3820666666666649E-2</v>
      </c>
      <c r="AG442" s="263">
        <v>1.0582333333333334E-2</v>
      </c>
      <c r="AH442" s="263">
        <v>2.8227333333333337E-2</v>
      </c>
      <c r="AI442" s="263">
        <v>4.2894666666666664E-2</v>
      </c>
      <c r="AJ442" s="263">
        <v>3.4806400000000001E-2</v>
      </c>
      <c r="AK442" s="263">
        <v>2.3001399999999998E-2</v>
      </c>
      <c r="AL442" s="263">
        <v>3.8551799999999997E-2</v>
      </c>
      <c r="AM442" s="263">
        <v>1.3243000000000005E-2</v>
      </c>
      <c r="AN442" s="263">
        <v>-1.1975999999999997E-2</v>
      </c>
      <c r="AO442" s="263">
        <v>-1.3396399999999998E-2</v>
      </c>
      <c r="AP442" s="263">
        <v>-6.4364000000000001E-3</v>
      </c>
      <c r="AQ442" s="263">
        <v>-4.3375999999999987E-3</v>
      </c>
      <c r="AR442" s="244">
        <v>1.2620600000000001E-2</v>
      </c>
      <c r="AS442" s="244">
        <v>2.3018799999999999E-2</v>
      </c>
      <c r="AT442" s="244">
        <v>1.2414999999999999E-2</v>
      </c>
      <c r="AU442" s="244">
        <v>3.832400000000001E-3</v>
      </c>
      <c r="AV442" s="244">
        <f t="shared" si="37"/>
        <v>3.832400000000001E-3</v>
      </c>
      <c r="AX442" s="86" t="str">
        <f t="shared" ca="1" si="36"/>
        <v>RIGL</v>
      </c>
    </row>
    <row r="443" spans="1:50" hidden="1">
      <c r="A443" s="86" t="str">
        <f t="shared" ca="1" si="35"/>
        <v>RWE</v>
      </c>
      <c r="F443" s="249">
        <v>42.61</v>
      </c>
      <c r="G443" s="249">
        <v>43.77</v>
      </c>
      <c r="H443" s="249">
        <v>43.33</v>
      </c>
      <c r="I443" s="249">
        <v>45.5</v>
      </c>
      <c r="J443" s="249">
        <v>44.96</v>
      </c>
      <c r="K443" s="249">
        <v>44.96</v>
      </c>
      <c r="L443" s="249">
        <v>45.1</v>
      </c>
      <c r="M443" s="249">
        <v>44.73</v>
      </c>
      <c r="N443" s="249">
        <v>44.26</v>
      </c>
      <c r="O443" s="249">
        <v>44.06</v>
      </c>
      <c r="P443" s="249">
        <v>43.72</v>
      </c>
      <c r="Q443" s="249">
        <v>43.8</v>
      </c>
      <c r="R443" s="249">
        <v>43.43</v>
      </c>
      <c r="S443" s="249">
        <v>44.11</v>
      </c>
      <c r="T443" s="249">
        <v>44.11</v>
      </c>
      <c r="U443" s="249">
        <v>43.84</v>
      </c>
      <c r="V443" s="249">
        <v>43.52</v>
      </c>
      <c r="W443" s="249">
        <v>43.69</v>
      </c>
      <c r="X443" s="249">
        <v>43.69</v>
      </c>
      <c r="Y443" s="249">
        <v>43.53</v>
      </c>
      <c r="Z443" s="243">
        <f ca="1">[1]ExtEntry!$J41</f>
        <v>43.53</v>
      </c>
      <c r="AB443" s="260">
        <v>9.5000000000004547</v>
      </c>
      <c r="AC443" s="260">
        <v>33</v>
      </c>
      <c r="AD443" s="260">
        <v>-43</v>
      </c>
      <c r="AE443" s="260">
        <v>-1.3981666666666665E-3</v>
      </c>
      <c r="AF443" s="260">
        <v>-3.114E-3</v>
      </c>
      <c r="AG443" s="260">
        <v>-2.2666666666666668E-4</v>
      </c>
      <c r="AH443" s="260">
        <v>-4.2273333333333338E-3</v>
      </c>
      <c r="AI443" s="260">
        <v>-5.5370000000000003E-3</v>
      </c>
      <c r="AJ443" s="260">
        <v>-8.0600000000000116E-5</v>
      </c>
      <c r="AK443" s="260">
        <v>-1.6781999999999999E-3</v>
      </c>
      <c r="AL443" s="260">
        <v>3.4495999999999997E-3</v>
      </c>
      <c r="AM443" s="260">
        <v>-2.9373999999999997E-3</v>
      </c>
      <c r="AN443" s="260">
        <v>-5.3039999999999977E-4</v>
      </c>
      <c r="AO443" s="260">
        <v>-3.2999999999999973E-4</v>
      </c>
      <c r="AP443" s="260">
        <v>4.2148000000000003E-3</v>
      </c>
      <c r="AQ443" s="260">
        <v>2.8364000000000002E-3</v>
      </c>
      <c r="AR443" s="244">
        <v>2.3634000000000003E-3</v>
      </c>
      <c r="AS443" s="244">
        <v>4.7724000000000004E-3</v>
      </c>
      <c r="AT443" s="244">
        <v>7.553999999999996E-4</v>
      </c>
      <c r="AU443" s="244">
        <v>-1.3654000000000003E-3</v>
      </c>
      <c r="AV443" s="244">
        <f t="shared" si="37"/>
        <v>-1.3654000000000003E-3</v>
      </c>
      <c r="AX443" s="86" t="str">
        <f t="shared" ca="1" si="36"/>
        <v>RWE</v>
      </c>
    </row>
    <row r="444" spans="1:50" hidden="1">
      <c r="A444" s="86" t="str">
        <f t="shared" ca="1" si="35"/>
        <v>SAP</v>
      </c>
      <c r="F444" s="249">
        <v>229.95</v>
      </c>
      <c r="G444" s="249">
        <v>226.85</v>
      </c>
      <c r="H444" s="249">
        <v>220</v>
      </c>
      <c r="I444" s="249">
        <v>214.2</v>
      </c>
      <c r="J444" s="249">
        <v>206.1</v>
      </c>
      <c r="K444" s="249">
        <v>207.55</v>
      </c>
      <c r="L444" s="249">
        <v>209.6</v>
      </c>
      <c r="M444" s="249">
        <v>208.2</v>
      </c>
      <c r="N444" s="249">
        <v>206.95</v>
      </c>
      <c r="O444" s="249">
        <v>208.75</v>
      </c>
      <c r="P444" s="249">
        <v>209.45</v>
      </c>
      <c r="Q444" s="249">
        <v>209.9</v>
      </c>
      <c r="R444" s="249">
        <v>209.45</v>
      </c>
      <c r="S444" s="249">
        <v>210.4</v>
      </c>
      <c r="T444" s="249">
        <v>210.4</v>
      </c>
      <c r="U444" s="249">
        <v>213.5</v>
      </c>
      <c r="V444" s="249">
        <v>214.75</v>
      </c>
      <c r="W444" s="249">
        <v>211</v>
      </c>
      <c r="X444" s="249">
        <v>211.1</v>
      </c>
      <c r="Y444" s="249">
        <v>211.1</v>
      </c>
      <c r="Z444" s="243">
        <f ca="1">[1]ExtEntry!$J42</f>
        <v>211.1</v>
      </c>
      <c r="AB444" s="263">
        <v>41420</v>
      </c>
      <c r="AC444" s="263">
        <v>-34960</v>
      </c>
      <c r="AD444" s="263">
        <v>-15960</v>
      </c>
      <c r="AE444" s="263">
        <v>-1.5057833333333333E-2</v>
      </c>
      <c r="AF444" s="263">
        <v>-1.2896916666666666E-2</v>
      </c>
      <c r="AG444" s="263">
        <v>-1.3405583333333334E-2</v>
      </c>
      <c r="AH444" s="263">
        <v>-7.3847499999999998E-3</v>
      </c>
      <c r="AI444" s="263">
        <v>-6.9165833333333327E-3</v>
      </c>
      <c r="AJ444" s="263">
        <v>1.4741000000000003E-3</v>
      </c>
      <c r="AK444" s="263">
        <v>1.7643000000000003E-3</v>
      </c>
      <c r="AL444" s="263">
        <v>3.1158000000000002E-3</v>
      </c>
      <c r="AM444" s="263">
        <v>2.3808000000000002E-3</v>
      </c>
      <c r="AN444" s="263">
        <v>2.9243999999999997E-3</v>
      </c>
      <c r="AO444" s="263">
        <v>5.4079999999999992E-4</v>
      </c>
      <c r="AP444" s="263">
        <v>-1.0484000000000001E-3</v>
      </c>
      <c r="AQ444" s="263">
        <v>9.8919999999999976E-4</v>
      </c>
      <c r="AR444" s="244">
        <v>3.6037999999999999E-3</v>
      </c>
      <c r="AS444" s="244">
        <v>4.5138000000000001E-3</v>
      </c>
      <c r="AT444" s="244">
        <v>5.9959999999999996E-3</v>
      </c>
      <c r="AU444" s="244">
        <v>5.7305999999999998E-3</v>
      </c>
      <c r="AV444" s="244">
        <f t="shared" si="37"/>
        <v>5.7305999999999998E-3</v>
      </c>
      <c r="AX444" s="86" t="str">
        <f t="shared" ca="1" si="36"/>
        <v>SAP</v>
      </c>
    </row>
    <row r="445" spans="1:50" hidden="1">
      <c r="A445" s="86" t="str">
        <f t="shared" ca="1" si="35"/>
        <v>SHECY</v>
      </c>
      <c r="F445" s="249">
        <v>14.97</v>
      </c>
      <c r="G445" s="249">
        <v>14.89</v>
      </c>
      <c r="H445" s="249">
        <v>14.86</v>
      </c>
      <c r="I445" s="249">
        <v>15.04</v>
      </c>
      <c r="J445" s="249">
        <v>14.4</v>
      </c>
      <c r="K445" s="249">
        <v>14.73</v>
      </c>
      <c r="L445" s="249">
        <v>14.11</v>
      </c>
      <c r="M445" s="249">
        <v>14.41</v>
      </c>
      <c r="N445" s="249">
        <v>14.83</v>
      </c>
      <c r="O445" s="249">
        <v>14.86</v>
      </c>
      <c r="P445" s="249">
        <v>15.03</v>
      </c>
      <c r="Q445" s="249">
        <v>15.28</v>
      </c>
      <c r="R445" s="249">
        <v>15.17</v>
      </c>
      <c r="S445" s="249">
        <v>15.1</v>
      </c>
      <c r="T445" s="249">
        <v>15.1</v>
      </c>
      <c r="U445" s="249">
        <v>15.65</v>
      </c>
      <c r="V445" s="249">
        <v>15.88</v>
      </c>
      <c r="W445" s="249">
        <v>15.34</v>
      </c>
      <c r="X445" s="249">
        <v>15.91</v>
      </c>
      <c r="Y445" s="249">
        <v>15.149900000000001</v>
      </c>
      <c r="Z445" s="243">
        <f ca="1">[1]ExtEntry!$J43</f>
        <v>15.149900000000001</v>
      </c>
      <c r="AB445" s="260">
        <v>17539.440000000002</v>
      </c>
      <c r="AC445" s="260">
        <v>5683.9199999999837</v>
      </c>
      <c r="AD445" s="260">
        <v>21175.16320000001</v>
      </c>
      <c r="AE445" s="260">
        <v>-5.4298333333333325E-3</v>
      </c>
      <c r="AF445" s="260">
        <v>-5.3355E-3</v>
      </c>
      <c r="AG445" s="260">
        <v>-1.0567999999999999E-2</v>
      </c>
      <c r="AH445" s="260">
        <v>2.8261666666666665E-3</v>
      </c>
      <c r="AI445" s="260">
        <v>9.0950000000000007E-3</v>
      </c>
      <c r="AJ445" s="260">
        <v>2.4867999999999986E-3</v>
      </c>
      <c r="AK445" s="260">
        <v>1.20994E-2</v>
      </c>
      <c r="AL445" s="260">
        <v>1.5738400000000003E-2</v>
      </c>
      <c r="AM445" s="260">
        <v>2.21516E-2</v>
      </c>
      <c r="AN445" s="260">
        <v>1.49088E-2</v>
      </c>
      <c r="AO445" s="260">
        <v>6.8192000000000001E-3</v>
      </c>
      <c r="AP445" s="260">
        <v>9.195999999999998E-4</v>
      </c>
      <c r="AQ445" s="260">
        <v>5.3912000000000005E-3</v>
      </c>
      <c r="AR445" s="244">
        <v>5.1459999999999995E-3</v>
      </c>
      <c r="AS445" s="244">
        <v>9.9439999999999988E-4</v>
      </c>
      <c r="AT445" s="244">
        <v>7.2601999999999996E-3</v>
      </c>
      <c r="AU445" s="244">
        <v>1.2004000000000001E-3</v>
      </c>
      <c r="AV445" s="244">
        <f t="shared" si="37"/>
        <v>1.2004000000000001E-3</v>
      </c>
      <c r="AX445" s="86" t="str">
        <f t="shared" ca="1" si="36"/>
        <v>SHECY</v>
      </c>
    </row>
    <row r="446" spans="1:50" hidden="1">
      <c r="A446" s="86" t="str">
        <f t="shared" ca="1" si="35"/>
        <v>SSYS</v>
      </c>
      <c r="F446" s="249">
        <v>9.9859000000000009</v>
      </c>
      <c r="G446" s="249">
        <v>9.84</v>
      </c>
      <c r="H446" s="249">
        <v>9.48</v>
      </c>
      <c r="I446" s="249">
        <v>9.3000000000000007</v>
      </c>
      <c r="J446" s="249">
        <v>8.61</v>
      </c>
      <c r="K446" s="249">
        <v>8.69</v>
      </c>
      <c r="L446" s="249">
        <v>8.6300000000000008</v>
      </c>
      <c r="M446" s="249">
        <v>8.6</v>
      </c>
      <c r="N446" s="249">
        <v>8.68</v>
      </c>
      <c r="O446" s="249">
        <v>8.74</v>
      </c>
      <c r="P446" s="249">
        <v>8.8049999999999997</v>
      </c>
      <c r="Q446" s="249">
        <v>8.75</v>
      </c>
      <c r="R446" s="249">
        <v>8.8506999999999998</v>
      </c>
      <c r="S446" s="249">
        <v>8.7799999999999994</v>
      </c>
      <c r="T446" s="249">
        <v>9</v>
      </c>
      <c r="U446" s="249">
        <v>9.15</v>
      </c>
      <c r="V446" s="249">
        <v>9.2032000000000007</v>
      </c>
      <c r="W446" s="249">
        <v>9.3230000000000004</v>
      </c>
      <c r="X446" s="249">
        <v>9.4398999999999997</v>
      </c>
      <c r="Y446" s="249">
        <v>9.52</v>
      </c>
      <c r="Z446" s="243">
        <f ca="1">[1]ExtEntry!$J44</f>
        <v>9.52</v>
      </c>
      <c r="AB446" s="263">
        <v>-1536</v>
      </c>
      <c r="AC446" s="263">
        <v>-4000</v>
      </c>
      <c r="AD446" s="263">
        <v>7680</v>
      </c>
      <c r="AE446" s="263">
        <v>-2.4698166666666663E-2</v>
      </c>
      <c r="AF446" s="263">
        <v>-1.5291333333333332E-2</v>
      </c>
      <c r="AG446" s="263">
        <v>-1.8330666666666665E-2</v>
      </c>
      <c r="AH446" s="263">
        <v>-4.6178333333333323E-3</v>
      </c>
      <c r="AI446" s="263">
        <v>2.4960000000000004E-3</v>
      </c>
      <c r="AJ446" s="263">
        <v>4.0096000000000003E-3</v>
      </c>
      <c r="AK446" s="263">
        <v>7.0550000000000005E-3</v>
      </c>
      <c r="AL446" s="263">
        <v>1.17036E-2</v>
      </c>
      <c r="AM446" s="263">
        <v>1.4163199999999997E-2</v>
      </c>
      <c r="AN446" s="263">
        <v>8.4076000000000012E-3</v>
      </c>
      <c r="AO446" s="263">
        <v>6.545200000000001E-3</v>
      </c>
      <c r="AP446" s="263">
        <v>9.4604000000000008E-3</v>
      </c>
      <c r="AQ446" s="263">
        <v>9.3290000000000005E-3</v>
      </c>
      <c r="AR446" s="244">
        <v>8.3046000000000005E-3</v>
      </c>
      <c r="AS446" s="244">
        <v>9.0361999999999994E-3</v>
      </c>
      <c r="AT446" s="244">
        <v>1.189E-2</v>
      </c>
      <c r="AU446" s="244">
        <v>9.8619999999999992E-3</v>
      </c>
      <c r="AV446" s="244">
        <f t="shared" si="37"/>
        <v>9.8619999999999992E-3</v>
      </c>
      <c r="AX446" s="86" t="str">
        <f t="shared" ca="1" si="36"/>
        <v>SSYS</v>
      </c>
    </row>
    <row r="447" spans="1:50" hidden="1">
      <c r="A447" s="86" t="str">
        <f t="shared" ca="1" si="35"/>
        <v>TSLA</v>
      </c>
      <c r="F447" s="249">
        <v>466.32990000000001</v>
      </c>
      <c r="G447" s="249">
        <v>467.45</v>
      </c>
      <c r="H447" s="249">
        <v>437.9425</v>
      </c>
      <c r="I447" s="249">
        <v>412.19</v>
      </c>
      <c r="J447" s="249">
        <v>408.9</v>
      </c>
      <c r="K447" s="249">
        <v>411.78</v>
      </c>
      <c r="L447" s="249">
        <v>428.94</v>
      </c>
      <c r="M447" s="249">
        <v>402.8</v>
      </c>
      <c r="N447" s="249">
        <v>425.52</v>
      </c>
      <c r="O447" s="249">
        <v>426.94</v>
      </c>
      <c r="P447" s="249">
        <v>432.93</v>
      </c>
      <c r="Q447" s="249">
        <v>433.65989999999999</v>
      </c>
      <c r="R447" s="249">
        <v>436.8</v>
      </c>
      <c r="S447" s="249">
        <v>442.86</v>
      </c>
      <c r="T447" s="249">
        <v>447.92</v>
      </c>
      <c r="U447" s="249">
        <v>454.625</v>
      </c>
      <c r="V447" s="249">
        <v>458.87</v>
      </c>
      <c r="W447" s="249">
        <v>449.99</v>
      </c>
      <c r="X447" s="249">
        <v>456.88</v>
      </c>
      <c r="Y447" s="249">
        <v>449.26990000000001</v>
      </c>
      <c r="Z447" s="243">
        <f ca="1">[1]ExtEntry!$J45</f>
        <v>449.26990000000001</v>
      </c>
      <c r="AB447" s="260">
        <v>23.317999999999927</v>
      </c>
      <c r="AC447" s="260">
        <v>-29.400100000000009</v>
      </c>
      <c r="AD447" s="260">
        <v>-13.345000000000084</v>
      </c>
      <c r="AE447" s="260">
        <v>-1.5117499999999999E-2</v>
      </c>
      <c r="AF447" s="260">
        <v>-7.127500000000001E-3</v>
      </c>
      <c r="AG447" s="260">
        <v>-1.5878E-2</v>
      </c>
      <c r="AH447" s="260">
        <v>-8.4341666666666679E-3</v>
      </c>
      <c r="AI447" s="260">
        <v>-1.2083333333333332E-3</v>
      </c>
      <c r="AJ447" s="260">
        <v>-2.2507999999999998E-3</v>
      </c>
      <c r="AK447" s="260">
        <v>4.9245999999999995E-3</v>
      </c>
      <c r="AL447" s="260">
        <v>6.1792000000000001E-3</v>
      </c>
      <c r="AM447" s="260">
        <v>7.7730000000000004E-3</v>
      </c>
      <c r="AN447" s="260">
        <v>5.7967999999999995E-3</v>
      </c>
      <c r="AO447" s="260">
        <v>1.0074400000000001E-2</v>
      </c>
      <c r="AP447" s="260">
        <v>1.4804400000000001E-2</v>
      </c>
      <c r="AQ447" s="260">
        <v>1.4607599999999998E-2</v>
      </c>
      <c r="AR447" s="244">
        <v>1.5618799999999997E-2</v>
      </c>
      <c r="AS447" s="244">
        <v>2.0650999999999996E-2</v>
      </c>
      <c r="AT447" s="244">
        <v>1.7262199999999998E-2</v>
      </c>
      <c r="AU447" s="244">
        <v>7.0773999999999993E-3</v>
      </c>
      <c r="AV447" s="244">
        <f t="shared" si="37"/>
        <v>7.0773999999999993E-3</v>
      </c>
      <c r="AX447" s="86" t="str">
        <f t="shared" ca="1" si="36"/>
        <v>TSLA</v>
      </c>
    </row>
    <row r="448" spans="1:50" hidden="1">
      <c r="A448" s="86" t="str">
        <f t="shared" ca="1" si="35"/>
        <v>TSM</v>
      </c>
      <c r="F448" s="249">
        <v>298.21850000000001</v>
      </c>
      <c r="G448" s="249">
        <v>294.64</v>
      </c>
      <c r="H448" s="249">
        <v>287.88499999999999</v>
      </c>
      <c r="I448" s="249">
        <v>286.86</v>
      </c>
      <c r="J448" s="249">
        <v>280.19</v>
      </c>
      <c r="K448" s="249">
        <v>284.5489</v>
      </c>
      <c r="L448" s="249">
        <v>292.85000000000002</v>
      </c>
      <c r="M448" s="249">
        <v>278.68869999999998</v>
      </c>
      <c r="N448" s="249">
        <v>292.51</v>
      </c>
      <c r="O448" s="249">
        <v>292.81</v>
      </c>
      <c r="P448" s="249">
        <v>292.67</v>
      </c>
      <c r="Q448" s="249">
        <v>291.15989999999999</v>
      </c>
      <c r="R448" s="249">
        <v>294.5</v>
      </c>
      <c r="S448" s="249">
        <v>293.8</v>
      </c>
      <c r="T448" s="249">
        <v>296.6225</v>
      </c>
      <c r="U448" s="249">
        <v>294.7</v>
      </c>
      <c r="V448" s="249">
        <v>300.8</v>
      </c>
      <c r="W448" s="249">
        <v>302.7</v>
      </c>
      <c r="X448" s="249">
        <v>313.98</v>
      </c>
      <c r="Y448" s="249">
        <v>305.83999999999997</v>
      </c>
      <c r="Z448" s="243">
        <f ca="1">[1]ExtEntry!$J46</f>
        <v>305.83999999999997</v>
      </c>
      <c r="AB448" s="263">
        <v>9120</v>
      </c>
      <c r="AC448" s="263">
        <v>-19047</v>
      </c>
      <c r="AD448" s="263">
        <v>-12031.5</v>
      </c>
      <c r="AE448" s="263">
        <v>-1.0552516666666666E-2</v>
      </c>
      <c r="AF448" s="263">
        <v>-4.2391833333333328E-3</v>
      </c>
      <c r="AG448" s="263">
        <v>-5.5518333333333322E-3</v>
      </c>
      <c r="AH448" s="263">
        <v>-3.678833333333333E-3</v>
      </c>
      <c r="AI448" s="263">
        <v>-2.2419999999999996E-3</v>
      </c>
      <c r="AJ448" s="263">
        <v>9.831999999999994E-4</v>
      </c>
      <c r="AK448" s="263">
        <v>7.5399999999999998E-3</v>
      </c>
      <c r="AL448" s="263">
        <v>7.4652E-3</v>
      </c>
      <c r="AM448" s="263">
        <v>8.3125999999999999E-3</v>
      </c>
      <c r="AN448" s="263">
        <v>1.2154800000000002E-2</v>
      </c>
      <c r="AO448" s="263">
        <v>8.3660000000000019E-3</v>
      </c>
      <c r="AP448" s="263">
        <v>6.9739999999999993E-3</v>
      </c>
      <c r="AQ448" s="263">
        <v>3.8336000000000008E-3</v>
      </c>
      <c r="AR448" s="244">
        <v>5.8241999999999999E-3</v>
      </c>
      <c r="AS448" s="244">
        <v>3.1186000000000005E-3</v>
      </c>
      <c r="AT448" s="244">
        <v>6.3976000000000007E-3</v>
      </c>
      <c r="AU448" s="244">
        <v>1.2102000000000011E-3</v>
      </c>
      <c r="AV448" s="244">
        <f t="shared" si="37"/>
        <v>1.2102000000000011E-3</v>
      </c>
      <c r="AX448" s="86" t="str">
        <f t="shared" ca="1" si="36"/>
        <v>TSM</v>
      </c>
    </row>
    <row r="449" spans="1:50" hidden="1">
      <c r="A449" s="86" t="str">
        <f t="shared" ca="1" si="35"/>
        <v>UN0</v>
      </c>
      <c r="F449" s="249">
        <v>29.6</v>
      </c>
      <c r="G449" s="249">
        <v>28.9</v>
      </c>
      <c r="H449" s="249">
        <v>28.5</v>
      </c>
      <c r="I449" s="249">
        <v>28.6</v>
      </c>
      <c r="J449" s="249">
        <v>29.55</v>
      </c>
      <c r="K449" s="249">
        <v>30.25</v>
      </c>
      <c r="L449" s="249">
        <v>30.55</v>
      </c>
      <c r="M449" s="249">
        <v>30.7</v>
      </c>
      <c r="N449" s="249">
        <v>33.450000000000003</v>
      </c>
      <c r="O449" s="249">
        <v>34.299999999999997</v>
      </c>
      <c r="P449" s="249">
        <v>34.450000000000003</v>
      </c>
      <c r="Q449" s="249">
        <v>34.6</v>
      </c>
      <c r="R449" s="249">
        <v>33.65</v>
      </c>
      <c r="S449" s="249">
        <v>33.799999999999997</v>
      </c>
      <c r="T449" s="249">
        <v>33.799999999999997</v>
      </c>
      <c r="U449" s="249">
        <v>34.1</v>
      </c>
      <c r="V449" s="249">
        <v>34.700000000000003</v>
      </c>
      <c r="W449" s="249">
        <v>38</v>
      </c>
      <c r="X449" s="249">
        <v>38.9</v>
      </c>
      <c r="Y449" s="249">
        <v>38.75</v>
      </c>
      <c r="Z449" s="243">
        <f ca="1">[1]ExtEntry!$J47</f>
        <v>38.75</v>
      </c>
      <c r="AB449" s="260">
        <v>2550</v>
      </c>
      <c r="AC449" s="260">
        <v>-4800</v>
      </c>
      <c r="AD449" s="260">
        <v>300</v>
      </c>
      <c r="AE449" s="260">
        <v>-1.0975333333333332E-2</v>
      </c>
      <c r="AF449" s="260">
        <v>-1.2352E-2</v>
      </c>
      <c r="AG449" s="260">
        <v>-9.5518333333333341E-3</v>
      </c>
      <c r="AH449" s="260">
        <v>3.2366666666666628E-4</v>
      </c>
      <c r="AI449" s="260">
        <v>-1.8375000000000004E-3</v>
      </c>
      <c r="AJ449" s="260">
        <v>4.6143999999999994E-3</v>
      </c>
      <c r="AK449" s="260">
        <v>1.5638599999999999E-2</v>
      </c>
      <c r="AL449" s="260">
        <v>1.8125200000000001E-2</v>
      </c>
      <c r="AM449" s="260">
        <v>1.5148999999999999E-2</v>
      </c>
      <c r="AN449" s="260">
        <v>9.4272000000000002E-3</v>
      </c>
      <c r="AO449" s="260">
        <v>2.5101999999999993E-3</v>
      </c>
      <c r="AP449" s="260">
        <v>-1.7070000000000002E-3</v>
      </c>
      <c r="AQ449" s="260">
        <v>-2.0540000000000071E-4</v>
      </c>
      <c r="AR449" s="244">
        <v>6.7619999999999941E-4</v>
      </c>
      <c r="AS449" s="244">
        <v>1.6167000000000001E-2</v>
      </c>
      <c r="AT449" s="244">
        <v>1.4225600000000001E-2</v>
      </c>
      <c r="AU449" s="244">
        <v>1.17532E-2</v>
      </c>
      <c r="AV449" s="244">
        <f t="shared" si="37"/>
        <v>1.17532E-2</v>
      </c>
      <c r="AX449" s="86" t="str">
        <f t="shared" ca="1" si="36"/>
        <v>UN0</v>
      </c>
    </row>
    <row r="450" spans="1:50" hidden="1">
      <c r="A450" s="86" t="str">
        <f t="shared" ca="1" si="35"/>
        <v>UNIT</v>
      </c>
      <c r="F450" s="249">
        <v>6.7199</v>
      </c>
      <c r="G450" s="249">
        <v>6.5895000000000001</v>
      </c>
      <c r="H450" s="249">
        <v>6.58</v>
      </c>
      <c r="I450" s="249">
        <v>6.3150000000000004</v>
      </c>
      <c r="J450" s="249">
        <v>6.31</v>
      </c>
      <c r="K450" s="249">
        <v>6.24</v>
      </c>
      <c r="L450" s="249">
        <v>6.21</v>
      </c>
      <c r="M450" s="249">
        <v>6.1349999999999998</v>
      </c>
      <c r="N450" s="249">
        <v>6.49</v>
      </c>
      <c r="O450" s="249">
        <v>6.49</v>
      </c>
      <c r="P450" s="249">
        <v>6.4349999999999996</v>
      </c>
      <c r="Q450" s="249">
        <v>6.42</v>
      </c>
      <c r="R450" s="249">
        <v>6.8949999999999996</v>
      </c>
      <c r="S450" s="249">
        <v>6.76</v>
      </c>
      <c r="T450" s="249">
        <v>6.8049999999999997</v>
      </c>
      <c r="U450" s="249">
        <v>6.7249999999999996</v>
      </c>
      <c r="V450" s="249">
        <v>6.61</v>
      </c>
      <c r="W450" s="249">
        <v>6.6</v>
      </c>
      <c r="X450" s="249">
        <v>6.82</v>
      </c>
      <c r="Y450" s="249">
        <v>7.29</v>
      </c>
      <c r="Z450" s="243">
        <f ca="1">[1]ExtEntry!$J48</f>
        <v>7.29</v>
      </c>
      <c r="AB450" s="263">
        <v>2676.9499999999971</v>
      </c>
      <c r="AC450" s="263">
        <v>-2496.0749999999898</v>
      </c>
      <c r="AD450" s="263">
        <v>3364.2749999999942</v>
      </c>
      <c r="AE450" s="263">
        <v>1.8398999999999999E-2</v>
      </c>
      <c r="AF450" s="263">
        <v>1.1622666666666665E-2</v>
      </c>
      <c r="AG450" s="263">
        <v>1.9096666666666661E-3</v>
      </c>
      <c r="AH450" s="263">
        <v>1.0899333333333336E-2</v>
      </c>
      <c r="AI450" s="263">
        <v>7.4718333333333338E-3</v>
      </c>
      <c r="AJ450" s="263">
        <v>1.6740000000000019E-4</v>
      </c>
      <c r="AK450" s="263">
        <v>6.2163999999999995E-3</v>
      </c>
      <c r="AL450" s="263">
        <v>1.5760400000000001E-2</v>
      </c>
      <c r="AM450" s="263">
        <v>1.56524E-2</v>
      </c>
      <c r="AN450" s="263">
        <v>1.57752E-2</v>
      </c>
      <c r="AO450" s="263">
        <v>1.2484799999999999E-2</v>
      </c>
      <c r="AP450" s="263">
        <v>1.20958E-2</v>
      </c>
      <c r="AQ450" s="263">
        <v>1.1545399999999999E-2</v>
      </c>
      <c r="AR450" s="244">
        <v>4.4961999999999997E-3</v>
      </c>
      <c r="AS450" s="244">
        <v>-2.9504000000000006E-3</v>
      </c>
      <c r="AT450" s="244">
        <v>4.0434000000000008E-3</v>
      </c>
      <c r="AU450" s="244">
        <v>1.7353599999999997E-2</v>
      </c>
      <c r="AV450" s="244">
        <f t="shared" si="37"/>
        <v>1.7353599999999997E-2</v>
      </c>
      <c r="AX450" s="86" t="str">
        <f t="shared" ca="1" si="36"/>
        <v>UNIT</v>
      </c>
    </row>
    <row r="451" spans="1:50" hidden="1">
      <c r="A451" s="86" t="str">
        <f t="shared" ca="1" si="35"/>
        <v>VLVLY</v>
      </c>
      <c r="F451" s="249">
        <v>27.689900000000002</v>
      </c>
      <c r="G451" s="249">
        <v>27.68</v>
      </c>
      <c r="H451" s="249">
        <v>27.51</v>
      </c>
      <c r="I451" s="249">
        <v>28.209900000000001</v>
      </c>
      <c r="J451" s="249">
        <v>27.63</v>
      </c>
      <c r="K451" s="249">
        <v>28.25</v>
      </c>
      <c r="L451" s="249">
        <v>27.995000000000001</v>
      </c>
      <c r="M451" s="249">
        <v>28.39</v>
      </c>
      <c r="N451" s="249">
        <v>29.88</v>
      </c>
      <c r="O451" s="249">
        <v>29.88</v>
      </c>
      <c r="P451" s="249">
        <v>29.96</v>
      </c>
      <c r="Q451" s="249">
        <v>30.03</v>
      </c>
      <c r="R451" s="249">
        <v>29.97</v>
      </c>
      <c r="S451" s="249">
        <v>29.71</v>
      </c>
      <c r="T451" s="249">
        <v>29.919899999999998</v>
      </c>
      <c r="U451" s="249">
        <v>30.73</v>
      </c>
      <c r="V451" s="249">
        <v>31.599900000000002</v>
      </c>
      <c r="W451" s="249">
        <v>30.95</v>
      </c>
      <c r="X451" s="249">
        <v>31.483000000000001</v>
      </c>
      <c r="Y451" s="249">
        <v>32.229999999999997</v>
      </c>
      <c r="Z451" s="243">
        <f ca="1">[1]ExtEntry!$J49</f>
        <v>32.229999999999997</v>
      </c>
      <c r="AB451" s="260">
        <v>781.80000000000291</v>
      </c>
      <c r="AC451" s="260">
        <v>-915</v>
      </c>
      <c r="AD451" s="260">
        <v>1084.5</v>
      </c>
      <c r="AE451" s="260">
        <v>-5.8016666666666351E-5</v>
      </c>
      <c r="AF451" s="260">
        <v>4.674150000000001E-3</v>
      </c>
      <c r="AG451" s="260">
        <v>-3.5541833333333334E-3</v>
      </c>
      <c r="AH451" s="260">
        <v>3.5069833333333336E-3</v>
      </c>
      <c r="AI451" s="260">
        <v>8.3398166666666679E-3</v>
      </c>
      <c r="AJ451" s="260">
        <v>6.5397800000000002E-3</v>
      </c>
      <c r="AK451" s="260">
        <v>7.7596000000000002E-3</v>
      </c>
      <c r="AL451" s="260">
        <v>5.9721999999999996E-3</v>
      </c>
      <c r="AM451" s="260">
        <v>1.0141020000000001E-2</v>
      </c>
      <c r="AN451" s="260">
        <v>3.8698200000000004E-3</v>
      </c>
      <c r="AO451" s="260">
        <v>8.5522000000000029E-4</v>
      </c>
      <c r="AP451" s="260">
        <v>-8.2598000000000025E-4</v>
      </c>
      <c r="AQ451" s="260">
        <v>2.8910199999999998E-3</v>
      </c>
      <c r="AR451" s="244">
        <v>8.8163999999999985E-3</v>
      </c>
      <c r="AS451" s="244">
        <v>4.9801999999999989E-3</v>
      </c>
      <c r="AT451" s="244">
        <v>9.9583999999999992E-3</v>
      </c>
      <c r="AU451" s="244">
        <v>1.4860799999999999E-2</v>
      </c>
      <c r="AV451" s="244">
        <f t="shared" si="37"/>
        <v>1.4860799999999999E-2</v>
      </c>
      <c r="AX451" s="86" t="str">
        <f t="shared" ca="1" si="36"/>
        <v>VLVLY</v>
      </c>
    </row>
    <row r="452" spans="1:50" hidden="1">
      <c r="A452" s="86" t="str">
        <f t="shared" ca="1" si="35"/>
        <v>VONN</v>
      </c>
      <c r="F452" s="249">
        <v>59.6</v>
      </c>
      <c r="G452" s="249">
        <v>59.3</v>
      </c>
      <c r="H452" s="249">
        <v>58.8</v>
      </c>
      <c r="I452" s="249">
        <v>60.1</v>
      </c>
      <c r="J452" s="249">
        <v>58.8</v>
      </c>
      <c r="K452" s="249">
        <v>59.4</v>
      </c>
      <c r="L452" s="249">
        <v>60.2</v>
      </c>
      <c r="M452" s="249">
        <v>59.8</v>
      </c>
      <c r="N452" s="249">
        <v>60.2</v>
      </c>
      <c r="O452" s="249">
        <v>60.7</v>
      </c>
      <c r="P452" s="249">
        <v>60.7</v>
      </c>
      <c r="Q452" s="249">
        <v>61.1</v>
      </c>
      <c r="R452" s="249">
        <v>61.2</v>
      </c>
      <c r="S452" s="249">
        <v>61</v>
      </c>
      <c r="T452" s="249">
        <v>61</v>
      </c>
      <c r="U452" s="249">
        <v>61.3</v>
      </c>
      <c r="V452" s="249">
        <v>62</v>
      </c>
      <c r="W452" s="249">
        <v>62</v>
      </c>
      <c r="X452" s="249">
        <v>61.5</v>
      </c>
      <c r="Y452" s="249">
        <v>61.6</v>
      </c>
      <c r="Z452" s="243">
        <f ca="1">[1]ExtEntry!$J50</f>
        <v>61.6</v>
      </c>
      <c r="AB452" s="263">
        <v>-6400</v>
      </c>
      <c r="AC452" s="263">
        <v>-12800</v>
      </c>
      <c r="AD452" s="263">
        <v>7587.4000000000233</v>
      </c>
      <c r="AE452" s="263">
        <v>-5.8718333333333331E-3</v>
      </c>
      <c r="AF452" s="263">
        <v>-2.796833333333333E-3</v>
      </c>
      <c r="AG452" s="263">
        <v>-2.6583333333333293E-4</v>
      </c>
      <c r="AH452" s="263">
        <v>1.4359999999999998E-3</v>
      </c>
      <c r="AI452" s="263">
        <v>3.1349999999999981E-4</v>
      </c>
      <c r="AJ452" s="263">
        <v>3.7246000000000002E-3</v>
      </c>
      <c r="AK452" s="263">
        <v>6.0648000000000004E-3</v>
      </c>
      <c r="AL452" s="263">
        <v>5.0342E-3</v>
      </c>
      <c r="AM452" s="263">
        <v>3.6662000000000001E-3</v>
      </c>
      <c r="AN452" s="263">
        <v>5.3264000000000002E-3</v>
      </c>
      <c r="AO452" s="263">
        <v>1.0272000000000007E-3</v>
      </c>
      <c r="AP452" s="263">
        <v>-2.9367999999999998E-3</v>
      </c>
      <c r="AQ452" s="263">
        <v>-1.2833999999999994E-3</v>
      </c>
      <c r="AR452" s="244">
        <v>-1.6150000000000001E-3</v>
      </c>
      <c r="AS452" s="244">
        <v>-2.2718E-3</v>
      </c>
      <c r="AT452" s="244">
        <v>-1.2845999999999999E-3</v>
      </c>
      <c r="AU452" s="244">
        <v>1.6662000000000003E-3</v>
      </c>
      <c r="AV452" s="244">
        <f t="shared" si="37"/>
        <v>1.6662000000000003E-3</v>
      </c>
      <c r="AX452" s="86" t="str">
        <f t="shared" ca="1" si="36"/>
        <v>VONN</v>
      </c>
    </row>
    <row r="453" spans="1:50" hidden="1">
      <c r="A453" s="86" t="str">
        <f t="shared" ca="1" si="35"/>
        <v>VTRS</v>
      </c>
      <c r="F453" s="249">
        <v>10.81</v>
      </c>
      <c r="G453" s="249">
        <v>10.95</v>
      </c>
      <c r="H453" s="249">
        <v>10.16</v>
      </c>
      <c r="I453" s="249">
        <v>10.9</v>
      </c>
      <c r="J453" s="249">
        <v>10.87</v>
      </c>
      <c r="K453" s="249">
        <v>10.68</v>
      </c>
      <c r="L453" s="249">
        <v>10.56</v>
      </c>
      <c r="M453" s="249">
        <v>10.5962</v>
      </c>
      <c r="N453" s="249">
        <v>10.68</v>
      </c>
      <c r="O453" s="249">
        <v>10.71</v>
      </c>
      <c r="P453" s="249">
        <v>10.71</v>
      </c>
      <c r="Q453" s="249">
        <v>10.76</v>
      </c>
      <c r="R453" s="249">
        <v>10.865</v>
      </c>
      <c r="S453" s="249">
        <v>10.928000000000001</v>
      </c>
      <c r="T453" s="249">
        <v>10.928000000000001</v>
      </c>
      <c r="U453" s="249">
        <v>10.885</v>
      </c>
      <c r="V453" s="249">
        <v>11.02</v>
      </c>
      <c r="W453" s="249">
        <v>11.31</v>
      </c>
      <c r="X453" s="249">
        <v>11.63</v>
      </c>
      <c r="Y453" s="249">
        <v>11.615500000000001</v>
      </c>
      <c r="Z453" s="243">
        <f ca="1">[1]ExtEntry!$J51</f>
        <v>11.615500000000001</v>
      </c>
      <c r="AB453" s="260">
        <v>1550</v>
      </c>
      <c r="AC453" s="260">
        <v>-3125</v>
      </c>
      <c r="AD453" s="260">
        <v>475.00000000001455</v>
      </c>
      <c r="AE453" s="260">
        <v>-7.0923666666666664E-3</v>
      </c>
      <c r="AF453" s="260">
        <v>-9.7391666666666668E-3</v>
      </c>
      <c r="AG453" s="260">
        <v>-1.7614666666666667E-2</v>
      </c>
      <c r="AH453" s="260">
        <v>-4.6756666666666656E-3</v>
      </c>
      <c r="AI453" s="260">
        <v>2.3566666666666644E-4</v>
      </c>
      <c r="AJ453" s="260">
        <v>4.5859999999999928E-4</v>
      </c>
      <c r="AK453" s="260">
        <v>1.0357999999999995E-3</v>
      </c>
      <c r="AL453" s="260">
        <v>5.0568000000000002E-3</v>
      </c>
      <c r="AM453" s="260">
        <v>1.05792E-2</v>
      </c>
      <c r="AN453" s="260">
        <v>5.6584000000000001E-3</v>
      </c>
      <c r="AO453" s="260">
        <v>6.7521999999999999E-3</v>
      </c>
      <c r="AP453" s="260">
        <v>7.6645999999999988E-3</v>
      </c>
      <c r="AQ453" s="260">
        <v>4.7876000000000004E-3</v>
      </c>
      <c r="AR453" s="244">
        <v>6.9183999999999999E-3</v>
      </c>
      <c r="AS453" s="244">
        <v>9.2530000000000008E-3</v>
      </c>
      <c r="AT453" s="244">
        <v>1.35932E-2</v>
      </c>
      <c r="AU453" s="244">
        <v>1.0993180000000002E-2</v>
      </c>
      <c r="AV453" s="244">
        <f t="shared" si="37"/>
        <v>1.0993180000000002E-2</v>
      </c>
      <c r="AX453" s="86" t="str">
        <f t="shared" ca="1" si="36"/>
        <v>VTRS</v>
      </c>
    </row>
    <row r="454" spans="1:50" hidden="1">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c r="A455" s="86" t="str">
        <f t="shared" ca="1" si="35"/>
        <v>XOM</v>
      </c>
      <c r="F455" s="249">
        <v>115.18</v>
      </c>
      <c r="G455" s="249">
        <v>114.9</v>
      </c>
      <c r="H455" s="249">
        <v>117.505</v>
      </c>
      <c r="I455" s="249">
        <v>119.48</v>
      </c>
      <c r="J455" s="249">
        <v>119.48</v>
      </c>
      <c r="K455" s="249">
        <v>117.59010000000001</v>
      </c>
      <c r="L455" s="249">
        <v>119.005</v>
      </c>
      <c r="M455" s="249">
        <v>117.375</v>
      </c>
      <c r="N455" s="249">
        <v>115.73909999999999</v>
      </c>
      <c r="O455" s="249">
        <v>115.73909999999999</v>
      </c>
      <c r="P455" s="249">
        <v>118.74</v>
      </c>
      <c r="Q455" s="249">
        <v>117.41</v>
      </c>
      <c r="R455" s="249">
        <v>116.6</v>
      </c>
      <c r="S455" s="249">
        <v>117.38</v>
      </c>
      <c r="T455" s="249">
        <v>117.98</v>
      </c>
      <c r="U455" s="249">
        <v>118.34</v>
      </c>
      <c r="V455" s="249">
        <v>118.77500000000001</v>
      </c>
      <c r="W455" s="249">
        <v>120.465</v>
      </c>
      <c r="X455" s="249">
        <v>119.86499999999999</v>
      </c>
      <c r="Y455" s="249">
        <v>120.36</v>
      </c>
      <c r="Z455" s="243">
        <f ca="1">[1]ExtEntry!$J53</f>
        <v>120.36</v>
      </c>
      <c r="AB455" s="260">
        <v>285</v>
      </c>
      <c r="AC455" s="260">
        <v>512.5</v>
      </c>
      <c r="AD455" s="260">
        <v>1335</v>
      </c>
      <c r="AE455" s="260">
        <v>9.9069999999999991E-3</v>
      </c>
      <c r="AF455" s="260">
        <v>7.3858333333333319E-3</v>
      </c>
      <c r="AG455" s="260">
        <v>7.4029999999999999E-3</v>
      </c>
      <c r="AH455" s="260">
        <v>5.7571833333333331E-3</v>
      </c>
      <c r="AI455" s="260">
        <v>1.6786999999999998E-3</v>
      </c>
      <c r="AJ455" s="260">
        <v>8.350199999999999E-4</v>
      </c>
      <c r="AK455" s="260">
        <v>-1.0051799999999996E-3</v>
      </c>
      <c r="AL455" s="260">
        <v>3.5224199999999996E-3</v>
      </c>
      <c r="AM455" s="260">
        <v>6.6188200000000001E-3</v>
      </c>
      <c r="AN455" s="260">
        <v>4.4158000000000001E-3</v>
      </c>
      <c r="AO455" s="260">
        <v>5.5128E-3</v>
      </c>
      <c r="AP455" s="260">
        <v>9.2968000000000009E-3</v>
      </c>
      <c r="AQ455" s="260">
        <v>6.5774000000000015E-3</v>
      </c>
      <c r="AR455" s="244">
        <v>3.1552000000000012E-3</v>
      </c>
      <c r="AS455" s="244">
        <v>1.0955400000000001E-2</v>
      </c>
      <c r="AT455" s="244">
        <v>1.0458800000000001E-2</v>
      </c>
      <c r="AU455" s="244">
        <v>6.237330000000001E-3</v>
      </c>
      <c r="AV455" s="244">
        <f t="shared" si="37"/>
        <v>6.237330000000001E-3</v>
      </c>
      <c r="AX455" s="86" t="str">
        <f t="shared" ca="1" si="36"/>
        <v>XOM</v>
      </c>
    </row>
    <row r="456" spans="1:50" hidden="1">
      <c r="A456" s="86" t="str">
        <f t="shared" ca="1" si="35"/>
        <v>XPER</v>
      </c>
      <c r="F456" s="249">
        <v>6.78</v>
      </c>
      <c r="G456" s="249">
        <v>7.4349999999999996</v>
      </c>
      <c r="H456" s="249">
        <v>6.82</v>
      </c>
      <c r="I456" s="249">
        <v>6.32</v>
      </c>
      <c r="J456" s="249">
        <v>5.9950000000000001</v>
      </c>
      <c r="K456" s="249">
        <v>5.875</v>
      </c>
      <c r="L456" s="249">
        <v>5.75</v>
      </c>
      <c r="M456" s="249">
        <v>5.71</v>
      </c>
      <c r="N456" s="249">
        <v>5.73</v>
      </c>
      <c r="O456" s="249">
        <v>5.7750000000000004</v>
      </c>
      <c r="P456" s="249">
        <v>5.84</v>
      </c>
      <c r="Q456" s="249">
        <v>5.7549999999999999</v>
      </c>
      <c r="R456" s="249">
        <v>5.875</v>
      </c>
      <c r="S456" s="249">
        <v>5.8849999999999998</v>
      </c>
      <c r="T456" s="249">
        <v>6.01</v>
      </c>
      <c r="U456" s="249">
        <v>6.06</v>
      </c>
      <c r="V456" s="249">
        <v>6.03</v>
      </c>
      <c r="W456" s="249">
        <v>6.17</v>
      </c>
      <c r="X456" s="249">
        <v>6.3</v>
      </c>
      <c r="Y456" s="249">
        <v>6.26</v>
      </c>
      <c r="Z456" s="243">
        <f ca="1">[1]ExtEntry!$J54</f>
        <v>6.26</v>
      </c>
      <c r="AB456" s="263">
        <v>3400</v>
      </c>
      <c r="AC456" s="263">
        <v>-300</v>
      </c>
      <c r="AD456" s="263">
        <v>-2065</v>
      </c>
      <c r="AE456" s="263">
        <v>-5.7035000000000002E-3</v>
      </c>
      <c r="AF456" s="263">
        <v>-3.7445000000000009E-3</v>
      </c>
      <c r="AG456" s="263">
        <v>-1.7119166666666668E-2</v>
      </c>
      <c r="AH456" s="263">
        <v>-1.3781833333333333E-2</v>
      </c>
      <c r="AI456" s="263">
        <v>-1.4866666666666731E-4</v>
      </c>
      <c r="AJ456" s="263">
        <v>-4.9670599999999997E-3</v>
      </c>
      <c r="AK456" s="263">
        <v>7.8173999999999984E-4</v>
      </c>
      <c r="AL456" s="263">
        <v>6.9913399999999987E-3</v>
      </c>
      <c r="AM456" s="263">
        <v>9.0093399999999994E-3</v>
      </c>
      <c r="AN456" s="263">
        <v>6.1675399999999991E-3</v>
      </c>
      <c r="AO456" s="263">
        <v>5.6499999999999996E-3</v>
      </c>
      <c r="AP456" s="263">
        <v>1.0078599999999998E-2</v>
      </c>
      <c r="AQ456" s="263">
        <v>5.0029999999999988E-3</v>
      </c>
      <c r="AR456" s="244">
        <v>1.25284E-2</v>
      </c>
      <c r="AS456" s="244">
        <v>9.7196000000000001E-3</v>
      </c>
      <c r="AT456" s="244">
        <v>1.3313999999999998E-2</v>
      </c>
      <c r="AU456" s="244">
        <v>4.9546E-3</v>
      </c>
      <c r="AV456" s="244">
        <f t="shared" si="37"/>
        <v>4.9546E-3</v>
      </c>
      <c r="AX456" s="86" t="str">
        <f t="shared" ca="1" si="36"/>
        <v>XPER</v>
      </c>
    </row>
    <row r="457" spans="1:50" hidden="1">
      <c r="A457" s="86" t="str">
        <f t="shared" ca="1" si="35"/>
        <v>MVEALDNE</v>
      </c>
      <c r="F457" s="249">
        <v>0.79800000000000004</v>
      </c>
      <c r="G457" s="249">
        <v>0.79800000000000004</v>
      </c>
      <c r="H457" s="249">
        <v>0.78200000000000003</v>
      </c>
      <c r="I457" s="249">
        <v>0.72</v>
      </c>
      <c r="J457" s="249">
        <v>0.68200000000000005</v>
      </c>
      <c r="K457" s="249">
        <v>0.68799999999999994</v>
      </c>
      <c r="L457" s="249">
        <v>0.69</v>
      </c>
      <c r="M457" s="249">
        <v>0.67400000000000004</v>
      </c>
      <c r="N457" s="249">
        <v>0.69</v>
      </c>
      <c r="O457" s="249">
        <v>0.64</v>
      </c>
      <c r="P457" s="249">
        <v>0.63200000000000001</v>
      </c>
      <c r="Q457" s="249">
        <v>0.62</v>
      </c>
      <c r="R457" s="249">
        <v>0.628</v>
      </c>
      <c r="S457" s="249">
        <v>0.628</v>
      </c>
      <c r="T457" s="249">
        <v>0.628</v>
      </c>
      <c r="U457" s="249">
        <v>0.63</v>
      </c>
      <c r="V457" s="249">
        <v>0.628</v>
      </c>
      <c r="W457" s="249">
        <v>0.61799999999999999</v>
      </c>
      <c r="X457" s="249">
        <v>0.59799999999999998</v>
      </c>
      <c r="Y457" s="249">
        <v>0.59</v>
      </c>
      <c r="Z457" s="243">
        <f ca="1">[1]ExtEntry!$J55</f>
        <v>0.59</v>
      </c>
      <c r="AB457" s="260">
        <v>-2020</v>
      </c>
      <c r="AC457" s="260">
        <v>0</v>
      </c>
      <c r="AD457" s="260">
        <v>-1010</v>
      </c>
      <c r="AE457" s="260">
        <v>-1.7064166666666665E-2</v>
      </c>
      <c r="AF457" s="260">
        <v>-1.4681333333333333E-2</v>
      </c>
      <c r="AG457" s="260">
        <v>-1.9949333333333333E-2</v>
      </c>
      <c r="AH457" s="260">
        <v>-2.12555E-2</v>
      </c>
      <c r="AI457" s="260">
        <v>-2.382316666666667E-2</v>
      </c>
      <c r="AJ457" s="260">
        <v>-1.6000999999999998E-2</v>
      </c>
      <c r="AK457" s="260">
        <v>-2.11094E-2</v>
      </c>
      <c r="AL457" s="260">
        <v>-2.8623599999999999E-2</v>
      </c>
      <c r="AM457" s="260">
        <v>-1.81738E-2</v>
      </c>
      <c r="AN457" s="260">
        <v>-1.39338E-2</v>
      </c>
      <c r="AO457" s="260">
        <v>-5.3472000000000007E-3</v>
      </c>
      <c r="AP457" s="260">
        <v>4.6378000000000001E-3</v>
      </c>
      <c r="AQ457" s="260">
        <v>7.8820000000000001E-3</v>
      </c>
      <c r="AR457" s="244">
        <v>3.2461999999999999E-3</v>
      </c>
      <c r="AS457" s="244">
        <v>2.5989999999999997E-3</v>
      </c>
      <c r="AT457" s="244">
        <v>2.7302000000000003E-3</v>
      </c>
      <c r="AU457" s="244">
        <v>-1.5258799999999998E-2</v>
      </c>
      <c r="AV457" s="244">
        <f t="shared" si="37"/>
        <v>-1.5258799999999998E-2</v>
      </c>
      <c r="AX457" s="86" t="str">
        <f t="shared" ca="1" si="36"/>
        <v>MVEALDNE</v>
      </c>
    </row>
    <row r="458" spans="1:50" hidden="1">
      <c r="A458" s="86" t="str">
        <f t="shared" ca="1" si="35"/>
        <v>MVEDDD</v>
      </c>
      <c r="F458" s="249">
        <v>2.6949999999999998</v>
      </c>
      <c r="G458" s="249">
        <v>2.65</v>
      </c>
      <c r="H458" s="249">
        <v>2.27</v>
      </c>
      <c r="I458" s="249">
        <v>2.23</v>
      </c>
      <c r="J458" s="249">
        <v>2.105</v>
      </c>
      <c r="K458" s="249">
        <v>2.1899000000000002</v>
      </c>
      <c r="L458" s="249">
        <v>2.0449999999999999</v>
      </c>
      <c r="M458" s="249">
        <v>1.97</v>
      </c>
      <c r="N458" s="249">
        <v>2.0699999999999998</v>
      </c>
      <c r="O458" s="249">
        <v>2.1</v>
      </c>
      <c r="P458" s="249">
        <v>2.1</v>
      </c>
      <c r="Q458" s="249">
        <v>2.0499000000000001</v>
      </c>
      <c r="R458" s="249">
        <v>2.085</v>
      </c>
      <c r="S458" s="249">
        <v>2.11</v>
      </c>
      <c r="T458" s="249">
        <v>2.21</v>
      </c>
      <c r="U458" s="249">
        <v>2.2400000000000002</v>
      </c>
      <c r="V458" s="249">
        <v>2.2578</v>
      </c>
      <c r="W458" s="249">
        <v>1.84</v>
      </c>
      <c r="X458" s="249">
        <v>1.8459000000000001</v>
      </c>
      <c r="Y458" s="249">
        <v>2</v>
      </c>
      <c r="Z458" s="243">
        <f ca="1">[1]ExtEntry!$J56</f>
        <v>2</v>
      </c>
      <c r="AB458" s="263">
        <v>1550</v>
      </c>
      <c r="AC458" s="263">
        <v>-2100</v>
      </c>
      <c r="AD458" s="263">
        <v>500</v>
      </c>
      <c r="AE458" s="263">
        <v>-3.4574333333333339E-2</v>
      </c>
      <c r="AF458" s="263">
        <v>-2.7403000000000007E-2</v>
      </c>
      <c r="AG458" s="263">
        <v>-3.4548166666666671E-2</v>
      </c>
      <c r="AH458" s="263">
        <v>-6.3893333333333337E-3</v>
      </c>
      <c r="AI458" s="263">
        <v>2.1469999999999983E-3</v>
      </c>
      <c r="AJ458" s="263">
        <v>-3.9598000000000012E-3</v>
      </c>
      <c r="AK458" s="263">
        <v>-9.8960000000000064E-4</v>
      </c>
      <c r="AL458" s="263">
        <v>6.2973999999999999E-3</v>
      </c>
      <c r="AM458" s="263">
        <v>9.1868000000000019E-3</v>
      </c>
      <c r="AN458" s="263">
        <v>6.1654000000000014E-3</v>
      </c>
      <c r="AO458" s="263">
        <v>8.1116000000000001E-3</v>
      </c>
      <c r="AP458" s="263">
        <v>2.0827600000000002E-2</v>
      </c>
      <c r="AQ458" s="263">
        <v>1.8263399999999999E-2</v>
      </c>
      <c r="AR458" s="244">
        <v>1.7474999999999997E-2</v>
      </c>
      <c r="AS458" s="244">
        <v>-2.1797399999999995E-2</v>
      </c>
      <c r="AT458" s="244">
        <v>-2.5228799999999996E-2</v>
      </c>
      <c r="AU458" s="244">
        <v>-1.8881199999999994E-2</v>
      </c>
      <c r="AV458" s="244">
        <f t="shared" si="37"/>
        <v>-1.8881199999999994E-2</v>
      </c>
      <c r="AX458" s="86" t="str">
        <f t="shared" ca="1" si="36"/>
        <v>MVEDDD</v>
      </c>
    </row>
    <row r="459" spans="1:50" hidden="1">
      <c r="A459" s="86" t="str">
        <f t="shared" ca="1" si="35"/>
        <v>MVEDSY</v>
      </c>
      <c r="F459" s="249">
        <v>24.12</v>
      </c>
      <c r="G459" s="249">
        <v>23.92</v>
      </c>
      <c r="H459" s="249">
        <v>23.48</v>
      </c>
      <c r="I459" s="249">
        <v>24.04</v>
      </c>
      <c r="J459" s="249">
        <v>23.23</v>
      </c>
      <c r="K459" s="249">
        <v>23.56</v>
      </c>
      <c r="L459" s="249">
        <v>23.55</v>
      </c>
      <c r="M459" s="249">
        <v>23.8</v>
      </c>
      <c r="N459" s="249">
        <v>24.18</v>
      </c>
      <c r="O459" s="249">
        <v>24.32</v>
      </c>
      <c r="P459" s="249">
        <v>24.18</v>
      </c>
      <c r="Q459" s="249">
        <v>24.04</v>
      </c>
      <c r="R459" s="249">
        <v>23.84</v>
      </c>
      <c r="S459" s="249">
        <v>23.44</v>
      </c>
      <c r="T459" s="249">
        <v>23.44</v>
      </c>
      <c r="U459" s="249">
        <v>24</v>
      </c>
      <c r="V459" s="249">
        <v>23.99</v>
      </c>
      <c r="W459" s="249">
        <v>23.58</v>
      </c>
      <c r="X459" s="249">
        <v>23.32</v>
      </c>
      <c r="Y459" s="249">
        <v>23.36</v>
      </c>
      <c r="Z459" s="243">
        <f ca="1">[1]ExtEntry!$J57</f>
        <v>23.36</v>
      </c>
      <c r="AB459" s="260">
        <v>8760</v>
      </c>
      <c r="AC459" s="260">
        <v>-3120</v>
      </c>
      <c r="AD459" s="260">
        <v>4080</v>
      </c>
      <c r="AE459" s="260">
        <v>-8.7590666666666674E-3</v>
      </c>
      <c r="AF459" s="260">
        <v>-5.1317333333333335E-3</v>
      </c>
      <c r="AG459" s="260">
        <v>-5.1433999999999985E-3</v>
      </c>
      <c r="AH459" s="260">
        <v>1.0757666666666662E-3</v>
      </c>
      <c r="AI459" s="260">
        <v>1.7175999999999997E-3</v>
      </c>
      <c r="AJ459" s="260">
        <v>4.1701199999999994E-3</v>
      </c>
      <c r="AK459" s="260">
        <v>4.2563999999999996E-3</v>
      </c>
      <c r="AL459" s="260">
        <v>2.1995999999999999E-3</v>
      </c>
      <c r="AM459" s="260">
        <v>5.5599999999999985E-4</v>
      </c>
      <c r="AN459" s="260">
        <v>-4.5078000000000002E-3</v>
      </c>
      <c r="AO459" s="260">
        <v>-6.1792000000000001E-3</v>
      </c>
      <c r="AP459" s="260">
        <v>-6.2645999999999995E-3</v>
      </c>
      <c r="AQ459" s="260">
        <v>-2.9431999999999995E-3</v>
      </c>
      <c r="AR459" s="244">
        <v>-6.1803999999999993E-4</v>
      </c>
      <c r="AS459" s="244">
        <v>1.6265600000000002E-3</v>
      </c>
      <c r="AT459" s="244">
        <v>-1.1146399999999996E-3</v>
      </c>
      <c r="AU459" s="244">
        <v>-7.3639999999999993E-5</v>
      </c>
      <c r="AV459" s="244">
        <f t="shared" si="37"/>
        <v>-7.3639999999999993E-5</v>
      </c>
      <c r="AX459" s="86" t="str">
        <f t="shared" ca="1" si="36"/>
        <v>MVEDSY</v>
      </c>
    </row>
    <row r="460" spans="1:50" hidden="1">
      <c r="A460" s="86" t="str">
        <f t="shared" ca="1" si="35"/>
        <v>MVEEOAN</v>
      </c>
      <c r="F460" s="249">
        <v>16.05</v>
      </c>
      <c r="G460" s="249">
        <v>16.2</v>
      </c>
      <c r="H460" s="249">
        <v>16.155000000000001</v>
      </c>
      <c r="I460" s="249">
        <v>15.3</v>
      </c>
      <c r="J460" s="249">
        <v>15.315</v>
      </c>
      <c r="K460" s="249">
        <v>15.49</v>
      </c>
      <c r="L460" s="249">
        <v>15.43</v>
      </c>
      <c r="M460" s="249">
        <v>15.55</v>
      </c>
      <c r="N460" s="249">
        <v>15.475</v>
      </c>
      <c r="O460" s="249">
        <v>15.46</v>
      </c>
      <c r="P460" s="249">
        <v>15.324999999999999</v>
      </c>
      <c r="Q460" s="249">
        <v>15.365</v>
      </c>
      <c r="R460" s="249">
        <v>15.335000000000001</v>
      </c>
      <c r="S460" s="249">
        <v>15.74</v>
      </c>
      <c r="T460" s="249">
        <v>15.86</v>
      </c>
      <c r="U460" s="249">
        <v>15.8</v>
      </c>
      <c r="V460" s="249">
        <v>15.565</v>
      </c>
      <c r="W460" s="249">
        <v>15.63</v>
      </c>
      <c r="X460" s="249">
        <v>15.725</v>
      </c>
      <c r="Y460" s="249">
        <v>15.5</v>
      </c>
      <c r="Z460" s="243">
        <f ca="1">[1]ExtEntry!$J58</f>
        <v>15.5</v>
      </c>
      <c r="AB460" s="263">
        <v>1.5</v>
      </c>
      <c r="AC460" s="263">
        <v>0.30000000000001137</v>
      </c>
      <c r="AD460" s="263">
        <v>-2.1499999999999773</v>
      </c>
      <c r="AE460" s="263">
        <v>1.0411666666666666E-3</v>
      </c>
      <c r="AF460" s="263">
        <v>2.3344999999999998E-3</v>
      </c>
      <c r="AG460" s="263">
        <v>2.491666666666668E-4</v>
      </c>
      <c r="AH460" s="263">
        <v>1.453833333333333E-3</v>
      </c>
      <c r="AI460" s="263">
        <v>2.7108333333333329E-3</v>
      </c>
      <c r="AJ460" s="263">
        <v>2.1459999999999999E-3</v>
      </c>
      <c r="AK460" s="263">
        <v>1.7038000000000001E-3</v>
      </c>
      <c r="AL460" s="263">
        <v>2.42136E-3</v>
      </c>
      <c r="AM460" s="263">
        <v>-2.5624000000000014E-4</v>
      </c>
      <c r="AN460" s="263">
        <v>-1.2214400000000003E-3</v>
      </c>
      <c r="AO460" s="263">
        <v>3.7569599999999993E-3</v>
      </c>
      <c r="AP460" s="263">
        <v>1.3157160000000001E-2</v>
      </c>
      <c r="AQ460" s="263">
        <v>9.5564000000000014E-3</v>
      </c>
      <c r="AR460" s="244">
        <v>8.9384000000000009E-3</v>
      </c>
      <c r="AS460" s="244">
        <v>8.9218000000000006E-3</v>
      </c>
      <c r="AT460" s="244">
        <v>2.3910000000000008E-3</v>
      </c>
      <c r="AU460" s="244">
        <v>-1.1756600000000001E-2</v>
      </c>
      <c r="AV460" s="244">
        <f t="shared" si="37"/>
        <v>-1.1756600000000001E-2</v>
      </c>
      <c r="AX460" s="86" t="str">
        <f t="shared" ca="1" si="36"/>
        <v>MVEEOAN</v>
      </c>
    </row>
    <row r="461" spans="1:50" hidden="1">
      <c r="A461" s="86" t="str">
        <f t="shared" ca="1" si="35"/>
        <v>MVEENI</v>
      </c>
      <c r="F461" s="249">
        <v>15.986000000000001</v>
      </c>
      <c r="G461" s="249">
        <v>15.994</v>
      </c>
      <c r="H461" s="249">
        <v>16.047999999999998</v>
      </c>
      <c r="I461" s="249">
        <v>16.495999999999999</v>
      </c>
      <c r="J461" s="249">
        <v>16.48</v>
      </c>
      <c r="K461" s="249">
        <v>16.48</v>
      </c>
      <c r="L461" s="249">
        <v>16.408000000000001</v>
      </c>
      <c r="M461" s="249">
        <v>16.141999999999999</v>
      </c>
      <c r="N461" s="249">
        <v>16.001999999999999</v>
      </c>
      <c r="O461" s="249">
        <v>15.988</v>
      </c>
      <c r="P461" s="249">
        <v>16.149999999999999</v>
      </c>
      <c r="Q461" s="249">
        <v>16.204000000000001</v>
      </c>
      <c r="R461" s="249">
        <v>16.262</v>
      </c>
      <c r="S461" s="249">
        <v>16.417999999999999</v>
      </c>
      <c r="T461" s="249">
        <v>16.417999999999999</v>
      </c>
      <c r="U461" s="249">
        <v>16.422000000000001</v>
      </c>
      <c r="V461" s="249">
        <v>16.154</v>
      </c>
      <c r="W461" s="249">
        <v>16.196000000000002</v>
      </c>
      <c r="X461" s="249">
        <v>16.222000000000001</v>
      </c>
      <c r="Y461" s="249">
        <v>16.05</v>
      </c>
      <c r="Z461" s="243">
        <f ca="1">[1]ExtEntry!$J59</f>
        <v>16.05</v>
      </c>
      <c r="AB461" s="260">
        <v>4104</v>
      </c>
      <c r="AC461" s="260">
        <v>144</v>
      </c>
      <c r="AD461" s="260">
        <v>-5904</v>
      </c>
      <c r="AE461" s="260">
        <v>2.6103333333333335E-4</v>
      </c>
      <c r="AF461" s="260">
        <v>-4.4329999999999993E-4</v>
      </c>
      <c r="AG461" s="260">
        <v>-2.4946666666666675E-4</v>
      </c>
      <c r="AH461" s="260">
        <v>-2.0861333333333336E-3</v>
      </c>
      <c r="AI461" s="260">
        <v>-3.964466666666667E-3</v>
      </c>
      <c r="AJ461" s="260">
        <v>1.4058E-3</v>
      </c>
      <c r="AK461" s="260">
        <v>3.3780000000000008E-4</v>
      </c>
      <c r="AL461" s="260">
        <v>4.2456000000000004E-3</v>
      </c>
      <c r="AM461" s="260">
        <v>3.8539999999999998E-3</v>
      </c>
      <c r="AN461" s="260">
        <v>6.4322200000000006E-3</v>
      </c>
      <c r="AO461" s="260">
        <v>4.0118200000000001E-3</v>
      </c>
      <c r="AP461" s="260">
        <v>6.738619999999999E-3</v>
      </c>
      <c r="AQ461" s="260">
        <v>4.1781600000000002E-3</v>
      </c>
      <c r="AR461" s="244">
        <v>5.7436000000000054E-4</v>
      </c>
      <c r="AS461" s="244">
        <v>9.4853999999999978E-4</v>
      </c>
      <c r="AT461" s="244">
        <v>-1.7012600000000002E-3</v>
      </c>
      <c r="AU461" s="244">
        <v>-5.1012599999999998E-3</v>
      </c>
      <c r="AV461" s="244">
        <f t="shared" si="37"/>
        <v>-5.1012599999999998E-3</v>
      </c>
      <c r="AX461" s="86" t="str">
        <f t="shared" ca="1" si="36"/>
        <v>MVEENI</v>
      </c>
    </row>
    <row r="462" spans="1:50" hidden="1">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c r="A463" s="86" t="str">
        <f t="shared" ca="1" si="35"/>
        <v>MVEGLE</v>
      </c>
      <c r="F463" s="249">
        <v>54.76</v>
      </c>
      <c r="G463" s="249">
        <v>56.3</v>
      </c>
      <c r="H463" s="249">
        <v>56.12</v>
      </c>
      <c r="I463" s="249">
        <v>58.84</v>
      </c>
      <c r="J463" s="249">
        <v>56.54</v>
      </c>
      <c r="K463" s="249">
        <v>57.38</v>
      </c>
      <c r="L463" s="249">
        <v>58.2</v>
      </c>
      <c r="M463" s="249">
        <v>56.8</v>
      </c>
      <c r="N463" s="249">
        <v>59.78</v>
      </c>
      <c r="O463" s="249">
        <v>60.08</v>
      </c>
      <c r="P463" s="249">
        <v>60.2</v>
      </c>
      <c r="Q463" s="249">
        <v>60.36</v>
      </c>
      <c r="R463" s="249">
        <v>61.1</v>
      </c>
      <c r="S463" s="249">
        <v>61.26</v>
      </c>
      <c r="T463" s="249">
        <v>61.26</v>
      </c>
      <c r="U463" s="249">
        <v>62.5</v>
      </c>
      <c r="V463" s="249">
        <v>63.26</v>
      </c>
      <c r="W463" s="249">
        <v>63.34</v>
      </c>
      <c r="X463" s="249">
        <v>63.68</v>
      </c>
      <c r="Y463" s="249">
        <v>64.459999999999994</v>
      </c>
      <c r="Z463" s="243">
        <f ca="1">[1]ExtEntry!$J61</f>
        <v>64.459999999999994</v>
      </c>
      <c r="AB463" s="260">
        <v>6580</v>
      </c>
      <c r="AC463" s="260">
        <v>6860</v>
      </c>
      <c r="AD463" s="260">
        <v>-15540</v>
      </c>
      <c r="AE463" s="260">
        <v>-4.5008333333333324E-3</v>
      </c>
      <c r="AF463" s="260">
        <v>-2.949666666666666E-3</v>
      </c>
      <c r="AG463" s="260">
        <v>-1.3728333333333325E-3</v>
      </c>
      <c r="AH463" s="260">
        <v>-7.465499999999999E-3</v>
      </c>
      <c r="AI463" s="260">
        <v>-6.5549999999999992E-3</v>
      </c>
      <c r="AJ463" s="260">
        <v>3.3050000000000002E-3</v>
      </c>
      <c r="AK463" s="260">
        <v>5.7120000000000001E-3</v>
      </c>
      <c r="AL463" s="260">
        <v>4.6415600000000003E-3</v>
      </c>
      <c r="AM463" s="260">
        <v>1.7955600000000003E-3</v>
      </c>
      <c r="AN463" s="260">
        <v>9.34836E-3</v>
      </c>
      <c r="AO463" s="260">
        <v>3.85616E-3</v>
      </c>
      <c r="AP463" s="260">
        <v>7.4276000000000029E-4</v>
      </c>
      <c r="AQ463" s="260">
        <v>7.1523999999999989E-3</v>
      </c>
      <c r="AR463" s="244">
        <v>4.8143999999999991E-3</v>
      </c>
      <c r="AS463" s="244">
        <v>1.220999999999999E-3</v>
      </c>
      <c r="AT463" s="244">
        <v>4.4408E-3</v>
      </c>
      <c r="AU463" s="244">
        <v>8.9821999999999992E-3</v>
      </c>
      <c r="AV463" s="244">
        <f t="shared" si="37"/>
        <v>8.9821999999999992E-3</v>
      </c>
      <c r="AX463" s="86" t="str">
        <f t="shared" ca="1" si="36"/>
        <v>MVEGLE</v>
      </c>
    </row>
    <row r="464" spans="1:50" hidden="1">
      <c r="A464" s="86" t="str">
        <f t="shared" ca="1" si="35"/>
        <v>MVEORA</v>
      </c>
      <c r="F464" s="249">
        <v>13.86</v>
      </c>
      <c r="G464" s="249">
        <v>13.94</v>
      </c>
      <c r="H464" s="249">
        <v>14.27</v>
      </c>
      <c r="I464" s="249">
        <v>14.36</v>
      </c>
      <c r="J464" s="249">
        <v>13.994999999999999</v>
      </c>
      <c r="K464" s="249">
        <v>13.994999999999999</v>
      </c>
      <c r="L464" s="249">
        <v>13.8</v>
      </c>
      <c r="M464" s="249">
        <v>13.945</v>
      </c>
      <c r="N464" s="249">
        <v>14.105</v>
      </c>
      <c r="O464" s="249">
        <v>14.125</v>
      </c>
      <c r="P464" s="249">
        <v>14.234999999999999</v>
      </c>
      <c r="Q464" s="249">
        <v>14.26</v>
      </c>
      <c r="R464" s="249">
        <v>14.08</v>
      </c>
      <c r="S464" s="249">
        <v>14.12</v>
      </c>
      <c r="T464" s="249">
        <v>14.12</v>
      </c>
      <c r="U464" s="249">
        <v>14.105</v>
      </c>
      <c r="V464" s="249">
        <v>14.03</v>
      </c>
      <c r="W464" s="249">
        <v>13.79</v>
      </c>
      <c r="X464" s="249">
        <v>13.69</v>
      </c>
      <c r="Y464" s="249">
        <v>13.75</v>
      </c>
      <c r="Z464" s="243">
        <f ca="1">[1]ExtEntry!$J62</f>
        <v>13.75</v>
      </c>
      <c r="AB464" s="263">
        <v>3861</v>
      </c>
      <c r="AC464" s="263">
        <v>3663</v>
      </c>
      <c r="AD464" s="263">
        <v>4455</v>
      </c>
      <c r="AE464" s="263">
        <v>-3.0888333333333328E-3</v>
      </c>
      <c r="AF464" s="263">
        <v>-3.5536666666666655E-3</v>
      </c>
      <c r="AG464" s="263">
        <v>-5.004999999999999E-3</v>
      </c>
      <c r="AH464" s="263">
        <v>-4.2618333333333336E-3</v>
      </c>
      <c r="AI464" s="263">
        <v>-3.4746666666666671E-3</v>
      </c>
      <c r="AJ464" s="263">
        <v>-2.5852000000000006E-3</v>
      </c>
      <c r="AK464" s="263">
        <v>1.5669999999999989E-3</v>
      </c>
      <c r="AL464" s="263">
        <v>5.4223999999999991E-3</v>
      </c>
      <c r="AM464" s="263">
        <v>6.5297999999999997E-3</v>
      </c>
      <c r="AN464" s="263">
        <v>5.6072000000000006E-3</v>
      </c>
      <c r="AO464" s="263">
        <v>4.1055199999999997E-3</v>
      </c>
      <c r="AP464" s="263">
        <v>4.0347200000000003E-3</v>
      </c>
      <c r="AQ464" s="263">
        <v>1.9771199999999997E-3</v>
      </c>
      <c r="AR464" s="244">
        <v>-1.5226799999999996E-3</v>
      </c>
      <c r="AS464" s="244">
        <v>-4.6999400000000005E-3</v>
      </c>
      <c r="AT464" s="244">
        <v>-5.3580600000000004E-3</v>
      </c>
      <c r="AU464" s="244">
        <v>-4.5466600000000001E-3</v>
      </c>
      <c r="AV464" s="244">
        <f t="shared" si="37"/>
        <v>-4.5466600000000001E-3</v>
      </c>
      <c r="AX464" s="86" t="str">
        <f t="shared" ca="1" si="36"/>
        <v>MVEORA</v>
      </c>
    </row>
    <row r="465" spans="1:50" hidden="1">
      <c r="A465" s="86" t="str">
        <f t="shared" ca="1" si="35"/>
        <v>MVERWE</v>
      </c>
      <c r="F465" s="249">
        <v>42.61</v>
      </c>
      <c r="G465" s="249">
        <v>43.77</v>
      </c>
      <c r="H465" s="249">
        <v>43.33</v>
      </c>
      <c r="I465" s="249">
        <v>45.5</v>
      </c>
      <c r="J465" s="249">
        <v>44.96</v>
      </c>
      <c r="K465" s="249">
        <v>44.96</v>
      </c>
      <c r="L465" s="249">
        <v>45.1</v>
      </c>
      <c r="M465" s="249">
        <v>44.73</v>
      </c>
      <c r="N465" s="249">
        <v>44.26</v>
      </c>
      <c r="O465" s="249">
        <v>44.06</v>
      </c>
      <c r="P465" s="249">
        <v>43.72</v>
      </c>
      <c r="Q465" s="249">
        <v>43.8</v>
      </c>
      <c r="R465" s="249">
        <v>43.43</v>
      </c>
      <c r="S465" s="249">
        <v>44.11</v>
      </c>
      <c r="T465" s="249">
        <v>44.11</v>
      </c>
      <c r="U465" s="249">
        <v>43.84</v>
      </c>
      <c r="V465" s="249">
        <v>43.52</v>
      </c>
      <c r="W465" s="249">
        <v>43.69</v>
      </c>
      <c r="X465" s="249">
        <v>43.69</v>
      </c>
      <c r="Y465" s="249">
        <v>43.53</v>
      </c>
      <c r="Z465" s="243">
        <f ca="1">[1]ExtEntry!$J63</f>
        <v>43.53</v>
      </c>
      <c r="AB465" s="260">
        <v>0.19000000000000483</v>
      </c>
      <c r="AC465" s="260">
        <v>0.65999999999999659</v>
      </c>
      <c r="AD465" s="260">
        <v>-0.86000000000000654</v>
      </c>
      <c r="AE465" s="260">
        <v>-1.3981666666666665E-3</v>
      </c>
      <c r="AF465" s="260">
        <v>-3.114E-3</v>
      </c>
      <c r="AG465" s="260">
        <v>-2.2666666666666668E-4</v>
      </c>
      <c r="AH465" s="260">
        <v>-4.2273333333333338E-3</v>
      </c>
      <c r="AI465" s="260">
        <v>-5.5370000000000003E-3</v>
      </c>
      <c r="AJ465" s="260">
        <v>-8.0600000000000116E-5</v>
      </c>
      <c r="AK465" s="260">
        <v>-1.6781999999999999E-3</v>
      </c>
      <c r="AL465" s="260">
        <v>3.4495999999999997E-3</v>
      </c>
      <c r="AM465" s="260">
        <v>-2.9373999999999997E-3</v>
      </c>
      <c r="AN465" s="260">
        <v>-5.3039999999999977E-4</v>
      </c>
      <c r="AO465" s="260">
        <v>-3.2999999999999973E-4</v>
      </c>
      <c r="AP465" s="260">
        <v>4.2148000000000003E-3</v>
      </c>
      <c r="AQ465" s="260">
        <v>2.8364000000000002E-3</v>
      </c>
      <c r="AR465" s="244">
        <v>2.3634000000000003E-3</v>
      </c>
      <c r="AS465" s="244">
        <v>4.7724000000000004E-3</v>
      </c>
      <c r="AT465" s="244">
        <v>7.553999999999996E-4</v>
      </c>
      <c r="AU465" s="244">
        <v>-1.3654000000000003E-3</v>
      </c>
      <c r="AV465" s="244">
        <f t="shared" si="37"/>
        <v>-1.3654000000000003E-3</v>
      </c>
      <c r="AX465" s="86" t="str">
        <f t="shared" ca="1" si="36"/>
        <v>MVERWE</v>
      </c>
    </row>
    <row r="466" spans="1:50" hidden="1">
      <c r="A466" s="86" t="str">
        <f t="shared" ca="1" si="35"/>
        <v>MVESAP</v>
      </c>
      <c r="F466" s="249">
        <v>229.95</v>
      </c>
      <c r="G466" s="249">
        <v>226.85</v>
      </c>
      <c r="H466" s="249">
        <v>220</v>
      </c>
      <c r="I466" s="249">
        <v>214.2</v>
      </c>
      <c r="J466" s="249">
        <v>206.1</v>
      </c>
      <c r="K466" s="249">
        <v>207.55</v>
      </c>
      <c r="L466" s="249">
        <v>209.6</v>
      </c>
      <c r="M466" s="249">
        <v>208.2</v>
      </c>
      <c r="N466" s="249">
        <v>206.95</v>
      </c>
      <c r="O466" s="249">
        <v>208.75</v>
      </c>
      <c r="P466" s="249">
        <v>209.45</v>
      </c>
      <c r="Q466" s="249">
        <v>209.9</v>
      </c>
      <c r="R466" s="249">
        <v>209.45</v>
      </c>
      <c r="S466" s="249">
        <v>210.4</v>
      </c>
      <c r="T466" s="249">
        <v>210.4</v>
      </c>
      <c r="U466" s="249">
        <v>213.5</v>
      </c>
      <c r="V466" s="249">
        <v>214.75</v>
      </c>
      <c r="W466" s="249">
        <v>211</v>
      </c>
      <c r="X466" s="249">
        <v>211.1</v>
      </c>
      <c r="Y466" s="249">
        <v>211.1</v>
      </c>
      <c r="Z466" s="243">
        <f ca="1">[1]ExtEntry!$J64</f>
        <v>211.1</v>
      </c>
      <c r="AB466" s="263">
        <v>4370.9000000000087</v>
      </c>
      <c r="AC466" s="263">
        <v>-3689.1999999999971</v>
      </c>
      <c r="AD466" s="263">
        <v>-1684.1999999999825</v>
      </c>
      <c r="AE466" s="263">
        <v>-1.5057833333333333E-2</v>
      </c>
      <c r="AF466" s="263">
        <v>-1.2896916666666666E-2</v>
      </c>
      <c r="AG466" s="263">
        <v>-1.3405583333333334E-2</v>
      </c>
      <c r="AH466" s="263">
        <v>-7.3847499999999998E-3</v>
      </c>
      <c r="AI466" s="263">
        <v>-6.9165833333333327E-3</v>
      </c>
      <c r="AJ466" s="263">
        <v>1.4741000000000003E-3</v>
      </c>
      <c r="AK466" s="263">
        <v>1.7643000000000003E-3</v>
      </c>
      <c r="AL466" s="263">
        <v>3.1158000000000002E-3</v>
      </c>
      <c r="AM466" s="263">
        <v>2.3808000000000002E-3</v>
      </c>
      <c r="AN466" s="263">
        <v>2.9243999999999997E-3</v>
      </c>
      <c r="AO466" s="263">
        <v>5.4079999999999992E-4</v>
      </c>
      <c r="AP466" s="263">
        <v>-1.0484000000000001E-3</v>
      </c>
      <c r="AQ466" s="263">
        <v>9.8919999999999976E-4</v>
      </c>
      <c r="AR466" s="244">
        <v>3.6037999999999999E-3</v>
      </c>
      <c r="AS466" s="244">
        <v>4.5138000000000001E-3</v>
      </c>
      <c r="AT466" s="244">
        <v>5.9959999999999996E-3</v>
      </c>
      <c r="AU466" s="244">
        <v>5.7305999999999998E-3</v>
      </c>
      <c r="AV466" s="244">
        <f t="shared" si="37"/>
        <v>5.7305999999999998E-3</v>
      </c>
      <c r="AX466" s="86" t="str">
        <f t="shared" ca="1" si="36"/>
        <v>MVESAP</v>
      </c>
    </row>
    <row r="467" spans="1:50" hidden="1">
      <c r="A467" s="86" t="str">
        <f t="shared" ca="1" si="35"/>
        <v>MVEUN0</v>
      </c>
      <c r="F467" s="249">
        <v>29.6</v>
      </c>
      <c r="G467" s="249">
        <v>28.9</v>
      </c>
      <c r="H467" s="249">
        <v>28.5</v>
      </c>
      <c r="I467" s="249">
        <v>28.6</v>
      </c>
      <c r="J467" s="249">
        <v>29.55</v>
      </c>
      <c r="K467" s="249">
        <v>30.25</v>
      </c>
      <c r="L467" s="249">
        <v>30.55</v>
      </c>
      <c r="M467" s="249">
        <v>30.7</v>
      </c>
      <c r="N467" s="249">
        <v>33.450000000000003</v>
      </c>
      <c r="O467" s="249">
        <v>34.299999999999997</v>
      </c>
      <c r="P467" s="249">
        <v>34.450000000000003</v>
      </c>
      <c r="Q467" s="249">
        <v>34.6</v>
      </c>
      <c r="R467" s="249">
        <v>33.65</v>
      </c>
      <c r="S467" s="249">
        <v>33.799999999999997</v>
      </c>
      <c r="T467" s="249">
        <v>33.799999999999997</v>
      </c>
      <c r="U467" s="249">
        <v>34.1</v>
      </c>
      <c r="V467" s="249">
        <v>34.700000000000003</v>
      </c>
      <c r="W467" s="249">
        <v>38</v>
      </c>
      <c r="X467" s="249">
        <v>38.9</v>
      </c>
      <c r="Y467" s="249">
        <v>38.75</v>
      </c>
      <c r="Z467" s="243">
        <f ca="1">[1]ExtEntry!$J65</f>
        <v>38.75</v>
      </c>
      <c r="AB467" s="260">
        <v>476</v>
      </c>
      <c r="AC467" s="260">
        <v>-896</v>
      </c>
      <c r="AD467" s="260">
        <v>56</v>
      </c>
      <c r="AE467" s="260">
        <v>-1.0975333333333332E-2</v>
      </c>
      <c r="AF467" s="260">
        <v>-1.2352E-2</v>
      </c>
      <c r="AG467" s="260">
        <v>-9.5518333333333341E-3</v>
      </c>
      <c r="AH467" s="260">
        <v>3.2366666666666628E-4</v>
      </c>
      <c r="AI467" s="260">
        <v>-1.8375000000000004E-3</v>
      </c>
      <c r="AJ467" s="260">
        <v>4.6143999999999994E-3</v>
      </c>
      <c r="AK467" s="260">
        <v>1.5638599999999999E-2</v>
      </c>
      <c r="AL467" s="260">
        <v>1.8125200000000001E-2</v>
      </c>
      <c r="AM467" s="260">
        <v>1.5148999999999999E-2</v>
      </c>
      <c r="AN467" s="260">
        <v>9.4272000000000002E-3</v>
      </c>
      <c r="AO467" s="260">
        <v>2.5101999999999993E-3</v>
      </c>
      <c r="AP467" s="260">
        <v>-1.7070000000000002E-3</v>
      </c>
      <c r="AQ467" s="260">
        <v>-2.0540000000000071E-4</v>
      </c>
      <c r="AR467" s="244">
        <v>6.7619999999999941E-4</v>
      </c>
      <c r="AS467" s="244">
        <v>1.6167000000000001E-2</v>
      </c>
      <c r="AT467" s="244">
        <v>1.4225600000000001E-2</v>
      </c>
      <c r="AU467" s="244">
        <v>1.17532E-2</v>
      </c>
      <c r="AV467" s="244">
        <f t="shared" si="37"/>
        <v>1.17532E-2</v>
      </c>
      <c r="AX467" s="86" t="str">
        <f t="shared" ca="1" si="36"/>
        <v>MVEUN0</v>
      </c>
    </row>
    <row r="468" spans="1:50" hidden="1">
      <c r="A468" s="86" t="str">
        <f t="shared" ca="1" si="35"/>
        <v>SAFAAPL</v>
      </c>
      <c r="F468" s="249">
        <v>271.7</v>
      </c>
      <c r="G468" s="249">
        <v>273.39999999999998</v>
      </c>
      <c r="H468" s="249">
        <v>272.29000000000002</v>
      </c>
      <c r="I468" s="249">
        <v>275.95999999999998</v>
      </c>
      <c r="J468" s="249">
        <v>270.70999999999998</v>
      </c>
      <c r="K468" s="249">
        <v>272.20999999999998</v>
      </c>
      <c r="L468" s="249">
        <v>275.43</v>
      </c>
      <c r="M468" s="249">
        <v>273.315</v>
      </c>
      <c r="N468" s="249">
        <v>279.52999999999997</v>
      </c>
      <c r="O468" s="249">
        <v>279.52999999999997</v>
      </c>
      <c r="P468" s="249">
        <v>279</v>
      </c>
      <c r="Q468" s="249">
        <v>280.92</v>
      </c>
      <c r="R468" s="249">
        <v>287.39999999999998</v>
      </c>
      <c r="S468" s="249">
        <v>288.61</v>
      </c>
      <c r="T468" s="249">
        <v>288.62</v>
      </c>
      <c r="U468" s="249">
        <v>284.73</v>
      </c>
      <c r="V468" s="249">
        <v>281.14</v>
      </c>
      <c r="W468" s="249">
        <v>280.02999999999997</v>
      </c>
      <c r="X468" s="249">
        <v>279.75</v>
      </c>
      <c r="Y468" s="249">
        <v>279.58</v>
      </c>
      <c r="Z468" s="243">
        <f ca="1">[1]ExtEntry!$J66</f>
        <v>279.58</v>
      </c>
      <c r="AB468" s="263">
        <v>-35</v>
      </c>
      <c r="AC468" s="263">
        <v>-570.5</v>
      </c>
      <c r="AD468" s="263">
        <v>-625.79999999998836</v>
      </c>
      <c r="AE468" s="263">
        <v>-5.4657999999999996E-4</v>
      </c>
      <c r="AF468" s="263">
        <v>4.6041999999999985E-4</v>
      </c>
      <c r="AG468" s="263">
        <v>-6.4396333333333327E-4</v>
      </c>
      <c r="AH468" s="263">
        <v>2.7582033333333326E-3</v>
      </c>
      <c r="AI468" s="263">
        <v>7.4778700000000002E-3</v>
      </c>
      <c r="AJ468" s="263">
        <v>5.8068440000000002E-3</v>
      </c>
      <c r="AK468" s="263">
        <v>6.2405999999999998E-3</v>
      </c>
      <c r="AL468" s="263">
        <v>5.2405999999999998E-3</v>
      </c>
      <c r="AM468" s="263">
        <v>7.9048E-3</v>
      </c>
      <c r="AN468" s="263">
        <v>5.5726000000000005E-3</v>
      </c>
      <c r="AO468" s="263">
        <v>5.4006000000000002E-3</v>
      </c>
      <c r="AP468" s="263">
        <v>3.5562000000000002E-3</v>
      </c>
      <c r="AQ468" s="263">
        <v>-2.2419999999999976E-4</v>
      </c>
      <c r="AR468" s="244">
        <v>-3.0052E-3</v>
      </c>
      <c r="AS468" s="244">
        <v>-5.2453999999999999E-3</v>
      </c>
      <c r="AT468" s="244">
        <v>-4.7060000000000001E-3</v>
      </c>
      <c r="AU468" s="244">
        <v>-3.8184000000000004E-3</v>
      </c>
      <c r="AV468" s="244">
        <f t="shared" si="37"/>
        <v>-3.8184000000000004E-3</v>
      </c>
      <c r="AX468" s="86" t="str">
        <f t="shared" ca="1" si="36"/>
        <v>SAFAAPL</v>
      </c>
    </row>
    <row r="469" spans="1:50" hidden="1">
      <c r="A469" s="86" t="str">
        <f t="shared" ca="1" si="35"/>
        <v>SAFAMZN</v>
      </c>
      <c r="F469" s="249">
        <v>251</v>
      </c>
      <c r="G469" s="249">
        <v>250.38</v>
      </c>
      <c r="H469" s="249">
        <v>244.9</v>
      </c>
      <c r="I469" s="249">
        <v>238.73</v>
      </c>
      <c r="J469" s="249">
        <v>230.2</v>
      </c>
      <c r="K469" s="249">
        <v>223.73500000000001</v>
      </c>
      <c r="L469" s="249">
        <v>227.41</v>
      </c>
      <c r="M469" s="249">
        <v>222.202</v>
      </c>
      <c r="N469" s="249">
        <v>231.7474</v>
      </c>
      <c r="O469" s="249">
        <v>231.7474</v>
      </c>
      <c r="P469" s="249">
        <v>233.285</v>
      </c>
      <c r="Q469" s="249">
        <v>235.797</v>
      </c>
      <c r="R469" s="249">
        <v>238.97</v>
      </c>
      <c r="S469" s="249">
        <v>233.38</v>
      </c>
      <c r="T469" s="249">
        <v>233.38</v>
      </c>
      <c r="U469" s="249">
        <v>233.5</v>
      </c>
      <c r="V469" s="249">
        <v>231.24</v>
      </c>
      <c r="W469" s="249">
        <v>228.57</v>
      </c>
      <c r="X469" s="249">
        <v>232.42</v>
      </c>
      <c r="Y469" s="249">
        <v>232.11</v>
      </c>
      <c r="Z469" s="243">
        <f ca="1">[1]ExtEntry!$J67</f>
        <v>232.11</v>
      </c>
      <c r="AB469" s="260">
        <v>-1605</v>
      </c>
      <c r="AC469" s="260">
        <v>-6980.4000000000233</v>
      </c>
      <c r="AD469" s="260">
        <v>787.5</v>
      </c>
      <c r="AE469" s="260">
        <v>-1.5440833333333334E-2</v>
      </c>
      <c r="AF469" s="260">
        <v>-1.3066333333333334E-2</v>
      </c>
      <c r="AG469" s="260">
        <v>-1.6528666666666667E-2</v>
      </c>
      <c r="AH469" s="260">
        <v>-9.1265000000000009E-3</v>
      </c>
      <c r="AI469" s="260">
        <v>-7.0256666666666662E-3</v>
      </c>
      <c r="AJ469" s="260">
        <v>-9.7175600000000001E-3</v>
      </c>
      <c r="AK469" s="260">
        <v>-1.2983599999999997E-3</v>
      </c>
      <c r="AL469" s="260">
        <v>3.4744400000000001E-3</v>
      </c>
      <c r="AM469" s="260">
        <v>8.4668399999999998E-3</v>
      </c>
      <c r="AN469" s="260">
        <v>5.0498399999999999E-3</v>
      </c>
      <c r="AO469" s="260">
        <v>2.66E-3</v>
      </c>
      <c r="AP469" s="260">
        <v>1.3638000000000001E-3</v>
      </c>
      <c r="AQ469" s="260">
        <v>-6.5201999999999994E-3</v>
      </c>
      <c r="AR469" s="244">
        <v>-7.6971999999999995E-3</v>
      </c>
      <c r="AS469" s="244">
        <v>-7.3229999999999988E-3</v>
      </c>
      <c r="AT469" s="244">
        <v>-1.5982000000000004E-3</v>
      </c>
      <c r="AU469" s="244">
        <v>-1.1522000000000001E-3</v>
      </c>
      <c r="AV469" s="244">
        <f t="shared" ref="AV469:AV498" si="38">AVERAGE(U768:Y768)</f>
        <v>-1.1522000000000001E-3</v>
      </c>
      <c r="AX469" s="86" t="str">
        <f t="shared" ca="1" si="36"/>
        <v>SAFAMZN</v>
      </c>
    </row>
    <row r="470" spans="1:50" hidden="1">
      <c r="A470" s="86" t="str">
        <f t="shared" ref="A470:A497" ca="1" si="39">A70</f>
        <v>SAFASML</v>
      </c>
      <c r="F470" s="249">
        <v>913.3</v>
      </c>
      <c r="G470" s="249">
        <v>912.6</v>
      </c>
      <c r="H470" s="249">
        <v>900.9</v>
      </c>
      <c r="I470" s="249">
        <v>876.8</v>
      </c>
      <c r="J470" s="249">
        <v>864.9</v>
      </c>
      <c r="K470" s="249">
        <v>895.2</v>
      </c>
      <c r="L470" s="249">
        <v>914.7</v>
      </c>
      <c r="M470" s="249">
        <v>859.3</v>
      </c>
      <c r="N470" s="249">
        <v>909.3</v>
      </c>
      <c r="O470" s="249">
        <v>904.6</v>
      </c>
      <c r="P470" s="249">
        <v>905.7</v>
      </c>
      <c r="Q470" s="249">
        <v>931.3</v>
      </c>
      <c r="R470" s="249">
        <v>954.9</v>
      </c>
      <c r="S470" s="249">
        <v>968</v>
      </c>
      <c r="T470" s="249">
        <v>968</v>
      </c>
      <c r="U470" s="249">
        <v>977.1</v>
      </c>
      <c r="V470" s="249">
        <v>968.8</v>
      </c>
      <c r="W470" s="249">
        <v>965.8</v>
      </c>
      <c r="X470" s="249">
        <v>965.8</v>
      </c>
      <c r="Y470" s="249">
        <v>953.7</v>
      </c>
      <c r="Z470" s="243">
        <f ca="1">[1]ExtEntry!$J68</f>
        <v>953.7</v>
      </c>
      <c r="AB470" s="263">
        <v>7325</v>
      </c>
      <c r="AC470" s="263">
        <v>-3475</v>
      </c>
      <c r="AD470" s="263">
        <v>-7875</v>
      </c>
      <c r="AE470" s="263">
        <v>-1.2829833333333334E-2</v>
      </c>
      <c r="AF470" s="263">
        <v>-7.2573333333333344E-3</v>
      </c>
      <c r="AG470" s="263">
        <v>-4.5861666666666681E-3</v>
      </c>
      <c r="AH470" s="263">
        <v>-1.2960666666666669E-2</v>
      </c>
      <c r="AI470" s="263">
        <v>-1.8851666666666669E-2</v>
      </c>
      <c r="AJ470" s="263">
        <v>2.9906000000000017E-3</v>
      </c>
      <c r="AK470" s="263">
        <v>1.7618000000000009E-3</v>
      </c>
      <c r="AL470" s="263">
        <v>-1.7083999999999988E-3</v>
      </c>
      <c r="AM470" s="263">
        <v>2.7280000000000004E-3</v>
      </c>
      <c r="AN470" s="263">
        <v>1.7946400000000001E-2</v>
      </c>
      <c r="AO470" s="263">
        <v>1.0218E-2</v>
      </c>
      <c r="AP470" s="263">
        <v>1.8054599999999997E-2</v>
      </c>
      <c r="AQ470" s="263">
        <v>1.5406199999999998E-2</v>
      </c>
      <c r="AR470" s="244">
        <v>9.0571999999999996E-3</v>
      </c>
      <c r="AS470" s="244">
        <v>4.2421999999999998E-3</v>
      </c>
      <c r="AT470" s="244">
        <v>-8.690000000000002E-4</v>
      </c>
      <c r="AU470" s="244">
        <v>-7.122400000000001E-3</v>
      </c>
      <c r="AV470" s="244">
        <f t="shared" si="38"/>
        <v>-7.122400000000001E-3</v>
      </c>
      <c r="AX470" s="86" t="str">
        <f t="shared" ref="AX470:AX497" ca="1" si="40">A70</f>
        <v>SAFASML</v>
      </c>
    </row>
    <row r="471" spans="1:50" hidden="1">
      <c r="A471" s="86" t="str">
        <f t="shared" ca="1" si="39"/>
        <v>SAFDDD</v>
      </c>
      <c r="F471" s="249">
        <v>2.6949999999999998</v>
      </c>
      <c r="G471" s="249">
        <v>2.65</v>
      </c>
      <c r="H471" s="249">
        <v>2.27</v>
      </c>
      <c r="I471" s="249">
        <v>2.23</v>
      </c>
      <c r="J471" s="249">
        <v>2.105</v>
      </c>
      <c r="K471" s="249">
        <v>2.1899000000000002</v>
      </c>
      <c r="L471" s="249">
        <v>2.0449999999999999</v>
      </c>
      <c r="M471" s="249">
        <v>1.97</v>
      </c>
      <c r="N471" s="249">
        <v>2.0699999999999998</v>
      </c>
      <c r="O471" s="249">
        <v>2.1</v>
      </c>
      <c r="P471" s="249">
        <v>2.1</v>
      </c>
      <c r="Q471" s="249">
        <v>2.0499000000000001</v>
      </c>
      <c r="R471" s="249">
        <v>2.085</v>
      </c>
      <c r="S471" s="249">
        <v>2.11</v>
      </c>
      <c r="T471" s="249">
        <v>2.21</v>
      </c>
      <c r="U471" s="249">
        <v>2.2400000000000002</v>
      </c>
      <c r="V471" s="249">
        <v>2.2578</v>
      </c>
      <c r="W471" s="249">
        <v>1.84</v>
      </c>
      <c r="X471" s="249">
        <v>1.8459000000000001</v>
      </c>
      <c r="Y471" s="249">
        <v>2</v>
      </c>
      <c r="Z471" s="243">
        <f ca="1">[1]ExtEntry!$J69</f>
        <v>2</v>
      </c>
      <c r="AB471" s="260">
        <v>17050</v>
      </c>
      <c r="AC471" s="260">
        <v>-23100</v>
      </c>
      <c r="AD471" s="260">
        <v>5499.9999999999709</v>
      </c>
      <c r="AE471" s="260">
        <v>-3.4574333333333339E-2</v>
      </c>
      <c r="AF471" s="260">
        <v>-2.7403000000000007E-2</v>
      </c>
      <c r="AG471" s="260">
        <v>-3.4548166666666671E-2</v>
      </c>
      <c r="AH471" s="260">
        <v>-6.3893333333333337E-3</v>
      </c>
      <c r="AI471" s="260">
        <v>2.1469999999999983E-3</v>
      </c>
      <c r="AJ471" s="260">
        <v>-3.9598000000000012E-3</v>
      </c>
      <c r="AK471" s="260">
        <v>-9.8960000000000064E-4</v>
      </c>
      <c r="AL471" s="260">
        <v>6.2973999999999999E-3</v>
      </c>
      <c r="AM471" s="260">
        <v>9.1868000000000019E-3</v>
      </c>
      <c r="AN471" s="260">
        <v>6.1654000000000014E-3</v>
      </c>
      <c r="AO471" s="260">
        <v>8.1116000000000001E-3</v>
      </c>
      <c r="AP471" s="260">
        <v>2.0827600000000002E-2</v>
      </c>
      <c r="AQ471" s="260">
        <v>1.8263399999999999E-2</v>
      </c>
      <c r="AR471" s="244">
        <v>1.7474999999999997E-2</v>
      </c>
      <c r="AS471" s="244">
        <v>-2.1797399999999995E-2</v>
      </c>
      <c r="AT471" s="244">
        <v>-2.5228799999999996E-2</v>
      </c>
      <c r="AU471" s="244">
        <v>-1.8881199999999994E-2</v>
      </c>
      <c r="AV471" s="244">
        <f t="shared" si="38"/>
        <v>-1.8881199999999994E-2</v>
      </c>
      <c r="AX471" s="86" t="str">
        <f t="shared" ca="1" si="40"/>
        <v>SAFDDD</v>
      </c>
    </row>
    <row r="472" spans="1:50" hidden="1">
      <c r="A472" s="86" t="str">
        <f t="shared" ca="1" si="39"/>
        <v>SAFDIS</v>
      </c>
      <c r="F472" s="249">
        <v>111.97</v>
      </c>
      <c r="G472" s="249">
        <v>111.71</v>
      </c>
      <c r="H472" s="249">
        <v>111.425</v>
      </c>
      <c r="I472" s="249">
        <v>108.73</v>
      </c>
      <c r="J472" s="249">
        <v>107.08</v>
      </c>
      <c r="K472" s="249">
        <v>107.59</v>
      </c>
      <c r="L472" s="249">
        <v>105.8</v>
      </c>
      <c r="M472" s="249">
        <v>104.78</v>
      </c>
      <c r="N472" s="249">
        <v>104.2509</v>
      </c>
      <c r="O472" s="249">
        <v>104.2509</v>
      </c>
      <c r="P472" s="249">
        <v>104.74</v>
      </c>
      <c r="Q472" s="249">
        <v>106.83</v>
      </c>
      <c r="R472" s="249">
        <v>106.57</v>
      </c>
      <c r="S472" s="249">
        <v>105.8489</v>
      </c>
      <c r="T472" s="249">
        <v>105.85</v>
      </c>
      <c r="U472" s="249">
        <v>106.215</v>
      </c>
      <c r="V472" s="249">
        <v>106.17</v>
      </c>
      <c r="W472" s="249">
        <v>107.745</v>
      </c>
      <c r="X472" s="249">
        <v>109.66500000000001</v>
      </c>
      <c r="Y472" s="249">
        <v>111.56</v>
      </c>
      <c r="Z472" s="243">
        <f ca="1">[1]ExtEntry!$J70</f>
        <v>111.56</v>
      </c>
      <c r="AB472" s="263">
        <v>1860</v>
      </c>
      <c r="AC472" s="263">
        <v>-2040</v>
      </c>
      <c r="AD472" s="263">
        <v>750</v>
      </c>
      <c r="AE472" s="263">
        <v>-4.6608333333333319E-3</v>
      </c>
      <c r="AF472" s="263">
        <v>-5.0381666666666656E-3</v>
      </c>
      <c r="AG472" s="263">
        <v>-7.709999999999999E-3</v>
      </c>
      <c r="AH472" s="263">
        <v>-3.0740000000000003E-3</v>
      </c>
      <c r="AI472" s="263">
        <v>-5.9599999999999931E-4</v>
      </c>
      <c r="AJ472" s="263">
        <v>2.7659999999999995E-4</v>
      </c>
      <c r="AK472" s="263">
        <v>-6.0740000000000013E-4</v>
      </c>
      <c r="AL472" s="263">
        <v>3.2477999999999999E-3</v>
      </c>
      <c r="AM472" s="263">
        <v>1.04586E-2</v>
      </c>
      <c r="AN472" s="263">
        <v>3.6882E-3</v>
      </c>
      <c r="AO472" s="263">
        <v>2.4426000000000001E-3</v>
      </c>
      <c r="AP472" s="263">
        <v>3.9272000000000005E-3</v>
      </c>
      <c r="AQ472" s="263">
        <v>4.6000000000000001E-4</v>
      </c>
      <c r="AR472" s="244">
        <v>-3.7666000000000006E-3</v>
      </c>
      <c r="AS472" s="244">
        <v>-2.1323999999999996E-3</v>
      </c>
      <c r="AT472" s="244">
        <v>1.4600000000000006E-3</v>
      </c>
      <c r="AU472" s="244">
        <v>4.6130000000000008E-3</v>
      </c>
      <c r="AV472" s="244">
        <f t="shared" si="38"/>
        <v>4.6130000000000008E-3</v>
      </c>
      <c r="AX472" s="86" t="str">
        <f t="shared" ca="1" si="40"/>
        <v>SAFDIS</v>
      </c>
    </row>
    <row r="473" spans="1:50" hidden="1">
      <c r="A473" s="86" t="str">
        <f t="shared" ca="1" si="39"/>
        <v>SAFGM</v>
      </c>
      <c r="F473" s="249">
        <v>69.260000000000005</v>
      </c>
      <c r="G473" s="249">
        <v>69.397999999999996</v>
      </c>
      <c r="H473" s="249">
        <v>70.734999999999999</v>
      </c>
      <c r="I473" s="249">
        <v>71.765000000000001</v>
      </c>
      <c r="J473" s="249">
        <v>68.42</v>
      </c>
      <c r="K473" s="249">
        <v>69.66</v>
      </c>
      <c r="L473" s="249">
        <v>69.89</v>
      </c>
      <c r="M473" s="249">
        <v>70.528899999999993</v>
      </c>
      <c r="N473" s="249">
        <v>73.424999999999997</v>
      </c>
      <c r="O473" s="249">
        <v>73.444999999999993</v>
      </c>
      <c r="P473" s="249">
        <v>73.86</v>
      </c>
      <c r="Q473" s="249">
        <v>73.929599999999994</v>
      </c>
      <c r="R473" s="249">
        <v>73.84</v>
      </c>
      <c r="S473" s="249">
        <v>74.63</v>
      </c>
      <c r="T473" s="249">
        <v>74.915000000000006</v>
      </c>
      <c r="U473" s="249">
        <v>76.224999999999994</v>
      </c>
      <c r="V473" s="249">
        <v>77</v>
      </c>
      <c r="W473" s="249">
        <v>77.349999999999994</v>
      </c>
      <c r="X473" s="249">
        <v>80.95</v>
      </c>
      <c r="Y473" s="249">
        <v>81.22</v>
      </c>
      <c r="Z473" s="243">
        <f ca="1">[1]ExtEntry!$J71</f>
        <v>81.22</v>
      </c>
      <c r="AB473" s="260">
        <v>0</v>
      </c>
      <c r="AC473" s="260">
        <v>0</v>
      </c>
      <c r="AD473" s="260">
        <v>0</v>
      </c>
      <c r="AE473" s="260">
        <v>3.3494666666666669E-3</v>
      </c>
      <c r="AF473" s="260">
        <v>9.3351333333333338E-3</v>
      </c>
      <c r="AG473" s="260">
        <v>4.1546333333333336E-3</v>
      </c>
      <c r="AH473" s="260">
        <v>9.1556333333333347E-3</v>
      </c>
      <c r="AI473" s="260">
        <v>1.0113799999999999E-2</v>
      </c>
      <c r="AJ473" s="260">
        <v>1.0417360000000001E-2</v>
      </c>
      <c r="AK473" s="260">
        <v>1.0411439999999999E-2</v>
      </c>
      <c r="AL473" s="260">
        <v>8.8728399999999982E-3</v>
      </c>
      <c r="AM473" s="260">
        <v>9.5550200000000009E-3</v>
      </c>
      <c r="AN473" s="260">
        <v>4.9134199999999999E-3</v>
      </c>
      <c r="AO473" s="260">
        <v>5.7578199999999994E-3</v>
      </c>
      <c r="AP473" s="260">
        <v>8.4719800000000005E-3</v>
      </c>
      <c r="AQ473" s="260">
        <v>1.017698E-2</v>
      </c>
      <c r="AR473" s="244">
        <v>1.2381E-2</v>
      </c>
      <c r="AS473" s="244">
        <v>1.3358999999999999E-2</v>
      </c>
      <c r="AT473" s="244">
        <v>2.1055800000000003E-2</v>
      </c>
      <c r="AU473" s="244">
        <v>1.8370580000000001E-2</v>
      </c>
      <c r="AV473" s="244">
        <f t="shared" si="38"/>
        <v>1.8370580000000001E-2</v>
      </c>
      <c r="AX473" s="86" t="str">
        <f t="shared" ca="1" si="40"/>
        <v>SAFGM</v>
      </c>
    </row>
    <row r="474" spans="1:50" hidden="1">
      <c r="A474" s="86" t="str">
        <f t="shared" ca="1" si="39"/>
        <v>SAFIAG</v>
      </c>
      <c r="F474" s="249">
        <v>426.1</v>
      </c>
      <c r="G474" s="249">
        <v>426.1</v>
      </c>
      <c r="H474" s="249">
        <v>389.2</v>
      </c>
      <c r="I474" s="249">
        <v>392.7</v>
      </c>
      <c r="J474" s="249">
        <v>372.3</v>
      </c>
      <c r="K474" s="249">
        <v>380.9</v>
      </c>
      <c r="L474" s="249">
        <v>385</v>
      </c>
      <c r="M474" s="249">
        <v>382.3</v>
      </c>
      <c r="N474" s="249">
        <v>399.2</v>
      </c>
      <c r="O474" s="249">
        <v>400.1</v>
      </c>
      <c r="P474" s="249">
        <v>399.4</v>
      </c>
      <c r="Q474" s="249">
        <v>400</v>
      </c>
      <c r="R474" s="249">
        <v>394</v>
      </c>
      <c r="S474" s="249">
        <v>393.6</v>
      </c>
      <c r="T474" s="249">
        <v>393.6</v>
      </c>
      <c r="U474" s="249">
        <v>392.6</v>
      </c>
      <c r="V474" s="249">
        <v>390.1</v>
      </c>
      <c r="W474" s="249">
        <v>389.7</v>
      </c>
      <c r="X474" s="249">
        <v>389.4</v>
      </c>
      <c r="Y474" s="249">
        <v>397.7</v>
      </c>
      <c r="Z474" s="243">
        <f ca="1">[1]ExtEntry!$J72</f>
        <v>397.7</v>
      </c>
      <c r="AB474" s="263">
        <v>0</v>
      </c>
      <c r="AC474" s="263">
        <v>0</v>
      </c>
      <c r="AD474" s="263">
        <v>0</v>
      </c>
      <c r="AE474" s="263">
        <v>-2.8457166666666669E-2</v>
      </c>
      <c r="AF474" s="263">
        <v>-2.3680499999999997E-2</v>
      </c>
      <c r="AG474" s="263">
        <v>-2.2587166666666662E-2</v>
      </c>
      <c r="AH474" s="263">
        <v>-1.9587500000000001E-2</v>
      </c>
      <c r="AI474" s="263">
        <v>-1.6598333333333333E-3</v>
      </c>
      <c r="AJ474" s="263">
        <v>7.9135999999999998E-3</v>
      </c>
      <c r="AK474" s="263">
        <v>7.1518000000000016E-3</v>
      </c>
      <c r="AL474" s="263">
        <v>3.556800000000001E-3</v>
      </c>
      <c r="AM474" s="263">
        <v>-3.9859999999999999E-4</v>
      </c>
      <c r="AN474" s="263">
        <v>-9.1179999999999972E-4</v>
      </c>
      <c r="AO474" s="263">
        <v>-3.5119999999999991E-3</v>
      </c>
      <c r="AP474" s="263">
        <v>-1.4373999999999997E-3</v>
      </c>
      <c r="AQ474" s="263">
        <v>-4.2543999999999993E-3</v>
      </c>
      <c r="AR474" s="244">
        <v>-2.4777999999999996E-3</v>
      </c>
      <c r="AS474" s="244">
        <v>-2.0824000000000003E-3</v>
      </c>
      <c r="AT474" s="244">
        <v>-4.604200000000001E-3</v>
      </c>
      <c r="AU474" s="244">
        <v>7.9779999999999988E-4</v>
      </c>
      <c r="AV474" s="244">
        <f t="shared" si="38"/>
        <v>7.9779999999999988E-4</v>
      </c>
      <c r="AX474" s="86" t="str">
        <f t="shared" ca="1" si="40"/>
        <v>SAFIAG</v>
      </c>
    </row>
    <row r="475" spans="1:50" hidden="1">
      <c r="A475" s="86" t="str">
        <f t="shared" ca="1" si="39"/>
        <v>SAFMRNA</v>
      </c>
      <c r="F475" s="249">
        <v>24.04</v>
      </c>
      <c r="G475" s="249">
        <v>25.56</v>
      </c>
      <c r="H475" s="249">
        <v>24.524999999999999</v>
      </c>
      <c r="I475" s="249">
        <v>24.88</v>
      </c>
      <c r="J475" s="249">
        <v>24.99</v>
      </c>
      <c r="K475" s="249">
        <v>25.06</v>
      </c>
      <c r="L475" s="249">
        <v>24.91</v>
      </c>
      <c r="M475" s="249">
        <v>23.94</v>
      </c>
      <c r="N475" s="249">
        <v>25.19</v>
      </c>
      <c r="O475" s="249">
        <v>25.32</v>
      </c>
      <c r="P475" s="249">
        <v>26.045000000000002</v>
      </c>
      <c r="Q475" s="249">
        <v>25.251000000000001</v>
      </c>
      <c r="R475" s="249">
        <v>24.6341</v>
      </c>
      <c r="S475" s="249">
        <v>25.04</v>
      </c>
      <c r="T475" s="249">
        <v>25.2</v>
      </c>
      <c r="U475" s="249">
        <v>25.84</v>
      </c>
      <c r="V475" s="249">
        <v>27.75</v>
      </c>
      <c r="W475" s="249">
        <v>28.364999999999998</v>
      </c>
      <c r="X475" s="249">
        <v>29.12</v>
      </c>
      <c r="Y475" s="249">
        <v>29.68</v>
      </c>
      <c r="Z475" s="243">
        <f ca="1">[1]ExtEntry!$J73</f>
        <v>29.68</v>
      </c>
      <c r="AB475" s="260">
        <v>-2875</v>
      </c>
      <c r="AC475" s="260">
        <v>-3675</v>
      </c>
      <c r="AD475" s="260">
        <v>9875</v>
      </c>
      <c r="AE475" s="260">
        <v>-3.9278333333333335E-3</v>
      </c>
      <c r="AF475" s="260">
        <v>-6.1416666666666683E-4</v>
      </c>
      <c r="AG475" s="260">
        <v>-8.8618333333333327E-3</v>
      </c>
      <c r="AH475" s="260">
        <v>-4.257166666666666E-3</v>
      </c>
      <c r="AI475" s="260">
        <v>2.8669999999999993E-3</v>
      </c>
      <c r="AJ475" s="260">
        <v>-3.7749999999999993E-3</v>
      </c>
      <c r="AK475" s="260">
        <v>-2.9663999999999984E-3</v>
      </c>
      <c r="AL475" s="260">
        <v>9.9268000000000012E-3</v>
      </c>
      <c r="AM475" s="260">
        <v>9.4918000000000016E-3</v>
      </c>
      <c r="AN475" s="260">
        <v>-1.4051999999999997E-3</v>
      </c>
      <c r="AO475" s="260">
        <v>1.2962000000000002E-3</v>
      </c>
      <c r="AP475" s="260">
        <v>8.4304000000000011E-3</v>
      </c>
      <c r="AQ475" s="260">
        <v>5.5584000000000007E-3</v>
      </c>
      <c r="AR475" s="244">
        <v>3.4830800000000002E-2</v>
      </c>
      <c r="AS475" s="244">
        <v>3.8171400000000001E-2</v>
      </c>
      <c r="AT475" s="244">
        <v>3.96508E-2</v>
      </c>
      <c r="AU475" s="244">
        <v>3.4549199999999995E-2</v>
      </c>
      <c r="AV475" s="244">
        <f t="shared" si="38"/>
        <v>3.4549199999999995E-2</v>
      </c>
      <c r="AX475" s="86" t="str">
        <f t="shared" ca="1" si="40"/>
        <v>SAFMRNA</v>
      </c>
    </row>
    <row r="476" spans="1:50" hidden="1">
      <c r="A476" s="86" t="str">
        <f t="shared" ca="1" si="39"/>
        <v>BLNK</v>
      </c>
      <c r="F476" s="249">
        <v>1.66</v>
      </c>
      <c r="G476" s="249">
        <v>1.64</v>
      </c>
      <c r="H476" s="249">
        <v>1.6</v>
      </c>
      <c r="I476" s="249">
        <v>1.4684999999999999</v>
      </c>
      <c r="J476" s="249">
        <v>1.44</v>
      </c>
      <c r="K476" s="249">
        <v>1.43</v>
      </c>
      <c r="L476" s="249">
        <v>1.47</v>
      </c>
      <c r="M476" s="249">
        <v>1.32</v>
      </c>
      <c r="N476" s="249">
        <v>1.2949999999999999</v>
      </c>
      <c r="O476" s="249">
        <v>1.32</v>
      </c>
      <c r="P476" s="249">
        <v>1.35</v>
      </c>
      <c r="Q476" s="249">
        <v>1.29</v>
      </c>
      <c r="R476" s="249">
        <v>1.3</v>
      </c>
      <c r="S476" s="249">
        <v>1.26</v>
      </c>
      <c r="T476" s="249">
        <v>1.37</v>
      </c>
      <c r="U476" s="249">
        <v>1.4198999999999999</v>
      </c>
      <c r="V476" s="249">
        <v>1.38</v>
      </c>
      <c r="W476" s="249">
        <v>1.085</v>
      </c>
      <c r="X476" s="249">
        <v>1.03</v>
      </c>
      <c r="Y476" s="249">
        <v>0.94850000000000001</v>
      </c>
      <c r="Z476" s="243">
        <f ca="1">[1]ExtEntry!$J74</f>
        <v>0.94850000000000001</v>
      </c>
      <c r="AB476" s="263">
        <v>4800</v>
      </c>
      <c r="AC476" s="263">
        <v>600</v>
      </c>
      <c r="AD476" s="263">
        <v>38388</v>
      </c>
      <c r="AE476" s="263">
        <v>1.7731666666666688E-3</v>
      </c>
      <c r="AF476" s="263">
        <v>3.2810000000000014E-3</v>
      </c>
      <c r="AG476" s="263">
        <v>-1.6575166666666665E-2</v>
      </c>
      <c r="AH476" s="263">
        <v>-7.2748333333333319E-3</v>
      </c>
      <c r="AI476" s="263">
        <v>-2.0513E-2</v>
      </c>
      <c r="AJ476" s="263">
        <v>-1.0100999999999999E-2</v>
      </c>
      <c r="AK476" s="263">
        <v>-9.954799999999998E-3</v>
      </c>
      <c r="AL476" s="263">
        <v>1.1158000000000001E-3</v>
      </c>
      <c r="AM476" s="263">
        <v>-4.9520000000000054E-4</v>
      </c>
      <c r="AN476" s="263">
        <v>5.6014000000000003E-3</v>
      </c>
      <c r="AO476" s="263">
        <v>2.4456E-3</v>
      </c>
      <c r="AP476" s="263">
        <v>1.5156600000000001E-2</v>
      </c>
      <c r="AQ476" s="263">
        <v>1.86172E-2</v>
      </c>
      <c r="AR476" s="244">
        <v>-8.5520000000000006E-3</v>
      </c>
      <c r="AS476" s="244">
        <v>-2.4800200000000001E-2</v>
      </c>
      <c r="AT476" s="244">
        <v>-3.6185800000000004E-2</v>
      </c>
      <c r="AU476" s="244">
        <v>-6.276240000000001E-2</v>
      </c>
      <c r="AV476" s="244">
        <f t="shared" si="38"/>
        <v>-6.276240000000001E-2</v>
      </c>
      <c r="AX476" s="86" t="str">
        <f t="shared" ca="1" si="40"/>
        <v>BLNK</v>
      </c>
    </row>
    <row r="477" spans="1:50" hidden="1">
      <c r="A477" s="86" t="str">
        <f t="shared" ca="1" si="39"/>
        <v>ENI</v>
      </c>
      <c r="F477" s="249">
        <v>15.986000000000001</v>
      </c>
      <c r="G477" s="249">
        <v>15.994</v>
      </c>
      <c r="H477" s="249">
        <v>16.047999999999998</v>
      </c>
      <c r="I477" s="249">
        <v>16.495999999999999</v>
      </c>
      <c r="J477" s="249">
        <v>16.48</v>
      </c>
      <c r="K477" s="249">
        <v>16.48</v>
      </c>
      <c r="L477" s="249">
        <v>16.408000000000001</v>
      </c>
      <c r="M477" s="249">
        <v>16.141999999999999</v>
      </c>
      <c r="N477" s="249">
        <v>16.001999999999999</v>
      </c>
      <c r="O477" s="249">
        <v>15.988</v>
      </c>
      <c r="P477" s="249">
        <v>16.149999999999999</v>
      </c>
      <c r="Q477" s="249">
        <v>16.204000000000001</v>
      </c>
      <c r="R477" s="249">
        <v>16.262</v>
      </c>
      <c r="S477" s="249">
        <v>16.417999999999999</v>
      </c>
      <c r="T477" s="249">
        <v>16.417999999999999</v>
      </c>
      <c r="U477" s="249">
        <v>16.422000000000001</v>
      </c>
      <c r="V477" s="249">
        <v>16.154</v>
      </c>
      <c r="W477" s="249">
        <v>16.196000000000002</v>
      </c>
      <c r="X477" s="249">
        <v>16.222000000000001</v>
      </c>
      <c r="Y477" s="249">
        <v>16.05</v>
      </c>
      <c r="Z477" s="243">
        <f ca="1">[1]ExtEntry!$J75</f>
        <v>16.05</v>
      </c>
      <c r="AB477" s="260">
        <v>1908</v>
      </c>
      <c r="AC477" s="260">
        <v>-142</v>
      </c>
      <c r="AD477" s="260">
        <v>-3218</v>
      </c>
      <c r="AE477" s="260">
        <v>2.6103333333333335E-4</v>
      </c>
      <c r="AF477" s="260">
        <v>-4.4329999999999993E-4</v>
      </c>
      <c r="AG477" s="260">
        <v>-2.4946666666666675E-4</v>
      </c>
      <c r="AH477" s="260">
        <v>-2.0861333333333336E-3</v>
      </c>
      <c r="AI477" s="260">
        <v>-3.964466666666667E-3</v>
      </c>
      <c r="AJ477" s="260">
        <v>1.4058E-3</v>
      </c>
      <c r="AK477" s="260">
        <v>3.3780000000000008E-4</v>
      </c>
      <c r="AL477" s="260">
        <v>4.2456000000000004E-3</v>
      </c>
      <c r="AM477" s="260">
        <v>3.8539999999999998E-3</v>
      </c>
      <c r="AN477" s="260">
        <v>6.4322200000000006E-3</v>
      </c>
      <c r="AO477" s="260">
        <v>4.0118200000000001E-3</v>
      </c>
      <c r="AP477" s="260">
        <v>6.738619999999999E-3</v>
      </c>
      <c r="AQ477" s="260">
        <v>4.1781600000000002E-3</v>
      </c>
      <c r="AR477" s="244">
        <v>5.7436000000000054E-4</v>
      </c>
      <c r="AS477" s="244">
        <v>9.4853999999999978E-4</v>
      </c>
      <c r="AT477" s="244">
        <v>-1.7012600000000002E-3</v>
      </c>
      <c r="AU477" s="244">
        <v>-5.1012599999999998E-3</v>
      </c>
      <c r="AV477" s="244">
        <f t="shared" si="38"/>
        <v>-5.1012599999999998E-3</v>
      </c>
      <c r="AX477" s="86" t="str">
        <f t="shared" ca="1" si="40"/>
        <v>ENI</v>
      </c>
    </row>
    <row r="478" spans="1:50" hidden="1">
      <c r="A478" s="86" t="str">
        <f t="shared" ca="1" si="39"/>
        <v>EZJ</v>
      </c>
      <c r="F478" s="249">
        <v>487.3</v>
      </c>
      <c r="G478" s="249">
        <v>486.6</v>
      </c>
      <c r="H478" s="249">
        <v>478.5</v>
      </c>
      <c r="I478" s="249">
        <v>474.4</v>
      </c>
      <c r="J478" s="249">
        <v>460.4</v>
      </c>
      <c r="K478" s="249">
        <v>469.7</v>
      </c>
      <c r="L478" s="249">
        <v>467.3</v>
      </c>
      <c r="M478" s="249">
        <v>468.2</v>
      </c>
      <c r="N478" s="249">
        <v>483</v>
      </c>
      <c r="O478" s="249">
        <v>486.5</v>
      </c>
      <c r="P478" s="249">
        <v>500</v>
      </c>
      <c r="Q478" s="249">
        <v>499.5</v>
      </c>
      <c r="R478" s="249">
        <v>493.9</v>
      </c>
      <c r="S478" s="249">
        <v>496.5</v>
      </c>
      <c r="T478" s="249">
        <v>496.5</v>
      </c>
      <c r="U478" s="249">
        <v>494.4</v>
      </c>
      <c r="V478" s="249">
        <v>495.6</v>
      </c>
      <c r="W478" s="249">
        <v>485.5</v>
      </c>
      <c r="X478" s="249">
        <v>481.7</v>
      </c>
      <c r="Y478" s="249">
        <v>486.6</v>
      </c>
      <c r="Z478" s="243">
        <f ca="1">[1]ExtEntry!$J76</f>
        <v>486.6</v>
      </c>
      <c r="AB478" s="263">
        <v>810</v>
      </c>
      <c r="AC478" s="263">
        <v>-2670</v>
      </c>
      <c r="AD478" s="263">
        <v>-1380</v>
      </c>
      <c r="AE478" s="263">
        <v>-1.0104666666666668E-2</v>
      </c>
      <c r="AF478" s="263">
        <v>-4.235333333333334E-3</v>
      </c>
      <c r="AG478" s="263">
        <v>-7.0328333333333328E-3</v>
      </c>
      <c r="AH478" s="263">
        <v>-2.9941666666666658E-3</v>
      </c>
      <c r="AI478" s="263">
        <v>1.5895000000000006E-3</v>
      </c>
      <c r="AJ478" s="263">
        <v>6.8301999999999998E-3</v>
      </c>
      <c r="AK478" s="263">
        <v>8.5360000000000002E-3</v>
      </c>
      <c r="AL478" s="263">
        <v>1.1709800000000001E-2</v>
      </c>
      <c r="AM478" s="263">
        <v>1.1121600000000002E-2</v>
      </c>
      <c r="AN478" s="263">
        <v>8.2240000000000004E-3</v>
      </c>
      <c r="AO478" s="263">
        <v>2.5366000000000008E-3</v>
      </c>
      <c r="AP478" s="263">
        <v>-1.1741999999999992E-3</v>
      </c>
      <c r="AQ478" s="263">
        <v>-5.5882000000000006E-3</v>
      </c>
      <c r="AR478" s="244">
        <v>-3.0209999999999998E-3</v>
      </c>
      <c r="AS478" s="244">
        <v>-5.2561999999999999E-3</v>
      </c>
      <c r="AT478" s="244">
        <v>-4.5484000000000002E-3</v>
      </c>
      <c r="AU478" s="244">
        <v>1.9865999999999998E-3</v>
      </c>
      <c r="AV478" s="244">
        <f t="shared" si="38"/>
        <v>1.9865999999999998E-3</v>
      </c>
      <c r="AX478" s="86" t="str">
        <f t="shared" ca="1" si="40"/>
        <v>EZJ</v>
      </c>
    </row>
    <row r="479" spans="1:50" hidden="1">
      <c r="A479" s="86" t="str">
        <f t="shared" ca="1" si="39"/>
        <v>F</v>
      </c>
      <c r="F479" s="249">
        <v>13.305</v>
      </c>
      <c r="G479" s="249">
        <v>13.26</v>
      </c>
      <c r="H479" s="249">
        <v>13.24</v>
      </c>
      <c r="I479" s="249">
        <v>13.31</v>
      </c>
      <c r="J479" s="249">
        <v>13.09</v>
      </c>
      <c r="K479" s="249">
        <v>13.15</v>
      </c>
      <c r="L479" s="249">
        <v>13.01</v>
      </c>
      <c r="M479" s="249">
        <v>12.94</v>
      </c>
      <c r="N479" s="249">
        <v>13.25</v>
      </c>
      <c r="O479" s="249">
        <v>13.26</v>
      </c>
      <c r="P479" s="249">
        <v>13.34</v>
      </c>
      <c r="Q479" s="249">
        <v>13.385</v>
      </c>
      <c r="R479" s="249">
        <v>13.18</v>
      </c>
      <c r="S479" s="249">
        <v>13.09</v>
      </c>
      <c r="T479" s="249">
        <v>13.14</v>
      </c>
      <c r="U479" s="249">
        <v>13.24</v>
      </c>
      <c r="V479" s="249">
        <v>13.28</v>
      </c>
      <c r="W479" s="249">
        <v>13.2202</v>
      </c>
      <c r="X479" s="249">
        <v>13.42</v>
      </c>
      <c r="Y479" s="249">
        <v>13.68</v>
      </c>
      <c r="Z479" s="243">
        <f ca="1">[1]ExtEntry!$J77</f>
        <v>13.68</v>
      </c>
      <c r="AB479" s="260">
        <v>0</v>
      </c>
      <c r="AC479" s="260">
        <v>0</v>
      </c>
      <c r="AD479" s="260">
        <v>0</v>
      </c>
      <c r="AE479" s="260">
        <v>6.4700000000000009E-3</v>
      </c>
      <c r="AF479" s="260">
        <v>8.5199999999999998E-3</v>
      </c>
      <c r="AG479" s="260">
        <v>-8.8516666666666724E-4</v>
      </c>
      <c r="AH479" s="260">
        <v>4.6458333333333325E-3</v>
      </c>
      <c r="AI479" s="260">
        <v>7.7366666666666669E-3</v>
      </c>
      <c r="AJ479" s="260">
        <v>4.2183999999999998E-3</v>
      </c>
      <c r="AK479" s="260">
        <v>2.3481999999999999E-3</v>
      </c>
      <c r="AL479" s="260">
        <v>3.6420000000000003E-3</v>
      </c>
      <c r="AM479" s="260">
        <v>9.0062000000000007E-3</v>
      </c>
      <c r="AN479" s="260">
        <v>-1.3675999999999996E-3</v>
      </c>
      <c r="AO479" s="260">
        <v>-1.8915999999999996E-3</v>
      </c>
      <c r="AP479" s="260">
        <v>4.2199999999999874E-5</v>
      </c>
      <c r="AQ479" s="260">
        <v>-1.0203799999999996E-3</v>
      </c>
      <c r="AR479" s="244">
        <v>-2.1673799999999996E-3</v>
      </c>
      <c r="AS479" s="244">
        <v>1.2542200000000003E-3</v>
      </c>
      <c r="AT479" s="244">
        <v>5.7606200000000002E-3</v>
      </c>
      <c r="AU479" s="244">
        <v>6.7296200000000004E-3</v>
      </c>
      <c r="AV479" s="244">
        <f t="shared" si="38"/>
        <v>6.7296200000000004E-3</v>
      </c>
      <c r="AX479" s="86" t="str">
        <f t="shared" ca="1" si="40"/>
        <v>F</v>
      </c>
    </row>
    <row r="480" spans="1:50" hidden="1">
      <c r="A480" s="86" t="str">
        <f t="shared" ca="1" si="39"/>
        <v>GLE</v>
      </c>
      <c r="F480" s="249">
        <v>54.76</v>
      </c>
      <c r="G480" s="249">
        <v>56.3</v>
      </c>
      <c r="H480" s="249">
        <v>56.12</v>
      </c>
      <c r="I480" s="249">
        <v>58.84</v>
      </c>
      <c r="J480" s="249">
        <v>56.54</v>
      </c>
      <c r="K480" s="249">
        <v>57.38</v>
      </c>
      <c r="L480" s="249">
        <v>58.2</v>
      </c>
      <c r="M480" s="249">
        <v>56.8</v>
      </c>
      <c r="N480" s="249">
        <v>59.78</v>
      </c>
      <c r="O480" s="249">
        <v>60.08</v>
      </c>
      <c r="P480" s="249">
        <v>60.2</v>
      </c>
      <c r="Q480" s="249">
        <v>60.36</v>
      </c>
      <c r="R480" s="249">
        <v>61.1</v>
      </c>
      <c r="S480" s="249">
        <v>61.26</v>
      </c>
      <c r="T480" s="249">
        <v>61.26</v>
      </c>
      <c r="U480" s="249">
        <v>62.5</v>
      </c>
      <c r="V480" s="249">
        <v>63.26</v>
      </c>
      <c r="W480" s="249">
        <v>63.34</v>
      </c>
      <c r="X480" s="249">
        <v>63.68</v>
      </c>
      <c r="Y480" s="249">
        <v>64.459999999999994</v>
      </c>
      <c r="Z480" s="243">
        <f ca="1">[1]ExtEntry!$J78</f>
        <v>64.459999999999994</v>
      </c>
      <c r="AB480" s="263">
        <v>0</v>
      </c>
      <c r="AC480" s="263">
        <v>0</v>
      </c>
      <c r="AD480" s="263">
        <v>0</v>
      </c>
      <c r="AE480" s="263">
        <v>-4.5008333333333324E-3</v>
      </c>
      <c r="AF480" s="263">
        <v>-2.949666666666666E-3</v>
      </c>
      <c r="AG480" s="263">
        <v>-1.3728333333333325E-3</v>
      </c>
      <c r="AH480" s="263">
        <v>-7.465499999999999E-3</v>
      </c>
      <c r="AI480" s="263">
        <v>-6.5549999999999992E-3</v>
      </c>
      <c r="AJ480" s="263">
        <v>3.3050000000000002E-3</v>
      </c>
      <c r="AK480" s="263">
        <v>5.7120000000000001E-3</v>
      </c>
      <c r="AL480" s="263">
        <v>4.6415600000000003E-3</v>
      </c>
      <c r="AM480" s="263">
        <v>1.7955600000000003E-3</v>
      </c>
      <c r="AN480" s="263">
        <v>9.34836E-3</v>
      </c>
      <c r="AO480" s="263">
        <v>3.85616E-3</v>
      </c>
      <c r="AP480" s="263">
        <v>7.4276000000000029E-4</v>
      </c>
      <c r="AQ480" s="263">
        <v>7.1523999999999989E-3</v>
      </c>
      <c r="AR480" s="244">
        <v>4.8143999999999991E-3</v>
      </c>
      <c r="AS480" s="244">
        <v>1.220999999999999E-3</v>
      </c>
      <c r="AT480" s="244">
        <v>4.4408E-3</v>
      </c>
      <c r="AU480" s="244">
        <v>8.9821999999999992E-3</v>
      </c>
      <c r="AV480" s="244">
        <f t="shared" si="38"/>
        <v>8.9821999999999992E-3</v>
      </c>
      <c r="AX480" s="86" t="str">
        <f t="shared" ca="1" si="40"/>
        <v>GLE</v>
      </c>
    </row>
    <row r="481" spans="1:50" hidden="1">
      <c r="A481" s="86" t="str">
        <f t="shared" ca="1" si="39"/>
        <v>GNRC</v>
      </c>
      <c r="F481" s="249">
        <v>161.26</v>
      </c>
      <c r="G481" s="249">
        <v>158.64920000000001</v>
      </c>
      <c r="H481" s="249">
        <v>156.13</v>
      </c>
      <c r="I481" s="249">
        <v>153.13999999999999</v>
      </c>
      <c r="J481" s="249">
        <v>144.53</v>
      </c>
      <c r="K481" s="249">
        <v>147.79</v>
      </c>
      <c r="L481" s="249">
        <v>155</v>
      </c>
      <c r="M481" s="249">
        <v>148.85</v>
      </c>
      <c r="N481" s="249">
        <v>150.59</v>
      </c>
      <c r="O481" s="249">
        <v>150.6</v>
      </c>
      <c r="P481" s="249">
        <v>152.38</v>
      </c>
      <c r="Q481" s="249">
        <v>151.75</v>
      </c>
      <c r="R481" s="249">
        <v>158.39500000000001</v>
      </c>
      <c r="S481" s="249">
        <v>159.54499999999999</v>
      </c>
      <c r="T481" s="249">
        <v>159.59</v>
      </c>
      <c r="U481" s="249">
        <v>164.99</v>
      </c>
      <c r="V481" s="249">
        <v>165.5</v>
      </c>
      <c r="W481" s="249">
        <v>163.62729999999999</v>
      </c>
      <c r="X481" s="249">
        <v>167.73</v>
      </c>
      <c r="Y481" s="249">
        <v>168.12</v>
      </c>
      <c r="Z481" s="243">
        <f ca="1">[1]ExtEntry!$J79</f>
        <v>168.12</v>
      </c>
      <c r="AB481" s="260">
        <v>3015</v>
      </c>
      <c r="AC481" s="260">
        <v>-837</v>
      </c>
      <c r="AD481" s="260">
        <v>3204</v>
      </c>
      <c r="AE481" s="260">
        <v>-1.0529333333333333E-2</v>
      </c>
      <c r="AF481" s="260">
        <v>1.4421666666666656E-3</v>
      </c>
      <c r="AG481" s="260">
        <v>-7.5393333333333345E-3</v>
      </c>
      <c r="AH481" s="260">
        <v>6.5896666666666647E-3</v>
      </c>
      <c r="AI481" s="260">
        <v>1.3903499999999999E-2</v>
      </c>
      <c r="AJ481" s="260">
        <v>1.33466E-2</v>
      </c>
      <c r="AK481" s="260">
        <v>1.0947999999999999E-2</v>
      </c>
      <c r="AL481" s="260">
        <v>8.5051999999999992E-3</v>
      </c>
      <c r="AM481" s="260">
        <v>1.5592399999999998E-2</v>
      </c>
      <c r="AN481" s="260">
        <v>1.3858599999999999E-2</v>
      </c>
      <c r="AO481" s="260">
        <v>1.6449399999999996E-2</v>
      </c>
      <c r="AP481" s="260">
        <v>2.1088199999999994E-2</v>
      </c>
      <c r="AQ481" s="260">
        <v>2.3908599999999999E-2</v>
      </c>
      <c r="AR481" s="244">
        <v>2.31518E-2</v>
      </c>
      <c r="AS481" s="244">
        <v>1.2387E-2</v>
      </c>
      <c r="AT481" s="244">
        <v>1.59626E-2</v>
      </c>
      <c r="AU481" s="244">
        <v>1.2339600000000001E-2</v>
      </c>
      <c r="AV481" s="244">
        <f t="shared" si="38"/>
        <v>1.2339600000000001E-2</v>
      </c>
      <c r="AX481" s="86" t="str">
        <f t="shared" ca="1" si="40"/>
        <v>GNRC</v>
      </c>
    </row>
    <row r="482" spans="1:50" hidden="1">
      <c r="A482" s="86" t="str">
        <f t="shared" ca="1" si="39"/>
        <v>GS</v>
      </c>
      <c r="F482" s="249">
        <v>797.36</v>
      </c>
      <c r="G482" s="249">
        <v>798</v>
      </c>
      <c r="H482" s="249">
        <v>785.55489999999998</v>
      </c>
      <c r="I482" s="249">
        <v>800.61</v>
      </c>
      <c r="J482" s="249">
        <v>787.7</v>
      </c>
      <c r="K482" s="249">
        <v>785.3</v>
      </c>
      <c r="L482" s="249">
        <v>816</v>
      </c>
      <c r="M482" s="249">
        <v>780.37</v>
      </c>
      <c r="N482" s="249">
        <v>819.58</v>
      </c>
      <c r="O482" s="249">
        <v>819.58</v>
      </c>
      <c r="P482" s="249">
        <v>830.57</v>
      </c>
      <c r="Q482" s="249">
        <v>824.73</v>
      </c>
      <c r="R482" s="249">
        <v>819.47</v>
      </c>
      <c r="S482" s="249">
        <v>826.28</v>
      </c>
      <c r="T482" s="249">
        <v>837.91</v>
      </c>
      <c r="U482" s="249">
        <v>843.99</v>
      </c>
      <c r="V482" s="249">
        <v>856.2</v>
      </c>
      <c r="W482" s="249">
        <v>883.721</v>
      </c>
      <c r="X482" s="249">
        <v>897.19590000000005</v>
      </c>
      <c r="Y482" s="249">
        <v>919.09799999999996</v>
      </c>
      <c r="Z482" s="243">
        <f ca="1">[1]ExtEntry!$J80</f>
        <v>919.09799999999996</v>
      </c>
      <c r="AB482" s="263">
        <v>0</v>
      </c>
      <c r="AC482" s="263">
        <v>0</v>
      </c>
      <c r="AD482" s="263">
        <v>0</v>
      </c>
      <c r="AE482" s="263">
        <v>-2.6754999999999995E-3</v>
      </c>
      <c r="AF482" s="263">
        <v>-3.0266666666666658E-3</v>
      </c>
      <c r="AG482" s="263">
        <v>-5.1886666666666669E-3</v>
      </c>
      <c r="AH482" s="263">
        <v>-3.1874999999999994E-3</v>
      </c>
      <c r="AI482" s="263">
        <v>-1.9174999999999991E-3</v>
      </c>
      <c r="AJ482" s="263">
        <v>3.8534000000000007E-3</v>
      </c>
      <c r="AK482" s="263">
        <v>6.8806000000000006E-3</v>
      </c>
      <c r="AL482" s="263">
        <v>8.0692000000000003E-3</v>
      </c>
      <c r="AM482" s="263">
        <v>7.0014000000000005E-3</v>
      </c>
      <c r="AN482" s="263">
        <v>7.9696000000000003E-3</v>
      </c>
      <c r="AO482" s="263">
        <v>6.8096000000000016E-3</v>
      </c>
      <c r="AP482" s="263">
        <v>8.6992000000000007E-3</v>
      </c>
      <c r="AQ482" s="263">
        <v>6.318438E-3</v>
      </c>
      <c r="AR482" s="244">
        <v>1.3373838000000002E-2</v>
      </c>
      <c r="AS482" s="244">
        <v>1.4142638000000003E-2</v>
      </c>
      <c r="AT482" s="244">
        <v>1.4820837999999999E-2</v>
      </c>
      <c r="AU482" s="244">
        <v>1.4439038000000001E-2</v>
      </c>
      <c r="AV482" s="244">
        <f t="shared" si="38"/>
        <v>1.4439038000000001E-2</v>
      </c>
      <c r="AX482" s="86" t="str">
        <f t="shared" ca="1" si="40"/>
        <v>GS</v>
      </c>
    </row>
    <row r="483" spans="1:50" hidden="1">
      <c r="A483" s="86" t="str">
        <f t="shared" ca="1" si="39"/>
        <v>LAZR</v>
      </c>
      <c r="F483" s="249">
        <v>1.37</v>
      </c>
      <c r="G483" s="249">
        <v>1.31</v>
      </c>
      <c r="H483" s="249">
        <v>1.27</v>
      </c>
      <c r="I483" s="249">
        <v>1.26</v>
      </c>
      <c r="J483" s="249">
        <v>0.9</v>
      </c>
      <c r="K483" s="249">
        <v>0.98280000000000001</v>
      </c>
      <c r="L483" s="249">
        <v>1.1399999999999999</v>
      </c>
      <c r="M483" s="249">
        <v>0.93230000000000002</v>
      </c>
      <c r="N483" s="249">
        <v>0.83950000000000002</v>
      </c>
      <c r="O483" s="249">
        <v>0.83950000000000002</v>
      </c>
      <c r="P483" s="249">
        <v>0.91920000000000002</v>
      </c>
      <c r="Q483" s="249">
        <v>0.91</v>
      </c>
      <c r="R483" s="249">
        <v>0.89990000000000003</v>
      </c>
      <c r="S483" s="249">
        <v>0.86819999999999997</v>
      </c>
      <c r="T483" s="249">
        <v>0.88780000000000003</v>
      </c>
      <c r="U483" s="249">
        <v>1.1399999999999999</v>
      </c>
      <c r="V483" s="249">
        <v>1.1100000000000001</v>
      </c>
      <c r="W483" s="249">
        <v>0.9</v>
      </c>
      <c r="X483" s="249">
        <v>0.91949999999999998</v>
      </c>
      <c r="Y483" s="249">
        <v>1.04</v>
      </c>
      <c r="Z483" s="243">
        <f ca="1">[1]ExtEntry!$J81</f>
        <v>1.04</v>
      </c>
      <c r="AB483" s="260">
        <v>-9233.2100000000064</v>
      </c>
      <c r="AC483" s="260">
        <v>-2354.0805999999902</v>
      </c>
      <c r="AD483" s="260">
        <v>4965.7599999999984</v>
      </c>
      <c r="AE483" s="260">
        <v>-2.0370333333333334E-2</v>
      </c>
      <c r="AF483" s="260">
        <v>-1.84175E-2</v>
      </c>
      <c r="AG483" s="260">
        <v>-1.4683333333333354E-3</v>
      </c>
      <c r="AH483" s="260">
        <v>7.2883333333333133E-4</v>
      </c>
      <c r="AI483" s="260">
        <v>-1.7791166666666667E-2</v>
      </c>
      <c r="AJ483" s="260">
        <v>1.2425999999999993E-3</v>
      </c>
      <c r="AK483" s="260">
        <v>1.5190599999999999E-2</v>
      </c>
      <c r="AL483" s="260">
        <v>3.2773799999999999E-2</v>
      </c>
      <c r="AM483" s="260">
        <v>2.3147799999999996E-2</v>
      </c>
      <c r="AN483" s="260">
        <v>2.0919799999999999E-2</v>
      </c>
      <c r="AO483" s="260">
        <v>1.3757200000000002E-2</v>
      </c>
      <c r="AP483" s="260">
        <v>2.3519000000000002E-2</v>
      </c>
      <c r="AQ483" s="260">
        <v>4.8529799999999998E-2</v>
      </c>
      <c r="AR483" s="244">
        <v>3.4617799999999997E-2</v>
      </c>
      <c r="AS483" s="244">
        <v>4.4938599999999995E-2</v>
      </c>
      <c r="AT483" s="244">
        <v>4.8045000000000004E-2</v>
      </c>
      <c r="AU483" s="244">
        <v>5.4663200000000002E-2</v>
      </c>
      <c r="AV483" s="244">
        <f t="shared" si="38"/>
        <v>5.4663200000000002E-2</v>
      </c>
      <c r="AX483" s="86" t="str">
        <f t="shared" ca="1" si="40"/>
        <v>LAZR</v>
      </c>
    </row>
    <row r="484" spans="1:50" hidden="1">
      <c r="A484" s="86" t="str">
        <f t="shared" ca="1" si="39"/>
        <v>LUV</v>
      </c>
      <c r="F484" s="249">
        <v>31.649899999999999</v>
      </c>
      <c r="G484" s="249">
        <v>31.97</v>
      </c>
      <c r="H484" s="249">
        <v>32.380000000000003</v>
      </c>
      <c r="I484" s="249">
        <v>33.075000000000003</v>
      </c>
      <c r="J484" s="249">
        <v>32.26</v>
      </c>
      <c r="K484" s="249">
        <v>32.96</v>
      </c>
      <c r="L484" s="249">
        <v>32.659999999999997</v>
      </c>
      <c r="M484" s="249">
        <v>33.24</v>
      </c>
      <c r="N484" s="249">
        <v>35.39</v>
      </c>
      <c r="O484" s="249">
        <v>35.39</v>
      </c>
      <c r="P484" s="249">
        <v>35.340000000000003</v>
      </c>
      <c r="Q484" s="249">
        <v>35.114199999999997</v>
      </c>
      <c r="R484" s="249">
        <v>35.725000000000001</v>
      </c>
      <c r="S484" s="249">
        <v>35.69</v>
      </c>
      <c r="T484" s="249">
        <v>35.770000000000003</v>
      </c>
      <c r="U484" s="249">
        <v>35.880000000000003</v>
      </c>
      <c r="V484" s="249">
        <v>38.164999999999999</v>
      </c>
      <c r="W484" s="249">
        <v>38.46</v>
      </c>
      <c r="X484" s="249">
        <v>39.85</v>
      </c>
      <c r="Y484" s="249">
        <v>41.134999999999998</v>
      </c>
      <c r="Z484" s="243">
        <f ca="1">[1]ExtEntry!$J82</f>
        <v>41.134999999999998</v>
      </c>
      <c r="AB484" s="263">
        <v>2010</v>
      </c>
      <c r="AC484" s="263">
        <v>282</v>
      </c>
      <c r="AD484" s="263">
        <v>2718</v>
      </c>
      <c r="AE484" s="263">
        <v>9.7391666666666668E-3</v>
      </c>
      <c r="AF484" s="263">
        <v>1.33635E-2</v>
      </c>
      <c r="AG484" s="263">
        <v>-2.2499999999999921E-4</v>
      </c>
      <c r="AH484" s="263">
        <v>9.5980000000000006E-3</v>
      </c>
      <c r="AI484" s="263">
        <v>1.4002666666666668E-2</v>
      </c>
      <c r="AJ484" s="263">
        <v>1.1813800000000003E-2</v>
      </c>
      <c r="AK484" s="263">
        <v>1.5226600000000002E-2</v>
      </c>
      <c r="AL484" s="263">
        <v>1.4762000000000001E-2</v>
      </c>
      <c r="AM484" s="263">
        <v>1.8388400000000006E-2</v>
      </c>
      <c r="AN484" s="263">
        <v>1.1558599999999999E-2</v>
      </c>
      <c r="AO484" s="263">
        <v>7.6975999999999989E-3</v>
      </c>
      <c r="AP484" s="263">
        <v>5.0334000000000004E-3</v>
      </c>
      <c r="AQ484" s="263">
        <v>7.4669999999999997E-3</v>
      </c>
      <c r="AR484" s="244">
        <v>1.8317800000000002E-2</v>
      </c>
      <c r="AS484" s="244">
        <v>1.6833000000000001E-2</v>
      </c>
      <c r="AT484" s="244">
        <v>2.49932E-2</v>
      </c>
      <c r="AU484" s="244">
        <v>2.8123199999999998E-2</v>
      </c>
      <c r="AV484" s="244">
        <f t="shared" si="38"/>
        <v>2.8123199999999998E-2</v>
      </c>
      <c r="AX484" s="86" t="str">
        <f t="shared" ca="1" si="40"/>
        <v>LUV</v>
      </c>
    </row>
    <row r="485" spans="1:50" hidden="1">
      <c r="A485" s="86" t="str">
        <f t="shared" ca="1" si="39"/>
        <v>MA</v>
      </c>
      <c r="F485" s="249">
        <v>556.33000000000004</v>
      </c>
      <c r="G485" s="249">
        <v>554.99</v>
      </c>
      <c r="H485" s="249">
        <v>558.66999999999996</v>
      </c>
      <c r="I485" s="249">
        <v>557</v>
      </c>
      <c r="J485" s="249">
        <v>536</v>
      </c>
      <c r="K485" s="249">
        <v>530.6884</v>
      </c>
      <c r="L485" s="249">
        <v>538.46</v>
      </c>
      <c r="M485" s="249">
        <v>544.41</v>
      </c>
      <c r="N485" s="249">
        <v>548.66999999999996</v>
      </c>
      <c r="O485" s="249">
        <v>548.66999999999996</v>
      </c>
      <c r="P485" s="249">
        <v>551.4</v>
      </c>
      <c r="Q485" s="249">
        <v>549.78</v>
      </c>
      <c r="R485" s="249">
        <v>554.75</v>
      </c>
      <c r="S485" s="249">
        <v>551.09979999999996</v>
      </c>
      <c r="T485" s="249">
        <v>555.07000000000005</v>
      </c>
      <c r="U485" s="249">
        <v>559</v>
      </c>
      <c r="V485" s="249">
        <v>550.44000000000005</v>
      </c>
      <c r="W485" s="249">
        <v>541.90009999999995</v>
      </c>
      <c r="X485" s="249">
        <v>544.94500000000005</v>
      </c>
      <c r="Y485" s="249">
        <v>565.13</v>
      </c>
      <c r="Z485" s="243">
        <f ca="1">[1]ExtEntry!$J83</f>
        <v>565.13</v>
      </c>
      <c r="AB485" s="260">
        <v>754</v>
      </c>
      <c r="AC485" s="260">
        <v>1044.0000000000291</v>
      </c>
      <c r="AD485" s="260">
        <v>885.99999999998545</v>
      </c>
      <c r="AE485" s="260">
        <v>-3.8488333333333339E-3</v>
      </c>
      <c r="AF485" s="260">
        <v>-7.0390000000000001E-3</v>
      </c>
      <c r="AG485" s="260">
        <v>-5.6623333333333343E-3</v>
      </c>
      <c r="AH485" s="260">
        <v>-1.1680000000000006E-3</v>
      </c>
      <c r="AI485" s="260">
        <v>3.6276666666666658E-3</v>
      </c>
      <c r="AJ485" s="260">
        <v>3.2189999999999996E-3</v>
      </c>
      <c r="AK485" s="260">
        <v>6.2876E-3</v>
      </c>
      <c r="AL485" s="260">
        <v>8.7453999999999987E-3</v>
      </c>
      <c r="AM485" s="260">
        <v>5.9850000000000007E-3</v>
      </c>
      <c r="AN485" s="260">
        <v>1.4534000000000001E-3</v>
      </c>
      <c r="AO485" s="260">
        <v>2.5893999999999999E-3</v>
      </c>
      <c r="AP485" s="260">
        <v>6.3659999999999993E-3</v>
      </c>
      <c r="AQ485" s="260">
        <v>4.4319999999999982E-4</v>
      </c>
      <c r="AR485" s="244">
        <v>2.2925999999999997E-3</v>
      </c>
      <c r="AS485" s="244">
        <v>1.3965999999999996E-3</v>
      </c>
      <c r="AT485" s="244">
        <v>3.7819999999999987E-4</v>
      </c>
      <c r="AU485" s="244">
        <v>6.3364000000000007E-3</v>
      </c>
      <c r="AV485" s="244">
        <f t="shared" si="38"/>
        <v>6.3364000000000007E-3</v>
      </c>
      <c r="AX485" s="86" t="str">
        <f t="shared" ca="1" si="40"/>
        <v>MA</v>
      </c>
    </row>
    <row r="486" spans="1:50" hidden="1">
      <c r="A486" s="86" t="str">
        <f t="shared" ca="1" si="39"/>
        <v>NVAX</v>
      </c>
      <c r="F486" s="249">
        <v>7.87</v>
      </c>
      <c r="G486" s="249">
        <v>7.9</v>
      </c>
      <c r="H486" s="249">
        <v>7.64</v>
      </c>
      <c r="I486" s="249">
        <v>7.15</v>
      </c>
      <c r="J486" s="249">
        <v>6.7149999999999999</v>
      </c>
      <c r="K486" s="249">
        <v>6.8</v>
      </c>
      <c r="L486" s="249">
        <v>6.6</v>
      </c>
      <c r="M486" s="249">
        <v>6.54</v>
      </c>
      <c r="N486" s="249">
        <v>6.91</v>
      </c>
      <c r="O486" s="249">
        <v>6.98</v>
      </c>
      <c r="P486" s="249">
        <v>7.06</v>
      </c>
      <c r="Q486" s="249">
        <v>6.92</v>
      </c>
      <c r="R486" s="249">
        <v>6.73</v>
      </c>
      <c r="S486" s="249">
        <v>6.78</v>
      </c>
      <c r="T486" s="249">
        <v>6.85</v>
      </c>
      <c r="U486" s="249">
        <v>6.83</v>
      </c>
      <c r="V486" s="249">
        <v>6.91</v>
      </c>
      <c r="W486" s="249">
        <v>6.8550000000000004</v>
      </c>
      <c r="X486" s="249">
        <v>6.7850000000000001</v>
      </c>
      <c r="Y486" s="249">
        <v>6.84</v>
      </c>
      <c r="Z486" s="243">
        <f ca="1">[1]ExtEntry!$J84</f>
        <v>6.84</v>
      </c>
      <c r="AB486" s="263">
        <v>1430</v>
      </c>
      <c r="AC486" s="263">
        <v>780.65000000000873</v>
      </c>
      <c r="AD486" s="263">
        <v>1163.5</v>
      </c>
      <c r="AE486" s="263">
        <v>-1.5424333333333332E-2</v>
      </c>
      <c r="AF486" s="263">
        <v>-1.1962333333333333E-2</v>
      </c>
      <c r="AG486" s="263">
        <v>-1.8717333333333336E-2</v>
      </c>
      <c r="AH486" s="263">
        <v>-1.2103333333333336E-2</v>
      </c>
      <c r="AI486" s="263">
        <v>-1.2960000000000009E-3</v>
      </c>
      <c r="AJ486" s="263">
        <v>-1.6744000000000008E-3</v>
      </c>
      <c r="AK486" s="263">
        <v>1.2863200000000002E-2</v>
      </c>
      <c r="AL486" s="263">
        <v>2.1068E-2</v>
      </c>
      <c r="AM486" s="263">
        <v>1.6579E-2</v>
      </c>
      <c r="AN486" s="263">
        <v>5.8383999999999979E-3</v>
      </c>
      <c r="AO486" s="263">
        <v>5.6018000000000014E-3</v>
      </c>
      <c r="AP486" s="263">
        <v>5.1018000000000001E-3</v>
      </c>
      <c r="AQ486" s="263">
        <v>1.785599999999999E-3</v>
      </c>
      <c r="AR486" s="244">
        <v>1.1044799999999999E-2</v>
      </c>
      <c r="AS486" s="244">
        <v>1.4175999999999999E-2</v>
      </c>
      <c r="AT486" s="244">
        <v>1.12844E-2</v>
      </c>
      <c r="AU486" s="244">
        <v>2.5279999999999999E-3</v>
      </c>
      <c r="AV486" s="244">
        <f t="shared" si="38"/>
        <v>2.5279999999999999E-3</v>
      </c>
      <c r="AX486" s="86" t="str">
        <f t="shared" ca="1" si="40"/>
        <v>NVAX</v>
      </c>
    </row>
    <row r="487" spans="1:50" hidden="1">
      <c r="A487" s="86" t="str">
        <f t="shared" ca="1" si="39"/>
        <v>NVS</v>
      </c>
      <c r="F487" s="249">
        <v>125.92</v>
      </c>
      <c r="G487" s="249">
        <v>127.11</v>
      </c>
      <c r="H487" s="249">
        <v>126.96</v>
      </c>
      <c r="I487" s="249">
        <v>132.76</v>
      </c>
      <c r="J487" s="249">
        <v>128.69999999999999</v>
      </c>
      <c r="K487" s="249">
        <v>128.39500000000001</v>
      </c>
      <c r="L487" s="249">
        <v>125.61</v>
      </c>
      <c r="M487" s="249">
        <v>127.89</v>
      </c>
      <c r="N487" s="249">
        <v>131.19</v>
      </c>
      <c r="O487" s="249">
        <v>131.19</v>
      </c>
      <c r="P487" s="249">
        <v>130.51</v>
      </c>
      <c r="Q487" s="249">
        <v>131.15</v>
      </c>
      <c r="R487" s="249">
        <v>132.67400000000001</v>
      </c>
      <c r="S487" s="249">
        <v>134.24</v>
      </c>
      <c r="T487" s="249">
        <v>134.24</v>
      </c>
      <c r="U487" s="249">
        <v>133.94999999999999</v>
      </c>
      <c r="V487" s="249">
        <v>134.04</v>
      </c>
      <c r="W487" s="249">
        <v>133.14500000000001</v>
      </c>
      <c r="X487" s="249">
        <v>131.63</v>
      </c>
      <c r="Y487" s="249">
        <v>133.84</v>
      </c>
      <c r="Z487" s="243">
        <f ca="1">[1]ExtEntry!$J85</f>
        <v>133.84</v>
      </c>
      <c r="AB487" s="260">
        <v>0</v>
      </c>
      <c r="AC487" s="260">
        <v>0</v>
      </c>
      <c r="AD487" s="260">
        <v>0</v>
      </c>
      <c r="AE487" s="260">
        <v>-1.8358499999999993E-3</v>
      </c>
      <c r="AF487" s="260">
        <v>-4.7720166666666668E-3</v>
      </c>
      <c r="AG487" s="260">
        <v>-8.9011833333333332E-3</v>
      </c>
      <c r="AH487" s="260">
        <v>-6.2263499999999994E-3</v>
      </c>
      <c r="AI487" s="260">
        <v>-1.7931666666666675E-3</v>
      </c>
      <c r="AJ487" s="260">
        <v>-5.8818000000000013E-3</v>
      </c>
      <c r="AK487" s="260">
        <v>-1.7780000000000009E-4</v>
      </c>
      <c r="AL487" s="260">
        <v>1.5888599999999997E-3</v>
      </c>
      <c r="AM487" s="260">
        <v>4.1954599999999998E-3</v>
      </c>
      <c r="AN487" s="260">
        <v>4.2446599999999999E-3</v>
      </c>
      <c r="AO487" s="260">
        <v>6.4456600000000006E-3</v>
      </c>
      <c r="AP487" s="260">
        <v>8.34646E-3</v>
      </c>
      <c r="AQ487" s="260">
        <v>7.6749999999999995E-3</v>
      </c>
      <c r="AR487" s="244">
        <v>8.9826000000000003E-3</v>
      </c>
      <c r="AS487" s="244">
        <v>6.276799999999999E-3</v>
      </c>
      <c r="AT487" s="244">
        <v>3.9360000000000003E-3</v>
      </c>
      <c r="AU487" s="244">
        <v>3.5423999999999998E-3</v>
      </c>
      <c r="AV487" s="244">
        <f t="shared" si="38"/>
        <v>3.5423999999999998E-3</v>
      </c>
      <c r="AX487" s="86" t="str">
        <f t="shared" ca="1" si="40"/>
        <v>NVS</v>
      </c>
    </row>
    <row r="488" spans="1:50" hidden="1">
      <c r="A488" s="86" t="str">
        <f t="shared" ca="1" si="39"/>
        <v>ORA</v>
      </c>
      <c r="F488" s="249">
        <v>13.86</v>
      </c>
      <c r="G488" s="249">
        <v>13.94</v>
      </c>
      <c r="H488" s="249">
        <v>14.27</v>
      </c>
      <c r="I488" s="249">
        <v>14.36</v>
      </c>
      <c r="J488" s="249">
        <v>13.994999999999999</v>
      </c>
      <c r="K488" s="249">
        <v>13.994999999999999</v>
      </c>
      <c r="L488" s="249">
        <v>13.8</v>
      </c>
      <c r="M488" s="249">
        <v>13.945</v>
      </c>
      <c r="N488" s="249">
        <v>14.105</v>
      </c>
      <c r="O488" s="249">
        <v>14.125</v>
      </c>
      <c r="P488" s="249">
        <v>14.234999999999999</v>
      </c>
      <c r="Q488" s="249">
        <v>14.26</v>
      </c>
      <c r="R488" s="249">
        <v>14.08</v>
      </c>
      <c r="S488" s="249">
        <v>14.12</v>
      </c>
      <c r="T488" s="249">
        <v>14.12</v>
      </c>
      <c r="U488" s="249">
        <v>14.105</v>
      </c>
      <c r="V488" s="249">
        <v>14.03</v>
      </c>
      <c r="W488" s="249">
        <v>13.79</v>
      </c>
      <c r="X488" s="249">
        <v>13.69</v>
      </c>
      <c r="Y488" s="249">
        <v>13.75</v>
      </c>
      <c r="Z488" s="243">
        <f ca="1">[1]ExtEntry!$J86</f>
        <v>13.75</v>
      </c>
      <c r="AB488" s="263">
        <v>234</v>
      </c>
      <c r="AC488" s="263">
        <v>222</v>
      </c>
      <c r="AD488" s="263">
        <v>270</v>
      </c>
      <c r="AE488" s="263">
        <v>-3.0888333333333328E-3</v>
      </c>
      <c r="AF488" s="263">
        <v>-3.5536666666666655E-3</v>
      </c>
      <c r="AG488" s="263">
        <v>-5.004999999999999E-3</v>
      </c>
      <c r="AH488" s="263">
        <v>-4.2618333333333336E-3</v>
      </c>
      <c r="AI488" s="263">
        <v>-3.4746666666666671E-3</v>
      </c>
      <c r="AJ488" s="263">
        <v>-2.5852000000000006E-3</v>
      </c>
      <c r="AK488" s="263">
        <v>1.5669999999999989E-3</v>
      </c>
      <c r="AL488" s="263">
        <v>5.4223999999999991E-3</v>
      </c>
      <c r="AM488" s="263">
        <v>6.5297999999999997E-3</v>
      </c>
      <c r="AN488" s="263">
        <v>5.6072000000000006E-3</v>
      </c>
      <c r="AO488" s="263">
        <v>4.1055199999999997E-3</v>
      </c>
      <c r="AP488" s="263">
        <v>4.0347200000000003E-3</v>
      </c>
      <c r="AQ488" s="263">
        <v>1.9771199999999997E-3</v>
      </c>
      <c r="AR488" s="244">
        <v>-1.5226799999999996E-3</v>
      </c>
      <c r="AS488" s="244">
        <v>-4.6999400000000005E-3</v>
      </c>
      <c r="AT488" s="244">
        <v>-5.3580600000000004E-3</v>
      </c>
      <c r="AU488" s="244">
        <v>-4.5466600000000001E-3</v>
      </c>
      <c r="AV488" s="244">
        <f t="shared" si="38"/>
        <v>-4.5466600000000001E-3</v>
      </c>
      <c r="AX488" s="86" t="str">
        <f t="shared" ca="1" si="40"/>
        <v>ORA</v>
      </c>
    </row>
    <row r="489" spans="1:50" hidden="1">
      <c r="A489" s="86" t="str">
        <f t="shared" ca="1" si="39"/>
        <v>OXY</v>
      </c>
      <c r="F489" s="249">
        <v>40.424999999999997</v>
      </c>
      <c r="G489" s="249">
        <v>40.674999999999997</v>
      </c>
      <c r="H489" s="249">
        <v>41.244999999999997</v>
      </c>
      <c r="I489" s="249">
        <v>43.085000000000001</v>
      </c>
      <c r="J489" s="249">
        <v>42.66</v>
      </c>
      <c r="K489" s="249">
        <v>41.63</v>
      </c>
      <c r="L489" s="249">
        <v>42.61</v>
      </c>
      <c r="M489" s="249">
        <v>41.53</v>
      </c>
      <c r="N489" s="249">
        <v>42.01</v>
      </c>
      <c r="O489" s="249">
        <v>42.01</v>
      </c>
      <c r="P489" s="249">
        <v>42.33</v>
      </c>
      <c r="Q489" s="249">
        <v>42.74</v>
      </c>
      <c r="R489" s="249">
        <v>42.25</v>
      </c>
      <c r="S489" s="249">
        <v>42.55</v>
      </c>
      <c r="T489" s="249">
        <v>42.9</v>
      </c>
      <c r="U489" s="249">
        <v>42.71</v>
      </c>
      <c r="V489" s="249">
        <v>43.204999999999998</v>
      </c>
      <c r="W489" s="249">
        <v>41.74</v>
      </c>
      <c r="X489" s="249">
        <v>41.78</v>
      </c>
      <c r="Y489" s="249">
        <v>41.64</v>
      </c>
      <c r="Z489" s="243">
        <f ca="1">[1]ExtEntry!$J87</f>
        <v>41.64</v>
      </c>
      <c r="AB489" s="260">
        <v>460</v>
      </c>
      <c r="AC489" s="260">
        <v>3320</v>
      </c>
      <c r="AD489" s="260">
        <v>7677.2000000000116</v>
      </c>
      <c r="AE489" s="260">
        <v>7.502666666666667E-3</v>
      </c>
      <c r="AF489" s="260">
        <v>6.8059999999999996E-3</v>
      </c>
      <c r="AG489" s="260">
        <v>7.5918333333333332E-3</v>
      </c>
      <c r="AH489" s="260">
        <v>5.8968333333333338E-3</v>
      </c>
      <c r="AI489" s="260">
        <v>2.7043333333333346E-3</v>
      </c>
      <c r="AJ489" s="260">
        <v>1.796000000000006E-4</v>
      </c>
      <c r="AK489" s="260">
        <v>-3.7540599999999987E-3</v>
      </c>
      <c r="AL489" s="260">
        <v>3.8663400000000002E-3</v>
      </c>
      <c r="AM489" s="260">
        <v>7.8505399999999996E-3</v>
      </c>
      <c r="AN489" s="260">
        <v>5.4967400000000008E-3</v>
      </c>
      <c r="AO489" s="260">
        <v>6.2443399999999993E-3</v>
      </c>
      <c r="AP489" s="260">
        <v>8.5784000000000016E-3</v>
      </c>
      <c r="AQ489" s="260">
        <v>6.8628000000000005E-3</v>
      </c>
      <c r="AR489" s="244">
        <v>2.3326000000000002E-3</v>
      </c>
      <c r="AS489" s="244">
        <v>5.8206000000000004E-3</v>
      </c>
      <c r="AT489" s="244">
        <v>6.1166000000000015E-3</v>
      </c>
      <c r="AU489" s="244">
        <v>1.1236000000000002E-3</v>
      </c>
      <c r="AV489" s="244">
        <f t="shared" si="38"/>
        <v>1.1236000000000002E-3</v>
      </c>
      <c r="AX489" s="86" t="str">
        <f t="shared" ca="1" si="40"/>
        <v>OXY</v>
      </c>
    </row>
    <row r="490" spans="1:50" hidden="1">
      <c r="A490" s="86" t="str">
        <f t="shared" ca="1" si="39"/>
        <v>PFE</v>
      </c>
      <c r="F490" s="249">
        <v>24.67</v>
      </c>
      <c r="G490" s="249">
        <v>25.13</v>
      </c>
      <c r="H490" s="249">
        <v>24.63</v>
      </c>
      <c r="I490" s="249">
        <v>25.77</v>
      </c>
      <c r="J490" s="249">
        <v>25.51</v>
      </c>
      <c r="K490" s="249">
        <v>25.5</v>
      </c>
      <c r="L490" s="249">
        <v>25</v>
      </c>
      <c r="M490" s="249">
        <v>25.52</v>
      </c>
      <c r="N490" s="249">
        <v>25.8066</v>
      </c>
      <c r="O490" s="249">
        <v>25.8066</v>
      </c>
      <c r="P490" s="249">
        <v>25.86</v>
      </c>
      <c r="Q490" s="249">
        <v>25.94</v>
      </c>
      <c r="R490" s="249">
        <v>25.3</v>
      </c>
      <c r="S490" s="249">
        <v>25.89</v>
      </c>
      <c r="T490" s="249">
        <v>25.89</v>
      </c>
      <c r="U490" s="249">
        <v>25.68</v>
      </c>
      <c r="V490" s="249">
        <v>26.12</v>
      </c>
      <c r="W490" s="249">
        <v>26.13</v>
      </c>
      <c r="X490" s="249">
        <v>25.79</v>
      </c>
      <c r="Y490" s="249">
        <v>26.04</v>
      </c>
      <c r="Z490" s="243">
        <f ca="1">[1]ExtEntry!$J88</f>
        <v>26.04</v>
      </c>
      <c r="AB490" s="263">
        <v>272</v>
      </c>
      <c r="AC490" s="263">
        <v>224</v>
      </c>
      <c r="AD490" s="263">
        <v>464</v>
      </c>
      <c r="AE490" s="263">
        <v>-5.4233333333333304E-4</v>
      </c>
      <c r="AF490" s="263">
        <v>-1.1606666666666666E-3</v>
      </c>
      <c r="AG490" s="263">
        <v>-6.7073333333333334E-3</v>
      </c>
      <c r="AH490" s="263">
        <v>-3.9938333333333336E-3</v>
      </c>
      <c r="AI490" s="263">
        <v>8.2149999999999931E-4</v>
      </c>
      <c r="AJ490" s="263">
        <v>9.2656000000000043E-4</v>
      </c>
      <c r="AK490" s="263">
        <v>-2.1018E-3</v>
      </c>
      <c r="AL490" s="263">
        <v>1.3165999999999998E-3</v>
      </c>
      <c r="AM490" s="263">
        <v>2.3016E-3</v>
      </c>
      <c r="AN490" s="263">
        <v>-3.9392000000000003E-3</v>
      </c>
      <c r="AO490" s="263">
        <v>4.3184000000000072E-4</v>
      </c>
      <c r="AP490" s="263">
        <v>4.1916000000000002E-3</v>
      </c>
      <c r="AQ490" s="263">
        <v>4.5044000000000004E-3</v>
      </c>
      <c r="AR490" s="244">
        <v>9.9084000000000012E-3</v>
      </c>
      <c r="AS490" s="244">
        <v>9.2260000000000016E-3</v>
      </c>
      <c r="AT490" s="244">
        <v>8.4851999999999983E-3</v>
      </c>
      <c r="AU490" s="244">
        <v>5.0360000000000005E-3</v>
      </c>
      <c r="AV490" s="244">
        <f t="shared" si="38"/>
        <v>5.0360000000000005E-3</v>
      </c>
      <c r="AX490" s="86" t="str">
        <f t="shared" ca="1" si="40"/>
        <v>PFE</v>
      </c>
    </row>
    <row r="491" spans="1:50" hidden="1">
      <c r="A491" s="86" t="str">
        <f t="shared" ca="1" si="39"/>
        <v>RIG</v>
      </c>
      <c r="F491" s="249">
        <v>3.98</v>
      </c>
      <c r="G491" s="249">
        <v>3.99</v>
      </c>
      <c r="H491" s="249">
        <v>3.99</v>
      </c>
      <c r="I491" s="249">
        <v>4.13</v>
      </c>
      <c r="J491" s="249">
        <v>4.2</v>
      </c>
      <c r="K491" s="249">
        <v>4.1399999999999997</v>
      </c>
      <c r="L491" s="249">
        <v>4.22</v>
      </c>
      <c r="M491" s="249">
        <v>3.91</v>
      </c>
      <c r="N491" s="249">
        <v>4.34</v>
      </c>
      <c r="O491" s="249">
        <v>4.3600000000000003</v>
      </c>
      <c r="P491" s="249">
        <v>4.43</v>
      </c>
      <c r="Q491" s="249">
        <v>4.49</v>
      </c>
      <c r="R491" s="249">
        <v>4.3899999999999997</v>
      </c>
      <c r="S491" s="249">
        <v>4.4649999999999999</v>
      </c>
      <c r="T491" s="249">
        <v>4.5</v>
      </c>
      <c r="U491" s="249">
        <v>4.49</v>
      </c>
      <c r="V491" s="249">
        <v>4.55</v>
      </c>
      <c r="W491" s="249">
        <v>4.55</v>
      </c>
      <c r="X491" s="249">
        <v>4.3899999999999997</v>
      </c>
      <c r="Y491" s="249">
        <v>4.38</v>
      </c>
      <c r="Z491" s="243">
        <f ca="1">[1]ExtEntry!$J89</f>
        <v>4.38</v>
      </c>
      <c r="AB491" s="260">
        <v>1920</v>
      </c>
      <c r="AC491" s="260">
        <v>4800</v>
      </c>
      <c r="AD491" s="260">
        <v>4210</v>
      </c>
      <c r="AE491" s="260">
        <v>3.1550000000000003E-3</v>
      </c>
      <c r="AF491" s="260">
        <v>4.0488333333333331E-3</v>
      </c>
      <c r="AG491" s="260">
        <v>-4.2741666666666674E-3</v>
      </c>
      <c r="AH491" s="260">
        <v>-3.4198333333333338E-3</v>
      </c>
      <c r="AI491" s="260">
        <v>-4.0613333333333343E-3</v>
      </c>
      <c r="AJ491" s="260">
        <v>4.177199999999999E-3</v>
      </c>
      <c r="AK491" s="260">
        <v>1.4071800000000001E-2</v>
      </c>
      <c r="AL491" s="260">
        <v>1.99528E-2</v>
      </c>
      <c r="AM491" s="260">
        <v>3.1920199999999996E-2</v>
      </c>
      <c r="AN491" s="260">
        <v>2.7774E-2</v>
      </c>
      <c r="AO491" s="260">
        <v>2.2912599999999998E-2</v>
      </c>
      <c r="AP491" s="260">
        <v>1.6831599999999999E-2</v>
      </c>
      <c r="AQ491" s="260">
        <v>1.3544399999999998E-2</v>
      </c>
      <c r="AR491" s="244">
        <v>1.2272399999999999E-2</v>
      </c>
      <c r="AS491" s="244">
        <v>1.8165399999999998E-2</v>
      </c>
      <c r="AT491" s="244">
        <v>4.7025999999999986E-3</v>
      </c>
      <c r="AU491" s="244">
        <v>-2.2596000000000001E-3</v>
      </c>
      <c r="AV491" s="244">
        <f t="shared" si="38"/>
        <v>-2.2596000000000001E-3</v>
      </c>
      <c r="AX491" s="86" t="str">
        <f t="shared" ca="1" si="40"/>
        <v>RIG</v>
      </c>
    </row>
    <row r="492" spans="1:50" hidden="1">
      <c r="A492" s="86" t="str">
        <f t="shared" ca="1" si="39"/>
        <v>RRC</v>
      </c>
      <c r="F492" s="249">
        <v>37.555</v>
      </c>
      <c r="G492" s="249">
        <v>37.83</v>
      </c>
      <c r="H492" s="249">
        <v>37.615000000000002</v>
      </c>
      <c r="I492" s="249">
        <v>38.31</v>
      </c>
      <c r="J492" s="249">
        <v>39.164999999999999</v>
      </c>
      <c r="K492" s="249">
        <v>39.26</v>
      </c>
      <c r="L492" s="249">
        <v>40.524999999999999</v>
      </c>
      <c r="M492" s="249">
        <v>38.56</v>
      </c>
      <c r="N492" s="249">
        <v>38.85</v>
      </c>
      <c r="O492" s="249">
        <v>38.979999999999997</v>
      </c>
      <c r="P492" s="249">
        <v>39.799999999999997</v>
      </c>
      <c r="Q492" s="249">
        <v>39.564999999999998</v>
      </c>
      <c r="R492" s="249">
        <v>39.15</v>
      </c>
      <c r="S492" s="249">
        <v>39.06</v>
      </c>
      <c r="T492" s="249">
        <v>39.914999999999999</v>
      </c>
      <c r="U492" s="249">
        <v>40.450000000000003</v>
      </c>
      <c r="V492" s="249">
        <v>40.880000000000003</v>
      </c>
      <c r="W492" s="249">
        <v>38.130000000000003</v>
      </c>
      <c r="X492" s="249">
        <v>37.65</v>
      </c>
      <c r="Y492" s="249">
        <v>36.884999999999998</v>
      </c>
      <c r="Z492" s="243">
        <f ca="1">[1]ExtEntry!$J90</f>
        <v>36.884999999999998</v>
      </c>
      <c r="AB492" s="263">
        <v>0</v>
      </c>
      <c r="AC492" s="263">
        <v>0</v>
      </c>
      <c r="AD492" s="263">
        <v>0</v>
      </c>
      <c r="AE492" s="263">
        <v>7.5616666666666671E-3</v>
      </c>
      <c r="AF492" s="263">
        <v>7.1894999999999988E-3</v>
      </c>
      <c r="AG492" s="263">
        <v>4.3576666666666668E-3</v>
      </c>
      <c r="AH492" s="263">
        <v>6.181333333333333E-3</v>
      </c>
      <c r="AI492" s="263">
        <v>3.659666666666667E-3</v>
      </c>
      <c r="AJ492" s="263">
        <v>7.2500000000000012E-3</v>
      </c>
      <c r="AK492" s="263">
        <v>6.1285999999999997E-3</v>
      </c>
      <c r="AL492" s="263">
        <v>1.1254200000000001E-2</v>
      </c>
      <c r="AM492" s="263">
        <v>1.33188E-2</v>
      </c>
      <c r="AN492" s="263">
        <v>6.6493999999999998E-3</v>
      </c>
      <c r="AO492" s="263">
        <v>7.1018000000000001E-3</v>
      </c>
      <c r="AP492" s="263">
        <v>1.3171199999999999E-2</v>
      </c>
      <c r="AQ492" s="263">
        <v>9.4193999999999996E-3</v>
      </c>
      <c r="AR492" s="244">
        <v>1.0079800000000002E-2</v>
      </c>
      <c r="AS492" s="244">
        <v>1.7821399999999998E-2</v>
      </c>
      <c r="AT492" s="244">
        <v>1.1288400000000001E-2</v>
      </c>
      <c r="AU492" s="244">
        <v>-3.5828000000000006E-3</v>
      </c>
      <c r="AV492" s="244">
        <f t="shared" si="38"/>
        <v>-3.5828000000000006E-3</v>
      </c>
      <c r="AX492" s="86" t="str">
        <f t="shared" ca="1" si="40"/>
        <v>RRC</v>
      </c>
    </row>
    <row r="493" spans="1:50" hidden="1">
      <c r="A493" s="86" t="str">
        <f t="shared" ca="1" si="39"/>
        <v>XYZ</v>
      </c>
      <c r="F493" s="241">
        <v>74.649299999999997</v>
      </c>
      <c r="G493" s="241">
        <v>75.099999999999994</v>
      </c>
      <c r="H493" s="241">
        <v>66.734999999999999</v>
      </c>
      <c r="I493" s="241">
        <v>62.19</v>
      </c>
      <c r="J493" s="241">
        <v>59.54</v>
      </c>
      <c r="K493" s="241">
        <v>58.7</v>
      </c>
      <c r="L493" s="241">
        <v>65.62</v>
      </c>
      <c r="M493" s="241">
        <v>62.95</v>
      </c>
      <c r="N493" s="241">
        <v>66.13</v>
      </c>
      <c r="O493" s="241">
        <v>66.13</v>
      </c>
      <c r="P493" s="241">
        <v>67.48</v>
      </c>
      <c r="Q493" s="241">
        <v>66.56</v>
      </c>
      <c r="R493" s="241">
        <v>65.264099999999999</v>
      </c>
      <c r="S493" s="241">
        <v>62.9</v>
      </c>
      <c r="T493" s="241">
        <v>62.9</v>
      </c>
      <c r="U493" s="241">
        <v>62.195099999999996</v>
      </c>
      <c r="V493" s="241">
        <v>62.37</v>
      </c>
      <c r="W493" s="241">
        <v>62.079900000000002</v>
      </c>
      <c r="X493" s="241">
        <v>63.35</v>
      </c>
      <c r="Y493" s="241">
        <v>64.11</v>
      </c>
      <c r="Z493" s="243">
        <f ca="1">[1]ExtEntry!$J91</f>
        <v>64.11</v>
      </c>
      <c r="AB493" s="260">
        <v>617.99999999999272</v>
      </c>
      <c r="AC493" s="260">
        <v>-1716</v>
      </c>
      <c r="AD493" s="260">
        <v>2832</v>
      </c>
      <c r="AE493" s="260">
        <v>-2.783416666666667E-2</v>
      </c>
      <c r="AF493" s="260">
        <v>-2.4574666666666665E-2</v>
      </c>
      <c r="AG493" s="260">
        <v>-2.3859666666666668E-2</v>
      </c>
      <c r="AH493" s="260">
        <v>-1.8096666666666667E-2</v>
      </c>
      <c r="AI493" s="260">
        <v>-5.0753333333333327E-3</v>
      </c>
      <c r="AJ493" s="260">
        <v>6.1178000000000005E-3</v>
      </c>
      <c r="AK493" s="260">
        <v>1.45708E-2</v>
      </c>
      <c r="AL493" s="260">
        <v>2.0425400000000003E-2</v>
      </c>
      <c r="AM493" s="260">
        <v>1.53914E-2</v>
      </c>
      <c r="AN493" s="260">
        <v>1.5470000000000011E-3</v>
      </c>
      <c r="AO493" s="260">
        <v>6.2280000000000115E-4</v>
      </c>
      <c r="AP493" s="260">
        <v>-2.5779999999999971E-4</v>
      </c>
      <c r="AQ493" s="260">
        <v>-5.8382E-3</v>
      </c>
      <c r="AR493" s="244">
        <v>-8.1803999999999991E-3</v>
      </c>
      <c r="AS493" s="244">
        <v>7.556199999999999E-3</v>
      </c>
      <c r="AT493" s="244">
        <v>7.3463999999999986E-3</v>
      </c>
      <c r="AU493" s="244">
        <v>4.9987999999999994E-3</v>
      </c>
      <c r="AV493" s="244">
        <f t="shared" si="38"/>
        <v>4.9987999999999994E-3</v>
      </c>
      <c r="AX493" s="86" t="str">
        <f t="shared" ca="1" si="40"/>
        <v>XYZ</v>
      </c>
    </row>
    <row r="494" spans="1:50">
      <c r="A494" s="86" t="str">
        <f t="shared" ca="1" si="39"/>
        <v>THC</v>
      </c>
      <c r="F494" s="249">
        <v>209.16499999999999</v>
      </c>
      <c r="G494" s="249">
        <v>210.34</v>
      </c>
      <c r="H494" s="249">
        <v>206.23</v>
      </c>
      <c r="I494" s="249">
        <v>196.70500000000001</v>
      </c>
      <c r="J494" s="249">
        <v>193.74</v>
      </c>
      <c r="K494" s="249">
        <v>194.51499999999999</v>
      </c>
      <c r="L494" s="249">
        <v>195.26</v>
      </c>
      <c r="M494" s="249">
        <v>194.72</v>
      </c>
      <c r="N494" s="249">
        <v>221</v>
      </c>
      <c r="O494" s="249">
        <v>221</v>
      </c>
      <c r="P494" s="249">
        <v>218.589</v>
      </c>
      <c r="Q494" s="249">
        <v>218.87</v>
      </c>
      <c r="R494" s="249">
        <v>222.815</v>
      </c>
      <c r="S494" s="249">
        <v>217.7099</v>
      </c>
      <c r="T494" s="249">
        <v>217.7099</v>
      </c>
      <c r="U494" s="249">
        <v>215.46899999999999</v>
      </c>
      <c r="V494" s="249">
        <v>213.85</v>
      </c>
      <c r="W494" s="249">
        <v>208.97749999999999</v>
      </c>
      <c r="X494" s="249">
        <v>203.38499999999999</v>
      </c>
      <c r="Y494" s="249">
        <v>200.11500000000001</v>
      </c>
      <c r="Z494" s="243">
        <f ca="1">[1]ExtEntry!$J92</f>
        <v>200.11500000000001</v>
      </c>
      <c r="AB494" s="263">
        <v>1890</v>
      </c>
      <c r="AC494" s="263">
        <v>-12225</v>
      </c>
      <c r="AD494" s="263">
        <v>8467.5</v>
      </c>
      <c r="AE494" s="263">
        <v>1.9850000000000007E-3</v>
      </c>
      <c r="AF494" s="263">
        <v>-3.1376666666666666E-3</v>
      </c>
      <c r="AG494" s="263">
        <v>-8.9653333333333338E-3</v>
      </c>
      <c r="AH494" s="263">
        <v>1.2033333333333225E-4</v>
      </c>
      <c r="AI494" s="263">
        <v>6.442333333333332E-3</v>
      </c>
      <c r="AJ494" s="263">
        <v>3.5040799999999988E-3</v>
      </c>
      <c r="AK494" s="263">
        <v>1.9280799999999993E-3</v>
      </c>
      <c r="AL494" s="263">
        <v>7.9347999999999919E-4</v>
      </c>
      <c r="AM494" s="263">
        <v>8.5254799999999985E-3</v>
      </c>
      <c r="AN494" s="263">
        <v>-2.0912000000000041E-4</v>
      </c>
      <c r="AO494" s="263">
        <v>-1.1322000000000003E-3</v>
      </c>
      <c r="AP494" s="263">
        <v>-3.4382000000000002E-3</v>
      </c>
      <c r="AQ494" s="263">
        <v>-1.9536000000000006E-3</v>
      </c>
      <c r="AR494" s="244">
        <v>-5.5668000000000002E-3</v>
      </c>
      <c r="AS494" s="244">
        <v>-9.722999999999999E-3</v>
      </c>
      <c r="AT494" s="244">
        <v>-1.3472799999999998E-2</v>
      </c>
      <c r="AU494" s="244">
        <v>-1.0087999999999998E-2</v>
      </c>
      <c r="AV494" s="244">
        <f t="shared" si="38"/>
        <v>-1.0087999999999998E-2</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10.316000000000001</v>
      </c>
      <c r="G496" s="342">
        <v>10.394</v>
      </c>
      <c r="H496" s="241">
        <v>10.226000000000001</v>
      </c>
      <c r="I496" s="241">
        <v>10.086</v>
      </c>
      <c r="J496" s="241">
        <v>9.8000000000000007</v>
      </c>
      <c r="K496" s="241">
        <v>9.8149999999999995</v>
      </c>
      <c r="L496" s="241">
        <v>9.9250000000000007</v>
      </c>
      <c r="M496" s="241">
        <v>9.5489999999999995</v>
      </c>
      <c r="N496" s="241">
        <v>9.9469999999999992</v>
      </c>
      <c r="O496" s="241">
        <v>9.8940000000000001</v>
      </c>
      <c r="P496" s="241">
        <v>9.9760000000000009</v>
      </c>
      <c r="Q496" s="241">
        <v>9.9030000000000005</v>
      </c>
      <c r="R496" s="241">
        <v>9.9990000000000006</v>
      </c>
      <c r="S496" s="241">
        <v>9.9499999999999993</v>
      </c>
      <c r="T496" s="241">
        <v>9.9499999999999993</v>
      </c>
      <c r="U496" s="241">
        <v>10.016</v>
      </c>
      <c r="V496" s="241">
        <v>10.044</v>
      </c>
      <c r="W496" s="241">
        <v>10.212</v>
      </c>
      <c r="X496" s="241">
        <v>10.236000000000001</v>
      </c>
      <c r="Y496" s="241">
        <v>10.327999999999999</v>
      </c>
      <c r="Z496" s="243">
        <f ca="1">[1]ExtEntry!$J94</f>
        <v>10.327999999999999</v>
      </c>
      <c r="AB496" s="260">
        <v>-2158.7999999998137</v>
      </c>
      <c r="AC496" s="260">
        <v>-3855</v>
      </c>
      <c r="AD496" s="260">
        <v>-4009.2000000001863</v>
      </c>
      <c r="AE496" s="260">
        <v>-8.202000000000001E-3</v>
      </c>
      <c r="AF496" s="260">
        <v>-4.4051666666666657E-3</v>
      </c>
      <c r="AG496" s="260">
        <v>-6.3766666666666659E-4</v>
      </c>
      <c r="AH496" s="260">
        <v>-5.9316666666666676E-3</v>
      </c>
      <c r="AI496" s="260">
        <v>-1.2675000000000001E-2</v>
      </c>
      <c r="AJ496" s="260">
        <v>-1.0000000000000113E-4</v>
      </c>
      <c r="AK496" s="260">
        <v>-1.7148000000000011E-3</v>
      </c>
      <c r="AL496" s="260">
        <v>-3.2774000000000019E-3</v>
      </c>
      <c r="AM496" s="260">
        <v>-6.3674000000000005E-3</v>
      </c>
      <c r="AN496" s="260">
        <v>4.8073999999999999E-3</v>
      </c>
      <c r="AO496" s="260">
        <v>1.5126E-3</v>
      </c>
      <c r="AP496" s="260">
        <v>1.680000000000001E-4</v>
      </c>
      <c r="AQ496" s="260">
        <v>1.6365999999999998E-3</v>
      </c>
      <c r="AR496" s="244">
        <v>2.4984E-3</v>
      </c>
      <c r="AS496" s="244">
        <v>2.1031999999999999E-3</v>
      </c>
      <c r="AT496" s="244">
        <v>3.5531999999999994E-3</v>
      </c>
      <c r="AU496" s="244">
        <v>6.3308000000000001E-3</v>
      </c>
      <c r="AV496" s="244">
        <f t="shared" si="38"/>
        <v>6.3308000000000001E-3</v>
      </c>
      <c r="AX496" s="86" t="str">
        <f t="shared" ca="1" si="40"/>
        <v>LOCK</v>
      </c>
    </row>
    <row r="497" spans="1:51">
      <c r="A497" s="86" t="str">
        <f t="shared" ca="1" si="39"/>
        <v>JBASML</v>
      </c>
      <c r="F497" s="342">
        <v>913.3</v>
      </c>
      <c r="G497" s="241">
        <v>912.6</v>
      </c>
      <c r="H497" s="241">
        <v>900.9</v>
      </c>
      <c r="I497" s="241">
        <v>876.8</v>
      </c>
      <c r="J497" s="1068">
        <v>864.9</v>
      </c>
      <c r="K497" s="243">
        <v>895.2</v>
      </c>
      <c r="L497" s="1069">
        <v>914.7</v>
      </c>
      <c r="M497" s="239">
        <v>859.3</v>
      </c>
      <c r="N497" s="241">
        <v>909.3</v>
      </c>
      <c r="O497" s="1070">
        <v>904.6</v>
      </c>
      <c r="P497" s="1070">
        <v>905.7</v>
      </c>
      <c r="Q497" s="241">
        <v>931.3</v>
      </c>
      <c r="R497" s="245">
        <v>954.9</v>
      </c>
      <c r="S497" s="241">
        <v>968</v>
      </c>
      <c r="T497" s="241">
        <v>968</v>
      </c>
      <c r="U497" s="241">
        <v>977.1</v>
      </c>
      <c r="V497" s="241">
        <v>968.8</v>
      </c>
      <c r="W497" s="1071">
        <v>965.8</v>
      </c>
      <c r="X497" s="343">
        <v>965.8</v>
      </c>
      <c r="Y497" s="241">
        <v>953.7</v>
      </c>
      <c r="Z497" s="243">
        <f ca="1">[1]ExtEntry!$J95</f>
        <v>953.7</v>
      </c>
      <c r="AB497" s="260">
        <v>5860</v>
      </c>
      <c r="AC497" s="260">
        <v>-2780</v>
      </c>
      <c r="AD497" s="260">
        <v>-6300</v>
      </c>
      <c r="AE497" s="260">
        <v>-1.2829833333333334E-2</v>
      </c>
      <c r="AF497" s="260">
        <v>-7.2573333333333344E-3</v>
      </c>
      <c r="AG497" s="260">
        <v>-4.5861666666666681E-3</v>
      </c>
      <c r="AH497" s="260">
        <v>-1.2960666666666669E-2</v>
      </c>
      <c r="AI497" s="260">
        <v>-1.8851666666666669E-2</v>
      </c>
      <c r="AJ497" s="260">
        <v>2.9906000000000017E-3</v>
      </c>
      <c r="AK497" s="260">
        <v>1.7618000000000009E-3</v>
      </c>
      <c r="AL497" s="260">
        <v>-1.7083999999999988E-3</v>
      </c>
      <c r="AM497" s="260">
        <v>2.7280000000000004E-3</v>
      </c>
      <c r="AN497" s="260">
        <v>1.7946400000000001E-2</v>
      </c>
      <c r="AO497" s="260">
        <v>1.0218E-2</v>
      </c>
      <c r="AP497" s="260">
        <v>1.8054599999999997E-2</v>
      </c>
      <c r="AQ497" s="260">
        <v>1.5406199999999998E-2</v>
      </c>
      <c r="AR497" s="244">
        <v>9.0571999999999996E-3</v>
      </c>
      <c r="AS497" s="244">
        <v>4.2421999999999998E-3</v>
      </c>
      <c r="AT497" s="244">
        <v>-8.690000000000002E-4</v>
      </c>
      <c r="AU497" s="244">
        <v>-7.122400000000001E-3</v>
      </c>
      <c r="AV497" s="244">
        <f t="shared" si="38"/>
        <v>-7.122400000000001E-3</v>
      </c>
      <c r="AX497" s="86" t="str">
        <f t="shared" ca="1" si="40"/>
        <v>JBASML</v>
      </c>
    </row>
    <row r="498" spans="1:51">
      <c r="A498" s="86" t="str">
        <f ca="1">A98</f>
        <v>JBEOAN</v>
      </c>
      <c r="F498" s="249">
        <v>16.05</v>
      </c>
      <c r="G498" s="249">
        <v>16.2</v>
      </c>
      <c r="H498" s="249">
        <v>16.155000000000001</v>
      </c>
      <c r="I498" s="249">
        <v>15.3</v>
      </c>
      <c r="J498" s="249">
        <v>15.315</v>
      </c>
      <c r="K498" s="249">
        <v>15.49</v>
      </c>
      <c r="L498" s="249">
        <v>15.43</v>
      </c>
      <c r="M498" s="249">
        <v>15.55</v>
      </c>
      <c r="N498" s="249">
        <v>15.475</v>
      </c>
      <c r="O498" s="249">
        <v>15.46</v>
      </c>
      <c r="P498" s="249">
        <v>15.324999999999999</v>
      </c>
      <c r="Q498" s="249">
        <v>15.365</v>
      </c>
      <c r="R498" s="249">
        <v>15.335000000000001</v>
      </c>
      <c r="S498" s="249">
        <v>15.74</v>
      </c>
      <c r="T498" s="249">
        <v>15.86</v>
      </c>
      <c r="U498" s="249">
        <v>15.8</v>
      </c>
      <c r="V498" s="249">
        <v>15.565</v>
      </c>
      <c r="W498" s="249">
        <v>15.63</v>
      </c>
      <c r="X498" s="249">
        <v>15.725</v>
      </c>
      <c r="Y498" s="249">
        <v>15.5</v>
      </c>
      <c r="Z498" s="243">
        <f ca="1">[1]ExtEntry!$J96</f>
        <v>15.5</v>
      </c>
      <c r="AB498" s="263">
        <v>2700</v>
      </c>
      <c r="AC498" s="263">
        <v>539.99999999994179</v>
      </c>
      <c r="AD498" s="263">
        <v>-3870</v>
      </c>
      <c r="AE498" s="263">
        <v>1.0411666666666666E-3</v>
      </c>
      <c r="AF498" s="263">
        <v>2.3344999999999998E-3</v>
      </c>
      <c r="AG498" s="263">
        <v>2.491666666666668E-4</v>
      </c>
      <c r="AH498" s="263">
        <v>1.453833333333333E-3</v>
      </c>
      <c r="AI498" s="263">
        <v>2.7108333333333329E-3</v>
      </c>
      <c r="AJ498" s="263">
        <v>2.1459999999999999E-3</v>
      </c>
      <c r="AK498" s="263">
        <v>1.7038000000000001E-3</v>
      </c>
      <c r="AL498" s="263">
        <v>2.42136E-3</v>
      </c>
      <c r="AM498" s="263">
        <v>-2.5624000000000014E-4</v>
      </c>
      <c r="AN498" s="263">
        <v>-1.2214400000000003E-3</v>
      </c>
      <c r="AO498" s="263">
        <v>3.7569599999999993E-3</v>
      </c>
      <c r="AP498" s="263">
        <v>1.3157160000000001E-2</v>
      </c>
      <c r="AQ498" s="263">
        <v>9.5564000000000014E-3</v>
      </c>
      <c r="AR498" s="244">
        <v>8.9384000000000009E-3</v>
      </c>
      <c r="AS498" s="244">
        <v>8.9218000000000006E-3</v>
      </c>
      <c r="AT498" s="244">
        <v>2.3910000000000008E-3</v>
      </c>
      <c r="AU498" s="244">
        <v>-1.1756600000000001E-2</v>
      </c>
      <c r="AV498" s="244">
        <f t="shared" si="38"/>
        <v>-1.1756600000000001E-2</v>
      </c>
      <c r="AX498" s="86" t="str">
        <f t="shared" ref="AX498" ca="1" si="41">A498</f>
        <v>JBEOAN</v>
      </c>
    </row>
    <row r="499" spans="1:51">
      <c r="AX499" s="86"/>
    </row>
    <row r="500" spans="1:51">
      <c r="AX500" s="86"/>
      <c r="AY500" s="79"/>
    </row>
    <row r="501" spans="1:51">
      <c r="AX501" s="86"/>
    </row>
    <row r="502" spans="1:51">
      <c r="A502" s="86"/>
      <c r="E502" s="1117"/>
      <c r="F502" s="115">
        <f t="shared" ref="F502:Z502" ca="1" si="42">F402</f>
        <v>45974</v>
      </c>
      <c r="G502" s="115">
        <f t="shared" ca="1" si="42"/>
        <v>45975</v>
      </c>
      <c r="H502" s="115">
        <f t="shared" ca="1" si="42"/>
        <v>45978</v>
      </c>
      <c r="I502" s="115">
        <f t="shared" ca="1" si="42"/>
        <v>45979</v>
      </c>
      <c r="J502" s="115">
        <f t="shared" ca="1" si="42"/>
        <v>45980</v>
      </c>
      <c r="K502" s="115">
        <f t="shared" ca="1" si="42"/>
        <v>45981</v>
      </c>
      <c r="L502" s="115">
        <f t="shared" ca="1" si="42"/>
        <v>45982</v>
      </c>
      <c r="M502" s="115">
        <f t="shared" ca="1" si="42"/>
        <v>45985</v>
      </c>
      <c r="N502" s="115">
        <f t="shared" ca="1" si="42"/>
        <v>45986</v>
      </c>
      <c r="O502" s="115">
        <f t="shared" ca="1" si="42"/>
        <v>45987</v>
      </c>
      <c r="P502" s="115">
        <f t="shared" ca="1" si="42"/>
        <v>45988</v>
      </c>
      <c r="Q502" s="115">
        <f t="shared" ca="1" si="42"/>
        <v>45989</v>
      </c>
      <c r="R502" s="115">
        <f t="shared" ca="1" si="42"/>
        <v>45992</v>
      </c>
      <c r="S502" s="115">
        <f t="shared" ca="1" si="42"/>
        <v>45993</v>
      </c>
      <c r="T502" s="115">
        <f t="shared" ca="1" si="42"/>
        <v>45994</v>
      </c>
      <c r="U502" s="115">
        <f t="shared" ca="1" si="42"/>
        <v>45995</v>
      </c>
      <c r="V502" s="115">
        <f t="shared" ca="1" si="42"/>
        <v>45996</v>
      </c>
      <c r="W502" s="115">
        <f t="shared" ca="1" si="42"/>
        <v>45999</v>
      </c>
      <c r="X502" s="115">
        <f t="shared" ca="1" si="42"/>
        <v>46000</v>
      </c>
      <c r="Y502" s="115">
        <f t="shared" ca="1" si="42"/>
        <v>46001</v>
      </c>
      <c r="Z502" s="115">
        <f t="shared" ca="1" si="42"/>
        <v>46002</v>
      </c>
      <c r="AB502" s="115">
        <f t="shared" ref="AB502:AV502" ca="1" si="43">F402</f>
        <v>45974</v>
      </c>
      <c r="AC502" s="115">
        <f t="shared" ca="1" si="43"/>
        <v>45975</v>
      </c>
      <c r="AD502" s="115">
        <f t="shared" ca="1" si="43"/>
        <v>45978</v>
      </c>
      <c r="AE502" s="115">
        <f t="shared" ca="1" si="43"/>
        <v>45979</v>
      </c>
      <c r="AF502" s="115">
        <f t="shared" ca="1" si="43"/>
        <v>45980</v>
      </c>
      <c r="AG502" s="115">
        <f t="shared" ca="1" si="43"/>
        <v>45981</v>
      </c>
      <c r="AH502" s="115">
        <f t="shared" ca="1" si="43"/>
        <v>45982</v>
      </c>
      <c r="AI502" s="115">
        <f t="shared" ca="1" si="43"/>
        <v>45985</v>
      </c>
      <c r="AJ502" s="115">
        <f t="shared" ca="1" si="43"/>
        <v>45986</v>
      </c>
      <c r="AK502" s="115">
        <f t="shared" ca="1" si="43"/>
        <v>45987</v>
      </c>
      <c r="AL502" s="115">
        <f t="shared" ca="1" si="43"/>
        <v>45988</v>
      </c>
      <c r="AM502" s="115">
        <f t="shared" ca="1" si="43"/>
        <v>45989</v>
      </c>
      <c r="AN502" s="115">
        <f t="shared" ca="1" si="43"/>
        <v>45992</v>
      </c>
      <c r="AO502" s="115">
        <f t="shared" ca="1" si="43"/>
        <v>45993</v>
      </c>
      <c r="AP502" s="115">
        <f t="shared" ca="1" si="43"/>
        <v>45994</v>
      </c>
      <c r="AQ502" s="115">
        <f t="shared" ca="1" si="43"/>
        <v>45995</v>
      </c>
      <c r="AR502" s="115">
        <f t="shared" ca="1" si="43"/>
        <v>45996</v>
      </c>
      <c r="AS502" s="115">
        <f t="shared" ca="1" si="43"/>
        <v>45999</v>
      </c>
      <c r="AT502" s="115">
        <f t="shared" ca="1" si="43"/>
        <v>46000</v>
      </c>
      <c r="AU502" s="115">
        <f t="shared" ca="1" si="43"/>
        <v>46001</v>
      </c>
      <c r="AV502" s="115">
        <f t="shared" ca="1" si="43"/>
        <v>46002</v>
      </c>
    </row>
    <row r="503" spans="1:51">
      <c r="A503" s="86"/>
    </row>
    <row r="504" spans="1:51">
      <c r="A504" s="86"/>
      <c r="F504" s="264" t="s">
        <v>308</v>
      </c>
      <c r="G504" s="264" t="s">
        <v>309</v>
      </c>
      <c r="H504" s="264" t="s">
        <v>310</v>
      </c>
      <c r="I504" s="264" t="s">
        <v>311</v>
      </c>
      <c r="J504" s="264" t="s">
        <v>312</v>
      </c>
      <c r="K504" s="264" t="s">
        <v>313</v>
      </c>
      <c r="L504" s="264" t="s">
        <v>314</v>
      </c>
      <c r="M504" s="264" t="s">
        <v>315</v>
      </c>
      <c r="N504" s="264" t="s">
        <v>316</v>
      </c>
      <c r="O504" s="264" t="s">
        <v>317</v>
      </c>
      <c r="P504" s="264" t="s">
        <v>318</v>
      </c>
      <c r="Q504" s="264" t="s">
        <v>319</v>
      </c>
      <c r="R504" s="264" t="s">
        <v>320</v>
      </c>
      <c r="S504" s="264" t="s">
        <v>321</v>
      </c>
      <c r="T504" s="264" t="s">
        <v>322</v>
      </c>
      <c r="U504" s="264" t="s">
        <v>323</v>
      </c>
      <c r="V504" s="264" t="s">
        <v>324</v>
      </c>
      <c r="W504" s="264" t="s">
        <v>325</v>
      </c>
      <c r="X504" s="264" t="s">
        <v>326</v>
      </c>
      <c r="Y504" s="264" t="s">
        <v>327</v>
      </c>
      <c r="Z504" s="264" t="s">
        <v>328</v>
      </c>
      <c r="AB504" s="277" t="s">
        <v>1091</v>
      </c>
      <c r="AC504" s="277" t="s">
        <v>1092</v>
      </c>
      <c r="AD504" s="277" t="s">
        <v>1093</v>
      </c>
      <c r="AE504" s="277" t="s">
        <v>1094</v>
      </c>
      <c r="AF504" s="277" t="s">
        <v>1095</v>
      </c>
      <c r="AG504" s="277" t="s">
        <v>1096</v>
      </c>
      <c r="AH504" s="277" t="s">
        <v>1097</v>
      </c>
      <c r="AI504" s="277" t="s">
        <v>1098</v>
      </c>
      <c r="AJ504" s="277" t="s">
        <v>1099</v>
      </c>
      <c r="AK504" s="277" t="s">
        <v>1100</v>
      </c>
      <c r="AL504" s="277" t="s">
        <v>1101</v>
      </c>
      <c r="AM504" s="277" t="s">
        <v>1102</v>
      </c>
      <c r="AN504" s="277" t="s">
        <v>1103</v>
      </c>
      <c r="AO504" s="277" t="s">
        <v>1104</v>
      </c>
      <c r="AP504" s="277" t="s">
        <v>1105</v>
      </c>
      <c r="AQ504" s="277" t="s">
        <v>1106</v>
      </c>
      <c r="AR504" s="277" t="s">
        <v>1107</v>
      </c>
      <c r="AS504" s="277" t="s">
        <v>1108</v>
      </c>
      <c r="AT504" s="277" t="s">
        <v>1109</v>
      </c>
      <c r="AU504" s="277" t="s">
        <v>1110</v>
      </c>
      <c r="AV504" s="277" t="s">
        <v>1111</v>
      </c>
    </row>
    <row r="505" spans="1:51">
      <c r="A505" s="86" t="str">
        <f ca="1">A5</f>
        <v>AAPL</v>
      </c>
      <c r="F505" s="1070">
        <v>36.3613</v>
      </c>
      <c r="G505" s="1070">
        <v>36.423099999999998</v>
      </c>
      <c r="H505" s="1070">
        <v>36.086100000000002</v>
      </c>
      <c r="I505" s="1070">
        <v>36.680300000000003</v>
      </c>
      <c r="J505" s="1070">
        <v>36.011200000000002</v>
      </c>
      <c r="K505" s="1070">
        <v>36.3598</v>
      </c>
      <c r="L505" s="1070">
        <v>35.935699999999997</v>
      </c>
      <c r="M505" s="1070">
        <v>36.630499999999998</v>
      </c>
      <c r="N505" s="1070">
        <v>37.441099999999999</v>
      </c>
      <c r="O505" s="1070">
        <v>37.294499999999999</v>
      </c>
      <c r="P505" s="1070">
        <v>37.547499999999999</v>
      </c>
      <c r="Q505" s="1070">
        <v>37.8127</v>
      </c>
      <c r="R505" s="1070">
        <v>38.504199999999997</v>
      </c>
      <c r="S505" s="1070">
        <v>38.654299999999999</v>
      </c>
      <c r="T505" s="1070">
        <v>38.261099999999999</v>
      </c>
      <c r="U505" s="1070">
        <v>37.717100000000002</v>
      </c>
      <c r="V505" s="1070">
        <v>37.796700000000001</v>
      </c>
      <c r="W505" s="1070">
        <v>37.3765</v>
      </c>
      <c r="X505" s="1070">
        <v>37.537999999999997</v>
      </c>
      <c r="Y505" s="1070">
        <v>37.437100000000001</v>
      </c>
      <c r="Z505" s="1070">
        <f ca="1">[1]ExtEntry!$K3</f>
        <v>37.437100000000001</v>
      </c>
      <c r="AB505" s="260">
        <v>2566330</v>
      </c>
      <c r="AC505" s="260">
        <v>2569750</v>
      </c>
      <c r="AD505" s="260">
        <v>2545971.5</v>
      </c>
      <c r="AE505" s="260">
        <v>2587895.0000000005</v>
      </c>
      <c r="AF505" s="260">
        <v>2540680</v>
      </c>
      <c r="AG505" s="260">
        <v>2565284.9999999995</v>
      </c>
      <c r="AH505" s="260">
        <v>2535360</v>
      </c>
      <c r="AI505" s="260">
        <v>2584380</v>
      </c>
      <c r="AJ505" s="260">
        <v>2641570</v>
      </c>
      <c r="AK505" s="260">
        <v>2636725</v>
      </c>
      <c r="AL505" s="260">
        <v>2649075</v>
      </c>
      <c r="AM505" s="260">
        <v>2660586.9669999997</v>
      </c>
      <c r="AN505" s="260">
        <v>2709237.7542499998</v>
      </c>
      <c r="AO505" s="260">
        <v>2719801.6544999997</v>
      </c>
      <c r="AP505" s="260">
        <v>2692136.5524999998</v>
      </c>
      <c r="AQ505" s="260">
        <v>2653860.1784999999</v>
      </c>
      <c r="AR505" s="260">
        <v>2641259.2929999996</v>
      </c>
      <c r="AS505" s="260">
        <v>2629890.0729999999</v>
      </c>
      <c r="AT505" s="260">
        <v>2641259.2929999996</v>
      </c>
      <c r="AU505" s="260">
        <v>2634153.5304999994</v>
      </c>
      <c r="AV505" s="260">
        <f ca="1">Calc!F3</f>
        <v>2634153.5304999994</v>
      </c>
      <c r="AX505" s="86" t="str">
        <f t="shared" ref="AX505:AX536" ca="1" si="44">A5</f>
        <v>AAPL</v>
      </c>
      <c r="AY505" s="79">
        <f ca="1">Tab2MarketValue[[#This Row],[M_Val20]]-Tab2MarketValue[[#This Row],[M_Val19]]</f>
        <v>0</v>
      </c>
    </row>
    <row r="506" spans="1:51">
      <c r="A506" s="86" t="str">
        <f t="shared" ref="A506:A569" ca="1" si="45">A6</f>
        <v>ADEA</v>
      </c>
      <c r="F506" s="255">
        <v>21.232700000000001</v>
      </c>
      <c r="G506" s="255">
        <v>21.471499999999999</v>
      </c>
      <c r="H506" s="255">
        <v>21.640999999999998</v>
      </c>
      <c r="I506" s="255">
        <v>19.815100000000001</v>
      </c>
      <c r="J506" s="255">
        <v>19.029299999999999</v>
      </c>
      <c r="K506" s="255">
        <v>18.890599999999999</v>
      </c>
      <c r="L506" s="255">
        <v>18.374400000000001</v>
      </c>
      <c r="M506" s="255">
        <v>18.7211</v>
      </c>
      <c r="N506" s="255">
        <v>19.198799999999999</v>
      </c>
      <c r="O506" s="255">
        <v>19.029299999999999</v>
      </c>
      <c r="P506" s="255">
        <v>19.060099999999998</v>
      </c>
      <c r="Q506" s="255">
        <v>19.090900000000001</v>
      </c>
      <c r="R506" s="255">
        <v>19.175699999999999</v>
      </c>
      <c r="S506" s="255">
        <v>18.967600000000001</v>
      </c>
      <c r="T506" s="255">
        <v>19.352900000000002</v>
      </c>
      <c r="U506" s="255">
        <v>19.314299999999999</v>
      </c>
      <c r="V506" s="255">
        <v>19.2758</v>
      </c>
      <c r="W506" s="255">
        <v>19.976900000000001</v>
      </c>
      <c r="X506" s="255">
        <v>20.832000000000001</v>
      </c>
      <c r="Y506" s="255">
        <v>20.893699999999999</v>
      </c>
      <c r="Z506" s="1070">
        <f ca="1">[1]ExtEntry!$K4</f>
        <v>20.893699999999999</v>
      </c>
      <c r="AB506" s="263">
        <v>68900</v>
      </c>
      <c r="AC506" s="263">
        <v>69675</v>
      </c>
      <c r="AD506" s="263">
        <v>70225</v>
      </c>
      <c r="AE506" s="263">
        <v>64300</v>
      </c>
      <c r="AF506" s="263">
        <v>61750</v>
      </c>
      <c r="AG506" s="263">
        <v>61300</v>
      </c>
      <c r="AH506" s="263">
        <v>59625</v>
      </c>
      <c r="AI506" s="263">
        <v>60750</v>
      </c>
      <c r="AJ506" s="263">
        <v>62300.000000000007</v>
      </c>
      <c r="AK506" s="263">
        <v>61550</v>
      </c>
      <c r="AL506" s="263">
        <v>61849.999999999993</v>
      </c>
      <c r="AM506" s="263">
        <v>61782.735000000001</v>
      </c>
      <c r="AN506" s="263">
        <v>62056.9925</v>
      </c>
      <c r="AO506" s="263">
        <v>61383.814999999995</v>
      </c>
      <c r="AP506" s="263">
        <v>62630.439999999995</v>
      </c>
      <c r="AQ506" s="263">
        <v>62505.777499999997</v>
      </c>
      <c r="AR506" s="263">
        <v>62381.114999999998</v>
      </c>
      <c r="AS506" s="263">
        <v>64649.972499999996</v>
      </c>
      <c r="AT506" s="263">
        <v>67417.48</v>
      </c>
      <c r="AU506" s="263">
        <v>67616.94</v>
      </c>
      <c r="AV506" s="260">
        <f ca="1">Calc!F4</f>
        <v>67616.94</v>
      </c>
      <c r="AX506" s="86" t="str">
        <f t="shared" ca="1" si="44"/>
        <v>ADEA</v>
      </c>
      <c r="AY506" s="79">
        <f ca="1">Tab2MarketValue[[#This Row],[M_Val20]]-Tab2MarketValue[[#This Row],[M_Val19]]</f>
        <v>0</v>
      </c>
    </row>
    <row r="507" spans="1:51">
      <c r="A507" s="86" t="str">
        <f t="shared" ca="1" si="45"/>
        <v>AET</v>
      </c>
      <c r="F507" s="1070">
        <v>3.9931000000000001</v>
      </c>
      <c r="G507" s="1070">
        <v>3.8542000000000001</v>
      </c>
      <c r="H507" s="1070">
        <v>3.8801999999999999</v>
      </c>
      <c r="I507" s="1070">
        <v>4.0103999999999997</v>
      </c>
      <c r="J507" s="1070">
        <v>3.9062999999999999</v>
      </c>
      <c r="K507" s="1070">
        <v>3.9062999999999999</v>
      </c>
      <c r="L507" s="1070">
        <v>3.9497</v>
      </c>
      <c r="M507" s="1070">
        <v>3.8193999999999999</v>
      </c>
      <c r="N507" s="1070">
        <v>3.5590000000000002</v>
      </c>
      <c r="O507" s="1070">
        <v>3.4809000000000001</v>
      </c>
      <c r="P507" s="1070">
        <v>3.2986</v>
      </c>
      <c r="Q507" s="1070">
        <v>3.3854000000000002</v>
      </c>
      <c r="R507" s="1070">
        <v>3.3073000000000001</v>
      </c>
      <c r="S507" s="1070">
        <v>3.3854000000000002</v>
      </c>
      <c r="T507" s="1070">
        <v>3.3332999999999999</v>
      </c>
      <c r="U507" s="1070">
        <v>3.3506999999999998</v>
      </c>
      <c r="V507" s="1070">
        <v>3.3506999999999998</v>
      </c>
      <c r="W507" s="1070">
        <v>3.3506999999999998</v>
      </c>
      <c r="X507" s="1070">
        <v>3.4809000000000001</v>
      </c>
      <c r="Y507" s="1070">
        <v>3.3854000000000002</v>
      </c>
      <c r="Z507" s="1070">
        <f ca="1">[1]ExtEntry!$K5</f>
        <v>3.3854000000000002</v>
      </c>
      <c r="AB507" s="260">
        <v>377200</v>
      </c>
      <c r="AC507" s="260">
        <v>364080</v>
      </c>
      <c r="AD507" s="260">
        <v>366540</v>
      </c>
      <c r="AE507" s="260">
        <v>370640</v>
      </c>
      <c r="AF507" s="260">
        <v>369000</v>
      </c>
      <c r="AG507" s="260">
        <v>369000</v>
      </c>
      <c r="AH507" s="260">
        <v>373100</v>
      </c>
      <c r="AI507" s="260">
        <v>360800</v>
      </c>
      <c r="AJ507" s="260">
        <v>328820</v>
      </c>
      <c r="AK507" s="260">
        <v>318159.99999999994</v>
      </c>
      <c r="AL507" s="260">
        <v>311600</v>
      </c>
      <c r="AM507" s="260">
        <v>318936.53999999998</v>
      </c>
      <c r="AN507" s="260">
        <v>311576.46599999996</v>
      </c>
      <c r="AO507" s="260">
        <v>318936.53999999998</v>
      </c>
      <c r="AP507" s="260">
        <v>314029.82399999996</v>
      </c>
      <c r="AQ507" s="260">
        <v>315665.39600000001</v>
      </c>
      <c r="AR507" s="260">
        <v>320572.11200000002</v>
      </c>
      <c r="AS507" s="260">
        <v>315665.39600000001</v>
      </c>
      <c r="AT507" s="260">
        <v>327932.18599999999</v>
      </c>
      <c r="AU507" s="260">
        <v>318936.53999999998</v>
      </c>
      <c r="AV507" s="260">
        <f ca="1">Calc!F5</f>
        <v>318936.53999999998</v>
      </c>
      <c r="AX507" s="86" t="str">
        <f t="shared" ca="1" si="44"/>
        <v>AET</v>
      </c>
      <c r="AY507" s="79">
        <f ca="1">Tab2MarketValue[[#This Row],[M_Val20]]-Tab2MarketValue[[#This Row],[M_Val19]]</f>
        <v>0</v>
      </c>
    </row>
    <row r="508" spans="1:51">
      <c r="A508" s="86" t="str">
        <f t="shared" ca="1" si="45"/>
        <v>AMZN</v>
      </c>
      <c r="F508" s="255">
        <v>35.344000000000001</v>
      </c>
      <c r="G508" s="255">
        <v>34.440800000000003</v>
      </c>
      <c r="H508" s="255">
        <v>34.5473</v>
      </c>
      <c r="I508" s="255">
        <v>33.152999999999999</v>
      </c>
      <c r="J508" s="255">
        <v>31.438300000000002</v>
      </c>
      <c r="K508" s="255">
        <v>31.244800000000001</v>
      </c>
      <c r="L508" s="255">
        <v>30.915400000000002</v>
      </c>
      <c r="M508" s="255">
        <v>31.252300000000002</v>
      </c>
      <c r="N508" s="255">
        <v>32.452300000000001</v>
      </c>
      <c r="O508" s="255">
        <v>32.444099999999999</v>
      </c>
      <c r="P508" s="255">
        <v>32.945300000000003</v>
      </c>
      <c r="Q508" s="255">
        <v>33.199599999999997</v>
      </c>
      <c r="R508" s="255">
        <v>33.097200000000001</v>
      </c>
      <c r="S508" s="255">
        <v>32.727800000000002</v>
      </c>
      <c r="T508" s="255">
        <v>32.826700000000002</v>
      </c>
      <c r="U508" s="255">
        <v>32.114199999999997</v>
      </c>
      <c r="V508" s="255">
        <v>32.424100000000003</v>
      </c>
      <c r="W508" s="255">
        <v>32.167999999999999</v>
      </c>
      <c r="X508" s="255">
        <v>32.741900000000001</v>
      </c>
      <c r="Y508" s="255">
        <v>32.53</v>
      </c>
      <c r="Z508" s="1070">
        <f ca="1">[1]ExtEntry!$K6</f>
        <v>32.53</v>
      </c>
      <c r="AB508" s="263">
        <v>3002400</v>
      </c>
      <c r="AC508" s="263">
        <v>2925676.8</v>
      </c>
      <c r="AD508" s="263">
        <v>2934720</v>
      </c>
      <c r="AE508" s="263">
        <v>2816280</v>
      </c>
      <c r="AF508" s="263">
        <v>2670600</v>
      </c>
      <c r="AG508" s="263">
        <v>2654184</v>
      </c>
      <c r="AH508" s="263">
        <v>2626200</v>
      </c>
      <c r="AI508" s="263">
        <v>2654820</v>
      </c>
      <c r="AJ508" s="263">
        <v>2756760</v>
      </c>
      <c r="AK508" s="263">
        <v>2749920</v>
      </c>
      <c r="AL508" s="263">
        <v>2798640</v>
      </c>
      <c r="AM508" s="263">
        <v>2812625.352</v>
      </c>
      <c r="AN508" s="263">
        <v>2803948.8419999997</v>
      </c>
      <c r="AO508" s="263">
        <v>2772653.568</v>
      </c>
      <c r="AP508" s="263">
        <v>2781030.8879999998</v>
      </c>
      <c r="AQ508" s="263">
        <v>2720674.69092</v>
      </c>
      <c r="AR508" s="263">
        <v>2746923.2280000001</v>
      </c>
      <c r="AS508" s="263">
        <v>2725227.1659599994</v>
      </c>
      <c r="AT508" s="263">
        <v>2773850.3279999997</v>
      </c>
      <c r="AU508" s="263">
        <v>2755898.9279999998</v>
      </c>
      <c r="AV508" s="260">
        <f ca="1">Calc!F6</f>
        <v>2755898.9279999998</v>
      </c>
      <c r="AX508" s="86" t="str">
        <f t="shared" ca="1" si="44"/>
        <v>AMZN</v>
      </c>
      <c r="AY508" s="79">
        <f ca="1">Tab2MarketValue[[#This Row],[M_Val20]]-Tab2MarketValue[[#This Row],[M_Val19]]</f>
        <v>0</v>
      </c>
    </row>
    <row r="509" spans="1:51">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1998700</v>
      </c>
      <c r="AC509" s="260">
        <v>1978460</v>
      </c>
      <c r="AD509" s="260">
        <v>1973400</v>
      </c>
      <c r="AE509" s="260">
        <v>1684980</v>
      </c>
      <c r="AF509" s="260">
        <v>1695100</v>
      </c>
      <c r="AG509" s="260">
        <v>1740639.9999999998</v>
      </c>
      <c r="AH509" s="260">
        <v>1690040</v>
      </c>
      <c r="AI509" s="260">
        <v>1659680</v>
      </c>
      <c r="AJ509" s="260">
        <v>1634380</v>
      </c>
      <c r="AK509" s="260">
        <v>1568600</v>
      </c>
      <c r="AL509" s="260">
        <v>1528120</v>
      </c>
      <c r="AM509" s="260">
        <v>1559318.442</v>
      </c>
      <c r="AN509" s="260">
        <v>1564364.78</v>
      </c>
      <c r="AO509" s="260">
        <v>1584550.132</v>
      </c>
      <c r="AP509" s="260">
        <v>1579503.794</v>
      </c>
      <c r="AQ509" s="260">
        <v>1564364.78</v>
      </c>
      <c r="AR509" s="260">
        <v>1564364.78</v>
      </c>
      <c r="AS509" s="260">
        <v>1488669.71</v>
      </c>
      <c r="AT509" s="260">
        <v>1508855.0619999999</v>
      </c>
      <c r="AU509" s="260">
        <v>1387742.95</v>
      </c>
      <c r="AV509" s="260">
        <f ca="1">Calc!F7</f>
        <v>1387742.95</v>
      </c>
      <c r="AX509" s="86" t="str">
        <f t="shared" ca="1" si="44"/>
        <v>ALDNE</v>
      </c>
      <c r="AY509" s="79">
        <f ca="1">Tab2MarketValue[[#This Row],[M_Val20]]-Tab2MarketValue[[#This Row],[M_Val19]]</f>
        <v>0</v>
      </c>
    </row>
    <row r="510" spans="1:51">
      <c r="A510" s="86" t="str">
        <f t="shared" ca="1" si="45"/>
        <v>ASML</v>
      </c>
      <c r="F510" s="255">
        <v>34.810200000000002</v>
      </c>
      <c r="G510" s="255">
        <v>34.376300000000001</v>
      </c>
      <c r="H510" s="255">
        <v>33.435600000000001</v>
      </c>
      <c r="I510" s="255">
        <v>33.5623</v>
      </c>
      <c r="J510" s="255">
        <v>32.997900000000001</v>
      </c>
      <c r="K510" s="255">
        <v>34.042299999999997</v>
      </c>
      <c r="L510" s="255">
        <v>34.165100000000002</v>
      </c>
      <c r="M510" s="255">
        <v>32.022599999999997</v>
      </c>
      <c r="N510" s="255">
        <v>33.032400000000003</v>
      </c>
      <c r="O510" s="255">
        <v>34.449300000000001</v>
      </c>
      <c r="P510" s="255">
        <v>34.6873</v>
      </c>
      <c r="Q510" s="255">
        <v>35.582000000000001</v>
      </c>
      <c r="R510" s="255">
        <v>36.058100000000003</v>
      </c>
      <c r="S510" s="255">
        <v>36.718499999999999</v>
      </c>
      <c r="T510" s="255">
        <v>36.991100000000003</v>
      </c>
      <c r="U510" s="255">
        <v>36.756900000000002</v>
      </c>
      <c r="V510" s="255">
        <v>36.537999999999997</v>
      </c>
      <c r="W510" s="255">
        <v>36.587899999999998</v>
      </c>
      <c r="X510" s="255">
        <v>36.323</v>
      </c>
      <c r="Y510" s="255">
        <v>36.127200000000002</v>
      </c>
      <c r="Z510" s="1070">
        <f ca="1">[1]ExtEntry!$K8</f>
        <v>36.127200000000002</v>
      </c>
      <c r="AB510" s="263">
        <v>3263760</v>
      </c>
      <c r="AC510" s="263">
        <v>2775430</v>
      </c>
      <c r="AD510" s="263">
        <v>2699480</v>
      </c>
      <c r="AE510" s="263">
        <v>2622300</v>
      </c>
      <c r="AF510" s="263">
        <v>3007900</v>
      </c>
      <c r="AG510" s="263">
        <v>3103100</v>
      </c>
      <c r="AH510" s="263">
        <v>3114300</v>
      </c>
      <c r="AI510" s="263">
        <v>2919000</v>
      </c>
      <c r="AJ510" s="263">
        <v>2909760</v>
      </c>
      <c r="AK510" s="263">
        <v>2871040</v>
      </c>
      <c r="AL510" s="263">
        <v>2890880</v>
      </c>
      <c r="AM510" s="263">
        <v>2957433.3119999999</v>
      </c>
      <c r="AN510" s="263">
        <v>2809693.29</v>
      </c>
      <c r="AO510" s="263">
        <v>2670410.372</v>
      </c>
      <c r="AP510" s="263">
        <v>2690236.696</v>
      </c>
      <c r="AQ510" s="263">
        <v>2673202.8119999999</v>
      </c>
      <c r="AR510" s="263">
        <v>2657285.9040000001</v>
      </c>
      <c r="AS510" s="263">
        <v>2660916.0759999999</v>
      </c>
      <c r="AT510" s="263">
        <v>2641648.2399999998</v>
      </c>
      <c r="AU510" s="263">
        <v>2627406.7960000001</v>
      </c>
      <c r="AV510" s="260">
        <f ca="1">Calc!F8</f>
        <v>2627406.7960000001</v>
      </c>
      <c r="AX510" s="86" t="str">
        <f t="shared" ca="1" si="44"/>
        <v>ASML</v>
      </c>
      <c r="AY510" s="79">
        <f ca="1">Tab2MarketValue[[#This Row],[M_Val20]]-Tab2MarketValue[[#This Row],[M_Val19]]</f>
        <v>0</v>
      </c>
    </row>
    <row r="511" spans="1:51" hidden="1">
      <c r="A511" s="86" t="str">
        <f t="shared" ca="1" si="45"/>
        <v>AVGO</v>
      </c>
      <c r="F511" s="255">
        <v>90.218400000000003</v>
      </c>
      <c r="G511" s="255">
        <v>91.156099999999995</v>
      </c>
      <c r="H511" s="255">
        <v>89.050200000000004</v>
      </c>
      <c r="I511" s="255">
        <v>87.787700000000001</v>
      </c>
      <c r="J511" s="255">
        <v>87.285799999999995</v>
      </c>
      <c r="K511" s="255">
        <v>89.200199999999995</v>
      </c>
      <c r="L511" s="255">
        <v>89.858999999999995</v>
      </c>
      <c r="M511" s="255">
        <v>88.052999999999997</v>
      </c>
      <c r="N511" s="255">
        <v>101.33750000000001</v>
      </c>
      <c r="O511" s="255">
        <v>98.700800000000001</v>
      </c>
      <c r="P511" s="255">
        <v>103.2966</v>
      </c>
      <c r="Q511" s="255">
        <v>100.0205</v>
      </c>
      <c r="R511" s="255">
        <v>97.813400000000001</v>
      </c>
      <c r="S511" s="255">
        <v>96.385499999999993</v>
      </c>
      <c r="T511" s="255">
        <v>97.567300000000003</v>
      </c>
      <c r="U511" s="255">
        <v>97.856800000000007</v>
      </c>
      <c r="V511" s="255">
        <v>97.6755</v>
      </c>
      <c r="W511" s="255">
        <v>103.9603</v>
      </c>
      <c r="X511" s="255">
        <v>104.1508</v>
      </c>
      <c r="Y511" s="255">
        <v>104.1707</v>
      </c>
      <c r="Z511" s="1070">
        <f ca="1">[1]ExtEntry!$K9</f>
        <v>104.1707</v>
      </c>
      <c r="AB511" s="263">
        <v>143592</v>
      </c>
      <c r="AC511" s="263">
        <v>142240</v>
      </c>
      <c r="AD511" s="263">
        <v>138954</v>
      </c>
      <c r="AE511" s="263">
        <v>136984</v>
      </c>
      <c r="AF511" s="263">
        <v>68100</v>
      </c>
      <c r="AG511" s="263">
        <v>69594</v>
      </c>
      <c r="AH511" s="263">
        <v>70108</v>
      </c>
      <c r="AI511" s="263">
        <v>68698.960000000006</v>
      </c>
      <c r="AJ511" s="263">
        <v>79063.5</v>
      </c>
      <c r="AK511" s="263">
        <v>79514</v>
      </c>
      <c r="AL511" s="263">
        <v>80592</v>
      </c>
      <c r="AM511" s="263">
        <v>77825.30279999999</v>
      </c>
      <c r="AN511" s="263">
        <v>76107.9522</v>
      </c>
      <c r="AO511" s="263">
        <v>74996.959999999992</v>
      </c>
      <c r="AP511" s="263">
        <v>75916.470600000001</v>
      </c>
      <c r="AQ511" s="263">
        <v>76141.760670000003</v>
      </c>
      <c r="AR511" s="263">
        <v>77837.270399999994</v>
      </c>
      <c r="AS511" s="263">
        <v>80890.823486000008</v>
      </c>
      <c r="AT511" s="263">
        <v>82370.996199999994</v>
      </c>
      <c r="AU511" s="263">
        <v>81054.560199999993</v>
      </c>
      <c r="AV511" s="260">
        <f ca="1">Calc!F9</f>
        <v>81054.560199999993</v>
      </c>
      <c r="AX511" s="86" t="str">
        <f t="shared" ca="1" si="44"/>
        <v>AVGO</v>
      </c>
      <c r="AY511" s="79">
        <f ca="1">Tab2MarketValue[[#This Row],[M_Val20]]-Tab2MarketValue[[#This Row],[M_Val19]]</f>
        <v>0</v>
      </c>
    </row>
    <row r="512" spans="1:51" hidden="1">
      <c r="A512" s="86" t="str">
        <f t="shared" ca="1" si="45"/>
        <v>AZN</v>
      </c>
      <c r="F512" s="255">
        <v>90.218400000000003</v>
      </c>
      <c r="G512" s="255">
        <v>91.156099999999995</v>
      </c>
      <c r="H512" s="255">
        <v>89.050200000000004</v>
      </c>
      <c r="I512" s="255">
        <v>87.787700000000001</v>
      </c>
      <c r="J512" s="255">
        <v>87.285799999999995</v>
      </c>
      <c r="K512" s="255">
        <v>89.200199999999995</v>
      </c>
      <c r="L512" s="255">
        <v>89.858999999999995</v>
      </c>
      <c r="M512" s="255">
        <v>88.052999999999997</v>
      </c>
      <c r="N512" s="255">
        <v>101.33750000000001</v>
      </c>
      <c r="O512" s="255">
        <v>98.700800000000001</v>
      </c>
      <c r="P512" s="255">
        <v>103.2966</v>
      </c>
      <c r="Q512" s="255">
        <v>100.0205</v>
      </c>
      <c r="R512" s="255">
        <v>97.813400000000001</v>
      </c>
      <c r="S512" s="255">
        <v>96.385499999999993</v>
      </c>
      <c r="T512" s="255">
        <v>97.567300000000003</v>
      </c>
      <c r="U512" s="255">
        <v>97.856800000000007</v>
      </c>
      <c r="V512" s="255">
        <v>97.6755</v>
      </c>
      <c r="W512" s="255">
        <v>103.9603</v>
      </c>
      <c r="X512" s="255">
        <v>104.1508</v>
      </c>
      <c r="Y512" s="255">
        <v>104.1707</v>
      </c>
      <c r="Z512" s="1070">
        <f ca="1">[1]ExtEntry!$K9</f>
        <v>104.1707</v>
      </c>
      <c r="AB512" s="260">
        <v>40575</v>
      </c>
      <c r="AC512" s="260">
        <v>41847.5</v>
      </c>
      <c r="AD512" s="260">
        <v>42277.5</v>
      </c>
      <c r="AE512" s="260">
        <v>44550</v>
      </c>
      <c r="AF512" s="260">
        <v>44775</v>
      </c>
      <c r="AG512" s="260">
        <v>44485.05</v>
      </c>
      <c r="AH512" s="260">
        <v>44304.6</v>
      </c>
      <c r="AI512" s="260">
        <v>45805</v>
      </c>
      <c r="AJ512" s="260">
        <v>46832.5</v>
      </c>
      <c r="AK512" s="260">
        <v>46660</v>
      </c>
      <c r="AL512" s="260">
        <v>46365</v>
      </c>
      <c r="AM512" s="260">
        <v>45272.433499999999</v>
      </c>
      <c r="AN512" s="260">
        <v>44980.723249999995</v>
      </c>
      <c r="AO512" s="260">
        <v>45402.082499999997</v>
      </c>
      <c r="AP512" s="260">
        <v>45302.352500000001</v>
      </c>
      <c r="AQ512" s="260">
        <v>45033.0815</v>
      </c>
      <c r="AR512" s="260">
        <v>44968.256999999998</v>
      </c>
      <c r="AS512" s="260">
        <v>44890.966249999998</v>
      </c>
      <c r="AT512" s="260">
        <v>45631.461499999998</v>
      </c>
      <c r="AU512" s="260">
        <v>45023.108499999995</v>
      </c>
      <c r="AV512" s="260">
        <f ca="1">Calc!F10</f>
        <v>45023.108499999995</v>
      </c>
      <c r="AX512" s="86" t="str">
        <f t="shared" ca="1" si="44"/>
        <v>AZN</v>
      </c>
      <c r="AY512" s="79">
        <f ca="1">Tab2MarketValue[[#This Row],[M_Val20]]-Tab2MarketValue[[#This Row],[M_Val19]]</f>
        <v>0</v>
      </c>
    </row>
    <row r="513" spans="1:51" hidden="1">
      <c r="A513" s="86" t="str">
        <f t="shared" ca="1" si="45"/>
        <v>BLDP</v>
      </c>
      <c r="F513" s="255">
        <v>30.552299999999999</v>
      </c>
      <c r="G513" s="255">
        <v>31.5105</v>
      </c>
      <c r="H513" s="255">
        <v>28.0914</v>
      </c>
      <c r="I513" s="255">
        <v>29.601299999999998</v>
      </c>
      <c r="J513" s="255">
        <v>29.750399999999999</v>
      </c>
      <c r="K513" s="255">
        <v>29.558199999999999</v>
      </c>
      <c r="L513" s="255">
        <v>29.438300000000002</v>
      </c>
      <c r="M513" s="255">
        <v>30.435199999999998</v>
      </c>
      <c r="N513" s="255">
        <v>31.117899999999999</v>
      </c>
      <c r="O513" s="255">
        <v>30.976299999999998</v>
      </c>
      <c r="P513" s="255">
        <v>31.0029</v>
      </c>
      <c r="Q513" s="255">
        <v>30.162800000000001</v>
      </c>
      <c r="R513" s="255">
        <v>29.968399999999999</v>
      </c>
      <c r="S513" s="255">
        <v>30.249199999999998</v>
      </c>
      <c r="T513" s="255">
        <v>30.182700000000001</v>
      </c>
      <c r="U513" s="255">
        <v>30.003299999999999</v>
      </c>
      <c r="V513" s="255">
        <v>29.960100000000001</v>
      </c>
      <c r="W513" s="255">
        <v>29.9086</v>
      </c>
      <c r="X513" s="255">
        <v>30.402000000000001</v>
      </c>
      <c r="Y513" s="255">
        <v>29.996700000000001</v>
      </c>
      <c r="Z513" s="1070">
        <f ca="1">[1]ExtEntry!$K10</f>
        <v>29.996700000000001</v>
      </c>
      <c r="AB513" s="263">
        <v>73000</v>
      </c>
      <c r="AC513" s="263">
        <v>71400</v>
      </c>
      <c r="AD513" s="263">
        <v>69700</v>
      </c>
      <c r="AE513" s="263">
        <v>60599.999999999993</v>
      </c>
      <c r="AF513" s="263">
        <v>57800</v>
      </c>
      <c r="AG513" s="263">
        <v>56840</v>
      </c>
      <c r="AH513" s="263">
        <v>54500</v>
      </c>
      <c r="AI513" s="263">
        <v>54600</v>
      </c>
      <c r="AJ513" s="263">
        <v>55100</v>
      </c>
      <c r="AK513" s="263">
        <v>55599.999999999993</v>
      </c>
      <c r="AL513" s="263">
        <v>56800</v>
      </c>
      <c r="AM513" s="263">
        <v>54452.579999999994</v>
      </c>
      <c r="AN513" s="263">
        <v>54153.39</v>
      </c>
      <c r="AO513" s="263">
        <v>52457.979999999996</v>
      </c>
      <c r="AP513" s="263">
        <v>53255.82</v>
      </c>
      <c r="AQ513" s="263">
        <v>55252.414599999989</v>
      </c>
      <c r="AR513" s="263">
        <v>56247.72</v>
      </c>
      <c r="AS513" s="263">
        <v>56048.259999999995</v>
      </c>
      <c r="AT513" s="263">
        <v>55449.87999999999</v>
      </c>
      <c r="AU513" s="263">
        <v>57643.939999999995</v>
      </c>
      <c r="AV513" s="260">
        <f ca="1">Calc!F11</f>
        <v>57643.939999999995</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70950</v>
      </c>
      <c r="AC514" s="260">
        <v>31874.999999999996</v>
      </c>
      <c r="AD514" s="260">
        <v>31218.75</v>
      </c>
      <c r="AE514" s="260">
        <v>30125</v>
      </c>
      <c r="AF514" s="260">
        <v>28125</v>
      </c>
      <c r="AG514" s="260">
        <v>27687.5</v>
      </c>
      <c r="AH514" s="260">
        <v>27500.000000000004</v>
      </c>
      <c r="AI514" s="260">
        <v>28375</v>
      </c>
      <c r="AJ514" s="260">
        <v>29562.500000000004</v>
      </c>
      <c r="AK514" s="260">
        <v>28999.999999999996</v>
      </c>
      <c r="AL514" s="260">
        <v>29625</v>
      </c>
      <c r="AM514" s="260">
        <v>28298.387500000001</v>
      </c>
      <c r="AN514" s="260">
        <v>28952.865624999995</v>
      </c>
      <c r="AO514" s="260">
        <v>29183.491250000003</v>
      </c>
      <c r="AP514" s="260">
        <v>28797.037499999999</v>
      </c>
      <c r="AQ514" s="260">
        <v>29063.81525</v>
      </c>
      <c r="AR514" s="260">
        <v>29171.024999999998</v>
      </c>
      <c r="AS514" s="260">
        <v>31040.962500000001</v>
      </c>
      <c r="AT514" s="260">
        <v>31165.625</v>
      </c>
      <c r="AU514" s="260">
        <v>32287.587499999998</v>
      </c>
      <c r="AV514" s="260">
        <f ca="1">Calc!F12</f>
        <v>32287.587499999998</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10680.6</v>
      </c>
      <c r="AC515" s="263">
        <v>10606.050000000001</v>
      </c>
      <c r="AD515" s="263">
        <v>10554.6</v>
      </c>
      <c r="AE515" s="263">
        <v>10531.5</v>
      </c>
      <c r="AF515" s="263">
        <v>10323.599999999999</v>
      </c>
      <c r="AG515" s="263">
        <v>10458</v>
      </c>
      <c r="AH515" s="263">
        <v>10306.275</v>
      </c>
      <c r="AI515" s="263">
        <v>10377.15</v>
      </c>
      <c r="AJ515" s="263">
        <v>10791.375</v>
      </c>
      <c r="AK515" s="263">
        <v>10763.550000000001</v>
      </c>
      <c r="AL515" s="263">
        <v>10883.25</v>
      </c>
      <c r="AM515" s="263">
        <v>10813.025790000002</v>
      </c>
      <c r="AN515" s="263">
        <v>10804.648470000002</v>
      </c>
      <c r="AO515" s="263">
        <v>10962.770384999998</v>
      </c>
      <c r="AP515" s="263">
        <v>11180.580705</v>
      </c>
      <c r="AQ515" s="263">
        <v>11340.79695</v>
      </c>
      <c r="AR515" s="263">
        <v>11396.296694999999</v>
      </c>
      <c r="AS515" s="263">
        <v>11415.6692475</v>
      </c>
      <c r="AT515" s="263">
        <v>11636.6210625</v>
      </c>
      <c r="AU515" s="263">
        <v>11702.068874999999</v>
      </c>
      <c r="AV515" s="260">
        <f ca="1">Calc!F13</f>
        <v>11702.068874999999</v>
      </c>
      <c r="AX515" s="86" t="str">
        <f t="shared" ca="1" si="44"/>
        <v>C</v>
      </c>
      <c r="AY515" s="79">
        <f ca="1">Tab2MarketValue[[#This Row],[M_Val20]]-Tab2MarketValue[[#This Row],[M_Val19]]</f>
        <v>0</v>
      </c>
    </row>
    <row r="516" spans="1:51" hidden="1">
      <c r="A516" s="86" t="str">
        <f t="shared" ca="1" si="45"/>
        <v>CSCO</v>
      </c>
      <c r="F516" s="255">
        <v>14.2994</v>
      </c>
      <c r="G516" s="255">
        <v>14.1996</v>
      </c>
      <c r="H516" s="255">
        <v>14.130699999999999</v>
      </c>
      <c r="I516" s="255">
        <v>14.0998</v>
      </c>
      <c r="J516" s="255">
        <v>13.821400000000001</v>
      </c>
      <c r="K516" s="255">
        <v>14.001300000000001</v>
      </c>
      <c r="L516" s="255">
        <v>13.7982</v>
      </c>
      <c r="M516" s="255">
        <v>13.8931</v>
      </c>
      <c r="N516" s="255">
        <v>14.447699999999999</v>
      </c>
      <c r="O516" s="255">
        <v>14.222</v>
      </c>
      <c r="P516" s="255">
        <v>14.5707</v>
      </c>
      <c r="Q516" s="255">
        <v>14.5159</v>
      </c>
      <c r="R516" s="255">
        <v>14.5046</v>
      </c>
      <c r="S516" s="255">
        <v>14.716900000000001</v>
      </c>
      <c r="T516" s="255">
        <v>15.0093</v>
      </c>
      <c r="U516" s="255">
        <v>15.224399999999999</v>
      </c>
      <c r="V516" s="255">
        <v>15.1526</v>
      </c>
      <c r="W516" s="255">
        <v>15.3249</v>
      </c>
      <c r="X516" s="255">
        <v>15.621499999999999</v>
      </c>
      <c r="Y516" s="255">
        <v>15.709300000000001</v>
      </c>
      <c r="Z516" s="1070">
        <f ca="1">[1]ExtEntry!$K13</f>
        <v>15.709300000000001</v>
      </c>
      <c r="AB516" s="260">
        <v>72100</v>
      </c>
      <c r="AC516" s="260">
        <v>71155</v>
      </c>
      <c r="AD516" s="260">
        <v>70925</v>
      </c>
      <c r="AE516" s="260">
        <v>78000</v>
      </c>
      <c r="AF516" s="260">
        <v>77370</v>
      </c>
      <c r="AG516" s="260">
        <v>78273.600000000006</v>
      </c>
      <c r="AH516" s="260">
        <v>76220</v>
      </c>
      <c r="AI516" s="260">
        <v>76615</v>
      </c>
      <c r="AJ516" s="260">
        <v>76285</v>
      </c>
      <c r="AK516" s="260">
        <v>76070</v>
      </c>
      <c r="AL516" s="260">
        <v>76940</v>
      </c>
      <c r="AM516" s="260">
        <v>76084.116729999994</v>
      </c>
      <c r="AN516" s="260">
        <v>76682.396999999997</v>
      </c>
      <c r="AO516" s="260">
        <v>77026.465499999991</v>
      </c>
      <c r="AP516" s="260">
        <v>77540.074999999997</v>
      </c>
      <c r="AQ516" s="260">
        <v>77365.547500000001</v>
      </c>
      <c r="AR516" s="260">
        <v>77759.481</v>
      </c>
      <c r="AS516" s="260">
        <v>79390.066500000001</v>
      </c>
      <c r="AT516" s="260">
        <v>80033.324999999997</v>
      </c>
      <c r="AU516" s="260">
        <v>79055.97099999999</v>
      </c>
      <c r="AV516" s="260">
        <f ca="1">Calc!F14</f>
        <v>79055.97099999999</v>
      </c>
      <c r="AX516" s="86" t="str">
        <f t="shared" ca="1" si="44"/>
        <v>CSCO</v>
      </c>
      <c r="AY516" s="79">
        <f ca="1">Tab2MarketValue[[#This Row],[M_Val20]]-Tab2MarketValue[[#This Row],[M_Val19]]</f>
        <v>0</v>
      </c>
    </row>
    <row r="517" spans="1:51" hidden="1">
      <c r="A517" s="86" t="str">
        <f t="shared" ca="1" si="45"/>
        <v>CVS</v>
      </c>
      <c r="F517" s="255">
        <v>30.479800000000001</v>
      </c>
      <c r="G517" s="255">
        <v>30.080300000000001</v>
      </c>
      <c r="H517" s="255">
        <v>29.9831</v>
      </c>
      <c r="I517" s="255">
        <v>30.167100000000001</v>
      </c>
      <c r="J517" s="255">
        <v>29.923100000000002</v>
      </c>
      <c r="K517" s="255">
        <v>30.2729</v>
      </c>
      <c r="L517" s="255">
        <v>29.4787</v>
      </c>
      <c r="M517" s="255">
        <v>29.631399999999999</v>
      </c>
      <c r="N517" s="255">
        <v>29.503799999999998</v>
      </c>
      <c r="O517" s="255">
        <v>29.516999999999999</v>
      </c>
      <c r="P517" s="255">
        <v>29.757100000000001</v>
      </c>
      <c r="Q517" s="255">
        <v>29.505800000000001</v>
      </c>
      <c r="R517" s="255">
        <v>29.7378</v>
      </c>
      <c r="S517" s="255">
        <v>29.871200000000002</v>
      </c>
      <c r="T517" s="255">
        <v>30.070399999999999</v>
      </c>
      <c r="U517" s="255">
        <v>30.002700000000001</v>
      </c>
      <c r="V517" s="255">
        <v>30.1555</v>
      </c>
      <c r="W517" s="255">
        <v>30.787800000000001</v>
      </c>
      <c r="X517" s="255">
        <v>31.037299999999998</v>
      </c>
      <c r="Y517" s="255">
        <v>30.658300000000001</v>
      </c>
      <c r="Z517" s="1070">
        <f ca="1">[1]ExtEntry!$K14</f>
        <v>30.658300000000001</v>
      </c>
      <c r="AB517" s="263">
        <v>78.56</v>
      </c>
      <c r="AC517" s="263">
        <v>78.73</v>
      </c>
      <c r="AD517" s="263">
        <v>78.84</v>
      </c>
      <c r="AE517" s="263">
        <v>77.87</v>
      </c>
      <c r="AF517" s="263">
        <v>77.94</v>
      </c>
      <c r="AG517" s="263">
        <v>76.42</v>
      </c>
      <c r="AH517" s="263">
        <v>76.135000000000005</v>
      </c>
      <c r="AI517" s="263">
        <v>77.754999999999995</v>
      </c>
      <c r="AJ517" s="263">
        <v>79.86</v>
      </c>
      <c r="AK517" s="263">
        <v>79.86</v>
      </c>
      <c r="AL517" s="263">
        <v>80.36</v>
      </c>
      <c r="AM517" s="263">
        <v>79.524701999999991</v>
      </c>
      <c r="AN517" s="263">
        <v>77.405439499999986</v>
      </c>
      <c r="AO517" s="263">
        <v>76.815237359999998</v>
      </c>
      <c r="AP517" s="263">
        <v>74.857337999999999</v>
      </c>
      <c r="AQ517" s="263">
        <v>74.652791769999993</v>
      </c>
      <c r="AR517" s="263">
        <v>75.425798999999998</v>
      </c>
      <c r="AS517" s="263">
        <v>78.48751</v>
      </c>
      <c r="AT517" s="263">
        <v>78.776726999999994</v>
      </c>
      <c r="AU517" s="263">
        <v>80.611758999999992</v>
      </c>
      <c r="AV517" s="260">
        <f ca="1">Calc!F15</f>
        <v>80.611758999999992</v>
      </c>
      <c r="AX517" s="86" t="str">
        <f t="shared" ca="1" si="44"/>
        <v>CVS</v>
      </c>
      <c r="AY517" s="79">
        <f ca="1">Tab2MarketValue[[#This Row],[M_Val20]]-Tab2MarketValue[[#This Row],[M_Val19]]</f>
        <v>0</v>
      </c>
    </row>
    <row r="518" spans="1:51" hidden="1">
      <c r="A518" s="86" t="str">
        <f t="shared" ca="1" si="45"/>
        <v>DDD</v>
      </c>
      <c r="F518" s="255">
        <v>205.81610000000001</v>
      </c>
      <c r="G518" s="255">
        <v>206.26150000000001</v>
      </c>
      <c r="H518" s="255">
        <v>206.5496</v>
      </c>
      <c r="I518" s="255">
        <v>204.00839999999999</v>
      </c>
      <c r="J518" s="255">
        <v>204.20249999999999</v>
      </c>
      <c r="K518" s="255">
        <v>200.20959999999999</v>
      </c>
      <c r="L518" s="255">
        <v>199.46289999999999</v>
      </c>
      <c r="M518" s="255">
        <v>203.7071</v>
      </c>
      <c r="N518" s="255">
        <v>209.22190000000001</v>
      </c>
      <c r="O518" s="255">
        <v>205.59110000000001</v>
      </c>
      <c r="P518" s="255">
        <v>210.5318</v>
      </c>
      <c r="Q518" s="255">
        <v>208.9075</v>
      </c>
      <c r="R518" s="255">
        <v>203.34030000000001</v>
      </c>
      <c r="S518" s="255">
        <v>201.78989999999999</v>
      </c>
      <c r="T518" s="255">
        <v>196.64660000000001</v>
      </c>
      <c r="U518" s="255">
        <v>196.10919999999999</v>
      </c>
      <c r="V518" s="255">
        <v>201.0847</v>
      </c>
      <c r="W518" s="255">
        <v>206.18289999999999</v>
      </c>
      <c r="X518" s="255">
        <v>204.98849999999999</v>
      </c>
      <c r="Y518" s="255">
        <v>211.76320000000001</v>
      </c>
      <c r="Z518" s="1070">
        <f ca="1">[1]ExtEntry!$K15</f>
        <v>211.76320000000001</v>
      </c>
      <c r="AB518" s="260">
        <v>221000</v>
      </c>
      <c r="AC518" s="260">
        <v>192525</v>
      </c>
      <c r="AD518" s="260">
        <v>189125</v>
      </c>
      <c r="AE518" s="260">
        <v>183600</v>
      </c>
      <c r="AF518" s="260">
        <v>176800</v>
      </c>
      <c r="AG518" s="260">
        <v>173825</v>
      </c>
      <c r="AH518" s="260">
        <v>159800</v>
      </c>
      <c r="AI518" s="260">
        <v>165325</v>
      </c>
      <c r="AJ518" s="260">
        <v>172975</v>
      </c>
      <c r="AK518" s="260">
        <v>174249.99999999997</v>
      </c>
      <c r="AL518" s="260">
        <v>176800</v>
      </c>
      <c r="AM518" s="260">
        <v>169964.85250000001</v>
      </c>
      <c r="AN518" s="260">
        <v>173779.52499999997</v>
      </c>
      <c r="AO518" s="260">
        <v>175898.78750000003</v>
      </c>
      <c r="AP518" s="260">
        <v>186495.10000000003</v>
      </c>
      <c r="AQ518" s="260">
        <v>188614.36249999999</v>
      </c>
      <c r="AR518" s="260">
        <v>183104.28</v>
      </c>
      <c r="AS518" s="260">
        <v>149619.9325</v>
      </c>
      <c r="AT518" s="260">
        <v>150043.785</v>
      </c>
      <c r="AU518" s="260">
        <v>166574.0325</v>
      </c>
      <c r="AV518" s="260">
        <f ca="1">Calc!F16</f>
        <v>166574.0325</v>
      </c>
      <c r="AX518" s="86" t="str">
        <f t="shared" ca="1" si="44"/>
        <v>DDD</v>
      </c>
      <c r="AY518" s="79">
        <f ca="1">Tab2MarketValue[[#This Row],[M_Val20]]-Tab2MarketValue[[#This Row],[M_Val19]]</f>
        <v>0</v>
      </c>
    </row>
    <row r="519" spans="1:51" hidden="1">
      <c r="A519" s="86" t="str">
        <f t="shared" ca="1" si="45"/>
        <v>DIS</v>
      </c>
      <c r="F519" s="255">
        <v>99</v>
      </c>
      <c r="G519" s="255">
        <v>0</v>
      </c>
      <c r="H519" s="255">
        <v>0</v>
      </c>
      <c r="I519" s="255">
        <v>99</v>
      </c>
      <c r="J519" s="255">
        <v>99</v>
      </c>
      <c r="K519" s="255">
        <v>0</v>
      </c>
      <c r="L519" s="255">
        <v>0</v>
      </c>
      <c r="M519" s="255">
        <v>0</v>
      </c>
      <c r="N519" s="255">
        <v>99</v>
      </c>
      <c r="O519" s="255">
        <v>0</v>
      </c>
      <c r="P519" s="255">
        <v>99</v>
      </c>
      <c r="Q519" s="255">
        <v>99</v>
      </c>
      <c r="R519" s="255">
        <v>99</v>
      </c>
      <c r="S519" s="255">
        <v>0</v>
      </c>
      <c r="T519" s="255">
        <v>99</v>
      </c>
      <c r="U519" s="255">
        <v>0</v>
      </c>
      <c r="V519" s="255">
        <v>99</v>
      </c>
      <c r="W519" s="255">
        <v>0</v>
      </c>
      <c r="X519" s="255">
        <v>99</v>
      </c>
      <c r="Y519" s="255">
        <v>0</v>
      </c>
      <c r="Z519" s="1070">
        <f ca="1">[1]ExtEntry!$K16</f>
        <v>0</v>
      </c>
      <c r="AB519" s="263">
        <v>111340</v>
      </c>
      <c r="AC519" s="263">
        <v>110160</v>
      </c>
      <c r="AD519" s="263">
        <v>110730</v>
      </c>
      <c r="AE519" s="263">
        <v>105800</v>
      </c>
      <c r="AF519" s="263">
        <v>106280</v>
      </c>
      <c r="AG519" s="263">
        <v>105300</v>
      </c>
      <c r="AH519" s="263">
        <v>102870</v>
      </c>
      <c r="AI519" s="263">
        <v>104450</v>
      </c>
      <c r="AJ519" s="263">
        <v>103845</v>
      </c>
      <c r="AK519" s="263">
        <v>103430</v>
      </c>
      <c r="AL519" s="263">
        <v>104470</v>
      </c>
      <c r="AM519" s="263">
        <v>106152.61199999999</v>
      </c>
      <c r="AN519" s="263">
        <v>104691.56749999999</v>
      </c>
      <c r="AO519" s="263">
        <v>104437.25599999999</v>
      </c>
      <c r="AP519" s="263">
        <v>105444.52899999999</v>
      </c>
      <c r="AQ519" s="263">
        <v>104686.68073000001</v>
      </c>
      <c r="AR519" s="263">
        <v>104945.879</v>
      </c>
      <c r="AS519" s="263">
        <v>106411.90999999999</v>
      </c>
      <c r="AT519" s="263">
        <v>108536.159</v>
      </c>
      <c r="AU519" s="263">
        <v>111179.004</v>
      </c>
      <c r="AV519" s="260">
        <f ca="1">Calc!F17</f>
        <v>111179.004</v>
      </c>
      <c r="AX519" s="86" t="str">
        <f t="shared" ca="1" si="44"/>
        <v>DIS</v>
      </c>
      <c r="AY519" s="79">
        <f ca="1">Tab2MarketValue[[#This Row],[M_Val20]]-Tab2MarketValue[[#This Row],[M_Val19]]</f>
        <v>0</v>
      </c>
    </row>
    <row r="520" spans="1:51" hidden="1">
      <c r="A520" s="86" t="str">
        <f t="shared" ca="1" si="45"/>
        <v>DSY</v>
      </c>
      <c r="F520" s="255">
        <v>17.4558</v>
      </c>
      <c r="G520" s="255">
        <v>17.270800000000001</v>
      </c>
      <c r="H520" s="255">
        <v>17.360199999999999</v>
      </c>
      <c r="I520" s="255">
        <v>15.4414</v>
      </c>
      <c r="J520" s="255">
        <v>15.5115</v>
      </c>
      <c r="K520" s="255">
        <v>15.368399999999999</v>
      </c>
      <c r="L520" s="255">
        <v>15.0138</v>
      </c>
      <c r="M520" s="255">
        <v>15.244400000000001</v>
      </c>
      <c r="N520" s="255">
        <v>15.1561</v>
      </c>
      <c r="O520" s="255">
        <v>15.077999999999999</v>
      </c>
      <c r="P520" s="255">
        <v>15.247299999999999</v>
      </c>
      <c r="Q520" s="255">
        <v>15.534800000000001</v>
      </c>
      <c r="R520" s="255">
        <v>15.321</v>
      </c>
      <c r="S520" s="255">
        <v>15.283799999999999</v>
      </c>
      <c r="T520" s="255">
        <v>15.4312</v>
      </c>
      <c r="U520" s="255">
        <v>15.3203</v>
      </c>
      <c r="V520" s="255">
        <v>15.3933</v>
      </c>
      <c r="W520" s="255">
        <v>15.572800000000001</v>
      </c>
      <c r="X520" s="255">
        <v>15.883599999999999</v>
      </c>
      <c r="Y520" s="255">
        <v>16.270399999999999</v>
      </c>
      <c r="Z520" s="1070">
        <f ca="1">[1]ExtEntry!$K17</f>
        <v>16.270399999999999</v>
      </c>
      <c r="AB520" s="260">
        <v>95920</v>
      </c>
      <c r="AC520" s="260">
        <v>93040</v>
      </c>
      <c r="AD520" s="260">
        <v>93360</v>
      </c>
      <c r="AE520" s="260">
        <v>95960</v>
      </c>
      <c r="AF520" s="260">
        <v>92680</v>
      </c>
      <c r="AG520" s="260">
        <v>93520</v>
      </c>
      <c r="AH520" s="260">
        <v>93280</v>
      </c>
      <c r="AI520" s="260">
        <v>93960</v>
      </c>
      <c r="AJ520" s="260">
        <v>96600</v>
      </c>
      <c r="AK520" s="260">
        <v>96600</v>
      </c>
      <c r="AL520" s="260">
        <v>96440</v>
      </c>
      <c r="AM520" s="260">
        <v>95142.42</v>
      </c>
      <c r="AN520" s="260">
        <v>93427.063999999998</v>
      </c>
      <c r="AO520" s="260">
        <v>93387.171999999991</v>
      </c>
      <c r="AP520" s="260">
        <v>93387.171999999991</v>
      </c>
      <c r="AQ520" s="260">
        <v>94783.391999999993</v>
      </c>
      <c r="AR520" s="260">
        <v>94863.175999999992</v>
      </c>
      <c r="AS520" s="260">
        <v>93147.819999999992</v>
      </c>
      <c r="AT520" s="260">
        <v>91831.383999999991</v>
      </c>
      <c r="AU520" s="260">
        <v>92270.195999999996</v>
      </c>
      <c r="AV520" s="260">
        <f ca="1">Calc!F18</f>
        <v>92270.195999999996</v>
      </c>
      <c r="AX520" s="86" t="str">
        <f t="shared" ca="1" si="44"/>
        <v>DSY</v>
      </c>
      <c r="AY520" s="79">
        <f ca="1">Tab2MarketValue[[#This Row],[M_Val20]]-Tab2MarketValue[[#This Row],[M_Val19]]</f>
        <v>0</v>
      </c>
    </row>
    <row r="521" spans="1:51" hidden="1">
      <c r="A521" s="86" t="str">
        <f t="shared" ca="1" si="45"/>
        <v>DVA</v>
      </c>
      <c r="F521" s="255">
        <v>26.793299999999999</v>
      </c>
      <c r="G521" s="255">
        <v>25.988800000000001</v>
      </c>
      <c r="H521" s="255">
        <v>25.988800000000001</v>
      </c>
      <c r="I521" s="255">
        <v>27.072600000000001</v>
      </c>
      <c r="J521" s="255">
        <v>25.888300000000001</v>
      </c>
      <c r="K521" s="255">
        <v>26.122900000000001</v>
      </c>
      <c r="L521" s="255">
        <v>26.055900000000001</v>
      </c>
      <c r="M521" s="255">
        <v>26.245799999999999</v>
      </c>
      <c r="N521" s="255">
        <v>26.770900000000001</v>
      </c>
      <c r="O521" s="255">
        <v>26.9832</v>
      </c>
      <c r="P521" s="255">
        <v>26.938500000000001</v>
      </c>
      <c r="Q521" s="255">
        <v>26.648</v>
      </c>
      <c r="R521" s="255">
        <v>26.648</v>
      </c>
      <c r="S521" s="255">
        <v>26.156400000000001</v>
      </c>
      <c r="T521" s="255">
        <v>26.156400000000001</v>
      </c>
      <c r="U521" s="255">
        <v>26.547499999999999</v>
      </c>
      <c r="V521" s="255">
        <v>26.547499999999999</v>
      </c>
      <c r="W521" s="255">
        <v>26.089400000000001</v>
      </c>
      <c r="X521" s="255">
        <v>25.720700000000001</v>
      </c>
      <c r="Y521" s="255">
        <v>25.720700000000001</v>
      </c>
      <c r="Z521" s="1070">
        <f ca="1">[1]ExtEntry!$K18</f>
        <v>25.720700000000001</v>
      </c>
      <c r="AB521" s="263">
        <v>363480</v>
      </c>
      <c r="AC521" s="263">
        <v>365460</v>
      </c>
      <c r="AD521" s="263">
        <v>172655</v>
      </c>
      <c r="AE521" s="263">
        <v>170184</v>
      </c>
      <c r="AF521" s="263">
        <v>163184</v>
      </c>
      <c r="AG521" s="263">
        <v>161217</v>
      </c>
      <c r="AH521" s="263">
        <v>160678</v>
      </c>
      <c r="AI521" s="263">
        <v>169428</v>
      </c>
      <c r="AJ521" s="263">
        <v>168378</v>
      </c>
      <c r="AK521" s="263">
        <v>168140</v>
      </c>
      <c r="AL521" s="263">
        <v>167552</v>
      </c>
      <c r="AM521" s="263">
        <v>168111.86909999998</v>
      </c>
      <c r="AN521" s="263">
        <v>166233.95319999999</v>
      </c>
      <c r="AO521" s="263">
        <v>167462.6268</v>
      </c>
      <c r="AP521" s="263">
        <v>165103.01499999998</v>
      </c>
      <c r="AQ521" s="263">
        <v>163776.606</v>
      </c>
      <c r="AR521" s="263">
        <v>163902.26579999999</v>
      </c>
      <c r="AS521" s="263">
        <v>162464.15919999999</v>
      </c>
      <c r="AT521" s="263">
        <v>165703.38959999999</v>
      </c>
      <c r="AU521" s="263">
        <v>168028.09589999999</v>
      </c>
      <c r="AV521" s="260">
        <f ca="1">Calc!F19</f>
        <v>168028.09589999999</v>
      </c>
      <c r="AX521" s="86" t="str">
        <f t="shared" ca="1" si="44"/>
        <v>DVA</v>
      </c>
      <c r="AY521" s="79">
        <f ca="1">Tab2MarketValue[[#This Row],[M_Val20]]-Tab2MarketValue[[#This Row],[M_Val19]]</f>
        <v>0</v>
      </c>
    </row>
    <row r="522" spans="1:51" hidden="1">
      <c r="A522" s="86" t="str">
        <f t="shared" ca="1" si="45"/>
        <v>DXC</v>
      </c>
      <c r="F522" s="255">
        <v>12.474500000000001</v>
      </c>
      <c r="G522" s="255">
        <v>12.5425</v>
      </c>
      <c r="H522" s="255">
        <v>12.6974</v>
      </c>
      <c r="I522" s="255">
        <v>12.515700000000001</v>
      </c>
      <c r="J522" s="255">
        <v>12.0009</v>
      </c>
      <c r="K522" s="255">
        <v>11.856199999999999</v>
      </c>
      <c r="L522" s="255">
        <v>11.816599999999999</v>
      </c>
      <c r="M522" s="255">
        <v>12.460100000000001</v>
      </c>
      <c r="N522" s="255">
        <v>12.382899999999999</v>
      </c>
      <c r="O522" s="255">
        <v>12.4962</v>
      </c>
      <c r="P522" s="255">
        <v>12.322100000000001</v>
      </c>
      <c r="Q522" s="255">
        <v>12.396800000000001</v>
      </c>
      <c r="R522" s="255">
        <v>12.2583</v>
      </c>
      <c r="S522" s="255">
        <v>12.3489</v>
      </c>
      <c r="T522" s="255">
        <v>12.2707</v>
      </c>
      <c r="U522" s="255">
        <v>12.0771</v>
      </c>
      <c r="V522" s="255">
        <v>12.075100000000001</v>
      </c>
      <c r="W522" s="255">
        <v>11.9803</v>
      </c>
      <c r="X522" s="255">
        <v>12.219200000000001</v>
      </c>
      <c r="Y522" s="255">
        <v>12.390599999999999</v>
      </c>
      <c r="Z522" s="1070">
        <f ca="1">[1]ExtEntry!$K19</f>
        <v>12.390599999999999</v>
      </c>
      <c r="AB522" s="260">
        <v>82860</v>
      </c>
      <c r="AC522" s="260">
        <v>82410</v>
      </c>
      <c r="AD522" s="260">
        <v>79050</v>
      </c>
      <c r="AE522" s="260">
        <v>77460</v>
      </c>
      <c r="AF522" s="260">
        <v>73320</v>
      </c>
      <c r="AG522" s="260">
        <v>72660</v>
      </c>
      <c r="AH522" s="260">
        <v>71460</v>
      </c>
      <c r="AI522" s="260">
        <v>76260</v>
      </c>
      <c r="AJ522" s="260">
        <v>78780</v>
      </c>
      <c r="AK522" s="260">
        <v>78660</v>
      </c>
      <c r="AL522" s="260">
        <v>79410</v>
      </c>
      <c r="AM522" s="260">
        <v>80422.271999999997</v>
      </c>
      <c r="AN522" s="260">
        <v>80930.895000000004</v>
      </c>
      <c r="AO522" s="260">
        <v>81858.383999999991</v>
      </c>
      <c r="AP522" s="260">
        <v>81978.06</v>
      </c>
      <c r="AQ522" s="260">
        <v>83441.099099999992</v>
      </c>
      <c r="AR522" s="260">
        <v>84491.255999999994</v>
      </c>
      <c r="AS522" s="260">
        <v>89457.81</v>
      </c>
      <c r="AT522" s="260">
        <v>90475.055999999997</v>
      </c>
      <c r="AU522" s="260">
        <v>91193.111999999994</v>
      </c>
      <c r="AV522" s="260">
        <f ca="1">Calc!F20</f>
        <v>91193.111999999994</v>
      </c>
      <c r="AX522" s="86" t="str">
        <f t="shared" ca="1" si="44"/>
        <v>DXC</v>
      </c>
      <c r="AY522" s="79">
        <f ca="1">Tab2MarketValue[[#This Row],[M_Val20]]-Tab2MarketValue[[#This Row],[M_Val19]]</f>
        <v>0</v>
      </c>
    </row>
    <row r="523" spans="1:51" hidden="1">
      <c r="A523" s="86" t="str">
        <f t="shared" ca="1" si="45"/>
        <v>EOAN</v>
      </c>
      <c r="F523" s="255">
        <v>6.7431999999999999</v>
      </c>
      <c r="G523" s="255">
        <v>6.7065000000000001</v>
      </c>
      <c r="H523" s="255">
        <v>6.4330999999999996</v>
      </c>
      <c r="I523" s="255">
        <v>6.3037000000000001</v>
      </c>
      <c r="J523" s="255">
        <v>5.9668000000000001</v>
      </c>
      <c r="K523" s="255">
        <v>5.9131</v>
      </c>
      <c r="L523" s="255">
        <v>5.8154000000000003</v>
      </c>
      <c r="M523" s="255">
        <v>6.2061000000000002</v>
      </c>
      <c r="N523" s="255">
        <v>6.4111000000000002</v>
      </c>
      <c r="O523" s="255">
        <v>6.3769999999999998</v>
      </c>
      <c r="P523" s="255">
        <v>6.4623999999999997</v>
      </c>
      <c r="Q523" s="255">
        <v>6.5625</v>
      </c>
      <c r="R523" s="255">
        <v>6.6040000000000001</v>
      </c>
      <c r="S523" s="255">
        <v>6.6797000000000004</v>
      </c>
      <c r="T523" s="255">
        <v>6.6894999999999998</v>
      </c>
      <c r="U523" s="255">
        <v>6.8087999999999997</v>
      </c>
      <c r="V523" s="255">
        <v>6.8262</v>
      </c>
      <c r="W523" s="255">
        <v>7.2998000000000003</v>
      </c>
      <c r="X523" s="255">
        <v>7.3827999999999996</v>
      </c>
      <c r="Y523" s="255">
        <v>7.4413999999999998</v>
      </c>
      <c r="Z523" s="1070">
        <f ca="1">[1]ExtEntry!$K20</f>
        <v>7.4413999999999998</v>
      </c>
      <c r="AB523" s="263">
        <v>240750</v>
      </c>
      <c r="AC523" s="263">
        <v>241199.99999999997</v>
      </c>
      <c r="AD523" s="263">
        <v>241575</v>
      </c>
      <c r="AE523" s="263">
        <v>228675</v>
      </c>
      <c r="AF523" s="263">
        <v>228450</v>
      </c>
      <c r="AG523" s="263">
        <v>229500</v>
      </c>
      <c r="AH523" s="263">
        <v>231000</v>
      </c>
      <c r="AI523" s="263">
        <v>232950</v>
      </c>
      <c r="AJ523" s="263">
        <v>231825</v>
      </c>
      <c r="AK523" s="263">
        <v>229650</v>
      </c>
      <c r="AL523" s="263">
        <v>229875</v>
      </c>
      <c r="AM523" s="263">
        <v>227683.59</v>
      </c>
      <c r="AN523" s="263">
        <v>228655.95749999999</v>
      </c>
      <c r="AO523" s="263">
        <v>235462.53</v>
      </c>
      <c r="AP523" s="263">
        <v>237257.66999999998</v>
      </c>
      <c r="AQ523" s="263">
        <v>233218.60499999998</v>
      </c>
      <c r="AR523" s="263">
        <v>230899.88249999998</v>
      </c>
      <c r="AS523" s="263">
        <v>388573.01250000001</v>
      </c>
      <c r="AT523" s="263">
        <v>387700.375</v>
      </c>
      <c r="AU523" s="263">
        <v>374860.13750000001</v>
      </c>
      <c r="AV523" s="260">
        <f ca="1">Calc!F21</f>
        <v>374860.13750000001</v>
      </c>
      <c r="AX523" s="86" t="str">
        <f t="shared" ca="1" si="44"/>
        <v>EOAN</v>
      </c>
      <c r="AY523" s="79">
        <f ca="1">Tab2MarketValue[[#This Row],[M_Val20]]-Tab2MarketValue[[#This Row],[M_Val19]]</f>
        <v>0</v>
      </c>
    </row>
    <row r="524" spans="1:51" hidden="1">
      <c r="A524" s="86" t="str">
        <f t="shared" ca="1" si="45"/>
        <v>EPIX</v>
      </c>
      <c r="F524" s="255">
        <v>13.2645</v>
      </c>
      <c r="G524" s="255">
        <v>13.289300000000001</v>
      </c>
      <c r="H524" s="255">
        <v>13.309900000000001</v>
      </c>
      <c r="I524" s="255">
        <v>12.84</v>
      </c>
      <c r="J524" s="255">
        <v>13.243499999999999</v>
      </c>
      <c r="K524" s="255">
        <v>13.3043</v>
      </c>
      <c r="L524" s="255">
        <v>13.391299999999999</v>
      </c>
      <c r="M524" s="255">
        <v>13.504300000000001</v>
      </c>
      <c r="N524" s="255">
        <v>13.4391</v>
      </c>
      <c r="O524" s="255">
        <v>13.47</v>
      </c>
      <c r="P524" s="255">
        <v>13.3261</v>
      </c>
      <c r="Q524" s="255">
        <v>13.2348</v>
      </c>
      <c r="R524" s="255">
        <v>13.2913</v>
      </c>
      <c r="S524" s="255">
        <v>13.686999999999999</v>
      </c>
      <c r="T524" s="255">
        <v>13.7913</v>
      </c>
      <c r="U524" s="255">
        <v>13.5565</v>
      </c>
      <c r="V524" s="255">
        <v>13.4217</v>
      </c>
      <c r="W524" s="255">
        <v>13.552199999999999</v>
      </c>
      <c r="X524" s="255">
        <v>13.521699999999999</v>
      </c>
      <c r="Y524" s="255">
        <v>13.0739</v>
      </c>
      <c r="Z524" s="1070">
        <f ca="1">[1]ExtEntry!$K21</f>
        <v>13.0739</v>
      </c>
      <c r="AB524" s="260">
        <v>6036</v>
      </c>
      <c r="AC524" s="260">
        <v>6036</v>
      </c>
      <c r="AD524" s="260">
        <v>6036</v>
      </c>
      <c r="AE524" s="260">
        <v>6036</v>
      </c>
      <c r="AF524" s="260">
        <v>6036</v>
      </c>
      <c r="AG524" s="260">
        <v>6036</v>
      </c>
      <c r="AH524" s="260">
        <v>6036</v>
      </c>
      <c r="AI524" s="260">
        <v>6036</v>
      </c>
      <c r="AJ524" s="260">
        <v>6036</v>
      </c>
      <c r="AK524" s="260">
        <v>6036</v>
      </c>
      <c r="AL524" s="260">
        <v>6036</v>
      </c>
      <c r="AM524" s="260">
        <v>6019.7028</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687.8</v>
      </c>
      <c r="AC525" s="263">
        <v>689.2</v>
      </c>
      <c r="AD525" s="263">
        <v>706.59999999999991</v>
      </c>
      <c r="AE525" s="263">
        <v>705.19999999999993</v>
      </c>
      <c r="AF525" s="263">
        <v>679.4</v>
      </c>
      <c r="AG525" s="263">
        <v>691.15</v>
      </c>
      <c r="AH525" s="263">
        <v>683.274</v>
      </c>
      <c r="AI525" s="263">
        <v>702.30000000000007</v>
      </c>
      <c r="AJ525" s="263">
        <v>731.1</v>
      </c>
      <c r="AK525" s="263">
        <v>728.1</v>
      </c>
      <c r="AL525" s="263">
        <v>735.19999999999993</v>
      </c>
      <c r="AM525" s="263">
        <v>733.86819149999997</v>
      </c>
      <c r="AN525" s="263">
        <v>734.06266500000004</v>
      </c>
      <c r="AO525" s="263">
        <v>741.04376500000001</v>
      </c>
      <c r="AP525" s="263">
        <v>744.8833699999999</v>
      </c>
      <c r="AQ525" s="263">
        <v>758.49651500000004</v>
      </c>
      <c r="AR525" s="263">
        <v>758.29705499999989</v>
      </c>
      <c r="AS525" s="263">
        <v>765.52747999999997</v>
      </c>
      <c r="AT525" s="263">
        <v>80.586826500000001</v>
      </c>
      <c r="AU525" s="263">
        <v>80.626718499999996</v>
      </c>
      <c r="AV525" s="260">
        <f ca="1">Calc!F23</f>
        <v>80.626718499999996</v>
      </c>
      <c r="AX525" s="86" t="str">
        <f t="shared" ca="1" si="44"/>
        <v>GM</v>
      </c>
      <c r="AY525" s="79">
        <f ca="1">Tab2MarketValue[[#This Row],[M_Val20]]-Tab2MarketValue[[#This Row],[M_Val19]]</f>
        <v>0</v>
      </c>
    </row>
    <row r="526" spans="1:51" hidden="1">
      <c r="A526" s="86" t="str">
        <f t="shared" ca="1" si="45"/>
        <v>HPE</v>
      </c>
      <c r="F526" s="255">
        <v>13.228999999999999</v>
      </c>
      <c r="G526" s="255">
        <v>13.2559</v>
      </c>
      <c r="H526" s="255">
        <v>13.5906</v>
      </c>
      <c r="I526" s="255">
        <v>13.563599999999999</v>
      </c>
      <c r="J526" s="255">
        <v>13.0655</v>
      </c>
      <c r="K526" s="255">
        <v>13.2934</v>
      </c>
      <c r="L526" s="255">
        <v>13.1419</v>
      </c>
      <c r="M526" s="255">
        <v>13.5078</v>
      </c>
      <c r="N526" s="255">
        <v>14.0618</v>
      </c>
      <c r="O526" s="255">
        <v>13.9984</v>
      </c>
      <c r="P526" s="255">
        <v>14.140599999999999</v>
      </c>
      <c r="Q526" s="255">
        <v>14.1532</v>
      </c>
      <c r="R526" s="255">
        <v>14.157</v>
      </c>
      <c r="S526" s="255">
        <v>14.291600000000001</v>
      </c>
      <c r="T526" s="255">
        <v>14.3657</v>
      </c>
      <c r="U526" s="255">
        <v>14.6282</v>
      </c>
      <c r="V526" s="255">
        <v>14.452299999999999</v>
      </c>
      <c r="W526" s="255">
        <v>14.7638</v>
      </c>
      <c r="X526" s="255">
        <v>15.5418</v>
      </c>
      <c r="Y526" s="255">
        <v>15.5495</v>
      </c>
      <c r="Z526" s="1070">
        <f ca="1">[1]ExtEntry!$K23</f>
        <v>15.5495</v>
      </c>
      <c r="AB526" s="260">
        <v>218040</v>
      </c>
      <c r="AC526" s="260">
        <v>215694</v>
      </c>
      <c r="AD526" s="260">
        <v>215280</v>
      </c>
      <c r="AE526" s="260">
        <v>210035.99999999997</v>
      </c>
      <c r="AF526" s="260">
        <v>192372</v>
      </c>
      <c r="AG526" s="260">
        <v>190762</v>
      </c>
      <c r="AH526" s="260">
        <v>184699.2</v>
      </c>
      <c r="AI526" s="260">
        <v>189779.44</v>
      </c>
      <c r="AJ526" s="260">
        <v>198030</v>
      </c>
      <c r="AK526" s="260">
        <v>198076</v>
      </c>
      <c r="AL526" s="260">
        <v>201204</v>
      </c>
      <c r="AM526" s="260">
        <v>200706.625</v>
      </c>
      <c r="AN526" s="260">
        <v>201165.383</v>
      </c>
      <c r="AO526" s="260">
        <v>311273.2868</v>
      </c>
      <c r="AP526" s="260">
        <v>315380.16820000001</v>
      </c>
      <c r="AQ526" s="260">
        <v>323947.97249999997</v>
      </c>
      <c r="AR526" s="260">
        <v>330320.71950000001</v>
      </c>
      <c r="AS526" s="260">
        <v>347031.47829999996</v>
      </c>
      <c r="AT526" s="260">
        <v>357865.1482</v>
      </c>
      <c r="AU526" s="260">
        <v>347527.13639999996</v>
      </c>
      <c r="AV526" s="260">
        <f ca="1">Calc!F24</f>
        <v>347527.13639999996</v>
      </c>
      <c r="AX526" s="86" t="str">
        <f t="shared" ca="1" si="44"/>
        <v>HPE</v>
      </c>
      <c r="AY526" s="79">
        <f ca="1">Tab2MarketValue[[#This Row],[M_Val20]]-Tab2MarketValue[[#This Row],[M_Val19]]</f>
        <v>0</v>
      </c>
    </row>
    <row r="527" spans="1:51" hidden="1">
      <c r="A527" s="86" t="str">
        <f t="shared" ca="1" si="45"/>
        <v>HPQ</v>
      </c>
      <c r="F527" s="255">
        <v>28.427499999999998</v>
      </c>
      <c r="G527" s="255">
        <v>28.121600000000001</v>
      </c>
      <c r="H527" s="255">
        <v>28.067699999999999</v>
      </c>
      <c r="I527" s="255">
        <v>27.384</v>
      </c>
      <c r="J527" s="255">
        <v>25.0687</v>
      </c>
      <c r="K527" s="255">
        <v>24.871099999999998</v>
      </c>
      <c r="L527" s="255">
        <v>24.0806</v>
      </c>
      <c r="M527" s="255">
        <v>24.742999999999999</v>
      </c>
      <c r="N527" s="255">
        <v>25.8186</v>
      </c>
      <c r="O527" s="255">
        <v>25.6204</v>
      </c>
      <c r="P527" s="255">
        <v>26.232500000000002</v>
      </c>
      <c r="Q527" s="255">
        <v>26.238499999999998</v>
      </c>
      <c r="R527" s="255">
        <v>26.298400000000001</v>
      </c>
      <c r="S527" s="255">
        <v>26.3644</v>
      </c>
      <c r="T527" s="255">
        <v>26.712199999999999</v>
      </c>
      <c r="U527" s="255">
        <v>27.437899999999999</v>
      </c>
      <c r="V527" s="255">
        <v>0</v>
      </c>
      <c r="W527" s="255">
        <v>0</v>
      </c>
      <c r="X527" s="255">
        <v>0</v>
      </c>
      <c r="Y527" s="255">
        <v>0</v>
      </c>
      <c r="Z527" s="1070">
        <f ca="1">[1]ExtEntry!$K24</f>
        <v>0</v>
      </c>
      <c r="AB527" s="263">
        <v>133200</v>
      </c>
      <c r="AC527" s="263">
        <v>130900</v>
      </c>
      <c r="AD527" s="263">
        <v>131075</v>
      </c>
      <c r="AE527" s="263">
        <v>122565.00000000001</v>
      </c>
      <c r="AF527" s="263">
        <v>113550</v>
      </c>
      <c r="AG527" s="263">
        <v>112700</v>
      </c>
      <c r="AH527" s="263">
        <v>111649.99999999999</v>
      </c>
      <c r="AI527" s="263">
        <v>120574.99999999999</v>
      </c>
      <c r="AJ527" s="263">
        <v>119125</v>
      </c>
      <c r="AK527" s="263">
        <v>119925</v>
      </c>
      <c r="AL527" s="263">
        <v>122150</v>
      </c>
      <c r="AM527" s="263">
        <v>122343.7775</v>
      </c>
      <c r="AN527" s="263">
        <v>250322.3</v>
      </c>
      <c r="AO527" s="263">
        <v>126407.77499999999</v>
      </c>
      <c r="AP527" s="263">
        <v>226142.76149999999</v>
      </c>
      <c r="AQ527" s="263">
        <v>230210.54873999997</v>
      </c>
      <c r="AR527" s="263">
        <v>232291.11599999998</v>
      </c>
      <c r="AS527" s="263">
        <v>227219.8455</v>
      </c>
      <c r="AT527" s="263">
        <v>228880.35</v>
      </c>
      <c r="AU527" s="263">
        <v>228027.65849999999</v>
      </c>
      <c r="AV527" s="260">
        <f ca="1">Calc!F25</f>
        <v>228027.65849999999</v>
      </c>
      <c r="AX527" s="86" t="str">
        <f t="shared" ca="1" si="44"/>
        <v>HPQ</v>
      </c>
      <c r="AY527" s="79">
        <f ca="1">Tab2MarketValue[[#This Row],[M_Val20]]-Tab2MarketValue[[#This Row],[M_Val19]]</f>
        <v>0</v>
      </c>
    </row>
    <row r="528" spans="1:51" hidden="1">
      <c r="A528" s="86" t="str">
        <f t="shared" ca="1" si="45"/>
        <v>IAG</v>
      </c>
      <c r="F528" s="255">
        <v>9.7045999999999992</v>
      </c>
      <c r="G528" s="255">
        <v>9.5370000000000008</v>
      </c>
      <c r="H528" s="255">
        <v>9.5496999999999996</v>
      </c>
      <c r="I528" s="255">
        <v>8.9297000000000004</v>
      </c>
      <c r="J528" s="255">
        <v>8.2730999999999995</v>
      </c>
      <c r="K528" s="255">
        <v>8.2110000000000003</v>
      </c>
      <c r="L528" s="255">
        <v>8.1344999999999992</v>
      </c>
      <c r="M528" s="255">
        <v>8.7847000000000008</v>
      </c>
      <c r="N528" s="255">
        <v>8.6791</v>
      </c>
      <c r="O528" s="255">
        <v>9.1653000000000002</v>
      </c>
      <c r="P528" s="255">
        <v>9.2066999999999997</v>
      </c>
      <c r="Q528" s="255">
        <v>9.2462999999999997</v>
      </c>
      <c r="R528" s="255">
        <v>9.4591999999999992</v>
      </c>
      <c r="S528" s="255">
        <v>9.5533999999999999</v>
      </c>
      <c r="T528" s="255">
        <v>9.4949999999999992</v>
      </c>
      <c r="U528" s="255">
        <v>9.6658000000000008</v>
      </c>
      <c r="V528" s="255">
        <v>9.7607999999999997</v>
      </c>
      <c r="W528" s="255">
        <v>9.5402000000000005</v>
      </c>
      <c r="X528" s="255">
        <v>9.5648</v>
      </c>
      <c r="Y528" s="255">
        <v>9.5740999999999996</v>
      </c>
      <c r="Z528" s="1070">
        <f ca="1">[1]ExtEntry!$K25</f>
        <v>9.5740999999999996</v>
      </c>
      <c r="AB528" s="260">
        <v>552760</v>
      </c>
      <c r="AC528" s="260">
        <v>538330</v>
      </c>
      <c r="AD528" s="260">
        <v>402820</v>
      </c>
      <c r="AE528" s="260">
        <v>387500</v>
      </c>
      <c r="AF528" s="260">
        <v>370389</v>
      </c>
      <c r="AG528" s="260">
        <v>377600</v>
      </c>
      <c r="AH528" s="260">
        <v>382400</v>
      </c>
      <c r="AI528" s="260">
        <v>417230</v>
      </c>
      <c r="AJ528" s="260">
        <v>439120</v>
      </c>
      <c r="AK528" s="260">
        <v>396700</v>
      </c>
      <c r="AL528" s="260">
        <v>396300</v>
      </c>
      <c r="AM528" s="260">
        <v>392437.55</v>
      </c>
      <c r="AN528" s="260">
        <v>388248.89</v>
      </c>
      <c r="AO528" s="260">
        <v>391141.06</v>
      </c>
      <c r="AP528" s="260">
        <v>389844.57</v>
      </c>
      <c r="AQ528" s="260">
        <v>383960.5</v>
      </c>
      <c r="AR528" s="260">
        <v>384658.61</v>
      </c>
      <c r="AS528" s="260">
        <v>386553.48</v>
      </c>
      <c r="AT528" s="260">
        <v>384558.88</v>
      </c>
      <c r="AU528" s="260">
        <v>396526.48</v>
      </c>
      <c r="AV528" s="260">
        <f ca="1">Calc!F26</f>
        <v>396526.48</v>
      </c>
      <c r="AX528" s="86" t="str">
        <f t="shared" ca="1" si="44"/>
        <v>IAG</v>
      </c>
      <c r="AY528" s="79">
        <f ca="1">Tab2MarketValue[[#This Row],[M_Val20]]-Tab2MarketValue[[#This Row],[M_Val19]]</f>
        <v>0</v>
      </c>
    </row>
    <row r="529" spans="1:51" hidden="1">
      <c r="A529" s="86" t="str">
        <f t="shared" ca="1" si="45"/>
        <v>KR</v>
      </c>
      <c r="F529" s="255">
        <v>7.6527000000000003</v>
      </c>
      <c r="G529" s="255">
        <v>7.4599000000000002</v>
      </c>
      <c r="H529" s="255">
        <v>6.6745000000000001</v>
      </c>
      <c r="I529" s="255">
        <v>7.1302000000000003</v>
      </c>
      <c r="J529" s="255">
        <v>6.6725000000000003</v>
      </c>
      <c r="K529" s="255">
        <v>6.8258000000000001</v>
      </c>
      <c r="L529" s="255">
        <v>6.8761999999999999</v>
      </c>
      <c r="M529" s="255">
        <v>6.8258000000000001</v>
      </c>
      <c r="N529" s="255">
        <v>7.1914999999999996</v>
      </c>
      <c r="O529" s="255">
        <v>7.1914999999999996</v>
      </c>
      <c r="P529" s="255">
        <v>7.1393000000000004</v>
      </c>
      <c r="Q529" s="255">
        <v>7.1032000000000002</v>
      </c>
      <c r="R529" s="255">
        <v>7.0132000000000003</v>
      </c>
      <c r="S529" s="255">
        <v>7.0654000000000003</v>
      </c>
      <c r="T529" s="255">
        <v>7.0456000000000003</v>
      </c>
      <c r="U529" s="255">
        <v>6.9897</v>
      </c>
      <c r="V529" s="255">
        <v>6.9645000000000001</v>
      </c>
      <c r="W529" s="255">
        <v>6.9861000000000004</v>
      </c>
      <c r="X529" s="255">
        <v>6.9591000000000003</v>
      </c>
      <c r="Y529" s="255">
        <v>7.1555</v>
      </c>
      <c r="Z529" s="1070">
        <f ca="1">[1]ExtEntry!$K26</f>
        <v>7.1555</v>
      </c>
      <c r="AB529" s="263">
        <v>442050</v>
      </c>
      <c r="AC529" s="263">
        <v>443800</v>
      </c>
      <c r="AD529" s="263">
        <v>389430</v>
      </c>
      <c r="AE529" s="263">
        <v>400290</v>
      </c>
      <c r="AF529" s="263">
        <v>404430</v>
      </c>
      <c r="AG529" s="263">
        <v>405300</v>
      </c>
      <c r="AH529" s="263">
        <v>396660</v>
      </c>
      <c r="AI529" s="263">
        <v>398160</v>
      </c>
      <c r="AJ529" s="263">
        <v>404160</v>
      </c>
      <c r="AK529" s="263">
        <v>335150</v>
      </c>
      <c r="AL529" s="263">
        <v>336400</v>
      </c>
      <c r="AM529" s="263">
        <v>338558.41749999998</v>
      </c>
      <c r="AN529" s="263">
        <v>334220.16249999998</v>
      </c>
      <c r="AO529" s="263">
        <v>333197.92999999993</v>
      </c>
      <c r="AP529" s="263">
        <v>330206.02999999997</v>
      </c>
      <c r="AQ529" s="263">
        <v>437365.91499999998</v>
      </c>
      <c r="AR529" s="263">
        <v>437784.78099999996</v>
      </c>
      <c r="AS529" s="263">
        <v>439160.0577</v>
      </c>
      <c r="AT529" s="263">
        <v>427522.56400000001</v>
      </c>
      <c r="AU529" s="263">
        <v>434329.13649999996</v>
      </c>
      <c r="AV529" s="260">
        <f ca="1">Calc!F27</f>
        <v>434329.13649999996</v>
      </c>
      <c r="AX529" s="86" t="str">
        <f t="shared" ca="1" si="44"/>
        <v>KR</v>
      </c>
      <c r="AY529" s="79">
        <f ca="1">Tab2MarketValue[[#This Row],[M_Val20]]-Tab2MarketValue[[#This Row],[M_Val19]]</f>
        <v>0</v>
      </c>
    </row>
    <row r="530" spans="1:51" hidden="1">
      <c r="A530" s="86" t="str">
        <f t="shared" ca="1" si="45"/>
        <v>LNSR</v>
      </c>
      <c r="F530" s="255">
        <v>15.998699999999999</v>
      </c>
      <c r="G530" s="255">
        <v>16.062000000000001</v>
      </c>
      <c r="H530" s="255">
        <v>16.443300000000001</v>
      </c>
      <c r="I530" s="255">
        <v>16.901900000000001</v>
      </c>
      <c r="J530" s="255">
        <v>17.0702</v>
      </c>
      <c r="K530" s="255">
        <v>17.113399999999999</v>
      </c>
      <c r="L530" s="255">
        <v>16.7486</v>
      </c>
      <c r="M530" s="255">
        <v>16.811900000000001</v>
      </c>
      <c r="N530" s="255">
        <v>17.065300000000001</v>
      </c>
      <c r="O530" s="255">
        <v>16.758600000000001</v>
      </c>
      <c r="P530" s="255">
        <v>17.045000000000002</v>
      </c>
      <c r="Q530" s="255">
        <v>17.200800000000001</v>
      </c>
      <c r="R530" s="255">
        <v>16.980399999999999</v>
      </c>
      <c r="S530" s="255">
        <v>16.9285</v>
      </c>
      <c r="T530" s="255">
        <v>16.776399999999999</v>
      </c>
      <c r="U530" s="255">
        <v>15.872</v>
      </c>
      <c r="V530" s="255">
        <v>58</v>
      </c>
      <c r="W530" s="255">
        <v>57.787100000000002</v>
      </c>
      <c r="X530" s="255">
        <v>56.255699999999997</v>
      </c>
      <c r="Y530" s="255">
        <v>57.151400000000002</v>
      </c>
      <c r="Z530" s="1070">
        <f ca="1">[1]ExtEntry!$K27</f>
        <v>57.151400000000002</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108.55000000000001</v>
      </c>
      <c r="AC531" s="263">
        <v>108.2</v>
      </c>
      <c r="AD531" s="263">
        <v>104.85</v>
      </c>
      <c r="AE531" s="263">
        <v>79.95</v>
      </c>
      <c r="AF531" s="263">
        <v>76.2</v>
      </c>
      <c r="AG531" s="263">
        <v>75.149999999999991</v>
      </c>
      <c r="AH531" s="263">
        <v>75.555999999999997</v>
      </c>
      <c r="AI531" s="263">
        <v>77.150000000000006</v>
      </c>
      <c r="AJ531" s="263">
        <v>81.199999999999989</v>
      </c>
      <c r="AK531" s="263">
        <v>80.95</v>
      </c>
      <c r="AL531" s="263">
        <v>81.050000000000011</v>
      </c>
      <c r="AM531" s="263">
        <v>81.828464999999994</v>
      </c>
      <c r="AN531" s="263">
        <v>91.103354999999993</v>
      </c>
      <c r="AO531" s="263">
        <v>91.103354999999993</v>
      </c>
      <c r="AP531" s="263">
        <v>95.391744999999986</v>
      </c>
      <c r="AQ531" s="263">
        <v>90.057187299999981</v>
      </c>
      <c r="AR531" s="263">
        <v>82.376979999999989</v>
      </c>
      <c r="AS531" s="263">
        <v>83.624602299999992</v>
      </c>
      <c r="AT531" s="263">
        <v>86.715234999999993</v>
      </c>
      <c r="AU531" s="263">
        <v>86.266449999999992</v>
      </c>
      <c r="AV531" s="260">
        <f ca="1">Calc!F29</f>
        <v>86.266449999999992</v>
      </c>
      <c r="AX531" s="86" t="str">
        <f t="shared" ca="1" si="44"/>
        <v>LUMN</v>
      </c>
      <c r="AY531" s="79">
        <f ca="1">Tab2MarketValue[[#This Row],[M_Val20]]-Tab2MarketValue[[#This Row],[M_Val19]]</f>
        <v>0</v>
      </c>
    </row>
    <row r="532" spans="1:51" hidden="1">
      <c r="A532" s="86" t="str">
        <f t="shared" ca="1" si="45"/>
        <v>MRNA</v>
      </c>
      <c r="F532" s="255">
        <v>0</v>
      </c>
      <c r="G532" s="255">
        <v>99</v>
      </c>
      <c r="H532" s="255">
        <v>0</v>
      </c>
      <c r="I532" s="255">
        <v>99</v>
      </c>
      <c r="J532" s="255">
        <v>99</v>
      </c>
      <c r="K532" s="255">
        <v>0</v>
      </c>
      <c r="L532" s="255">
        <v>0</v>
      </c>
      <c r="M532" s="255">
        <v>0</v>
      </c>
      <c r="N532" s="255">
        <v>99</v>
      </c>
      <c r="O532" s="255">
        <v>99</v>
      </c>
      <c r="P532" s="255">
        <v>0</v>
      </c>
      <c r="Q532" s="255">
        <v>99</v>
      </c>
      <c r="R532" s="255">
        <v>0</v>
      </c>
      <c r="S532" s="255">
        <v>0</v>
      </c>
      <c r="T532" s="255">
        <v>99</v>
      </c>
      <c r="U532" s="255">
        <v>0</v>
      </c>
      <c r="V532" s="255">
        <v>99</v>
      </c>
      <c r="W532" s="255">
        <v>0</v>
      </c>
      <c r="X532" s="255">
        <v>0</v>
      </c>
      <c r="Y532" s="255">
        <v>0</v>
      </c>
      <c r="Z532" s="1070">
        <f ca="1">[1]ExtEntry!$K29</f>
        <v>0</v>
      </c>
      <c r="AB532" s="260">
        <v>282720</v>
      </c>
      <c r="AC532" s="260">
        <v>289260</v>
      </c>
      <c r="AD532" s="260">
        <v>294300</v>
      </c>
      <c r="AE532" s="260">
        <v>297240</v>
      </c>
      <c r="AF532" s="260">
        <v>299040</v>
      </c>
      <c r="AG532" s="260">
        <v>291360</v>
      </c>
      <c r="AH532" s="260">
        <v>273480</v>
      </c>
      <c r="AI532" s="260">
        <v>281940</v>
      </c>
      <c r="AJ532" s="260">
        <v>299100</v>
      </c>
      <c r="AK532" s="260">
        <v>300120</v>
      </c>
      <c r="AL532" s="260">
        <v>311760</v>
      </c>
      <c r="AM532" s="260">
        <v>292368.46799999999</v>
      </c>
      <c r="AN532" s="260">
        <v>288060.13199999998</v>
      </c>
      <c r="AO532" s="260">
        <v>293865.61476000003</v>
      </c>
      <c r="AP532" s="260">
        <v>301236.4596</v>
      </c>
      <c r="AQ532" s="260">
        <v>308704.24199999997</v>
      </c>
      <c r="AR532" s="260">
        <v>331502.51999999996</v>
      </c>
      <c r="AS532" s="260">
        <v>339078.01079999999</v>
      </c>
      <c r="AT532" s="260">
        <v>347419.42800000001</v>
      </c>
      <c r="AU532" s="260">
        <v>354599.98800000001</v>
      </c>
      <c r="AV532" s="260">
        <f ca="1">Calc!F30</f>
        <v>354599.98800000001</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4970168</v>
      </c>
      <c r="AC533" s="263">
        <v>4872070</v>
      </c>
      <c r="AD533" s="263">
        <v>4876774</v>
      </c>
      <c r="AE533" s="263">
        <v>4999764</v>
      </c>
      <c r="AF533" s="263">
        <v>4839142</v>
      </c>
      <c r="AG533" s="263">
        <v>4768582</v>
      </c>
      <c r="AH533" s="263">
        <v>4699182.32</v>
      </c>
      <c r="AI533" s="263">
        <v>4651864</v>
      </c>
      <c r="AJ533" s="263">
        <v>4764956</v>
      </c>
      <c r="AK533" s="263">
        <v>4757900</v>
      </c>
      <c r="AL533" s="263">
        <v>4820816</v>
      </c>
      <c r="AM533" s="263">
        <v>4777697.2935999995</v>
      </c>
      <c r="AN533" s="263">
        <v>4786786.6858000001</v>
      </c>
      <c r="AO533" s="263">
        <v>4726630.5471000001</v>
      </c>
      <c r="AP533" s="263">
        <v>4764401.29</v>
      </c>
      <c r="AQ533" s="263">
        <v>4771332.5249999994</v>
      </c>
      <c r="AR533" s="263">
        <v>4818554.68</v>
      </c>
      <c r="AS533" s="263">
        <v>4896129.6605000002</v>
      </c>
      <c r="AT533" s="263">
        <v>4770325.2519999994</v>
      </c>
      <c r="AU533" s="263">
        <v>4821646.3099999996</v>
      </c>
      <c r="AV533" s="260">
        <f ca="1">Calc!F31</f>
        <v>4821646.3099999996</v>
      </c>
      <c r="AX533" s="86" t="str">
        <f t="shared" ca="1" si="44"/>
        <v>MSFT</v>
      </c>
      <c r="AY533" s="79">
        <f ca="1">Tab2MarketValue[[#This Row],[M_Val20]]-Tab2MarketValue[[#This Row],[M_Val19]]</f>
        <v>0</v>
      </c>
    </row>
    <row r="534" spans="1:51" hidden="1">
      <c r="A534" s="86" t="str">
        <f t="shared" ca="1" si="45"/>
        <v>NEE</v>
      </c>
      <c r="F534" s="255">
        <v>36.082900000000002</v>
      </c>
      <c r="G534" s="255">
        <v>35.370699999999999</v>
      </c>
      <c r="H534" s="255">
        <v>35.404899999999998</v>
      </c>
      <c r="I534" s="255">
        <v>36.297800000000002</v>
      </c>
      <c r="J534" s="255">
        <v>35.131700000000002</v>
      </c>
      <c r="K534" s="255">
        <v>34.619399999999999</v>
      </c>
      <c r="L534" s="255">
        <v>34.115600000000001</v>
      </c>
      <c r="M534" s="255">
        <v>33.772100000000002</v>
      </c>
      <c r="N534" s="255">
        <v>34.5931</v>
      </c>
      <c r="O534" s="255">
        <v>33.936500000000002</v>
      </c>
      <c r="P534" s="255">
        <v>34.998600000000003</v>
      </c>
      <c r="Q534" s="255">
        <v>34.779499999999999</v>
      </c>
      <c r="R534" s="255">
        <v>34.845700000000001</v>
      </c>
      <c r="S534" s="255">
        <v>34.407800000000002</v>
      </c>
      <c r="T534" s="255">
        <v>33.989100000000001</v>
      </c>
      <c r="U534" s="255">
        <v>34.038499999999999</v>
      </c>
      <c r="V534" s="255">
        <v>34.2104</v>
      </c>
      <c r="W534" s="255">
        <v>34.928800000000003</v>
      </c>
      <c r="X534" s="255">
        <v>34.031300000000002</v>
      </c>
      <c r="Y534" s="255">
        <v>34.397500000000001</v>
      </c>
      <c r="Z534" s="1070">
        <f ca="1">[1]ExtEntry!$K31</f>
        <v>34.397500000000001</v>
      </c>
      <c r="AB534" s="260">
        <v>82.14</v>
      </c>
      <c r="AC534" s="260">
        <v>82.39</v>
      </c>
      <c r="AD534" s="260">
        <v>83.71</v>
      </c>
      <c r="AE534" s="260">
        <v>83.85</v>
      </c>
      <c r="AF534" s="260">
        <v>84.7</v>
      </c>
      <c r="AG534" s="260">
        <v>84.71</v>
      </c>
      <c r="AH534" s="260">
        <v>84.68</v>
      </c>
      <c r="AI534" s="260">
        <v>82.98</v>
      </c>
      <c r="AJ534" s="260">
        <v>85.415000000000006</v>
      </c>
      <c r="AK534" s="260">
        <v>85.54</v>
      </c>
      <c r="AL534" s="260">
        <v>86.25</v>
      </c>
      <c r="AM534" s="260">
        <v>84.790445999999989</v>
      </c>
      <c r="AN534" s="260">
        <v>84.382550300000005</v>
      </c>
      <c r="AO534" s="260">
        <v>85.697989000000007</v>
      </c>
      <c r="AP534" s="260">
        <v>84.740580999999992</v>
      </c>
      <c r="AQ534" s="260">
        <v>249981.74698250002</v>
      </c>
      <c r="AR534" s="260">
        <v>248724.7301165</v>
      </c>
      <c r="AS534" s="260">
        <v>240419.44010899999</v>
      </c>
      <c r="AT534" s="260">
        <v>243262.69254399999</v>
      </c>
      <c r="AU534" s="260">
        <v>243083.11870599998</v>
      </c>
      <c r="AV534" s="260">
        <f ca="1">Calc!F32</f>
        <v>243083.11870599998</v>
      </c>
      <c r="AX534" s="86" t="str">
        <f t="shared" ca="1" si="44"/>
        <v>NEE</v>
      </c>
      <c r="AY534" s="79">
        <f ca="1">Tab2MarketValue[[#This Row],[M_Val20]]-Tab2MarketValue[[#This Row],[M_Val19]]</f>
        <v>0</v>
      </c>
    </row>
    <row r="535" spans="1:51" hidden="1">
      <c r="A535" s="86" t="str">
        <f t="shared" ca="1" si="45"/>
        <v>NEM</v>
      </c>
      <c r="F535" s="255">
        <v>26.087800000000001</v>
      </c>
      <c r="G535" s="255">
        <v>26.167200000000001</v>
      </c>
      <c r="H535" s="255">
        <v>26.586400000000001</v>
      </c>
      <c r="I535" s="255">
        <v>26.6309</v>
      </c>
      <c r="J535" s="255">
        <v>26.881399999999999</v>
      </c>
      <c r="K535" s="255">
        <v>26.904</v>
      </c>
      <c r="L535" s="255">
        <v>26.894500000000001</v>
      </c>
      <c r="M535" s="255">
        <v>26.354600000000001</v>
      </c>
      <c r="N535" s="255">
        <v>27.1279</v>
      </c>
      <c r="O535" s="255">
        <v>26.941800000000001</v>
      </c>
      <c r="P535" s="255">
        <v>27.3931</v>
      </c>
      <c r="Q535" s="255">
        <v>27.002500000000001</v>
      </c>
      <c r="R535" s="255">
        <v>26.872599999999998</v>
      </c>
      <c r="S535" s="255">
        <v>27.291499999999999</v>
      </c>
      <c r="T535" s="255">
        <v>26.986599999999999</v>
      </c>
      <c r="U535" s="255">
        <v>26.527699999999999</v>
      </c>
      <c r="V535" s="255">
        <v>26.484500000000001</v>
      </c>
      <c r="W535" s="255">
        <v>25.512899999999998</v>
      </c>
      <c r="X535" s="255">
        <v>25.814599999999999</v>
      </c>
      <c r="Y535" s="255">
        <v>25.7956</v>
      </c>
      <c r="Z535" s="1070">
        <f ca="1">[1]ExtEntry!$K32</f>
        <v>25.7956</v>
      </c>
      <c r="AB535" s="263">
        <v>1632400</v>
      </c>
      <c r="AC535" s="263">
        <v>1652296</v>
      </c>
      <c r="AD535" s="263">
        <v>1667000</v>
      </c>
      <c r="AE535" s="263">
        <v>1756000</v>
      </c>
      <c r="AF535" s="263">
        <v>1732200</v>
      </c>
      <c r="AG535" s="263">
        <v>1751900</v>
      </c>
      <c r="AH535" s="263">
        <v>1657400</v>
      </c>
      <c r="AI535" s="263">
        <v>1672400</v>
      </c>
      <c r="AJ535" s="263">
        <v>1809000</v>
      </c>
      <c r="AK535" s="263">
        <v>1810400</v>
      </c>
      <c r="AL535" s="263">
        <v>1814600</v>
      </c>
      <c r="AM535" s="263">
        <v>1835032</v>
      </c>
      <c r="AN535" s="263">
        <v>1804215.43</v>
      </c>
      <c r="AO535" s="263">
        <v>1818676.2800000003</v>
      </c>
      <c r="AP535" s="263">
        <v>1788557.8199999998</v>
      </c>
      <c r="AQ535" s="263">
        <v>1625589.0270000002</v>
      </c>
      <c r="AR535" s="263">
        <v>1611317.6639999999</v>
      </c>
      <c r="AS535" s="263">
        <v>1663017.696</v>
      </c>
      <c r="AT535" s="263">
        <v>1694881.4309999999</v>
      </c>
      <c r="AU535" s="263">
        <v>1685746.1629999999</v>
      </c>
      <c r="AV535" s="260">
        <f ca="1">Calc!F33</f>
        <v>1685746.1629999999</v>
      </c>
      <c r="AX535" s="86" t="str">
        <f t="shared" ca="1" si="44"/>
        <v>NEM</v>
      </c>
      <c r="AY535" s="79">
        <f ca="1">Tab2MarketValue[[#This Row],[M_Val20]]-Tab2MarketValue[[#This Row],[M_Val19]]</f>
        <v>0</v>
      </c>
    </row>
    <row r="536" spans="1:51" hidden="1">
      <c r="A536" s="86" t="str">
        <f t="shared" ca="1" si="45"/>
        <v>NFLX</v>
      </c>
      <c r="F536" s="255">
        <v>12.6838</v>
      </c>
      <c r="G536" s="255">
        <v>12.8384</v>
      </c>
      <c r="H536" s="255">
        <v>12.9526</v>
      </c>
      <c r="I536" s="255">
        <v>13.6441</v>
      </c>
      <c r="J536" s="255">
        <v>13.457599999999999</v>
      </c>
      <c r="K536" s="255">
        <v>13.612299999999999</v>
      </c>
      <c r="L536" s="255">
        <v>12.878</v>
      </c>
      <c r="M536" s="255">
        <v>12.9946</v>
      </c>
      <c r="N536" s="255">
        <v>14.055899999999999</v>
      </c>
      <c r="O536" s="255">
        <v>13.3674</v>
      </c>
      <c r="P536" s="255">
        <v>14.099500000000001</v>
      </c>
      <c r="Q536" s="255">
        <v>14.296799999999999</v>
      </c>
      <c r="R536" s="255">
        <v>14.056699999999999</v>
      </c>
      <c r="S536" s="255">
        <v>14.1694</v>
      </c>
      <c r="T536" s="255">
        <v>13.934699999999999</v>
      </c>
      <c r="U536" s="255">
        <v>14.0723</v>
      </c>
      <c r="V536" s="255">
        <v>14.097799999999999</v>
      </c>
      <c r="W536" s="255">
        <v>14.3963</v>
      </c>
      <c r="X536" s="255">
        <v>14.6721</v>
      </c>
      <c r="Y536" s="255">
        <v>15.4514</v>
      </c>
      <c r="Z536" s="1070">
        <f ca="1">[1]ExtEntry!$K33</f>
        <v>15.4514</v>
      </c>
      <c r="AB536" s="260">
        <v>3295380</v>
      </c>
      <c r="AC536" s="260">
        <v>3282630</v>
      </c>
      <c r="AD536" s="260">
        <v>3297750</v>
      </c>
      <c r="AE536" s="260">
        <v>3336510</v>
      </c>
      <c r="AF536" s="260">
        <v>3422700</v>
      </c>
      <c r="AG536" s="260">
        <v>3293400</v>
      </c>
      <c r="AH536" s="260">
        <v>3209740.56</v>
      </c>
      <c r="AI536" s="260">
        <v>3174322</v>
      </c>
      <c r="AJ536" s="260">
        <v>3395840</v>
      </c>
      <c r="AK536" s="260">
        <v>3396480</v>
      </c>
      <c r="AL536" s="260">
        <v>3442240</v>
      </c>
      <c r="AM536" s="260">
        <v>3472997.52</v>
      </c>
      <c r="AN536" s="260">
        <v>3490294.6911999998</v>
      </c>
      <c r="AO536" s="260">
        <v>3272739.6799999997</v>
      </c>
      <c r="AP536" s="260">
        <v>3317737.8559999997</v>
      </c>
      <c r="AQ536" s="260">
        <v>3265399.5519999997</v>
      </c>
      <c r="AR536" s="260">
        <v>3298988.6159999999</v>
      </c>
      <c r="AS536" s="260">
        <v>3351975.165</v>
      </c>
      <c r="AT536" s="260">
        <v>3328548.588</v>
      </c>
      <c r="AU536" s="260">
        <v>3378094.452</v>
      </c>
      <c r="AV536" s="260">
        <f ca="1">Calc!F34</f>
        <v>3378094.452</v>
      </c>
      <c r="AX536" s="86" t="str">
        <f t="shared" ca="1" si="44"/>
        <v>NFLX</v>
      </c>
      <c r="AY536" s="79">
        <f ca="1">Tab2MarketValue[[#This Row],[M_Val20]]-Tab2MarketValue[[#This Row],[M_Val19]]</f>
        <v>0</v>
      </c>
    </row>
    <row r="537" spans="1:51" hidden="1">
      <c r="A537" s="86" t="str">
        <f t="shared" ca="1" si="45"/>
        <v>NOTE</v>
      </c>
      <c r="F537" s="255">
        <v>45.658299999999997</v>
      </c>
      <c r="G537" s="255">
        <v>45.710500000000003</v>
      </c>
      <c r="H537" s="255">
        <v>45.921100000000003</v>
      </c>
      <c r="I537" s="255">
        <v>48.217799999999997</v>
      </c>
      <c r="J537" s="255">
        <v>47.661000000000001</v>
      </c>
      <c r="K537" s="255">
        <v>45.860100000000003</v>
      </c>
      <c r="L537" s="255">
        <v>44.3992</v>
      </c>
      <c r="M537" s="255">
        <v>43.909300000000002</v>
      </c>
      <c r="N537" s="255">
        <v>44.331200000000003</v>
      </c>
      <c r="O537" s="255">
        <v>43.613</v>
      </c>
      <c r="P537" s="255">
        <v>44.936900000000001</v>
      </c>
      <c r="Q537" s="255">
        <v>45.461199999999998</v>
      </c>
      <c r="R537" s="255">
        <v>45.687600000000003</v>
      </c>
      <c r="S537" s="255">
        <v>42.839799999999997</v>
      </c>
      <c r="T537" s="255">
        <v>43.428899999999999</v>
      </c>
      <c r="U537" s="255">
        <v>42.7438</v>
      </c>
      <c r="V537" s="255">
        <v>43.120100000000001</v>
      </c>
      <c r="W537" s="255">
        <v>40.116100000000003</v>
      </c>
      <c r="X537" s="255">
        <v>38.729199999999999</v>
      </c>
      <c r="Y537" s="255">
        <v>39.305700000000002</v>
      </c>
      <c r="Z537" s="1070">
        <f ca="1">[1]ExtEntry!$K34</f>
        <v>39.305700000000002</v>
      </c>
      <c r="AB537" s="263">
        <v>88267.77</v>
      </c>
      <c r="AC537" s="263">
        <v>79078.321799999991</v>
      </c>
      <c r="AD537" s="263">
        <v>81334.349999999991</v>
      </c>
      <c r="AE537" s="263">
        <v>76200</v>
      </c>
      <c r="AF537" s="263">
        <v>67200</v>
      </c>
      <c r="AG537" s="263">
        <v>63900</v>
      </c>
      <c r="AH537" s="263">
        <v>61859.999999999993</v>
      </c>
      <c r="AI537" s="263">
        <v>61950</v>
      </c>
      <c r="AJ537" s="263">
        <v>67224</v>
      </c>
      <c r="AK537" s="263">
        <v>68700</v>
      </c>
      <c r="AL537" s="263">
        <v>69600</v>
      </c>
      <c r="AM537" s="263">
        <v>66120.989999999991</v>
      </c>
      <c r="AN537" s="263">
        <v>60286.785000000003</v>
      </c>
      <c r="AO537" s="263">
        <v>57444.479999999996</v>
      </c>
      <c r="AP537" s="263">
        <v>60137.189999999988</v>
      </c>
      <c r="AQ537" s="263">
        <v>59538.81</v>
      </c>
      <c r="AR537" s="263">
        <v>59239.619999999995</v>
      </c>
      <c r="AS537" s="263">
        <v>92996.365035499985</v>
      </c>
      <c r="AT537" s="263">
        <v>92248.404995000004</v>
      </c>
      <c r="AU537" s="263">
        <v>92250.25</v>
      </c>
      <c r="AV537" s="260">
        <f ca="1">Calc!F35</f>
        <v>92250.25</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99</v>
      </c>
      <c r="I538" s="255">
        <v>99</v>
      </c>
      <c r="J538" s="255">
        <v>99</v>
      </c>
      <c r="K538" s="255">
        <v>0</v>
      </c>
      <c r="L538" s="255">
        <v>99</v>
      </c>
      <c r="M538" s="255">
        <v>0</v>
      </c>
      <c r="N538" s="255">
        <v>99</v>
      </c>
      <c r="O538" s="255">
        <v>99</v>
      </c>
      <c r="P538" s="255">
        <v>99</v>
      </c>
      <c r="Q538" s="255">
        <v>99</v>
      </c>
      <c r="R538" s="255">
        <v>99</v>
      </c>
      <c r="S538" s="255">
        <v>99</v>
      </c>
      <c r="T538" s="255">
        <v>99</v>
      </c>
      <c r="U538" s="255">
        <v>0</v>
      </c>
      <c r="V538" s="255">
        <v>99</v>
      </c>
      <c r="W538" s="255">
        <v>0</v>
      </c>
      <c r="X538" s="255">
        <v>99</v>
      </c>
      <c r="Y538" s="255">
        <v>0</v>
      </c>
      <c r="Z538" s="1070">
        <f ca="1">[1]ExtEntry!$K35</f>
        <v>0</v>
      </c>
      <c r="AB538" s="260">
        <v>135080</v>
      </c>
      <c r="AC538" s="260">
        <v>134980</v>
      </c>
      <c r="AD538" s="260">
        <v>138879.6</v>
      </c>
      <c r="AE538" s="260">
        <v>77020</v>
      </c>
      <c r="AF538" s="260">
        <v>76140</v>
      </c>
      <c r="AG538" s="260">
        <v>76980</v>
      </c>
      <c r="AH538" s="260">
        <v>73260</v>
      </c>
      <c r="AI538" s="260">
        <v>73880</v>
      </c>
      <c r="AJ538" s="260">
        <v>84530</v>
      </c>
      <c r="AK538" s="260">
        <v>85120</v>
      </c>
      <c r="AL538" s="260">
        <v>45660</v>
      </c>
      <c r="AM538" s="260">
        <v>46080.246500000001</v>
      </c>
      <c r="AN538" s="260">
        <v>44708.958999999995</v>
      </c>
      <c r="AO538" s="260">
        <v>44943.324499999995</v>
      </c>
      <c r="AP538" s="260">
        <v>44310.038999999997</v>
      </c>
      <c r="AQ538" s="260">
        <v>44183.78082</v>
      </c>
      <c r="AR538" s="260">
        <v>44270.146999999997</v>
      </c>
      <c r="AS538" s="260">
        <v>48015.706609999994</v>
      </c>
      <c r="AT538" s="260">
        <v>48518.644999999997</v>
      </c>
      <c r="AU538" s="260">
        <v>50204.081999999995</v>
      </c>
      <c r="AV538" s="260">
        <f ca="1">Calc!F36</f>
        <v>50204.081999999995</v>
      </c>
      <c r="AX538" s="86" t="str">
        <f t="shared" ca="1" si="46"/>
        <v>PAAS</v>
      </c>
      <c r="AY538" s="79">
        <f ca="1">Tab2MarketValue[[#This Row],[M_Val20]]-Tab2MarketValue[[#This Row],[M_Val19]]</f>
        <v>0</v>
      </c>
    </row>
    <row r="539" spans="1:51" hidden="1">
      <c r="A539" s="86" t="str">
        <f t="shared" ca="1" si="45"/>
        <v>PROF</v>
      </c>
      <c r="F539" s="255">
        <v>23.4465</v>
      </c>
      <c r="G539" s="255">
        <v>23.429099999999998</v>
      </c>
      <c r="H539" s="255">
        <v>24.106000000000002</v>
      </c>
      <c r="I539" s="255">
        <v>22.271699999999999</v>
      </c>
      <c r="J539" s="255">
        <v>22.0169</v>
      </c>
      <c r="K539" s="255">
        <v>22.260100000000001</v>
      </c>
      <c r="L539" s="255">
        <v>21.1844</v>
      </c>
      <c r="M539" s="255">
        <v>21.363700000000001</v>
      </c>
      <c r="N539" s="255">
        <v>24.4434</v>
      </c>
      <c r="O539" s="255">
        <v>22.838100000000001</v>
      </c>
      <c r="P539" s="255">
        <v>26.4068</v>
      </c>
      <c r="Q539" s="255">
        <v>26.722000000000001</v>
      </c>
      <c r="R539" s="255">
        <v>25.9268</v>
      </c>
      <c r="S539" s="255">
        <v>26.0627</v>
      </c>
      <c r="T539" s="255">
        <v>25.695399999999999</v>
      </c>
      <c r="U539" s="255">
        <v>25.622199999999999</v>
      </c>
      <c r="V539" s="255">
        <v>25.562000000000001</v>
      </c>
      <c r="W539" s="255">
        <v>27.8444</v>
      </c>
      <c r="X539" s="255">
        <v>27.996700000000001</v>
      </c>
      <c r="Y539" s="255">
        <v>29.113399999999999</v>
      </c>
      <c r="Z539" s="1070">
        <f ca="1">[1]ExtEntry!$K36</f>
        <v>29.113399999999999</v>
      </c>
      <c r="AB539" s="263">
        <v>23440</v>
      </c>
      <c r="AC539" s="263">
        <v>23440</v>
      </c>
      <c r="AD539" s="263">
        <v>23700</v>
      </c>
      <c r="AE539" s="263">
        <v>27400</v>
      </c>
      <c r="AF539" s="263">
        <v>24920</v>
      </c>
      <c r="AG539" s="263">
        <v>23960</v>
      </c>
      <c r="AH539" s="263">
        <v>23560</v>
      </c>
      <c r="AI539" s="263">
        <v>23600</v>
      </c>
      <c r="AJ539" s="263">
        <v>25860</v>
      </c>
      <c r="AK539" s="263">
        <v>25840</v>
      </c>
      <c r="AL539" s="263">
        <v>26400</v>
      </c>
      <c r="AM539" s="263">
        <v>25548.831399999999</v>
      </c>
      <c r="AN539" s="263">
        <v>24733.040000000001</v>
      </c>
      <c r="AO539" s="263">
        <v>25750.286</v>
      </c>
      <c r="AP539" s="263">
        <v>27525.48</v>
      </c>
      <c r="AQ539" s="263">
        <v>27446.892759999999</v>
      </c>
      <c r="AR539" s="263">
        <v>26328.719999999998</v>
      </c>
      <c r="AS539" s="263">
        <v>27964.291999999998</v>
      </c>
      <c r="AT539" s="263">
        <v>28881.807999999997</v>
      </c>
      <c r="AU539" s="263">
        <v>29639.755999999998</v>
      </c>
      <c r="AV539" s="260">
        <f ca="1">Calc!F37</f>
        <v>29639.755999999998</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271575</v>
      </c>
      <c r="AC540" s="260">
        <v>240525</v>
      </c>
      <c r="AD540" s="260">
        <v>241645.50000000003</v>
      </c>
      <c r="AE540" s="260">
        <v>209000.00000000003</v>
      </c>
      <c r="AF540" s="260">
        <v>203775</v>
      </c>
      <c r="AG540" s="260">
        <v>198759</v>
      </c>
      <c r="AH540" s="260">
        <v>200687.49999999997</v>
      </c>
      <c r="AI540" s="260">
        <v>203300</v>
      </c>
      <c r="AJ540" s="260">
        <v>226337.49999999997</v>
      </c>
      <c r="AK540" s="260">
        <v>229900</v>
      </c>
      <c r="AL540" s="260">
        <v>235125</v>
      </c>
      <c r="AM540" s="260">
        <v>224778.95374999999</v>
      </c>
      <c r="AN540" s="260">
        <v>220515.49625</v>
      </c>
      <c r="AO540" s="260">
        <v>254599.470375</v>
      </c>
      <c r="AP540" s="260">
        <v>284704.21749999997</v>
      </c>
      <c r="AQ540" s="260">
        <v>307205.79875000002</v>
      </c>
      <c r="AR540" s="260">
        <v>286599.08749999997</v>
      </c>
      <c r="AS540" s="260">
        <v>324259.62874999997</v>
      </c>
      <c r="AT540" s="260">
        <v>338708.01250000001</v>
      </c>
      <c r="AU540" s="260">
        <v>342024.03499999997</v>
      </c>
      <c r="AV540" s="260">
        <f ca="1">Calc!F38</f>
        <v>342024.03499999997</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7450</v>
      </c>
      <c r="AC541" s="263">
        <v>7297</v>
      </c>
      <c r="AD541" s="263">
        <v>6600</v>
      </c>
      <c r="AE541" s="263">
        <v>7074</v>
      </c>
      <c r="AF541" s="263">
        <v>6399</v>
      </c>
      <c r="AG541" s="263">
        <v>6429</v>
      </c>
      <c r="AH541" s="263">
        <v>6143.9999999999991</v>
      </c>
      <c r="AI541" s="263">
        <v>6700</v>
      </c>
      <c r="AJ541" s="263">
        <v>9952</v>
      </c>
      <c r="AK541" s="263">
        <v>9905</v>
      </c>
      <c r="AL541" s="263">
        <v>8300</v>
      </c>
      <c r="AM541" s="263">
        <v>8297.5360000000001</v>
      </c>
      <c r="AN541" s="263">
        <v>9274.89</v>
      </c>
      <c r="AO541" s="263">
        <v>8703.4370999999992</v>
      </c>
      <c r="AP541" s="263">
        <v>9274.89</v>
      </c>
      <c r="AQ541" s="263">
        <v>9472.3554000000004</v>
      </c>
      <c r="AR541" s="263">
        <v>9949.0648000000001</v>
      </c>
      <c r="AS541" s="263">
        <v>10072.73</v>
      </c>
      <c r="AT541" s="263">
        <v>10172.459999999999</v>
      </c>
      <c r="AU541" s="263">
        <v>9809.4427999999989</v>
      </c>
      <c r="AV541" s="260">
        <f ca="1">Calc!F39</f>
        <v>9809.4427999999989</v>
      </c>
      <c r="AX541" s="86" t="str">
        <f t="shared" ca="1" si="46"/>
        <v>PW</v>
      </c>
      <c r="AY541" s="79">
        <f ca="1">Tab2MarketValue[[#This Row],[M_Val20]]-Tab2MarketValue[[#This Row],[M_Val19]]</f>
        <v>0</v>
      </c>
    </row>
    <row r="542" spans="1:51" hidden="1">
      <c r="A542" s="86" t="str">
        <f t="shared" ca="1" si="45"/>
        <v>RIGL</v>
      </c>
      <c r="F542" s="255">
        <v>99</v>
      </c>
      <c r="G542" s="255">
        <v>0</v>
      </c>
      <c r="H542" s="255">
        <v>99</v>
      </c>
      <c r="I542" s="255">
        <v>99</v>
      </c>
      <c r="J542" s="255">
        <v>99</v>
      </c>
      <c r="K542" s="255">
        <v>99</v>
      </c>
      <c r="L542" s="255">
        <v>0</v>
      </c>
      <c r="M542" s="255">
        <v>0</v>
      </c>
      <c r="N542" s="255">
        <v>99</v>
      </c>
      <c r="O542" s="255">
        <v>99</v>
      </c>
      <c r="P542" s="255">
        <v>99</v>
      </c>
      <c r="Q542" s="255">
        <v>0</v>
      </c>
      <c r="R542" s="255">
        <v>99</v>
      </c>
      <c r="S542" s="255">
        <v>99</v>
      </c>
      <c r="T542" s="255">
        <v>99</v>
      </c>
      <c r="U542" s="255">
        <v>0</v>
      </c>
      <c r="V542" s="255">
        <v>99</v>
      </c>
      <c r="W542" s="255">
        <v>0</v>
      </c>
      <c r="X542" s="255">
        <v>99</v>
      </c>
      <c r="Y542" s="255">
        <v>0</v>
      </c>
      <c r="Z542" s="1070">
        <f ca="1">[1]ExtEntry!$K39</f>
        <v>0</v>
      </c>
      <c r="AB542" s="260">
        <v>37850</v>
      </c>
      <c r="AC542" s="260">
        <v>36325</v>
      </c>
      <c r="AD542" s="260">
        <v>35310</v>
      </c>
      <c r="AE542" s="260">
        <v>41940</v>
      </c>
      <c r="AF542" s="260">
        <v>46220</v>
      </c>
      <c r="AG542" s="260">
        <v>42200</v>
      </c>
      <c r="AH542" s="260">
        <v>44775</v>
      </c>
      <c r="AI542" s="260">
        <v>23404.215</v>
      </c>
      <c r="AJ542" s="260">
        <v>51.24</v>
      </c>
      <c r="AK542" s="260">
        <v>50.96</v>
      </c>
      <c r="AL542" s="260">
        <v>50.49</v>
      </c>
      <c r="AM542" s="260">
        <v>47.720804999999999</v>
      </c>
      <c r="AN542" s="260">
        <v>44.280119999999997</v>
      </c>
      <c r="AO542" s="260">
        <v>45.476880000000001</v>
      </c>
      <c r="AP542" s="260">
        <v>47.082532999999998</v>
      </c>
      <c r="AQ542" s="260">
        <v>47.142371000000004</v>
      </c>
      <c r="AR542" s="260">
        <v>48.787916000000003</v>
      </c>
      <c r="AS542" s="260">
        <v>42.913818999999997</v>
      </c>
      <c r="AT542" s="260">
        <v>41.108705999999998</v>
      </c>
      <c r="AU542" s="260">
        <v>41.936464999999998</v>
      </c>
      <c r="AV542" s="260">
        <f ca="1">Calc!F40</f>
        <v>41.936464999999998</v>
      </c>
      <c r="AX542" s="86" t="str">
        <f t="shared" ca="1" si="46"/>
        <v>RIGL</v>
      </c>
      <c r="AY542" s="79">
        <f ca="1">Tab2MarketValue[[#This Row],[M_Val20]]-Tab2MarketValue[[#This Row],[M_Val19]]</f>
        <v>0</v>
      </c>
    </row>
    <row r="543" spans="1:51" hidden="1">
      <c r="A543" s="86" t="str">
        <f t="shared" ca="1" si="45"/>
        <v>RWE</v>
      </c>
      <c r="F543" s="255">
        <v>4.6014999999999997</v>
      </c>
      <c r="G543" s="255">
        <v>5.8895999999999997</v>
      </c>
      <c r="H543" s="255">
        <v>5.7251000000000003</v>
      </c>
      <c r="I543" s="255">
        <v>6.8000999999999996</v>
      </c>
      <c r="J543" s="255">
        <v>7.4939999999999998</v>
      </c>
      <c r="K543" s="255">
        <v>6.8422000000000001</v>
      </c>
      <c r="L543" s="255">
        <v>7.2596999999999996</v>
      </c>
      <c r="M543" s="255">
        <v>7.5743</v>
      </c>
      <c r="N543" s="255">
        <v>8.3079000000000001</v>
      </c>
      <c r="O543" s="255">
        <v>8.0355000000000008</v>
      </c>
      <c r="P543" s="255">
        <v>8.1862999999999992</v>
      </c>
      <c r="Q543" s="255">
        <v>7.7583000000000002</v>
      </c>
      <c r="R543" s="255">
        <v>7.1989000000000001</v>
      </c>
      <c r="S543" s="255">
        <v>7.3935000000000004</v>
      </c>
      <c r="T543" s="255">
        <v>7.6544999999999996</v>
      </c>
      <c r="U543" s="255">
        <v>7.6642000000000001</v>
      </c>
      <c r="V543" s="255">
        <v>7.9318</v>
      </c>
      <c r="W543" s="255">
        <v>6.9767999999999999</v>
      </c>
      <c r="X543" s="255">
        <v>6.6833</v>
      </c>
      <c r="Y543" s="255">
        <v>6.8178999999999998</v>
      </c>
      <c r="Z543" s="1070">
        <f ca="1">[1]ExtEntry!$K40</f>
        <v>6.8178999999999998</v>
      </c>
      <c r="AB543" s="263">
        <v>2130.5</v>
      </c>
      <c r="AC543" s="263">
        <v>2156</v>
      </c>
      <c r="AD543" s="263">
        <v>2145.5</v>
      </c>
      <c r="AE543" s="263">
        <v>2266.5</v>
      </c>
      <c r="AF543" s="263">
        <v>2214</v>
      </c>
      <c r="AG543" s="263">
        <v>2186.5</v>
      </c>
      <c r="AH543" s="263">
        <v>2246</v>
      </c>
      <c r="AI543" s="263">
        <v>2216.5</v>
      </c>
      <c r="AJ543" s="263">
        <v>2213</v>
      </c>
      <c r="AK543" s="263">
        <v>2176</v>
      </c>
      <c r="AL543" s="263">
        <v>2186</v>
      </c>
      <c r="AM543" s="263">
        <v>2162.1464000000001</v>
      </c>
      <c r="AN543" s="263">
        <v>2159.1545000000001</v>
      </c>
      <c r="AO543" s="263">
        <v>2199.5451499999999</v>
      </c>
      <c r="AP543" s="263">
        <v>2172.1194</v>
      </c>
      <c r="AQ543" s="263">
        <v>2167.1329000000001</v>
      </c>
      <c r="AR543" s="263">
        <v>2141.2030999999997</v>
      </c>
      <c r="AS543" s="263">
        <v>2178.60185</v>
      </c>
      <c r="AT543" s="263">
        <v>2168.6288500000001</v>
      </c>
      <c r="AU543" s="263">
        <v>2158.6558500000001</v>
      </c>
      <c r="AV543" s="260">
        <f ca="1">Calc!F41</f>
        <v>2158.6558500000001</v>
      </c>
      <c r="AX543" s="86" t="str">
        <f t="shared" ca="1" si="46"/>
        <v>RWE</v>
      </c>
      <c r="AY543" s="79">
        <f ca="1">Tab2MarketValue[[#This Row],[M_Val20]]-Tab2MarketValue[[#This Row],[M_Val19]]</f>
        <v>0</v>
      </c>
    </row>
    <row r="544" spans="1:51" hidden="1">
      <c r="A544" s="86" t="str">
        <f t="shared" ca="1" si="45"/>
        <v>SAP</v>
      </c>
      <c r="F544" s="255">
        <v>12.209199999999999</v>
      </c>
      <c r="G544" s="255">
        <v>12.3553</v>
      </c>
      <c r="H544" s="255">
        <v>12.2951</v>
      </c>
      <c r="I544" s="255">
        <v>15.02</v>
      </c>
      <c r="J544" s="255">
        <v>14.283899999999999</v>
      </c>
      <c r="K544" s="255">
        <v>14.1065</v>
      </c>
      <c r="L544" s="255">
        <v>14.4903</v>
      </c>
      <c r="M544" s="255">
        <v>14.3</v>
      </c>
      <c r="N544" s="255">
        <v>14.22</v>
      </c>
      <c r="O544" s="255">
        <v>14.26</v>
      </c>
      <c r="P544" s="255">
        <v>14.103199999999999</v>
      </c>
      <c r="Q544" s="255">
        <v>13.9871</v>
      </c>
      <c r="R544" s="255">
        <v>13.967700000000001</v>
      </c>
      <c r="S544" s="255">
        <v>14.228999999999999</v>
      </c>
      <c r="T544" s="255">
        <v>14.051600000000001</v>
      </c>
      <c r="U544" s="255">
        <v>14.019399999999999</v>
      </c>
      <c r="V544" s="255">
        <v>13.851599999999999</v>
      </c>
      <c r="W544" s="255">
        <v>14.093500000000001</v>
      </c>
      <c r="X544" s="255">
        <v>14.029</v>
      </c>
      <c r="Y544" s="255">
        <v>13.964499999999999</v>
      </c>
      <c r="Z544" s="1070">
        <f ca="1">[1]ExtEntry!$K41</f>
        <v>13.964499999999999</v>
      </c>
      <c r="AB544" s="260">
        <v>866210</v>
      </c>
      <c r="AC544" s="260">
        <v>828210</v>
      </c>
      <c r="AD544" s="260">
        <v>819470</v>
      </c>
      <c r="AE544" s="260">
        <v>802180</v>
      </c>
      <c r="AF544" s="260">
        <v>780330</v>
      </c>
      <c r="AG544" s="260">
        <v>780900</v>
      </c>
      <c r="AH544" s="260">
        <v>785080</v>
      </c>
      <c r="AI544" s="260">
        <v>779000</v>
      </c>
      <c r="AJ544" s="260">
        <v>785460</v>
      </c>
      <c r="AK544" s="260">
        <v>786600</v>
      </c>
      <c r="AL544" s="260">
        <v>792490</v>
      </c>
      <c r="AM544" s="260">
        <v>791676.68599999999</v>
      </c>
      <c r="AN544" s="260">
        <v>787697.45899999992</v>
      </c>
      <c r="AO544" s="260">
        <v>785423.61499999999</v>
      </c>
      <c r="AP544" s="260">
        <v>782581.30999999994</v>
      </c>
      <c r="AQ544" s="260">
        <v>796413.86099999992</v>
      </c>
      <c r="AR544" s="260">
        <v>808162.05499999993</v>
      </c>
      <c r="AS544" s="260">
        <v>795845.4</v>
      </c>
      <c r="AT544" s="260">
        <v>799445.65299999993</v>
      </c>
      <c r="AU544" s="260">
        <v>793192.58199999994</v>
      </c>
      <c r="AV544" s="260">
        <f ca="1">Calc!F42</f>
        <v>793192.58199999994</v>
      </c>
      <c r="AX544" s="86" t="str">
        <f t="shared" ca="1" si="46"/>
        <v>SAP</v>
      </c>
      <c r="AY544" s="79">
        <f ca="1">Tab2MarketValue[[#This Row],[M_Val20]]-Tab2MarketValue[[#This Row],[M_Val19]]</f>
        <v>0</v>
      </c>
    </row>
    <row r="545" spans="1:51" hidden="1">
      <c r="A545" s="86" t="str">
        <f t="shared" ca="1" si="45"/>
        <v>SHECY</v>
      </c>
      <c r="F545" s="255">
        <v>37.5486</v>
      </c>
      <c r="G545" s="255">
        <v>35.901400000000002</v>
      </c>
      <c r="H545" s="255">
        <v>35.522500000000001</v>
      </c>
      <c r="I545" s="255">
        <v>35.926099999999998</v>
      </c>
      <c r="J545" s="255">
        <v>33.825899999999997</v>
      </c>
      <c r="K545" s="255">
        <v>33.8506</v>
      </c>
      <c r="L545" s="255">
        <v>34.031799999999997</v>
      </c>
      <c r="M545" s="255">
        <v>33.7682</v>
      </c>
      <c r="N545" s="255">
        <v>33.743499999999997</v>
      </c>
      <c r="O545" s="255">
        <v>34.0976</v>
      </c>
      <c r="P545" s="255">
        <v>34.353000000000002</v>
      </c>
      <c r="Q545" s="255">
        <v>34.410600000000002</v>
      </c>
      <c r="R545" s="255">
        <v>34.237699999999997</v>
      </c>
      <c r="S545" s="255">
        <v>34.138800000000003</v>
      </c>
      <c r="T545" s="255">
        <v>34.015300000000003</v>
      </c>
      <c r="U545" s="255">
        <v>34.616500000000002</v>
      </c>
      <c r="V545" s="255">
        <v>35.127200000000002</v>
      </c>
      <c r="W545" s="255">
        <v>34.591799999999999</v>
      </c>
      <c r="X545" s="255">
        <v>34.7483</v>
      </c>
      <c r="Y545" s="255">
        <v>34.476500000000001</v>
      </c>
      <c r="Z545" s="1070">
        <f ca="1">[1]ExtEntry!$K42</f>
        <v>34.476500000000001</v>
      </c>
      <c r="AB545" s="263">
        <v>372500</v>
      </c>
      <c r="AC545" s="263">
        <v>362500</v>
      </c>
      <c r="AD545" s="263">
        <v>367250</v>
      </c>
      <c r="AE545" s="263">
        <v>374750</v>
      </c>
      <c r="AF545" s="263">
        <v>358250</v>
      </c>
      <c r="AG545" s="263">
        <v>355362.5</v>
      </c>
      <c r="AH545" s="263">
        <v>343625</v>
      </c>
      <c r="AI545" s="263">
        <v>359250</v>
      </c>
      <c r="AJ545" s="263">
        <v>370000</v>
      </c>
      <c r="AK545" s="263">
        <v>370000</v>
      </c>
      <c r="AL545" s="263">
        <v>373750</v>
      </c>
      <c r="AM545" s="263">
        <v>372242.22499999998</v>
      </c>
      <c r="AN545" s="263">
        <v>377415.71875</v>
      </c>
      <c r="AO545" s="263">
        <v>371843.30499999999</v>
      </c>
      <c r="AP545" s="263">
        <v>375982.1</v>
      </c>
      <c r="AQ545" s="263">
        <v>388199.02499999997</v>
      </c>
      <c r="AR545" s="263">
        <v>387949.7</v>
      </c>
      <c r="AS545" s="263">
        <v>381392.45250000001</v>
      </c>
      <c r="AT545" s="263">
        <v>385456.45</v>
      </c>
      <c r="AU545" s="263">
        <v>371743.57500000001</v>
      </c>
      <c r="AV545" s="260">
        <f ca="1">Calc!F43</f>
        <v>371743.57500000001</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157600</v>
      </c>
      <c r="AC546" s="260">
        <v>151360</v>
      </c>
      <c r="AD546" s="260">
        <v>151360</v>
      </c>
      <c r="AE546" s="260">
        <v>143200</v>
      </c>
      <c r="AF546" s="260">
        <v>136000</v>
      </c>
      <c r="AG546" s="260">
        <v>135200</v>
      </c>
      <c r="AH546" s="260">
        <v>131520</v>
      </c>
      <c r="AI546" s="260">
        <v>136800</v>
      </c>
      <c r="AJ546" s="260">
        <v>137600</v>
      </c>
      <c r="AK546" s="260">
        <v>138240</v>
      </c>
      <c r="AL546" s="260">
        <v>140640</v>
      </c>
      <c r="AM546" s="260">
        <v>139143.296</v>
      </c>
      <c r="AN546" s="260">
        <v>139622</v>
      </c>
      <c r="AO546" s="260">
        <v>139302.864</v>
      </c>
      <c r="AP546" s="260">
        <v>143292.06399999998</v>
      </c>
      <c r="AQ546" s="260">
        <v>145685.584</v>
      </c>
      <c r="AR546" s="260">
        <v>144409.04</v>
      </c>
      <c r="AS546" s="260">
        <v>147919.53599999999</v>
      </c>
      <c r="AT546" s="260">
        <v>148238.67199999999</v>
      </c>
      <c r="AU546" s="260">
        <v>150632.19199999998</v>
      </c>
      <c r="AV546" s="260">
        <f ca="1">Calc!F44</f>
        <v>150632.19199999998</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462.25799999999998</v>
      </c>
      <c r="AC547" s="263">
        <v>445.00990000000002</v>
      </c>
      <c r="AD547" s="263">
        <v>430.03</v>
      </c>
      <c r="AE547" s="263">
        <v>404.35</v>
      </c>
      <c r="AF547" s="263">
        <v>401.25</v>
      </c>
      <c r="AG547" s="263">
        <v>402.11</v>
      </c>
      <c r="AH547" s="263">
        <v>399.14589999999998</v>
      </c>
      <c r="AI547" s="263">
        <v>398.29</v>
      </c>
      <c r="AJ547" s="263">
        <v>423.43</v>
      </c>
      <c r="AK547" s="263">
        <v>426.58</v>
      </c>
      <c r="AL547" s="263">
        <v>430.17</v>
      </c>
      <c r="AM547" s="263">
        <v>427.28321199999999</v>
      </c>
      <c r="AN547" s="263">
        <v>428.061106</v>
      </c>
      <c r="AO547" s="263">
        <v>441.35012849999998</v>
      </c>
      <c r="AP547" s="263">
        <v>445.53380199999998</v>
      </c>
      <c r="AQ547" s="263">
        <v>448.84493772999997</v>
      </c>
      <c r="AR547" s="263">
        <v>453.7715</v>
      </c>
      <c r="AS547" s="263">
        <v>448.48580999999996</v>
      </c>
      <c r="AT547" s="263">
        <v>450.20714979999997</v>
      </c>
      <c r="AU547" s="263">
        <v>445.65936206999999</v>
      </c>
      <c r="AV547" s="260">
        <f ca="1">Calc!F45</f>
        <v>445.65936206999999</v>
      </c>
      <c r="AX547" s="86" t="str">
        <f t="shared" ca="1" si="46"/>
        <v>TSLA</v>
      </c>
      <c r="AY547" s="79">
        <f ca="1">Tab2MarketValue[[#This Row],[M_Val20]]-Tab2MarketValue[[#This Row],[M_Val19]]</f>
        <v>0</v>
      </c>
    </row>
    <row r="548" spans="1:51" hidden="1">
      <c r="A548" s="86" t="str">
        <f t="shared" ca="1" si="45"/>
        <v>TSM</v>
      </c>
      <c r="F548" s="255">
        <v>308.01760000000002</v>
      </c>
      <c r="G548" s="255">
        <v>308.54180000000002</v>
      </c>
      <c r="H548" s="255">
        <v>298.15570000000002</v>
      </c>
      <c r="I548" s="255">
        <v>280.35079999999999</v>
      </c>
      <c r="J548" s="255">
        <v>278.19760000000002</v>
      </c>
      <c r="K548" s="255">
        <v>278.7978</v>
      </c>
      <c r="L548" s="255">
        <v>276.74259999999998</v>
      </c>
      <c r="M548" s="255">
        <v>276.14920000000001</v>
      </c>
      <c r="N548" s="255">
        <v>293.5797</v>
      </c>
      <c r="O548" s="255">
        <v>290.78149999999999</v>
      </c>
      <c r="P548" s="255">
        <v>295.75959999999998</v>
      </c>
      <c r="Q548" s="255">
        <v>297.05329999999998</v>
      </c>
      <c r="R548" s="255">
        <v>297.59410000000003</v>
      </c>
      <c r="S548" s="255">
        <v>306.83280000000002</v>
      </c>
      <c r="T548" s="255">
        <v>309.7414</v>
      </c>
      <c r="U548" s="255">
        <v>312.04329999999999</v>
      </c>
      <c r="V548" s="255">
        <v>315.13810000000001</v>
      </c>
      <c r="W548" s="255">
        <v>311.7937</v>
      </c>
      <c r="X548" s="255">
        <v>312.99040000000002</v>
      </c>
      <c r="Y548" s="255">
        <v>309.82870000000003</v>
      </c>
      <c r="Z548" s="1070">
        <f ca="1">[1]ExtEntry!$K45</f>
        <v>309.82870000000003</v>
      </c>
      <c r="AB548" s="260">
        <v>1410960</v>
      </c>
      <c r="AC548" s="260">
        <v>1302435</v>
      </c>
      <c r="AD548" s="260">
        <v>1286325</v>
      </c>
      <c r="AE548" s="260">
        <v>1281915</v>
      </c>
      <c r="AF548" s="260">
        <v>1251045</v>
      </c>
      <c r="AG548" s="260">
        <v>1257705</v>
      </c>
      <c r="AH548" s="260">
        <v>1260225</v>
      </c>
      <c r="AI548" s="260">
        <v>1244880</v>
      </c>
      <c r="AJ548" s="260">
        <v>1312740.0000000002</v>
      </c>
      <c r="AK548" s="260">
        <v>1304887.5</v>
      </c>
      <c r="AL548" s="260">
        <v>1311750</v>
      </c>
      <c r="AM548" s="260">
        <v>1303047.2475000001</v>
      </c>
      <c r="AN548" s="260">
        <v>1311865.8727499999</v>
      </c>
      <c r="AO548" s="260">
        <v>1318440.5729999996</v>
      </c>
      <c r="AP548" s="260">
        <v>1326114.7964999999</v>
      </c>
      <c r="AQ548" s="260">
        <v>1312157.5829999999</v>
      </c>
      <c r="AR548" s="260">
        <v>1322479.638</v>
      </c>
      <c r="AS548" s="260">
        <v>1358247.8025</v>
      </c>
      <c r="AT548" s="260">
        <v>1391861.7989999999</v>
      </c>
      <c r="AU548" s="260">
        <v>1368435.2220000001</v>
      </c>
      <c r="AV548" s="260">
        <f ca="1">Calc!F46</f>
        <v>1368435.2220000001</v>
      </c>
      <c r="AX548" s="86" t="str">
        <f t="shared" ca="1" si="46"/>
        <v>TSM</v>
      </c>
      <c r="AY548" s="79">
        <f ca="1">Tab2MarketValue[[#This Row],[M_Val20]]-Tab2MarketValue[[#This Row],[M_Val19]]</f>
        <v>0</v>
      </c>
    </row>
    <row r="549" spans="1:51" hidden="1">
      <c r="A549" s="86" t="str">
        <f t="shared" ca="1" si="45"/>
        <v>UN0</v>
      </c>
      <c r="F549" s="255">
        <v>29.2499</v>
      </c>
      <c r="G549" s="255">
        <v>28.8002</v>
      </c>
      <c r="H549" s="255">
        <v>28.443899999999999</v>
      </c>
      <c r="I549" s="255">
        <v>28.346399999999999</v>
      </c>
      <c r="J549" s="255">
        <v>27.6539</v>
      </c>
      <c r="K549" s="255">
        <v>27.8111</v>
      </c>
      <c r="L549" s="255">
        <v>27.866800000000001</v>
      </c>
      <c r="M549" s="255">
        <v>27.5275</v>
      </c>
      <c r="N549" s="255">
        <v>29.027999999999999</v>
      </c>
      <c r="O549" s="255">
        <v>28.3276</v>
      </c>
      <c r="P549" s="255">
        <v>29.0061</v>
      </c>
      <c r="Q549" s="255">
        <v>28.8917</v>
      </c>
      <c r="R549" s="255">
        <v>29.087199999999999</v>
      </c>
      <c r="S549" s="255">
        <v>29.233000000000001</v>
      </c>
      <c r="T549" s="255">
        <v>29.403199999999998</v>
      </c>
      <c r="U549" s="255">
        <v>29.093699999999998</v>
      </c>
      <c r="V549" s="255">
        <v>29.148499999999999</v>
      </c>
      <c r="W549" s="255">
        <v>30.115600000000001</v>
      </c>
      <c r="X549" s="255">
        <v>30.860900000000001</v>
      </c>
      <c r="Y549" s="255">
        <v>30.3415</v>
      </c>
      <c r="Z549" s="1070">
        <f ca="1">[1]ExtEntry!$K46</f>
        <v>30.3415</v>
      </c>
      <c r="AB549" s="263">
        <v>88500</v>
      </c>
      <c r="AC549" s="263">
        <v>83850</v>
      </c>
      <c r="AD549" s="263">
        <v>85500</v>
      </c>
      <c r="AE549" s="263">
        <v>85800</v>
      </c>
      <c r="AF549" s="263">
        <v>88650</v>
      </c>
      <c r="AG549" s="263">
        <v>90750</v>
      </c>
      <c r="AH549" s="263">
        <v>90600</v>
      </c>
      <c r="AI549" s="263">
        <v>90000</v>
      </c>
      <c r="AJ549" s="263">
        <v>99750</v>
      </c>
      <c r="AK549" s="263">
        <v>102300</v>
      </c>
      <c r="AL549" s="263">
        <v>102899.99999999999</v>
      </c>
      <c r="AM549" s="263">
        <v>102472.575</v>
      </c>
      <c r="AN549" s="263">
        <v>100228.65</v>
      </c>
      <c r="AO549" s="263">
        <v>100677.435</v>
      </c>
      <c r="AP549" s="263">
        <v>100677.435</v>
      </c>
      <c r="AQ549" s="263">
        <v>102023.79</v>
      </c>
      <c r="AR549" s="263">
        <v>101724.59999999999</v>
      </c>
      <c r="AS549" s="263">
        <v>113692.2</v>
      </c>
      <c r="AT549" s="263">
        <v>113841.79499999998</v>
      </c>
      <c r="AU549" s="263">
        <v>112944.22499999999</v>
      </c>
      <c r="AV549" s="260">
        <f ca="1">Calc!F47</f>
        <v>112944.22499999999</v>
      </c>
      <c r="AX549" s="86" t="str">
        <f t="shared" ca="1" si="46"/>
        <v>UN0</v>
      </c>
      <c r="AY549" s="79">
        <f ca="1">Tab2MarketValue[[#This Row],[M_Val20]]-Tab2MarketValue[[#This Row],[M_Val19]]</f>
        <v>0</v>
      </c>
    </row>
    <row r="550" spans="1:51" hidden="1">
      <c r="A550" s="86" t="str">
        <f t="shared" ca="1" si="45"/>
        <v>UNIT</v>
      </c>
      <c r="F550" s="255">
        <v>1.2729999999999999</v>
      </c>
      <c r="G550" s="255">
        <v>1.2402</v>
      </c>
      <c r="H550" s="255">
        <v>1.3058000000000001</v>
      </c>
      <c r="I550" s="255">
        <v>1.2367999999999999</v>
      </c>
      <c r="J550" s="255">
        <v>1.2112000000000001</v>
      </c>
      <c r="K550" s="255">
        <v>1.1649</v>
      </c>
      <c r="L550" s="255">
        <v>1.1837</v>
      </c>
      <c r="M550" s="255">
        <v>1.1866000000000001</v>
      </c>
      <c r="N550" s="255">
        <v>1.2634000000000001</v>
      </c>
      <c r="O550" s="255">
        <v>1.2329000000000001</v>
      </c>
      <c r="P550" s="255">
        <v>1.2545999999999999</v>
      </c>
      <c r="Q550" s="255">
        <v>1.2644</v>
      </c>
      <c r="R550" s="255">
        <v>1.3028</v>
      </c>
      <c r="S550" s="255">
        <v>1.3146</v>
      </c>
      <c r="T550" s="255">
        <v>1.3117000000000001</v>
      </c>
      <c r="U550" s="255">
        <v>1.3205</v>
      </c>
      <c r="V550" s="255">
        <v>1.2585</v>
      </c>
      <c r="W550" s="255">
        <v>1.2693000000000001</v>
      </c>
      <c r="X550" s="255">
        <v>1.3293999999999999</v>
      </c>
      <c r="Y550" s="255">
        <v>1.4258999999999999</v>
      </c>
      <c r="Z550" s="1070">
        <f ca="1">[1]ExtEntry!$K48</f>
        <v>1.4258999999999999</v>
      </c>
      <c r="AB550" s="260">
        <v>46304</v>
      </c>
      <c r="AC550" s="260">
        <v>45110.225000000006</v>
      </c>
      <c r="AD550" s="260">
        <v>47497.775000000001</v>
      </c>
      <c r="AE550" s="260">
        <v>45435.8</v>
      </c>
      <c r="AF550" s="260">
        <v>44495.25</v>
      </c>
      <c r="AG550" s="260">
        <v>42795.025000000001</v>
      </c>
      <c r="AH550" s="260">
        <v>43482.35</v>
      </c>
      <c r="AI550" s="260">
        <v>43590.875</v>
      </c>
      <c r="AJ550" s="260">
        <v>46412.525000000001</v>
      </c>
      <c r="AK550" s="260">
        <v>45652.85</v>
      </c>
      <c r="AL550" s="260">
        <v>46086.950000000004</v>
      </c>
      <c r="AM550" s="260">
        <v>46323.288509999998</v>
      </c>
      <c r="AN550" s="260">
        <v>47730.304282500001</v>
      </c>
      <c r="AO550" s="260">
        <v>48163.232212499999</v>
      </c>
      <c r="AP550" s="260">
        <v>48055.000229999998</v>
      </c>
      <c r="AQ550" s="260">
        <v>48379.696177500002</v>
      </c>
      <c r="AR550" s="260">
        <v>46106.824544999996</v>
      </c>
      <c r="AS550" s="260">
        <v>46503.675147500006</v>
      </c>
      <c r="AT550" s="260">
        <v>48704.392124999998</v>
      </c>
      <c r="AU550" s="260">
        <v>52239.970220000003</v>
      </c>
      <c r="AV550" s="260">
        <f ca="1">Calc!F48</f>
        <v>52239.970220000003</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82741.8</v>
      </c>
      <c r="AC551" s="260">
        <v>82080</v>
      </c>
      <c r="AD551" s="260">
        <v>82249.5</v>
      </c>
      <c r="AE551" s="260">
        <v>84120</v>
      </c>
      <c r="AF551" s="260">
        <v>82830</v>
      </c>
      <c r="AG551" s="260">
        <v>84015</v>
      </c>
      <c r="AH551" s="260">
        <v>82470</v>
      </c>
      <c r="AI551" s="260">
        <v>84870</v>
      </c>
      <c r="AJ551" s="260">
        <v>89369.7</v>
      </c>
      <c r="AK551" s="260">
        <v>89400</v>
      </c>
      <c r="AL551" s="260">
        <v>89880</v>
      </c>
      <c r="AM551" s="260">
        <v>89622.364499999996</v>
      </c>
      <c r="AN551" s="260">
        <v>89637.323999999993</v>
      </c>
      <c r="AO551" s="260">
        <v>88799.59199999999</v>
      </c>
      <c r="AP551" s="260">
        <v>89427.891000000003</v>
      </c>
      <c r="AQ551" s="260">
        <v>91570.09139999999</v>
      </c>
      <c r="AR551" s="260">
        <v>94095.25499999999</v>
      </c>
      <c r="AS551" s="260">
        <v>80154.197759999995</v>
      </c>
      <c r="AT551" s="260">
        <v>81315.852799999993</v>
      </c>
      <c r="AU551" s="260">
        <v>83092.044099999999</v>
      </c>
      <c r="AV551" s="260">
        <f ca="1">Calc!F49</f>
        <v>83092.044099999999</v>
      </c>
      <c r="AX551" s="86" t="str">
        <f t="shared" ca="1" si="46"/>
        <v>VLVLY</v>
      </c>
      <c r="AY551" s="79">
        <f ca="1">Tab2MarketValue[[#This Row],[M_Val20]]-Tab2MarketValue[[#This Row],[M_Val19]]</f>
        <v>0</v>
      </c>
    </row>
    <row r="552" spans="1:51" hidden="1">
      <c r="A552" s="86" t="str">
        <f t="shared" ca="1" si="45"/>
        <v>VONN</v>
      </c>
      <c r="F552" s="255">
        <v>13.3409</v>
      </c>
      <c r="G552" s="255">
        <v>13.137700000000001</v>
      </c>
      <c r="H552" s="255">
        <v>13.160299999999999</v>
      </c>
      <c r="I552" s="255">
        <v>13.544</v>
      </c>
      <c r="J552" s="255">
        <v>13.2506</v>
      </c>
      <c r="K552" s="255">
        <v>13.3634</v>
      </c>
      <c r="L552" s="255">
        <v>13.498900000000001</v>
      </c>
      <c r="M552" s="255">
        <v>13.4312</v>
      </c>
      <c r="N552" s="255">
        <v>13.4312</v>
      </c>
      <c r="O552" s="255">
        <v>13.679500000000001</v>
      </c>
      <c r="P552" s="255">
        <v>13.702</v>
      </c>
      <c r="Q552" s="255">
        <v>13.747199999999999</v>
      </c>
      <c r="R552" s="255">
        <v>13.792299999999999</v>
      </c>
      <c r="S552" s="255">
        <v>13.611700000000001</v>
      </c>
      <c r="T552" s="255">
        <v>13.6569</v>
      </c>
      <c r="U552" s="255">
        <v>13.792299999999999</v>
      </c>
      <c r="V552" s="255">
        <v>13.792299999999999</v>
      </c>
      <c r="W552" s="255">
        <v>13.8375</v>
      </c>
      <c r="X552" s="255">
        <v>13.724600000000001</v>
      </c>
      <c r="Y552" s="255">
        <v>13.792299999999999</v>
      </c>
      <c r="Z552" s="1070">
        <f ca="1">[1]ExtEntry!$K50</f>
        <v>13.792299999999999</v>
      </c>
      <c r="AB552" s="263">
        <v>945600</v>
      </c>
      <c r="AC552" s="263">
        <v>1047600</v>
      </c>
      <c r="AD552" s="263">
        <v>1166000</v>
      </c>
      <c r="AE552" s="263">
        <v>1152000</v>
      </c>
      <c r="AF552" s="263">
        <v>1127040</v>
      </c>
      <c r="AG552" s="263">
        <v>1136640</v>
      </c>
      <c r="AH552" s="263">
        <v>1148160</v>
      </c>
      <c r="AI552" s="263">
        <v>1142400</v>
      </c>
      <c r="AJ552" s="263">
        <v>1152000</v>
      </c>
      <c r="AK552" s="263">
        <v>1163520</v>
      </c>
      <c r="AL552" s="263">
        <v>1165440</v>
      </c>
      <c r="AM552" s="263">
        <v>1166122.9439999999</v>
      </c>
      <c r="AN552" s="263">
        <v>1169952.5759999999</v>
      </c>
      <c r="AO552" s="263">
        <v>1154634.048</v>
      </c>
      <c r="AP552" s="263">
        <v>1158463.68</v>
      </c>
      <c r="AQ552" s="263">
        <v>1096830.54</v>
      </c>
      <c r="AR552" s="263">
        <v>1037590.9199999999</v>
      </c>
      <c r="AS552" s="263">
        <v>1008719.085</v>
      </c>
      <c r="AT552" s="263">
        <v>1000491.36</v>
      </c>
      <c r="AU552" s="263">
        <v>1005427.995</v>
      </c>
      <c r="AV552" s="260">
        <f ca="1">Calc!F50</f>
        <v>1005427.995</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53750</v>
      </c>
      <c r="AC553" s="260">
        <v>50975</v>
      </c>
      <c r="AD553" s="260">
        <v>50375</v>
      </c>
      <c r="AE553" s="260">
        <v>53600</v>
      </c>
      <c r="AF553" s="260">
        <v>53550.000000000007</v>
      </c>
      <c r="AG553" s="260">
        <v>52725</v>
      </c>
      <c r="AH553" s="260">
        <v>51125</v>
      </c>
      <c r="AI553" s="260">
        <v>52275</v>
      </c>
      <c r="AJ553" s="260">
        <v>53300</v>
      </c>
      <c r="AK553" s="260">
        <v>53200</v>
      </c>
      <c r="AL553" s="260">
        <v>53450</v>
      </c>
      <c r="AM553" s="260">
        <v>53579.94249999999</v>
      </c>
      <c r="AN553" s="260">
        <v>53430.347499999996</v>
      </c>
      <c r="AO553" s="260">
        <v>54203.25499999999</v>
      </c>
      <c r="AP553" s="260">
        <v>54053.659999999996</v>
      </c>
      <c r="AQ553" s="260">
        <v>53530.077499999999</v>
      </c>
      <c r="AR553" s="260">
        <v>54502.445</v>
      </c>
      <c r="AS553" s="260">
        <v>56023.327499999999</v>
      </c>
      <c r="AT553" s="260">
        <v>57843.4</v>
      </c>
      <c r="AU553" s="260">
        <v>57793.534999999996</v>
      </c>
      <c r="AV553" s="260">
        <f ca="1">Calc!F51</f>
        <v>57793.534999999996</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35842.962</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16.5291</v>
      </c>
      <c r="G555" s="255">
        <v>16.700600000000001</v>
      </c>
      <c r="H555" s="255">
        <v>17.064</v>
      </c>
      <c r="I555" s="255">
        <v>17.338699999999999</v>
      </c>
      <c r="J555" s="255">
        <v>17.302499999999998</v>
      </c>
      <c r="K555" s="255">
        <v>17.0916</v>
      </c>
      <c r="L555" s="255">
        <v>16.995699999999999</v>
      </c>
      <c r="M555" s="255">
        <v>17.023299999999999</v>
      </c>
      <c r="N555" s="255">
        <v>16.774799999999999</v>
      </c>
      <c r="O555" s="255">
        <v>16.6831</v>
      </c>
      <c r="P555" s="255">
        <v>16.857600000000001</v>
      </c>
      <c r="Q555" s="255">
        <v>17.049499999999998</v>
      </c>
      <c r="R555" s="255">
        <v>16.779800000000002</v>
      </c>
      <c r="S555" s="255">
        <v>16.994299999999999</v>
      </c>
      <c r="T555" s="255">
        <v>17.127199999999998</v>
      </c>
      <c r="U555" s="255">
        <v>17.069800000000001</v>
      </c>
      <c r="V555" s="255">
        <v>17.027699999999999</v>
      </c>
      <c r="W555" s="255">
        <v>17.343800000000002</v>
      </c>
      <c r="X555" s="255">
        <v>17.374300000000002</v>
      </c>
      <c r="Y555" s="255">
        <v>17.378</v>
      </c>
      <c r="Z555" s="1070">
        <f ca="1">[1]ExtEntry!$K53</f>
        <v>17.378</v>
      </c>
      <c r="AB555" s="260">
        <v>56855</v>
      </c>
      <c r="AC555" s="260">
        <v>57445</v>
      </c>
      <c r="AD555" s="260">
        <v>58695</v>
      </c>
      <c r="AE555" s="260">
        <v>59640</v>
      </c>
      <c r="AF555" s="260">
        <v>59515</v>
      </c>
      <c r="AG555" s="260">
        <v>58790</v>
      </c>
      <c r="AH555" s="260">
        <v>58460</v>
      </c>
      <c r="AI555" s="260">
        <v>58555</v>
      </c>
      <c r="AJ555" s="260">
        <v>57700.45</v>
      </c>
      <c r="AK555" s="260">
        <v>57385</v>
      </c>
      <c r="AL555" s="260">
        <v>57985</v>
      </c>
      <c r="AM555" s="260">
        <v>58486.658499999998</v>
      </c>
      <c r="AN555" s="260">
        <v>57561.662749999996</v>
      </c>
      <c r="AO555" s="260">
        <v>58297.420825000001</v>
      </c>
      <c r="AP555" s="260">
        <v>58753.436249999999</v>
      </c>
      <c r="AQ555" s="260">
        <v>58556.469499999999</v>
      </c>
      <c r="AR555" s="260">
        <v>58102.697999999997</v>
      </c>
      <c r="AS555" s="260">
        <v>59496.424749999998</v>
      </c>
      <c r="AT555" s="260">
        <v>59601.141250000001</v>
      </c>
      <c r="AU555" s="260">
        <v>59613.607499999998</v>
      </c>
      <c r="AV555" s="260">
        <f ca="1">Calc!F53</f>
        <v>59613.607499999998</v>
      </c>
      <c r="AX555" s="86" t="str">
        <f t="shared" ca="1" si="46"/>
        <v>XOM</v>
      </c>
      <c r="AY555" s="79">
        <f ca="1">Tab2MarketValue[[#This Row],[M_Val20]]-Tab2MarketValue[[#This Row],[M_Val19]]</f>
        <v>0</v>
      </c>
    </row>
    <row r="556" spans="1:51" hidden="1">
      <c r="A556" s="86" t="str">
        <f t="shared" ca="1" si="45"/>
        <v>XPER</v>
      </c>
      <c r="F556" s="255">
        <v>99</v>
      </c>
      <c r="G556" s="255">
        <v>99</v>
      </c>
      <c r="H556" s="255">
        <v>99</v>
      </c>
      <c r="I556" s="255">
        <v>36.497599999999998</v>
      </c>
      <c r="J556" s="255">
        <v>34.314</v>
      </c>
      <c r="K556" s="255">
        <v>33.549500000000002</v>
      </c>
      <c r="L556" s="255">
        <v>32.517699999999998</v>
      </c>
      <c r="M556" s="255">
        <v>33.431600000000003</v>
      </c>
      <c r="N556" s="255">
        <v>33.696899999999999</v>
      </c>
      <c r="O556" s="255">
        <v>33.665500000000002</v>
      </c>
      <c r="P556" s="255">
        <v>34.139200000000002</v>
      </c>
      <c r="Q556" s="255">
        <v>33.726999999999997</v>
      </c>
      <c r="R556" s="255">
        <v>34.551900000000003</v>
      </c>
      <c r="S556" s="255">
        <v>34.375</v>
      </c>
      <c r="T556" s="255">
        <v>35.377400000000002</v>
      </c>
      <c r="U556" s="255">
        <v>34.787700000000001</v>
      </c>
      <c r="V556" s="255">
        <v>34.608800000000002</v>
      </c>
      <c r="W556" s="255">
        <v>36.232300000000002</v>
      </c>
      <c r="X556" s="255">
        <v>36.851399999999998</v>
      </c>
      <c r="Y556" s="255">
        <v>36.320799999999998</v>
      </c>
      <c r="Z556" s="1070">
        <f ca="1">[1]ExtEntry!$K54</f>
        <v>36.320799999999998</v>
      </c>
      <c r="AB556" s="263">
        <v>67400</v>
      </c>
      <c r="AC556" s="263">
        <v>68900</v>
      </c>
      <c r="AD556" s="263">
        <v>65985</v>
      </c>
      <c r="AE556" s="263">
        <v>61900.000000000007</v>
      </c>
      <c r="AF556" s="263">
        <v>58200</v>
      </c>
      <c r="AG556" s="263">
        <v>56900.000000000007</v>
      </c>
      <c r="AH556" s="263">
        <v>55150</v>
      </c>
      <c r="AI556" s="263">
        <v>56700</v>
      </c>
      <c r="AJ556" s="263">
        <v>57150</v>
      </c>
      <c r="AK556" s="263">
        <v>57400</v>
      </c>
      <c r="AL556" s="263">
        <v>57900</v>
      </c>
      <c r="AM556" s="263">
        <v>57046.557300000008</v>
      </c>
      <c r="AN556" s="263">
        <v>58441.78</v>
      </c>
      <c r="AO556" s="263">
        <v>58142.59</v>
      </c>
      <c r="AP556" s="263">
        <v>59838</v>
      </c>
      <c r="AQ556" s="263">
        <v>58840.7</v>
      </c>
      <c r="AR556" s="263">
        <v>60037.459999999992</v>
      </c>
      <c r="AS556" s="263">
        <v>61284.084999999992</v>
      </c>
      <c r="AT556" s="263">
        <v>62331.25</v>
      </c>
      <c r="AU556" s="263">
        <v>61433.68</v>
      </c>
      <c r="AV556" s="260">
        <f ca="1">Calc!F54</f>
        <v>61433.68</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398950</v>
      </c>
      <c r="AC557" s="260">
        <v>394910</v>
      </c>
      <c r="AD557" s="260">
        <v>393900</v>
      </c>
      <c r="AE557" s="260">
        <v>336330</v>
      </c>
      <c r="AF557" s="260">
        <v>338350</v>
      </c>
      <c r="AG557" s="260">
        <v>347440</v>
      </c>
      <c r="AH557" s="260">
        <v>337340</v>
      </c>
      <c r="AI557" s="260">
        <v>331280</v>
      </c>
      <c r="AJ557" s="260">
        <v>326230</v>
      </c>
      <c r="AK557" s="260">
        <v>313100</v>
      </c>
      <c r="AL557" s="260">
        <v>305020</v>
      </c>
      <c r="AM557" s="260">
        <v>311247.35699999996</v>
      </c>
      <c r="AN557" s="260">
        <v>312254.63</v>
      </c>
      <c r="AO557" s="260">
        <v>316283.72200000001</v>
      </c>
      <c r="AP557" s="260">
        <v>315276.44899999996</v>
      </c>
      <c r="AQ557" s="260">
        <v>312254.63</v>
      </c>
      <c r="AR557" s="260">
        <v>312254.63</v>
      </c>
      <c r="AS557" s="260">
        <v>297145.53499999997</v>
      </c>
      <c r="AT557" s="260">
        <v>301174.62699999998</v>
      </c>
      <c r="AU557" s="260">
        <v>277000.07500000001</v>
      </c>
      <c r="AV557" s="260">
        <f ca="1">Calc!F55</f>
        <v>277000.07500000001</v>
      </c>
      <c r="AX557" s="86" t="str">
        <f t="shared" ca="1" si="46"/>
        <v>MVEALDNE</v>
      </c>
      <c r="AY557" s="79">
        <f ca="1">Tab2MarketValue[[#This Row],[M_Val20]]-Tab2MarketValue[[#This Row],[M_Val19]]</f>
        <v>0</v>
      </c>
    </row>
    <row r="558" spans="1:51" hidden="1">
      <c r="A558" s="86" t="str">
        <f t="shared" ca="1" si="45"/>
        <v>MVEDDD</v>
      </c>
      <c r="F558" s="255">
        <v>99</v>
      </c>
      <c r="G558" s="255">
        <v>0</v>
      </c>
      <c r="H558" s="255">
        <v>0</v>
      </c>
      <c r="I558" s="255">
        <v>99</v>
      </c>
      <c r="J558" s="255">
        <v>99</v>
      </c>
      <c r="K558" s="255">
        <v>0</v>
      </c>
      <c r="L558" s="255">
        <v>0</v>
      </c>
      <c r="M558" s="255">
        <v>0</v>
      </c>
      <c r="N558" s="255">
        <v>99</v>
      </c>
      <c r="O558" s="255">
        <v>0</v>
      </c>
      <c r="P558" s="255">
        <v>99</v>
      </c>
      <c r="Q558" s="255">
        <v>99</v>
      </c>
      <c r="R558" s="255">
        <v>99</v>
      </c>
      <c r="S558" s="255">
        <v>0</v>
      </c>
      <c r="T558" s="255">
        <v>99</v>
      </c>
      <c r="U558" s="255">
        <v>0</v>
      </c>
      <c r="V558" s="255">
        <v>99</v>
      </c>
      <c r="W558" s="255">
        <v>0</v>
      </c>
      <c r="X558" s="255">
        <v>99</v>
      </c>
      <c r="Y558" s="255">
        <v>0</v>
      </c>
      <c r="Z558" s="1070">
        <f ca="1">[1]ExtEntry!$K56</f>
        <v>0</v>
      </c>
      <c r="AB558" s="263">
        <v>26000</v>
      </c>
      <c r="AC558" s="263">
        <v>22650</v>
      </c>
      <c r="AD558" s="263">
        <v>22250</v>
      </c>
      <c r="AE558" s="263">
        <v>21600</v>
      </c>
      <c r="AF558" s="263">
        <v>20800</v>
      </c>
      <c r="AG558" s="263">
        <v>20450</v>
      </c>
      <c r="AH558" s="263">
        <v>18800</v>
      </c>
      <c r="AI558" s="263">
        <v>19450</v>
      </c>
      <c r="AJ558" s="263">
        <v>20350</v>
      </c>
      <c r="AK558" s="263">
        <v>20500</v>
      </c>
      <c r="AL558" s="263">
        <v>20800</v>
      </c>
      <c r="AM558" s="263">
        <v>19995.864999999998</v>
      </c>
      <c r="AN558" s="263">
        <v>20444.649999999998</v>
      </c>
      <c r="AO558" s="263">
        <v>20693.974999999999</v>
      </c>
      <c r="AP558" s="263">
        <v>21940.6</v>
      </c>
      <c r="AQ558" s="263">
        <v>22189.924999999999</v>
      </c>
      <c r="AR558" s="263">
        <v>21541.68</v>
      </c>
      <c r="AS558" s="263">
        <v>17602.345000000001</v>
      </c>
      <c r="AT558" s="263">
        <v>17652.21</v>
      </c>
      <c r="AU558" s="263">
        <v>19596.945</v>
      </c>
      <c r="AV558" s="260">
        <f ca="1">Calc!F56</f>
        <v>19596.945</v>
      </c>
      <c r="AX558" s="86" t="str">
        <f t="shared" ca="1" si="46"/>
        <v>MVEDDD</v>
      </c>
      <c r="AY558" s="79">
        <f ca="1">Tab2MarketValue[[#This Row],[M_Val20]]-Tab2MarketValue[[#This Row],[M_Val19]]</f>
        <v>0</v>
      </c>
    </row>
    <row r="559" spans="1:51" hidden="1">
      <c r="A559" s="86" t="str">
        <f t="shared" ca="1" si="45"/>
        <v>MVEDSY</v>
      </c>
      <c r="F559" s="255">
        <v>26.793299999999999</v>
      </c>
      <c r="G559" s="255">
        <v>25.988800000000001</v>
      </c>
      <c r="H559" s="255">
        <v>25.988800000000001</v>
      </c>
      <c r="I559" s="255">
        <v>27.072600000000001</v>
      </c>
      <c r="J559" s="255">
        <v>25.888300000000001</v>
      </c>
      <c r="K559" s="255">
        <v>26.122900000000001</v>
      </c>
      <c r="L559" s="255">
        <v>26.055900000000001</v>
      </c>
      <c r="M559" s="255">
        <v>26.245799999999999</v>
      </c>
      <c r="N559" s="255">
        <v>26.770900000000001</v>
      </c>
      <c r="O559" s="255">
        <v>26.9832</v>
      </c>
      <c r="P559" s="255">
        <v>26.938500000000001</v>
      </c>
      <c r="Q559" s="255">
        <v>26.648</v>
      </c>
      <c r="R559" s="255">
        <v>26.648</v>
      </c>
      <c r="S559" s="255">
        <v>26.156400000000001</v>
      </c>
      <c r="T559" s="255">
        <v>26.156400000000001</v>
      </c>
      <c r="U559" s="255">
        <v>26.547499999999999</v>
      </c>
      <c r="V559" s="255">
        <v>26.547499999999999</v>
      </c>
      <c r="W559" s="255">
        <v>26.089400000000001</v>
      </c>
      <c r="X559" s="255">
        <v>25.720700000000001</v>
      </c>
      <c r="Y559" s="255">
        <v>25.720700000000001</v>
      </c>
      <c r="Z559" s="1070">
        <f ca="1">[1]ExtEntry!$K57</f>
        <v>25.720700000000001</v>
      </c>
      <c r="AB559" s="260">
        <v>287760</v>
      </c>
      <c r="AC559" s="260">
        <v>279120</v>
      </c>
      <c r="AD559" s="260">
        <v>280080</v>
      </c>
      <c r="AE559" s="260">
        <v>287880</v>
      </c>
      <c r="AF559" s="260">
        <v>278040</v>
      </c>
      <c r="AG559" s="260">
        <v>280560</v>
      </c>
      <c r="AH559" s="260">
        <v>279840</v>
      </c>
      <c r="AI559" s="260">
        <v>281880</v>
      </c>
      <c r="AJ559" s="260">
        <v>289800</v>
      </c>
      <c r="AK559" s="260">
        <v>289800</v>
      </c>
      <c r="AL559" s="260">
        <v>289320</v>
      </c>
      <c r="AM559" s="260">
        <v>285427.26</v>
      </c>
      <c r="AN559" s="260">
        <v>280281.19199999998</v>
      </c>
      <c r="AO559" s="260">
        <v>280161.516</v>
      </c>
      <c r="AP559" s="260">
        <v>280161.516</v>
      </c>
      <c r="AQ559" s="260">
        <v>284350.17599999998</v>
      </c>
      <c r="AR559" s="260">
        <v>284589.52799999999</v>
      </c>
      <c r="AS559" s="260">
        <v>279443.45999999996</v>
      </c>
      <c r="AT559" s="260">
        <v>275494.152</v>
      </c>
      <c r="AU559" s="260">
        <v>276810.58799999999</v>
      </c>
      <c r="AV559" s="260">
        <f ca="1">Calc!F57</f>
        <v>276810.58799999999</v>
      </c>
      <c r="AX559" s="86" t="str">
        <f t="shared" ca="1" si="46"/>
        <v>MVEDSY</v>
      </c>
      <c r="AY559" s="79">
        <f ca="1">Tab2MarketValue[[#This Row],[M_Val20]]-Tab2MarketValue[[#This Row],[M_Val19]]</f>
        <v>0</v>
      </c>
    </row>
    <row r="560" spans="1:51" hidden="1">
      <c r="A560" s="86" t="str">
        <f t="shared" ca="1" si="45"/>
        <v>MVEEOAN</v>
      </c>
      <c r="F560" s="255">
        <v>13.2645</v>
      </c>
      <c r="G560" s="255">
        <v>13.289300000000001</v>
      </c>
      <c r="H560" s="255">
        <v>13.309900000000001</v>
      </c>
      <c r="I560" s="255">
        <v>12.84</v>
      </c>
      <c r="J560" s="255">
        <v>13.243499999999999</v>
      </c>
      <c r="K560" s="255">
        <v>13.3043</v>
      </c>
      <c r="L560" s="255">
        <v>13.391299999999999</v>
      </c>
      <c r="M560" s="255">
        <v>13.504300000000001</v>
      </c>
      <c r="N560" s="255">
        <v>13.4391</v>
      </c>
      <c r="O560" s="255">
        <v>13.47</v>
      </c>
      <c r="P560" s="255">
        <v>13.3261</v>
      </c>
      <c r="Q560" s="255">
        <v>13.2348</v>
      </c>
      <c r="R560" s="255">
        <v>13.2913</v>
      </c>
      <c r="S560" s="255">
        <v>13.686999999999999</v>
      </c>
      <c r="T560" s="255">
        <v>13.7913</v>
      </c>
      <c r="U560" s="255">
        <v>13.5565</v>
      </c>
      <c r="V560" s="255">
        <v>13.4217</v>
      </c>
      <c r="W560" s="255">
        <v>13.552199999999999</v>
      </c>
      <c r="X560" s="255">
        <v>13.521699999999999</v>
      </c>
      <c r="Y560" s="255">
        <v>13.0739</v>
      </c>
      <c r="Z560" s="1070">
        <f ca="1">[1]ExtEntry!$K58</f>
        <v>13.0739</v>
      </c>
      <c r="AB560" s="263">
        <v>160.5</v>
      </c>
      <c r="AC560" s="263">
        <v>160.79999999999998</v>
      </c>
      <c r="AD560" s="263">
        <v>161.05000000000001</v>
      </c>
      <c r="AE560" s="263">
        <v>152.44999999999999</v>
      </c>
      <c r="AF560" s="263">
        <v>152.30000000000001</v>
      </c>
      <c r="AG560" s="263">
        <v>153</v>
      </c>
      <c r="AH560" s="263">
        <v>154</v>
      </c>
      <c r="AI560" s="263">
        <v>155.29999999999998</v>
      </c>
      <c r="AJ560" s="263">
        <v>154.55000000000001</v>
      </c>
      <c r="AK560" s="263">
        <v>153.1</v>
      </c>
      <c r="AL560" s="263">
        <v>153.25</v>
      </c>
      <c r="AM560" s="263">
        <v>151.78906000000001</v>
      </c>
      <c r="AN560" s="263">
        <v>152.43730499999998</v>
      </c>
      <c r="AO560" s="263">
        <v>156.97502</v>
      </c>
      <c r="AP560" s="263">
        <v>158.17177999999998</v>
      </c>
      <c r="AQ560" s="263">
        <v>155.47907000000001</v>
      </c>
      <c r="AR560" s="263">
        <v>153.933255</v>
      </c>
      <c r="AS560" s="263">
        <v>155.42920500000002</v>
      </c>
      <c r="AT560" s="263">
        <v>155.08015</v>
      </c>
      <c r="AU560" s="263">
        <v>149.94405499999999</v>
      </c>
      <c r="AV560" s="260">
        <f ca="1">Calc!F58</f>
        <v>149.94405499999999</v>
      </c>
      <c r="AX560" s="86" t="str">
        <f t="shared" ca="1" si="46"/>
        <v>MVEEOAN</v>
      </c>
      <c r="AY560" s="79">
        <f ca="1">Tab2MarketValue[[#This Row],[M_Val20]]-Tab2MarketValue[[#This Row],[M_Val19]]</f>
        <v>0</v>
      </c>
    </row>
    <row r="561" spans="1:51" hidden="1">
      <c r="A561" s="86" t="str">
        <f t="shared" ca="1" si="45"/>
        <v>MVEENI</v>
      </c>
      <c r="F561" s="255">
        <v>17.634499999999999</v>
      </c>
      <c r="G561" s="255">
        <v>17.612400000000001</v>
      </c>
      <c r="H561" s="255">
        <v>17.5947</v>
      </c>
      <c r="I561" s="255">
        <v>18.175599999999999</v>
      </c>
      <c r="J561" s="255">
        <v>18.067399999999999</v>
      </c>
      <c r="K561" s="255">
        <v>17.910499999999999</v>
      </c>
      <c r="L561" s="255">
        <v>17.996700000000001</v>
      </c>
      <c r="M561" s="255">
        <v>17.7758</v>
      </c>
      <c r="N561" s="255">
        <v>17.316400000000002</v>
      </c>
      <c r="O561" s="255">
        <v>17.592500000000001</v>
      </c>
      <c r="P561" s="255">
        <v>17.8156</v>
      </c>
      <c r="Q561" s="255">
        <v>17.866399999999999</v>
      </c>
      <c r="R561" s="255">
        <v>17.877400000000002</v>
      </c>
      <c r="S561" s="255">
        <v>18.009899999999998</v>
      </c>
      <c r="T561" s="255">
        <v>18.058499999999999</v>
      </c>
      <c r="U561" s="255">
        <v>18.0563</v>
      </c>
      <c r="V561" s="255">
        <v>17.782399999999999</v>
      </c>
      <c r="W561" s="255">
        <v>17.789100000000001</v>
      </c>
      <c r="X561" s="255">
        <v>17.685300000000002</v>
      </c>
      <c r="Y561" s="255">
        <v>17.563800000000001</v>
      </c>
      <c r="Z561" s="1070">
        <f ca="1">[1]ExtEntry!$K59</f>
        <v>17.563800000000001</v>
      </c>
      <c r="AB561" s="260">
        <v>574848</v>
      </c>
      <c r="AC561" s="260">
        <v>574128</v>
      </c>
      <c r="AD561" s="260">
        <v>573552</v>
      </c>
      <c r="AE561" s="260">
        <v>593064</v>
      </c>
      <c r="AF561" s="260">
        <v>588960</v>
      </c>
      <c r="AG561" s="260">
        <v>583848</v>
      </c>
      <c r="AH561" s="260">
        <v>586656</v>
      </c>
      <c r="AI561" s="260">
        <v>579456</v>
      </c>
      <c r="AJ561" s="260">
        <v>575496</v>
      </c>
      <c r="AK561" s="260">
        <v>573480</v>
      </c>
      <c r="AL561" s="260">
        <v>580752</v>
      </c>
      <c r="AM561" s="260">
        <v>580835.49839999992</v>
      </c>
      <c r="AN561" s="260">
        <v>581194.52639999997</v>
      </c>
      <c r="AO561" s="260">
        <v>585502.86239999998</v>
      </c>
      <c r="AP561" s="260">
        <v>587082.58559999999</v>
      </c>
      <c r="AQ561" s="260">
        <v>587010.78</v>
      </c>
      <c r="AR561" s="260">
        <v>578106.88559999992</v>
      </c>
      <c r="AS561" s="260">
        <v>514064.26879999996</v>
      </c>
      <c r="AT561" s="260">
        <v>511064.39039999997</v>
      </c>
      <c r="AU561" s="260">
        <v>507553.89439999999</v>
      </c>
      <c r="AV561" s="260">
        <f ca="1">Calc!F59</f>
        <v>507553.89439999999</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2407.88112</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8.7401999999999997</v>
      </c>
      <c r="G563" s="255">
        <v>8.7498000000000005</v>
      </c>
      <c r="H563" s="255">
        <v>8.7498000000000005</v>
      </c>
      <c r="I563" s="255">
        <v>9.2847000000000008</v>
      </c>
      <c r="J563" s="255">
        <v>8.9963999999999995</v>
      </c>
      <c r="K563" s="255">
        <v>9.0989000000000004</v>
      </c>
      <c r="L563" s="255">
        <v>9.1950000000000003</v>
      </c>
      <c r="M563" s="255">
        <v>9.0541</v>
      </c>
      <c r="N563" s="255">
        <v>9.5281000000000002</v>
      </c>
      <c r="O563" s="255">
        <v>9.5921000000000003</v>
      </c>
      <c r="P563" s="255">
        <v>9.5984999999999996</v>
      </c>
      <c r="Q563" s="255">
        <v>9.5984999999999996</v>
      </c>
      <c r="R563" s="255">
        <v>9.5632999999999999</v>
      </c>
      <c r="S563" s="255">
        <v>9.7105999999999995</v>
      </c>
      <c r="T563" s="255">
        <v>9.6913999999999998</v>
      </c>
      <c r="U563" s="255">
        <v>10.0085</v>
      </c>
      <c r="V563" s="255">
        <v>9.8547999999999991</v>
      </c>
      <c r="W563" s="255">
        <v>10.0725</v>
      </c>
      <c r="X563" s="255">
        <v>10.0725</v>
      </c>
      <c r="Y563" s="255">
        <v>10.3063</v>
      </c>
      <c r="Z563" s="1070">
        <f ca="1">[1]ExtEntry!$K61</f>
        <v>10.3063</v>
      </c>
      <c r="AB563" s="260">
        <v>382480</v>
      </c>
      <c r="AC563" s="260">
        <v>390600</v>
      </c>
      <c r="AD563" s="260">
        <v>382480</v>
      </c>
      <c r="AE563" s="260">
        <v>405860</v>
      </c>
      <c r="AF563" s="260">
        <v>393260</v>
      </c>
      <c r="AG563" s="260">
        <v>397740</v>
      </c>
      <c r="AH563" s="260">
        <v>172260</v>
      </c>
      <c r="AI563" s="260">
        <v>169620</v>
      </c>
      <c r="AJ563" s="260">
        <v>178500</v>
      </c>
      <c r="AK563" s="260">
        <v>179700</v>
      </c>
      <c r="AL563" s="260">
        <v>179820</v>
      </c>
      <c r="AM563" s="260">
        <v>178676.26799999998</v>
      </c>
      <c r="AN563" s="260">
        <v>182685.41399999999</v>
      </c>
      <c r="AO563" s="260">
        <v>181428.81599999999</v>
      </c>
      <c r="AP563" s="260">
        <v>181069.788</v>
      </c>
      <c r="AQ563" s="260">
        <v>186993.75</v>
      </c>
      <c r="AR563" s="260">
        <v>122747.68399999999</v>
      </c>
      <c r="AS563" s="260">
        <v>125460.34</v>
      </c>
      <c r="AT563" s="260">
        <v>126617.208</v>
      </c>
      <c r="AU563" s="260">
        <v>128372.45599999999</v>
      </c>
      <c r="AV563" s="260">
        <f ca="1">Calc!F61</f>
        <v>128372.45599999999</v>
      </c>
      <c r="AX563" s="86" t="str">
        <f t="shared" ca="1" si="46"/>
        <v>MVEGLE</v>
      </c>
      <c r="AY563" s="79">
        <f ca="1">Tab2MarketValue[[#This Row],[M_Val20]]-Tab2MarketValue[[#This Row],[M_Val19]]</f>
        <v>0</v>
      </c>
    </row>
    <row r="564" spans="1:51" hidden="1">
      <c r="A564" s="86" t="str">
        <f t="shared" ca="1" si="45"/>
        <v>MVEORA</v>
      </c>
      <c r="F564" s="255">
        <v>43.319600000000001</v>
      </c>
      <c r="G564" s="255">
        <v>44.030299999999997</v>
      </c>
      <c r="H564" s="255">
        <v>44.741</v>
      </c>
      <c r="I564" s="255">
        <v>44.283000000000001</v>
      </c>
      <c r="J564" s="255">
        <v>43.240699999999997</v>
      </c>
      <c r="K564" s="255">
        <v>43.524999999999999</v>
      </c>
      <c r="L564" s="255">
        <v>43.524999999999999</v>
      </c>
      <c r="M564" s="255">
        <v>44.046100000000003</v>
      </c>
      <c r="N564" s="255">
        <v>44.156700000000001</v>
      </c>
      <c r="O564" s="255">
        <v>44.535699999999999</v>
      </c>
      <c r="P564" s="255">
        <v>44.82</v>
      </c>
      <c r="Q564" s="255">
        <v>44.677799999999998</v>
      </c>
      <c r="R564" s="255">
        <v>44.440899999999999</v>
      </c>
      <c r="S564" s="255">
        <v>44.4251</v>
      </c>
      <c r="T564" s="255">
        <v>44.440899999999999</v>
      </c>
      <c r="U564" s="255">
        <v>44.314599999999999</v>
      </c>
      <c r="V564" s="255">
        <v>44.314599999999999</v>
      </c>
      <c r="W564" s="255">
        <v>43.319600000000001</v>
      </c>
      <c r="X564" s="255">
        <v>43.319600000000001</v>
      </c>
      <c r="Y564" s="255">
        <v>43.382800000000003</v>
      </c>
      <c r="Z564" s="1070">
        <f ca="1">[1]ExtEntry!$K62</f>
        <v>43.382800000000003</v>
      </c>
      <c r="AB564" s="263">
        <v>271557</v>
      </c>
      <c r="AC564" s="263">
        <v>276012</v>
      </c>
      <c r="AD564" s="263">
        <v>280467</v>
      </c>
      <c r="AE564" s="263">
        <v>277596</v>
      </c>
      <c r="AF564" s="263">
        <v>271062</v>
      </c>
      <c r="AG564" s="263">
        <v>272844</v>
      </c>
      <c r="AH564" s="263">
        <v>270468</v>
      </c>
      <c r="AI564" s="263">
        <v>276111</v>
      </c>
      <c r="AJ564" s="263">
        <v>278784</v>
      </c>
      <c r="AK564" s="263">
        <v>279180</v>
      </c>
      <c r="AL564" s="263">
        <v>280962</v>
      </c>
      <c r="AM564" s="263">
        <v>279314.80829999998</v>
      </c>
      <c r="AN564" s="263">
        <v>277833.81780000002</v>
      </c>
      <c r="AO564" s="263">
        <v>277735.08509999997</v>
      </c>
      <c r="AP564" s="263">
        <v>278130.0159</v>
      </c>
      <c r="AQ564" s="263">
        <v>277043.95620000002</v>
      </c>
      <c r="AR564" s="263">
        <v>271317.4596</v>
      </c>
      <c r="AS564" s="263">
        <v>270823.79609999998</v>
      </c>
      <c r="AT564" s="263">
        <v>269836.46909999999</v>
      </c>
      <c r="AU564" s="263">
        <v>271218.72690000001</v>
      </c>
      <c r="AV564" s="260">
        <f ca="1">Calc!F62</f>
        <v>271218.72690000001</v>
      </c>
      <c r="AX564" s="86" t="str">
        <f t="shared" ca="1" si="46"/>
        <v>MVEORA</v>
      </c>
      <c r="AY564" s="79">
        <f ca="1">Tab2MarketValue[[#This Row],[M_Val20]]-Tab2MarketValue[[#This Row],[M_Val19]]</f>
        <v>0</v>
      </c>
    </row>
    <row r="565" spans="1:51" hidden="1">
      <c r="A565" s="86" t="str">
        <f t="shared" ca="1" si="45"/>
        <v>MVERWE</v>
      </c>
      <c r="F565" s="255">
        <v>12.209199999999999</v>
      </c>
      <c r="G565" s="255">
        <v>12.3553</v>
      </c>
      <c r="H565" s="255">
        <v>12.2951</v>
      </c>
      <c r="I565" s="255">
        <v>15.02</v>
      </c>
      <c r="J565" s="255">
        <v>14.283899999999999</v>
      </c>
      <c r="K565" s="255">
        <v>14.1065</v>
      </c>
      <c r="L565" s="255">
        <v>14.4903</v>
      </c>
      <c r="M565" s="255">
        <v>14.3</v>
      </c>
      <c r="N565" s="255">
        <v>14.22</v>
      </c>
      <c r="O565" s="255">
        <v>14.26</v>
      </c>
      <c r="P565" s="255">
        <v>14.103199999999999</v>
      </c>
      <c r="Q565" s="255">
        <v>13.9871</v>
      </c>
      <c r="R565" s="255">
        <v>13.967700000000001</v>
      </c>
      <c r="S565" s="255">
        <v>14.228999999999999</v>
      </c>
      <c r="T565" s="255">
        <v>14.051600000000001</v>
      </c>
      <c r="U565" s="255">
        <v>14.019399999999999</v>
      </c>
      <c r="V565" s="255">
        <v>13.851599999999999</v>
      </c>
      <c r="W565" s="255">
        <v>14.093500000000001</v>
      </c>
      <c r="X565" s="255">
        <v>14.029</v>
      </c>
      <c r="Y565" s="255">
        <v>13.964499999999999</v>
      </c>
      <c r="Z565" s="1070">
        <f ca="1">[1]ExtEntry!$K63</f>
        <v>13.964499999999999</v>
      </c>
      <c r="AB565" s="260">
        <v>42.61</v>
      </c>
      <c r="AC565" s="260">
        <v>43.12</v>
      </c>
      <c r="AD565" s="260">
        <v>42.91</v>
      </c>
      <c r="AE565" s="260">
        <v>45.33</v>
      </c>
      <c r="AF565" s="260">
        <v>44.28</v>
      </c>
      <c r="AG565" s="260">
        <v>43.73</v>
      </c>
      <c r="AH565" s="260">
        <v>44.92</v>
      </c>
      <c r="AI565" s="260">
        <v>44.33</v>
      </c>
      <c r="AJ565" s="260">
        <v>44.26</v>
      </c>
      <c r="AK565" s="260">
        <v>43.52</v>
      </c>
      <c r="AL565" s="260">
        <v>43.72</v>
      </c>
      <c r="AM565" s="260">
        <v>43.242927999999999</v>
      </c>
      <c r="AN565" s="260">
        <v>43.183089999999993</v>
      </c>
      <c r="AO565" s="260">
        <v>43.990902999999996</v>
      </c>
      <c r="AP565" s="260">
        <v>43.442388000000001</v>
      </c>
      <c r="AQ565" s="260">
        <v>43.342658</v>
      </c>
      <c r="AR565" s="260">
        <v>42.824061999999998</v>
      </c>
      <c r="AS565" s="260">
        <v>43.572036999999995</v>
      </c>
      <c r="AT565" s="260">
        <v>43.372577</v>
      </c>
      <c r="AU565" s="260">
        <v>43.173116999999998</v>
      </c>
      <c r="AV565" s="260">
        <f ca="1">Calc!F63</f>
        <v>43.173116999999998</v>
      </c>
      <c r="AX565" s="86" t="str">
        <f t="shared" ca="1" si="46"/>
        <v>MVERWE</v>
      </c>
      <c r="AY565" s="79">
        <f ca="1">Tab2MarketValue[[#This Row],[M_Val20]]-Tab2MarketValue[[#This Row],[M_Val19]]</f>
        <v>0</v>
      </c>
    </row>
    <row r="566" spans="1:51" hidden="1">
      <c r="A566" s="86" t="str">
        <f t="shared" ca="1" si="45"/>
        <v>MVESAP</v>
      </c>
      <c r="F566" s="255">
        <v>37.5486</v>
      </c>
      <c r="G566" s="255">
        <v>35.901400000000002</v>
      </c>
      <c r="H566" s="255">
        <v>35.522500000000001</v>
      </c>
      <c r="I566" s="255">
        <v>35.926099999999998</v>
      </c>
      <c r="J566" s="255">
        <v>33.825899999999997</v>
      </c>
      <c r="K566" s="255">
        <v>33.8506</v>
      </c>
      <c r="L566" s="255">
        <v>34.031799999999997</v>
      </c>
      <c r="M566" s="255">
        <v>33.7682</v>
      </c>
      <c r="N566" s="255">
        <v>33.743499999999997</v>
      </c>
      <c r="O566" s="255">
        <v>34.0976</v>
      </c>
      <c r="P566" s="255">
        <v>34.353000000000002</v>
      </c>
      <c r="Q566" s="255">
        <v>34.410600000000002</v>
      </c>
      <c r="R566" s="255">
        <v>34.237699999999997</v>
      </c>
      <c r="S566" s="255">
        <v>34.138800000000003</v>
      </c>
      <c r="T566" s="255">
        <v>34.015300000000003</v>
      </c>
      <c r="U566" s="255">
        <v>34.616500000000002</v>
      </c>
      <c r="V566" s="255">
        <v>35.127200000000002</v>
      </c>
      <c r="W566" s="255">
        <v>34.591799999999999</v>
      </c>
      <c r="X566" s="255">
        <v>34.7483</v>
      </c>
      <c r="Y566" s="255">
        <v>34.476500000000001</v>
      </c>
      <c r="Z566" s="1070">
        <f ca="1">[1]ExtEntry!$K64</f>
        <v>34.476500000000001</v>
      </c>
      <c r="AB566" s="263">
        <v>91407.95</v>
      </c>
      <c r="AC566" s="263">
        <v>87397.95</v>
      </c>
      <c r="AD566" s="263">
        <v>86475.650000000009</v>
      </c>
      <c r="AE566" s="263">
        <v>84651.099999999991</v>
      </c>
      <c r="AF566" s="263">
        <v>82345.349999999991</v>
      </c>
      <c r="AG566" s="263">
        <v>82405.5</v>
      </c>
      <c r="AH566" s="263">
        <v>82846.599999999991</v>
      </c>
      <c r="AI566" s="263">
        <v>82205</v>
      </c>
      <c r="AJ566" s="263">
        <v>82886.7</v>
      </c>
      <c r="AK566" s="263">
        <v>83007</v>
      </c>
      <c r="AL566" s="263">
        <v>83628.55</v>
      </c>
      <c r="AM566" s="263">
        <v>83542.723970000006</v>
      </c>
      <c r="AN566" s="263">
        <v>83122.810804999986</v>
      </c>
      <c r="AO566" s="263">
        <v>82882.860424999992</v>
      </c>
      <c r="AP566" s="263">
        <v>185348.20499999999</v>
      </c>
      <c r="AQ566" s="263">
        <v>188624.33549999999</v>
      </c>
      <c r="AR566" s="263">
        <v>191406.80249999999</v>
      </c>
      <c r="AS566" s="263">
        <v>188489.69999999998</v>
      </c>
      <c r="AT566" s="263">
        <v>189342.3915</v>
      </c>
      <c r="AU566" s="263">
        <v>187861.40099999998</v>
      </c>
      <c r="AV566" s="260">
        <f ca="1">Calc!F64</f>
        <v>187861.40099999998</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16520</v>
      </c>
      <c r="AC567" s="260">
        <v>15652</v>
      </c>
      <c r="AD567" s="260">
        <v>15960</v>
      </c>
      <c r="AE567" s="260">
        <v>16016</v>
      </c>
      <c r="AF567" s="260">
        <v>16548</v>
      </c>
      <c r="AG567" s="260">
        <v>16940</v>
      </c>
      <c r="AH567" s="260">
        <v>16912</v>
      </c>
      <c r="AI567" s="260">
        <v>16800</v>
      </c>
      <c r="AJ567" s="260">
        <v>18620</v>
      </c>
      <c r="AK567" s="260">
        <v>19096</v>
      </c>
      <c r="AL567" s="260">
        <v>19208</v>
      </c>
      <c r="AM567" s="260">
        <v>19128.214</v>
      </c>
      <c r="AN567" s="260">
        <v>18709.347999999998</v>
      </c>
      <c r="AO567" s="260">
        <v>18793.121199999998</v>
      </c>
      <c r="AP567" s="260">
        <v>18793.121199999998</v>
      </c>
      <c r="AQ567" s="260">
        <v>19044.4408</v>
      </c>
      <c r="AR567" s="260">
        <v>18988.592000000001</v>
      </c>
      <c r="AS567" s="260">
        <v>21222.543999999998</v>
      </c>
      <c r="AT567" s="260">
        <v>21250.468399999998</v>
      </c>
      <c r="AU567" s="260">
        <v>21082.921999999999</v>
      </c>
      <c r="AV567" s="260">
        <f ca="1">Calc!F65</f>
        <v>21082.921999999999</v>
      </c>
      <c r="AX567" s="86" t="str">
        <f t="shared" ca="1" si="46"/>
        <v>MVEUN0</v>
      </c>
      <c r="AY567" s="79">
        <f ca="1">Tab2MarketValue[[#This Row],[M_Val20]]-Tab2MarketValue[[#This Row],[M_Val19]]</f>
        <v>0</v>
      </c>
    </row>
    <row r="568" spans="1:51" hidden="1">
      <c r="A568" s="86" t="str">
        <f t="shared" ca="1" si="45"/>
        <v>SAFAAPL</v>
      </c>
      <c r="F568" s="255">
        <v>36.3613</v>
      </c>
      <c r="G568" s="255">
        <v>36.423099999999998</v>
      </c>
      <c r="H568" s="255">
        <v>36.086100000000002</v>
      </c>
      <c r="I568" s="255">
        <v>36.680300000000003</v>
      </c>
      <c r="J568" s="255">
        <v>36.011200000000002</v>
      </c>
      <c r="K568" s="255">
        <v>36.3598</v>
      </c>
      <c r="L568" s="255">
        <v>35.935699999999997</v>
      </c>
      <c r="M568" s="255">
        <v>36.630499999999998</v>
      </c>
      <c r="N568" s="255">
        <v>37.441099999999999</v>
      </c>
      <c r="O568" s="255">
        <v>37.294499999999999</v>
      </c>
      <c r="P568" s="255">
        <v>37.547499999999999</v>
      </c>
      <c r="Q568" s="255">
        <v>37.8127</v>
      </c>
      <c r="R568" s="255">
        <v>38.504199999999997</v>
      </c>
      <c r="S568" s="255">
        <v>38.654299999999999</v>
      </c>
      <c r="T568" s="255">
        <v>38.261099999999999</v>
      </c>
      <c r="U568" s="255">
        <v>37.717100000000002</v>
      </c>
      <c r="V568" s="255">
        <v>37.796700000000001</v>
      </c>
      <c r="W568" s="255">
        <v>37.3765</v>
      </c>
      <c r="X568" s="255">
        <v>37.537999999999997</v>
      </c>
      <c r="Y568" s="255">
        <v>37.437100000000001</v>
      </c>
      <c r="Z568" s="1070">
        <f ca="1">[1]ExtEntry!$K66</f>
        <v>37.437100000000001</v>
      </c>
      <c r="AB568" s="263">
        <v>94549</v>
      </c>
      <c r="AC568" s="263">
        <v>94675</v>
      </c>
      <c r="AD568" s="263">
        <v>93798.950000000012</v>
      </c>
      <c r="AE568" s="263">
        <v>95343.500000000015</v>
      </c>
      <c r="AF568" s="263">
        <v>93604</v>
      </c>
      <c r="AG568" s="263">
        <v>94510.499999999985</v>
      </c>
      <c r="AH568" s="263">
        <v>93408</v>
      </c>
      <c r="AI568" s="263">
        <v>95214</v>
      </c>
      <c r="AJ568" s="263">
        <v>97321</v>
      </c>
      <c r="AK568" s="263">
        <v>97142.5</v>
      </c>
      <c r="AL568" s="263">
        <v>97597.500000000015</v>
      </c>
      <c r="AM568" s="263">
        <v>98021.62509999999</v>
      </c>
      <c r="AN568" s="263">
        <v>99814.022524999993</v>
      </c>
      <c r="AO568" s="263">
        <v>100203.21884999999</v>
      </c>
      <c r="AP568" s="263">
        <v>99183.978249999986</v>
      </c>
      <c r="AQ568" s="263">
        <v>97773.79604999999</v>
      </c>
      <c r="AR568" s="263">
        <v>97309.552899999981</v>
      </c>
      <c r="AS568" s="263">
        <v>96890.686900000001</v>
      </c>
      <c r="AT568" s="263">
        <v>97309.552899999981</v>
      </c>
      <c r="AU568" s="263">
        <v>97047.761649999986</v>
      </c>
      <c r="AV568" s="260">
        <f ca="1">Calc!F66</f>
        <v>97047.761649999986</v>
      </c>
      <c r="AX568" s="86" t="str">
        <f t="shared" ca="1" si="46"/>
        <v>SAFAAPL</v>
      </c>
      <c r="AY568" s="79">
        <f ca="1">Tab2MarketValue[[#This Row],[M_Val20]]-Tab2MarketValue[[#This Row],[M_Val19]]</f>
        <v>0</v>
      </c>
    </row>
    <row r="569" spans="1:51" hidden="1">
      <c r="A569" s="86" t="str">
        <f t="shared" ca="1" si="45"/>
        <v>SAFAMZN</v>
      </c>
      <c r="F569" s="255">
        <v>35.344000000000001</v>
      </c>
      <c r="G569" s="255">
        <v>34.440800000000003</v>
      </c>
      <c r="H569" s="255">
        <v>34.5473</v>
      </c>
      <c r="I569" s="255">
        <v>33.152999999999999</v>
      </c>
      <c r="J569" s="255">
        <v>31.438300000000002</v>
      </c>
      <c r="K569" s="255">
        <v>31.244800000000001</v>
      </c>
      <c r="L569" s="255">
        <v>30.915400000000002</v>
      </c>
      <c r="M569" s="255">
        <v>31.252300000000002</v>
      </c>
      <c r="N569" s="255">
        <v>32.452300000000001</v>
      </c>
      <c r="O569" s="255">
        <v>32.444099999999999</v>
      </c>
      <c r="P569" s="255">
        <v>32.945300000000003</v>
      </c>
      <c r="Q569" s="255">
        <v>33.199599999999997</v>
      </c>
      <c r="R569" s="255">
        <v>33.097200000000001</v>
      </c>
      <c r="S569" s="255">
        <v>32.727800000000002</v>
      </c>
      <c r="T569" s="255">
        <v>32.826700000000002</v>
      </c>
      <c r="U569" s="255">
        <v>32.114199999999997</v>
      </c>
      <c r="V569" s="255">
        <v>32.424100000000003</v>
      </c>
      <c r="W569" s="255">
        <v>32.167999999999999</v>
      </c>
      <c r="X569" s="255">
        <v>32.741900000000001</v>
      </c>
      <c r="Y569" s="255">
        <v>32.53</v>
      </c>
      <c r="Z569" s="1070">
        <f ca="1">[1]ExtEntry!$K67</f>
        <v>32.53</v>
      </c>
      <c r="AB569" s="260">
        <v>375300</v>
      </c>
      <c r="AC569" s="260">
        <v>365709.6</v>
      </c>
      <c r="AD569" s="260">
        <v>366840</v>
      </c>
      <c r="AE569" s="260">
        <v>352035</v>
      </c>
      <c r="AF569" s="260">
        <v>333825</v>
      </c>
      <c r="AG569" s="260">
        <v>331773</v>
      </c>
      <c r="AH569" s="260">
        <v>328275</v>
      </c>
      <c r="AI569" s="260">
        <v>331852.5</v>
      </c>
      <c r="AJ569" s="260">
        <v>344595</v>
      </c>
      <c r="AK569" s="260">
        <v>343740</v>
      </c>
      <c r="AL569" s="260">
        <v>349830</v>
      </c>
      <c r="AM569" s="260">
        <v>351578.16899999999</v>
      </c>
      <c r="AN569" s="260">
        <v>350493.60524999996</v>
      </c>
      <c r="AO569" s="260">
        <v>346581.696</v>
      </c>
      <c r="AP569" s="260">
        <v>347628.86099999998</v>
      </c>
      <c r="AQ569" s="260">
        <v>340084.336365</v>
      </c>
      <c r="AR569" s="260">
        <v>343365.40350000001</v>
      </c>
      <c r="AS569" s="260">
        <v>340653.39574499993</v>
      </c>
      <c r="AT569" s="260">
        <v>346731.29099999997</v>
      </c>
      <c r="AU569" s="260">
        <v>344487.36599999998</v>
      </c>
      <c r="AV569" s="260">
        <f ca="1">Calc!F67</f>
        <v>344487.36599999998</v>
      </c>
      <c r="AX569" s="86" t="str">
        <f t="shared" ref="AX569:AX598" ca="1" si="47">A69</f>
        <v>SAFAMZN</v>
      </c>
      <c r="AY569" s="79">
        <f ca="1">Tab2MarketValue[[#This Row],[M_Val20]]-Tab2MarketValue[[#This Row],[M_Val19]]</f>
        <v>0</v>
      </c>
    </row>
    <row r="570" spans="1:51" hidden="1">
      <c r="A570" s="86" t="str">
        <f t="shared" ref="A570:A597" ca="1" si="48">A70</f>
        <v>SAFASML</v>
      </c>
      <c r="F570" s="255">
        <v>34.810200000000002</v>
      </c>
      <c r="G570" s="255">
        <v>34.376300000000001</v>
      </c>
      <c r="H570" s="255">
        <v>33.435600000000001</v>
      </c>
      <c r="I570" s="255">
        <v>33.5623</v>
      </c>
      <c r="J570" s="255">
        <v>32.997900000000001</v>
      </c>
      <c r="K570" s="255">
        <v>34.042299999999997</v>
      </c>
      <c r="L570" s="255">
        <v>34.165100000000002</v>
      </c>
      <c r="M570" s="255">
        <v>32.022599999999997</v>
      </c>
      <c r="N570" s="255">
        <v>33.032400000000003</v>
      </c>
      <c r="O570" s="255">
        <v>34.449300000000001</v>
      </c>
      <c r="P570" s="255">
        <v>34.6873</v>
      </c>
      <c r="Q570" s="255">
        <v>35.582000000000001</v>
      </c>
      <c r="R570" s="255">
        <v>36.058100000000003</v>
      </c>
      <c r="S570" s="255">
        <v>36.718499999999999</v>
      </c>
      <c r="T570" s="255">
        <v>36.991100000000003</v>
      </c>
      <c r="U570" s="255">
        <v>36.756900000000002</v>
      </c>
      <c r="V570" s="255">
        <v>36.537999999999997</v>
      </c>
      <c r="W570" s="255">
        <v>36.587899999999998</v>
      </c>
      <c r="X570" s="255">
        <v>36.323</v>
      </c>
      <c r="Y570" s="255">
        <v>36.127200000000002</v>
      </c>
      <c r="Z570" s="1070">
        <f ca="1">[1]ExtEntry!$K68</f>
        <v>36.127200000000002</v>
      </c>
      <c r="AB570" s="263">
        <v>226650</v>
      </c>
      <c r="AC570" s="263">
        <v>223825</v>
      </c>
      <c r="AD570" s="263">
        <v>217700</v>
      </c>
      <c r="AE570" s="263">
        <v>218525</v>
      </c>
      <c r="AF570" s="263">
        <v>214850</v>
      </c>
      <c r="AG570" s="263">
        <v>221650</v>
      </c>
      <c r="AH570" s="263">
        <v>222450</v>
      </c>
      <c r="AI570" s="263">
        <v>208500</v>
      </c>
      <c r="AJ570" s="263">
        <v>227325</v>
      </c>
      <c r="AK570" s="263">
        <v>224300</v>
      </c>
      <c r="AL570" s="263">
        <v>225850</v>
      </c>
      <c r="AM570" s="263">
        <v>231049.47749999998</v>
      </c>
      <c r="AN570" s="263">
        <v>234141.10749999998</v>
      </c>
      <c r="AO570" s="263">
        <v>0</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0</v>
      </c>
      <c r="H571" s="255">
        <v>0</v>
      </c>
      <c r="I571" s="255">
        <v>99</v>
      </c>
      <c r="J571" s="255">
        <v>99</v>
      </c>
      <c r="K571" s="255">
        <v>0</v>
      </c>
      <c r="L571" s="255">
        <v>0</v>
      </c>
      <c r="M571" s="255">
        <v>0</v>
      </c>
      <c r="N571" s="255">
        <v>99</v>
      </c>
      <c r="O571" s="255">
        <v>0</v>
      </c>
      <c r="P571" s="255">
        <v>99</v>
      </c>
      <c r="Q571" s="255">
        <v>99</v>
      </c>
      <c r="R571" s="255">
        <v>99</v>
      </c>
      <c r="S571" s="255">
        <v>0</v>
      </c>
      <c r="T571" s="255">
        <v>99</v>
      </c>
      <c r="U571" s="255">
        <v>0</v>
      </c>
      <c r="V571" s="255">
        <v>99</v>
      </c>
      <c r="W571" s="255">
        <v>0</v>
      </c>
      <c r="X571" s="255">
        <v>99</v>
      </c>
      <c r="Y571" s="255">
        <v>0</v>
      </c>
      <c r="Z571" s="1070">
        <f ca="1">[1]ExtEntry!$K69</f>
        <v>0</v>
      </c>
      <c r="AB571" s="260">
        <v>286000</v>
      </c>
      <c r="AC571" s="260">
        <v>249150</v>
      </c>
      <c r="AD571" s="260">
        <v>244750</v>
      </c>
      <c r="AE571" s="260">
        <v>237600.00000000003</v>
      </c>
      <c r="AF571" s="260">
        <v>228800</v>
      </c>
      <c r="AG571" s="260">
        <v>224950</v>
      </c>
      <c r="AH571" s="260">
        <v>206800</v>
      </c>
      <c r="AI571" s="260">
        <v>213950</v>
      </c>
      <c r="AJ571" s="260">
        <v>223850.00000000003</v>
      </c>
      <c r="AK571" s="260">
        <v>225499.99999999997</v>
      </c>
      <c r="AL571" s="260">
        <v>228800</v>
      </c>
      <c r="AM571" s="260">
        <v>219954.51499999998</v>
      </c>
      <c r="AN571" s="260">
        <v>224891.14999999997</v>
      </c>
      <c r="AO571" s="260">
        <v>227633.72500000003</v>
      </c>
      <c r="AP571" s="260">
        <v>241346.60000000003</v>
      </c>
      <c r="AQ571" s="260">
        <v>244089.17499999999</v>
      </c>
      <c r="AR571" s="260">
        <v>236958.48</v>
      </c>
      <c r="AS571" s="260">
        <v>193625.79499999998</v>
      </c>
      <c r="AT571" s="260">
        <v>194174.31</v>
      </c>
      <c r="AU571" s="260">
        <v>215566.39499999999</v>
      </c>
      <c r="AV571" s="260">
        <f ca="1">Calc!F69</f>
        <v>215566.39499999999</v>
      </c>
      <c r="AX571" s="86" t="str">
        <f t="shared" ca="1" si="47"/>
        <v>SAFDDD</v>
      </c>
      <c r="AY571" s="79">
        <f ca="1">Tab2MarketValue[[#This Row],[M_Val20]]-Tab2MarketValue[[#This Row],[M_Val19]]</f>
        <v>0</v>
      </c>
    </row>
    <row r="572" spans="1:51" hidden="1">
      <c r="A572" s="86" t="str">
        <f t="shared" ca="1" si="48"/>
        <v>SAFDIS</v>
      </c>
      <c r="F572" s="255">
        <v>17.4558</v>
      </c>
      <c r="G572" s="255">
        <v>17.270800000000001</v>
      </c>
      <c r="H572" s="255">
        <v>17.360199999999999</v>
      </c>
      <c r="I572" s="255">
        <v>15.4414</v>
      </c>
      <c r="J572" s="255">
        <v>15.5115</v>
      </c>
      <c r="K572" s="255">
        <v>15.368399999999999</v>
      </c>
      <c r="L572" s="255">
        <v>15.0138</v>
      </c>
      <c r="M572" s="255">
        <v>15.244400000000001</v>
      </c>
      <c r="N572" s="255">
        <v>15.1561</v>
      </c>
      <c r="O572" s="255">
        <v>15.077999999999999</v>
      </c>
      <c r="P572" s="255">
        <v>15.247299999999999</v>
      </c>
      <c r="Q572" s="255">
        <v>15.534800000000001</v>
      </c>
      <c r="R572" s="255">
        <v>15.321</v>
      </c>
      <c r="S572" s="255">
        <v>15.283799999999999</v>
      </c>
      <c r="T572" s="255">
        <v>15.4312</v>
      </c>
      <c r="U572" s="255">
        <v>15.3203</v>
      </c>
      <c r="V572" s="255">
        <v>15.3933</v>
      </c>
      <c r="W572" s="255">
        <v>15.572800000000001</v>
      </c>
      <c r="X572" s="255">
        <v>15.883599999999999</v>
      </c>
      <c r="Y572" s="255">
        <v>16.270399999999999</v>
      </c>
      <c r="Z572" s="1070">
        <f ca="1">[1]ExtEntry!$K70</f>
        <v>16.270399999999999</v>
      </c>
      <c r="AB572" s="263">
        <v>133608</v>
      </c>
      <c r="AC572" s="263">
        <v>132192</v>
      </c>
      <c r="AD572" s="263">
        <v>132876</v>
      </c>
      <c r="AE572" s="263">
        <v>126960</v>
      </c>
      <c r="AF572" s="263">
        <v>127536</v>
      </c>
      <c r="AG572" s="263">
        <v>126360</v>
      </c>
      <c r="AH572" s="263">
        <v>123444</v>
      </c>
      <c r="AI572" s="263">
        <v>125340</v>
      </c>
      <c r="AJ572" s="263">
        <v>124614</v>
      </c>
      <c r="AK572" s="263">
        <v>124116.00000000001</v>
      </c>
      <c r="AL572" s="263">
        <v>125364</v>
      </c>
      <c r="AM572" s="263">
        <v>127383.1344</v>
      </c>
      <c r="AN572" s="263">
        <v>125629.88099999999</v>
      </c>
      <c r="AO572" s="263">
        <v>125324.70719999999</v>
      </c>
      <c r="AP572" s="263">
        <v>126533.4348</v>
      </c>
      <c r="AQ572" s="263">
        <v>125624.01687599999</v>
      </c>
      <c r="AR572" s="263">
        <v>125935.0548</v>
      </c>
      <c r="AS572" s="263">
        <v>127694.292</v>
      </c>
      <c r="AT572" s="263">
        <v>130243.39079999999</v>
      </c>
      <c r="AU572" s="263">
        <v>133414.80479999998</v>
      </c>
      <c r="AV572" s="260">
        <f ca="1">Calc!F70</f>
        <v>133414.80479999998</v>
      </c>
      <c r="AX572" s="86" t="str">
        <f t="shared" ca="1" si="47"/>
        <v>SAFDIS</v>
      </c>
      <c r="AY572" s="79">
        <f ca="1">Tab2MarketValue[[#This Row],[M_Val20]]-Tab2MarketValue[[#This Row],[M_Val19]]</f>
        <v>0</v>
      </c>
    </row>
    <row r="573" spans="1:51" hidden="1">
      <c r="A573" s="86" t="str">
        <f t="shared" ca="1" si="48"/>
        <v>SAFGM</v>
      </c>
      <c r="F573" s="255">
        <v>13.228999999999999</v>
      </c>
      <c r="G573" s="255">
        <v>13.2559</v>
      </c>
      <c r="H573" s="255">
        <v>13.5906</v>
      </c>
      <c r="I573" s="255">
        <v>13.563599999999999</v>
      </c>
      <c r="J573" s="255">
        <v>13.0655</v>
      </c>
      <c r="K573" s="255">
        <v>13.2934</v>
      </c>
      <c r="L573" s="255">
        <v>13.1419</v>
      </c>
      <c r="M573" s="255">
        <v>13.5078</v>
      </c>
      <c r="N573" s="255">
        <v>14.0618</v>
      </c>
      <c r="O573" s="255">
        <v>13.9984</v>
      </c>
      <c r="P573" s="255">
        <v>14.140599999999999</v>
      </c>
      <c r="Q573" s="255">
        <v>14.1532</v>
      </c>
      <c r="R573" s="255">
        <v>14.157</v>
      </c>
      <c r="S573" s="255">
        <v>14.291600000000001</v>
      </c>
      <c r="T573" s="255">
        <v>14.3657</v>
      </c>
      <c r="U573" s="255">
        <v>14.6282</v>
      </c>
      <c r="V573" s="255">
        <v>14.452299999999999</v>
      </c>
      <c r="W573" s="255">
        <v>14.7638</v>
      </c>
      <c r="X573" s="255">
        <v>15.5418</v>
      </c>
      <c r="Y573" s="255">
        <v>15.5495</v>
      </c>
      <c r="Z573" s="1070">
        <f ca="1">[1]ExtEntry!$K71</f>
        <v>15.5495</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7.6527000000000003</v>
      </c>
      <c r="G574" s="255">
        <v>7.4599000000000002</v>
      </c>
      <c r="H574" s="255">
        <v>6.6745000000000001</v>
      </c>
      <c r="I574" s="255">
        <v>7.1302000000000003</v>
      </c>
      <c r="J574" s="255">
        <v>6.6725000000000003</v>
      </c>
      <c r="K574" s="255">
        <v>6.8258000000000001</v>
      </c>
      <c r="L574" s="255">
        <v>6.8761999999999999</v>
      </c>
      <c r="M574" s="255">
        <v>6.8258000000000001</v>
      </c>
      <c r="N574" s="255">
        <v>7.1914999999999996</v>
      </c>
      <c r="O574" s="255">
        <v>7.1914999999999996</v>
      </c>
      <c r="P574" s="255">
        <v>7.1393000000000004</v>
      </c>
      <c r="Q574" s="255">
        <v>7.1032000000000002</v>
      </c>
      <c r="R574" s="255">
        <v>7.0132000000000003</v>
      </c>
      <c r="S574" s="255">
        <v>7.0654000000000003</v>
      </c>
      <c r="T574" s="255">
        <v>7.0456000000000003</v>
      </c>
      <c r="U574" s="255">
        <v>6.9897</v>
      </c>
      <c r="V574" s="255">
        <v>6.9645000000000001</v>
      </c>
      <c r="W574" s="255">
        <v>6.9861000000000004</v>
      </c>
      <c r="X574" s="255">
        <v>6.9591000000000003</v>
      </c>
      <c r="Y574" s="255">
        <v>7.1555</v>
      </c>
      <c r="Z574" s="1070">
        <f ca="1">[1]ExtEntry!$K72</f>
        <v>7.1555</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117800</v>
      </c>
      <c r="AC575" s="260">
        <v>120525</v>
      </c>
      <c r="AD575" s="260">
        <v>122625</v>
      </c>
      <c r="AE575" s="260">
        <v>123850</v>
      </c>
      <c r="AF575" s="260">
        <v>124600.00000000001</v>
      </c>
      <c r="AG575" s="260">
        <v>121400</v>
      </c>
      <c r="AH575" s="260">
        <v>113950</v>
      </c>
      <c r="AI575" s="260">
        <v>117475</v>
      </c>
      <c r="AJ575" s="260">
        <v>124625</v>
      </c>
      <c r="AK575" s="260">
        <v>125050.00000000001</v>
      </c>
      <c r="AL575" s="260">
        <v>129900</v>
      </c>
      <c r="AM575" s="260">
        <v>121820.19499999999</v>
      </c>
      <c r="AN575" s="260">
        <v>120025.05499999999</v>
      </c>
      <c r="AO575" s="260">
        <v>122444.00615</v>
      </c>
      <c r="AP575" s="260">
        <v>125515.1915</v>
      </c>
      <c r="AQ575" s="260">
        <v>128626.76750000002</v>
      </c>
      <c r="AR575" s="260">
        <v>138126.04999999999</v>
      </c>
      <c r="AS575" s="260">
        <v>141282.50449999998</v>
      </c>
      <c r="AT575" s="260">
        <v>144758.095</v>
      </c>
      <c r="AU575" s="260">
        <v>147749.995</v>
      </c>
      <c r="AV575" s="260">
        <f ca="1">Calc!F73</f>
        <v>147749.995</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196800</v>
      </c>
      <c r="AC576" s="263">
        <v>180600</v>
      </c>
      <c r="AD576" s="263">
        <v>190788</v>
      </c>
      <c r="AE576" s="263">
        <v>169200</v>
      </c>
      <c r="AF576" s="263">
        <v>169200</v>
      </c>
      <c r="AG576" s="263">
        <v>163800</v>
      </c>
      <c r="AH576" s="263">
        <v>161400</v>
      </c>
      <c r="AI576" s="263">
        <v>154200</v>
      </c>
      <c r="AJ576" s="263">
        <v>154200</v>
      </c>
      <c r="AK576" s="263">
        <v>153600</v>
      </c>
      <c r="AL576" s="263">
        <v>157200</v>
      </c>
      <c r="AM576" s="263">
        <v>153783.66</v>
      </c>
      <c r="AN576" s="263">
        <v>151390.13999999998</v>
      </c>
      <c r="AO576" s="263">
        <v>150193.38</v>
      </c>
      <c r="AP576" s="263">
        <v>161562.6</v>
      </c>
      <c r="AQ576" s="263">
        <v>168144.78</v>
      </c>
      <c r="AR576" s="263">
        <v>143611.19999999998</v>
      </c>
      <c r="AS576" s="263">
        <v>121471.13999999998</v>
      </c>
      <c r="AT576" s="263">
        <v>112950.20879999999</v>
      </c>
      <c r="AU576" s="263">
        <v>106009.00079999999</v>
      </c>
      <c r="AV576" s="260">
        <f ca="1">Calc!F74</f>
        <v>106009.00079999999</v>
      </c>
      <c r="AX576" s="86" t="str">
        <f t="shared" ca="1" si="47"/>
        <v>BLNK</v>
      </c>
      <c r="AY576" s="79">
        <f ca="1">Tab2MarketValue[[#This Row],[M_Val20]]-Tab2MarketValue[[#This Row],[M_Val19]]</f>
        <v>0</v>
      </c>
    </row>
    <row r="577" spans="1:70" hidden="1">
      <c r="A577" s="86" t="str">
        <f t="shared" ca="1" si="48"/>
        <v>ENI</v>
      </c>
      <c r="F577" s="255">
        <v>17.634499999999999</v>
      </c>
      <c r="G577" s="255">
        <v>17.612400000000001</v>
      </c>
      <c r="H577" s="255">
        <v>17.5947</v>
      </c>
      <c r="I577" s="255">
        <v>18.175599999999999</v>
      </c>
      <c r="J577" s="255">
        <v>18.067399999999999</v>
      </c>
      <c r="K577" s="255">
        <v>17.910499999999999</v>
      </c>
      <c r="L577" s="255">
        <v>17.996700000000001</v>
      </c>
      <c r="M577" s="255">
        <v>17.7758</v>
      </c>
      <c r="N577" s="255">
        <v>17.316400000000002</v>
      </c>
      <c r="O577" s="255">
        <v>17.592500000000001</v>
      </c>
      <c r="P577" s="255">
        <v>17.8156</v>
      </c>
      <c r="Q577" s="255">
        <v>17.866399999999999</v>
      </c>
      <c r="R577" s="255">
        <v>17.877400000000002</v>
      </c>
      <c r="S577" s="255">
        <v>18.009899999999998</v>
      </c>
      <c r="T577" s="255">
        <v>18.058499999999999</v>
      </c>
      <c r="U577" s="255">
        <v>18.0563</v>
      </c>
      <c r="V577" s="255">
        <v>17.782399999999999</v>
      </c>
      <c r="W577" s="255">
        <v>17.789100000000001</v>
      </c>
      <c r="X577" s="255">
        <v>17.685300000000002</v>
      </c>
      <c r="Y577" s="255">
        <v>17.563800000000001</v>
      </c>
      <c r="Z577" s="1070">
        <f ca="1">[1]ExtEntry!$K75</f>
        <v>17.563800000000001</v>
      </c>
      <c r="AB577" s="260">
        <v>271456</v>
      </c>
      <c r="AC577" s="260">
        <v>271116</v>
      </c>
      <c r="AD577" s="260">
        <v>270844</v>
      </c>
      <c r="AE577" s="260">
        <v>280058</v>
      </c>
      <c r="AF577" s="260">
        <v>278120</v>
      </c>
      <c r="AG577" s="260">
        <v>275706</v>
      </c>
      <c r="AH577" s="260">
        <v>277032</v>
      </c>
      <c r="AI577" s="260">
        <v>273632</v>
      </c>
      <c r="AJ577" s="260">
        <v>239790</v>
      </c>
      <c r="AK577" s="260">
        <v>238950</v>
      </c>
      <c r="AL577" s="260">
        <v>241980.00000000003</v>
      </c>
      <c r="AM577" s="260">
        <v>242014.791</v>
      </c>
      <c r="AN577" s="260">
        <v>242164.38599999997</v>
      </c>
      <c r="AO577" s="260">
        <v>162639.68400000001</v>
      </c>
      <c r="AP577" s="260">
        <v>163078.49599999998</v>
      </c>
      <c r="AQ577" s="260">
        <v>163058.54999999999</v>
      </c>
      <c r="AR577" s="260">
        <v>160585.24599999998</v>
      </c>
      <c r="AS577" s="260">
        <v>160645.084</v>
      </c>
      <c r="AT577" s="260">
        <v>159707.622</v>
      </c>
      <c r="AU577" s="260">
        <v>158610.592</v>
      </c>
      <c r="AV577" s="260">
        <f ca="1">Calc!F75</f>
        <v>158610.592</v>
      </c>
      <c r="AX577" s="86" t="str">
        <f t="shared" ca="1" si="47"/>
        <v>ENI</v>
      </c>
      <c r="AY577" s="79">
        <f ca="1">Tab2MarketValue[[#This Row],[M_Val20]]-Tab2MarketValue[[#This Row],[M_Val19]]</f>
        <v>0</v>
      </c>
    </row>
    <row r="578" spans="1:70" hidden="1">
      <c r="A578" s="86" t="str">
        <f t="shared" ca="1" si="48"/>
        <v>EZJ</v>
      </c>
      <c r="F578" s="255">
        <v>8.7754999999999992</v>
      </c>
      <c r="G578" s="255">
        <v>8.6453000000000007</v>
      </c>
      <c r="H578" s="255">
        <v>8.5350000000000001</v>
      </c>
      <c r="I578" s="255">
        <v>8.6272000000000002</v>
      </c>
      <c r="J578" s="255">
        <v>8.2075999999999993</v>
      </c>
      <c r="K578" s="255">
        <v>8.3849</v>
      </c>
      <c r="L578" s="255">
        <v>8.3034999999999997</v>
      </c>
      <c r="M578" s="255">
        <v>8.3812999999999995</v>
      </c>
      <c r="N578" s="255">
        <v>7.3371000000000004</v>
      </c>
      <c r="O578" s="255">
        <v>7.3371000000000004</v>
      </c>
      <c r="P578" s="255">
        <v>7.5815999999999999</v>
      </c>
      <c r="Q578" s="255">
        <v>7.4343000000000004</v>
      </c>
      <c r="R578" s="255">
        <v>7.4828999999999999</v>
      </c>
      <c r="S578" s="255">
        <v>7.4267000000000003</v>
      </c>
      <c r="T578" s="255">
        <v>7.3643999999999998</v>
      </c>
      <c r="U578" s="255">
        <v>7.4130000000000003</v>
      </c>
      <c r="V578" s="255">
        <v>7.4419000000000004</v>
      </c>
      <c r="W578" s="255">
        <v>7.2686999999999999</v>
      </c>
      <c r="X578" s="255">
        <v>7.2367999999999997</v>
      </c>
      <c r="Y578" s="255">
        <v>7.3674999999999997</v>
      </c>
      <c r="Z578" s="1070">
        <f ca="1">[1]ExtEntry!$K76</f>
        <v>7.3674999999999997</v>
      </c>
      <c r="AB578" s="263">
        <v>145230</v>
      </c>
      <c r="AC578" s="263">
        <v>143550</v>
      </c>
      <c r="AD578" s="263">
        <v>141420</v>
      </c>
      <c r="AE578" s="263">
        <v>140760</v>
      </c>
      <c r="AF578" s="263">
        <v>136140</v>
      </c>
      <c r="AG578" s="263">
        <v>138630</v>
      </c>
      <c r="AH578" s="263">
        <v>137400</v>
      </c>
      <c r="AI578" s="263">
        <v>139140</v>
      </c>
      <c r="AJ578" s="263">
        <v>144900</v>
      </c>
      <c r="AK578" s="263">
        <v>145500</v>
      </c>
      <c r="AL578" s="263">
        <v>149820</v>
      </c>
      <c r="AM578" s="263">
        <v>147650.26500000001</v>
      </c>
      <c r="AN578" s="263">
        <v>147380.99400000001</v>
      </c>
      <c r="AO578" s="263">
        <v>146273.99100000001</v>
      </c>
      <c r="AP578" s="263">
        <v>145256.745</v>
      </c>
      <c r="AQ578" s="263">
        <v>146363.74799999999</v>
      </c>
      <c r="AR578" s="263">
        <v>146513.34299999999</v>
      </c>
      <c r="AS578" s="263">
        <v>143102.57699999999</v>
      </c>
      <c r="AT578" s="263">
        <v>142534.11600000001</v>
      </c>
      <c r="AU578" s="263">
        <v>145137.06900000002</v>
      </c>
      <c r="AV578" s="260">
        <f ca="1">Calc!F76</f>
        <v>145137.06900000002</v>
      </c>
      <c r="AX578" s="86" t="str">
        <f t="shared" ca="1" si="47"/>
        <v>EZJ</v>
      </c>
      <c r="AY578" s="79">
        <f ca="1">Tab2MarketValue[[#This Row],[M_Val20]]-Tab2MarketValue[[#This Row],[M_Val19]]</f>
        <v>0</v>
      </c>
    </row>
    <row r="579" spans="1:70" hidden="1">
      <c r="A579" s="86" t="str">
        <f t="shared" ca="1" si="48"/>
        <v>F</v>
      </c>
      <c r="F579" s="255">
        <v>11.279500000000001</v>
      </c>
      <c r="G579" s="255">
        <v>11.2972</v>
      </c>
      <c r="H579" s="255">
        <v>11.339600000000001</v>
      </c>
      <c r="I579" s="255">
        <v>11.331</v>
      </c>
      <c r="J579" s="255">
        <v>11.1805</v>
      </c>
      <c r="K579" s="255">
        <v>11.1593</v>
      </c>
      <c r="L579" s="255">
        <v>10.7514</v>
      </c>
      <c r="M579" s="255">
        <v>11.047700000000001</v>
      </c>
      <c r="N579" s="255">
        <v>11.365399999999999</v>
      </c>
      <c r="O579" s="255">
        <v>11.3093</v>
      </c>
      <c r="P579" s="255">
        <v>11.378299999999999</v>
      </c>
      <c r="Q579" s="255">
        <v>11.374000000000001</v>
      </c>
      <c r="R579" s="255">
        <v>11.129200000000001</v>
      </c>
      <c r="S579" s="255">
        <v>11.154999999999999</v>
      </c>
      <c r="T579" s="255">
        <v>11.2538</v>
      </c>
      <c r="U579" s="255">
        <v>11.2323</v>
      </c>
      <c r="V579" s="255">
        <v>11.2835</v>
      </c>
      <c r="W579" s="255">
        <v>11.305300000000001</v>
      </c>
      <c r="X579" s="255">
        <v>11.5114</v>
      </c>
      <c r="Y579" s="255">
        <v>11.7003</v>
      </c>
      <c r="Z579" s="1070">
        <f ca="1">[1]ExtEntry!$K77</f>
        <v>11.7003</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8.7401999999999997</v>
      </c>
      <c r="G580" s="255">
        <v>8.7498000000000005</v>
      </c>
      <c r="H580" s="255">
        <v>8.7498000000000005</v>
      </c>
      <c r="I580" s="255">
        <v>9.2847000000000008</v>
      </c>
      <c r="J580" s="255">
        <v>8.9963999999999995</v>
      </c>
      <c r="K580" s="255">
        <v>9.0989000000000004</v>
      </c>
      <c r="L580" s="255">
        <v>9.1950000000000003</v>
      </c>
      <c r="M580" s="255">
        <v>9.0541</v>
      </c>
      <c r="N580" s="255">
        <v>9.5281000000000002</v>
      </c>
      <c r="O580" s="255">
        <v>9.5921000000000003</v>
      </c>
      <c r="P580" s="255">
        <v>9.5984999999999996</v>
      </c>
      <c r="Q580" s="255">
        <v>9.5984999999999996</v>
      </c>
      <c r="R580" s="255">
        <v>9.5632999999999999</v>
      </c>
      <c r="S580" s="255">
        <v>9.7105999999999995</v>
      </c>
      <c r="T580" s="255">
        <v>9.6913999999999998</v>
      </c>
      <c r="U580" s="255">
        <v>10.0085</v>
      </c>
      <c r="V580" s="255">
        <v>9.8547999999999991</v>
      </c>
      <c r="W580" s="255">
        <v>10.0725</v>
      </c>
      <c r="X580" s="255">
        <v>10.0725</v>
      </c>
      <c r="Y580" s="255">
        <v>10.3063</v>
      </c>
      <c r="Z580" s="1070">
        <f ca="1">[1]ExtEntry!$K78</f>
        <v>10.3063</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30.288799999999998</v>
      </c>
      <c r="G581" s="255">
        <v>29.213799999999999</v>
      </c>
      <c r="H581" s="255">
        <v>29.421199999999999</v>
      </c>
      <c r="I581" s="255">
        <v>28.753299999999999</v>
      </c>
      <c r="J581" s="255">
        <v>27.107600000000001</v>
      </c>
      <c r="K581" s="255">
        <v>27.950299999999999</v>
      </c>
      <c r="L581" s="255">
        <v>26.9742</v>
      </c>
      <c r="M581" s="255">
        <v>27.995999999999999</v>
      </c>
      <c r="N581" s="255">
        <v>28.5459</v>
      </c>
      <c r="O581" s="255">
        <v>28.2683</v>
      </c>
      <c r="P581" s="255">
        <v>28.8522</v>
      </c>
      <c r="Q581" s="255">
        <v>28.797000000000001</v>
      </c>
      <c r="R581" s="255">
        <v>29.546800000000001</v>
      </c>
      <c r="S581" s="255">
        <v>30.2257</v>
      </c>
      <c r="T581" s="255">
        <v>30.293600000000001</v>
      </c>
      <c r="U581" s="255">
        <v>31.285900000000002</v>
      </c>
      <c r="V581" s="255">
        <v>31.061599999999999</v>
      </c>
      <c r="W581" s="255">
        <v>30.801200000000001</v>
      </c>
      <c r="X581" s="255">
        <v>31.704499999999999</v>
      </c>
      <c r="Y581" s="255">
        <v>31.915700000000001</v>
      </c>
      <c r="Z581" s="1070">
        <f ca="1">[1]ExtEntry!$K79</f>
        <v>31.915700000000001</v>
      </c>
      <c r="AB581" s="260">
        <v>143262</v>
      </c>
      <c r="AC581" s="260">
        <v>138177</v>
      </c>
      <c r="AD581" s="260">
        <v>139158</v>
      </c>
      <c r="AE581" s="260">
        <v>135999</v>
      </c>
      <c r="AF581" s="260">
        <v>128214</v>
      </c>
      <c r="AG581" s="260">
        <v>132201</v>
      </c>
      <c r="AH581" s="260">
        <v>127583.99999999999</v>
      </c>
      <c r="AI581" s="260">
        <v>132417</v>
      </c>
      <c r="AJ581" s="260">
        <v>135018</v>
      </c>
      <c r="AK581" s="260">
        <v>133956</v>
      </c>
      <c r="AL581" s="260">
        <v>136467</v>
      </c>
      <c r="AM581" s="260">
        <v>135838.2438</v>
      </c>
      <c r="AN581" s="260">
        <v>139374.66959999999</v>
      </c>
      <c r="AO581" s="260">
        <v>142577.37887399999</v>
      </c>
      <c r="AP581" s="260">
        <v>142897.63185000001</v>
      </c>
      <c r="AQ581" s="260">
        <v>147578.45939999999</v>
      </c>
      <c r="AR581" s="260">
        <v>145684.58669999999</v>
      </c>
      <c r="AS581" s="260">
        <v>145291.899825</v>
      </c>
      <c r="AT581" s="260">
        <v>149553.1134</v>
      </c>
      <c r="AU581" s="260">
        <v>150549.4161</v>
      </c>
      <c r="AV581" s="260">
        <f ca="1">Calc!F79</f>
        <v>150549.4161</v>
      </c>
      <c r="AX581" s="86" t="str">
        <f t="shared" ca="1" si="47"/>
        <v>GNRC</v>
      </c>
      <c r="AY581" s="79">
        <f ca="1">Tab2MarketValue[[#This Row],[M_Val20]]-Tab2MarketValue[[#This Row],[M_Val19]]</f>
        <v>0</v>
      </c>
    </row>
    <row r="582" spans="1:70" hidden="1">
      <c r="A582" s="86" t="str">
        <f t="shared" ca="1" si="48"/>
        <v>GS</v>
      </c>
      <c r="F582" s="255">
        <v>16.1112</v>
      </c>
      <c r="G582" s="255">
        <v>15.9946</v>
      </c>
      <c r="H582" s="255">
        <v>15.9537</v>
      </c>
      <c r="I582" s="255">
        <v>16.0578</v>
      </c>
      <c r="J582" s="255">
        <v>15.7697</v>
      </c>
      <c r="K582" s="255">
        <v>15.863</v>
      </c>
      <c r="L582" s="255">
        <v>15.8055</v>
      </c>
      <c r="M582" s="255">
        <v>15.792299999999999</v>
      </c>
      <c r="N582" s="255">
        <v>16.574100000000001</v>
      </c>
      <c r="O582" s="255">
        <v>16.298300000000001</v>
      </c>
      <c r="P582" s="255">
        <v>16.7729</v>
      </c>
      <c r="Q582" s="255">
        <v>16.5213</v>
      </c>
      <c r="R582" s="255">
        <v>16.548500000000001</v>
      </c>
      <c r="S582" s="255">
        <v>16.744299999999999</v>
      </c>
      <c r="T582" s="255">
        <v>16.995899999999999</v>
      </c>
      <c r="U582" s="255">
        <v>16.993200000000002</v>
      </c>
      <c r="V582" s="255">
        <v>17.019600000000001</v>
      </c>
      <c r="W582" s="255">
        <v>17.8432</v>
      </c>
      <c r="X582" s="255">
        <v>18.065200000000001</v>
      </c>
      <c r="Y582" s="255">
        <v>18.504799999999999</v>
      </c>
      <c r="Z582" s="1070">
        <f ca="1">[1]ExtEntry!$K80</f>
        <v>18.504799999999999</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19242.32</v>
      </c>
      <c r="AC583" s="260">
        <v>18440.039399999998</v>
      </c>
      <c r="AD583" s="260">
        <v>19319.91</v>
      </c>
      <c r="AE583" s="260">
        <v>15673.18</v>
      </c>
      <c r="AF583" s="260">
        <v>13440.139799999999</v>
      </c>
      <c r="AG583" s="260">
        <v>13745.8444</v>
      </c>
      <c r="AH583" s="260">
        <v>14332.424799999999</v>
      </c>
      <c r="AI583" s="260">
        <v>13589.1126</v>
      </c>
      <c r="AJ583" s="260">
        <v>12824.075200000001</v>
      </c>
      <c r="AK583" s="260">
        <v>12662.687999999998</v>
      </c>
      <c r="AL583" s="260">
        <v>14063.963400000001</v>
      </c>
      <c r="AM583" s="260">
        <v>13634.445333399999</v>
      </c>
      <c r="AN583" s="260">
        <v>12781.712146259999</v>
      </c>
      <c r="AO583" s="260">
        <v>12690.403147999998</v>
      </c>
      <c r="AP583" s="260">
        <v>13597.30269004</v>
      </c>
      <c r="AQ583" s="260">
        <v>16802.403289980004</v>
      </c>
      <c r="AR583" s="260">
        <v>14386.583861439998</v>
      </c>
      <c r="AS583" s="260">
        <v>13626.707282699997</v>
      </c>
      <c r="AT583" s="260">
        <v>13518.3745729</v>
      </c>
      <c r="AU583" s="260">
        <v>14953.009172679998</v>
      </c>
      <c r="AV583" s="260">
        <f ca="1">Calc!F81</f>
        <v>14953.009172679998</v>
      </c>
      <c r="AX583" s="86" t="str">
        <f t="shared" ca="1" si="47"/>
        <v>LAZR</v>
      </c>
      <c r="AY583" s="79">
        <f ca="1">Tab2MarketValue[[#This Row],[M_Val20]]-Tab2MarketValue[[#This Row],[M_Val19]]</f>
        <v>0</v>
      </c>
    </row>
    <row r="584" spans="1:70" hidden="1">
      <c r="A584" s="86" t="str">
        <f t="shared" ca="1" si="48"/>
        <v>LUV</v>
      </c>
      <c r="F584" s="255">
        <v>47.25</v>
      </c>
      <c r="G584" s="255">
        <v>47.003399999999999</v>
      </c>
      <c r="H584" s="255">
        <v>48.370899999999999</v>
      </c>
      <c r="I584" s="255">
        <v>49.073399999999999</v>
      </c>
      <c r="J584" s="255">
        <v>47.765700000000002</v>
      </c>
      <c r="K584" s="255">
        <v>47.556399999999996</v>
      </c>
      <c r="L584" s="255">
        <v>46.9437</v>
      </c>
      <c r="M584" s="255">
        <v>49.064399999999999</v>
      </c>
      <c r="N584" s="255">
        <v>52.503399999999999</v>
      </c>
      <c r="O584" s="255">
        <v>51.352600000000002</v>
      </c>
      <c r="P584" s="255">
        <v>52.047499999999999</v>
      </c>
      <c r="Q584" s="255">
        <v>52.1372</v>
      </c>
      <c r="R584" s="255">
        <v>52.9741</v>
      </c>
      <c r="S584" s="255">
        <v>53.116100000000003</v>
      </c>
      <c r="T584" s="255">
        <v>53.332799999999999</v>
      </c>
      <c r="U584" s="255">
        <v>53.616799999999998</v>
      </c>
      <c r="V584" s="255">
        <v>53.5197</v>
      </c>
      <c r="W584" s="255">
        <v>57.398000000000003</v>
      </c>
      <c r="X584" s="255">
        <v>57.0169</v>
      </c>
      <c r="Y584" s="255">
        <v>60.887799999999999</v>
      </c>
      <c r="Z584" s="1070">
        <f ca="1">[1]ExtEntry!$K82</f>
        <v>60.887799999999999</v>
      </c>
      <c r="AB584" s="263">
        <v>37938</v>
      </c>
      <c r="AC584" s="263">
        <v>37740</v>
      </c>
      <c r="AD584" s="263">
        <v>38838</v>
      </c>
      <c r="AE584" s="263">
        <v>39402</v>
      </c>
      <c r="AF584" s="263">
        <v>38352</v>
      </c>
      <c r="AG584" s="263">
        <v>38184</v>
      </c>
      <c r="AH584" s="263">
        <v>37692</v>
      </c>
      <c r="AI584" s="263">
        <v>39394.800000000003</v>
      </c>
      <c r="AJ584" s="263">
        <v>42156</v>
      </c>
      <c r="AK584" s="263">
        <v>42078</v>
      </c>
      <c r="AL584" s="263">
        <v>41790</v>
      </c>
      <c r="AM584" s="263">
        <v>41748.972600000001</v>
      </c>
      <c r="AN584" s="263">
        <v>42419.158199999998</v>
      </c>
      <c r="AO584" s="263">
        <v>42532.850399999996</v>
      </c>
      <c r="AP584" s="263">
        <v>42706.380599999997</v>
      </c>
      <c r="AQ584" s="263">
        <v>42933.764999999999</v>
      </c>
      <c r="AR584" s="263">
        <v>79228.503899999996</v>
      </c>
      <c r="AS584" s="263">
        <v>80432.743650000004</v>
      </c>
      <c r="AT584" s="263">
        <v>83406.692249999993</v>
      </c>
      <c r="AU584" s="263">
        <v>85323.004199999996</v>
      </c>
      <c r="AV584" s="260">
        <f ca="1">Calc!F82</f>
        <v>85323.004199999996</v>
      </c>
      <c r="AX584" s="86" t="str">
        <f t="shared" ca="1" si="47"/>
        <v>LUV</v>
      </c>
      <c r="AY584" s="79">
        <f ca="1">Tab2MarketValue[[#This Row],[M_Val20]]-Tab2MarketValue[[#This Row],[M_Val19]]</f>
        <v>0</v>
      </c>
    </row>
    <row r="585" spans="1:70" hidden="1">
      <c r="A585" s="86" t="str">
        <f t="shared" ca="1" si="48"/>
        <v>MA</v>
      </c>
      <c r="F585" s="255">
        <v>35.4069</v>
      </c>
      <c r="G585" s="255">
        <v>35.315399999999997</v>
      </c>
      <c r="H585" s="255">
        <v>35.249600000000001</v>
      </c>
      <c r="I585" s="255">
        <v>34.8934</v>
      </c>
      <c r="J585" s="255">
        <v>33.732999999999997</v>
      </c>
      <c r="K585" s="255">
        <v>33.6372</v>
      </c>
      <c r="L585" s="255">
        <v>34.252800000000001</v>
      </c>
      <c r="M585" s="255">
        <v>34.602499999999999</v>
      </c>
      <c r="N585" s="255">
        <v>35.004100000000001</v>
      </c>
      <c r="O585" s="255">
        <v>34.940800000000003</v>
      </c>
      <c r="P585" s="255">
        <v>35.171599999999998</v>
      </c>
      <c r="Q585" s="255">
        <v>35.069600000000001</v>
      </c>
      <c r="R585" s="255">
        <v>34.869100000000003</v>
      </c>
      <c r="S585" s="255">
        <v>35.166499999999999</v>
      </c>
      <c r="T585" s="255">
        <v>35.465699999999998</v>
      </c>
      <c r="U585" s="255">
        <v>34.691099999999999</v>
      </c>
      <c r="V585" s="255">
        <v>34.674799999999998</v>
      </c>
      <c r="W585" s="255">
        <v>34.488100000000003</v>
      </c>
      <c r="X585" s="255">
        <v>34.4529</v>
      </c>
      <c r="Y585" s="255">
        <v>36.034100000000002</v>
      </c>
      <c r="Z585" s="1070">
        <f ca="1">[1]ExtEntry!$K83</f>
        <v>36.034100000000002</v>
      </c>
      <c r="AB585" s="260">
        <v>110752</v>
      </c>
      <c r="AC585" s="260">
        <v>110466.00000000001</v>
      </c>
      <c r="AD585" s="260">
        <v>110259.99999999999</v>
      </c>
      <c r="AE585" s="260">
        <v>109146</v>
      </c>
      <c r="AF585" s="260">
        <v>105420</v>
      </c>
      <c r="AG585" s="260">
        <v>105216.5</v>
      </c>
      <c r="AH585" s="260">
        <v>107142</v>
      </c>
      <c r="AI585" s="260">
        <v>108235.99999999999</v>
      </c>
      <c r="AJ585" s="260">
        <v>109492</v>
      </c>
      <c r="AK585" s="260">
        <v>108985.99999999999</v>
      </c>
      <c r="AL585" s="260">
        <v>110016.00000000001</v>
      </c>
      <c r="AM585" s="260">
        <v>109400.81809999999</v>
      </c>
      <c r="AN585" s="260">
        <v>108775.511</v>
      </c>
      <c r="AO585" s="260">
        <v>109703</v>
      </c>
      <c r="AP585" s="260">
        <v>110636.47279999999</v>
      </c>
      <c r="AQ585" s="260">
        <v>108220.01490000001</v>
      </c>
      <c r="AR585" s="260">
        <v>108767.53259999998</v>
      </c>
      <c r="AS585" s="260">
        <v>107586.7294</v>
      </c>
      <c r="AT585" s="260">
        <v>107477.0264</v>
      </c>
      <c r="AU585" s="260">
        <v>112409.67220000002</v>
      </c>
      <c r="AV585" s="260">
        <f ca="1">Calc!F83</f>
        <v>112409.67220000002</v>
      </c>
      <c r="AX585" s="86" t="str">
        <f t="shared" ca="1" si="47"/>
        <v>MA</v>
      </c>
      <c r="AY585" s="79">
        <f ca="1">Tab2MarketValue[[#This Row],[M_Val20]]-Tab2MarketValue[[#This Row],[M_Val19]]</f>
        <v>0</v>
      </c>
    </row>
    <row r="586" spans="1:70" hidden="1">
      <c r="A586" s="86" t="str">
        <f t="shared" ca="1" si="48"/>
        <v>NVAX</v>
      </c>
      <c r="F586" s="255">
        <v>3.2835000000000001</v>
      </c>
      <c r="G586" s="255">
        <v>3.3666</v>
      </c>
      <c r="H586" s="255">
        <v>3.2393000000000001</v>
      </c>
      <c r="I586" s="255">
        <v>3.8752</v>
      </c>
      <c r="J586" s="255">
        <v>3.6528999999999998</v>
      </c>
      <c r="K586" s="255">
        <v>3.5554999999999999</v>
      </c>
      <c r="L586" s="255">
        <v>3.4666000000000001</v>
      </c>
      <c r="M586" s="255">
        <v>3.6</v>
      </c>
      <c r="N586" s="255">
        <v>3.8224</v>
      </c>
      <c r="O586" s="255">
        <v>3.7195999999999998</v>
      </c>
      <c r="P586" s="255">
        <v>3.9197000000000002</v>
      </c>
      <c r="Q586" s="255">
        <v>3.7667999999999999</v>
      </c>
      <c r="R586" s="255">
        <v>3.6722999999999999</v>
      </c>
      <c r="S586" s="255">
        <v>3.7667000000000002</v>
      </c>
      <c r="T586" s="255">
        <v>3.8029999999999999</v>
      </c>
      <c r="U586" s="255">
        <v>3.7946</v>
      </c>
      <c r="V586" s="255">
        <v>3.8140999999999998</v>
      </c>
      <c r="W586" s="255">
        <v>3.7806999999999999</v>
      </c>
      <c r="X586" s="255">
        <v>3.7473999999999998</v>
      </c>
      <c r="Y586" s="255">
        <v>3.7195999999999998</v>
      </c>
      <c r="Z586" s="1070">
        <f ca="1">[1]ExtEntry!$K84</f>
        <v>3.7195999999999998</v>
      </c>
      <c r="AB586" s="263">
        <v>49985</v>
      </c>
      <c r="AC586" s="263">
        <v>50050.65</v>
      </c>
      <c r="AD586" s="263">
        <v>48158.5</v>
      </c>
      <c r="AE586" s="263">
        <v>45305</v>
      </c>
      <c r="AF586" s="263">
        <v>29565</v>
      </c>
      <c r="AG586" s="263">
        <v>28777.499999999996</v>
      </c>
      <c r="AH586" s="263">
        <v>28057.5</v>
      </c>
      <c r="AI586" s="263">
        <v>29137.5</v>
      </c>
      <c r="AJ586" s="263">
        <v>30937.5</v>
      </c>
      <c r="AK586" s="263">
        <v>31275</v>
      </c>
      <c r="AL586" s="263">
        <v>31725</v>
      </c>
      <c r="AM586" s="263">
        <v>30405.18375</v>
      </c>
      <c r="AN586" s="263">
        <v>29642.249250000001</v>
      </c>
      <c r="AO586" s="263">
        <v>30403.837394999999</v>
      </c>
      <c r="AP586" s="263">
        <v>30696.894</v>
      </c>
      <c r="AQ586" s="263">
        <v>30629.576249999998</v>
      </c>
      <c r="AR586" s="263">
        <v>31011.0435</v>
      </c>
      <c r="AS586" s="263">
        <v>30517.379999999997</v>
      </c>
      <c r="AT586" s="263">
        <v>30248.109</v>
      </c>
      <c r="AU586" s="263">
        <v>30023.716499999999</v>
      </c>
      <c r="AV586" s="260">
        <f ca="1">Calc!F84</f>
        <v>30023.716499999999</v>
      </c>
      <c r="AX586" s="86" t="str">
        <f t="shared" ca="1" si="47"/>
        <v>NVAX</v>
      </c>
      <c r="AY586" s="79">
        <f ca="1">Tab2MarketValue[[#This Row],[M_Val20]]-Tab2MarketValue[[#This Row],[M_Val19]]</f>
        <v>0</v>
      </c>
    </row>
    <row r="587" spans="1:70" hidden="1">
      <c r="A587" s="86" t="str">
        <f t="shared" ca="1" si="48"/>
        <v>NVS</v>
      </c>
      <c r="F587" s="255">
        <v>17.163599999999999</v>
      </c>
      <c r="G587" s="255">
        <v>17.328399999999998</v>
      </c>
      <c r="H587" s="255">
        <v>17.293500000000002</v>
      </c>
      <c r="I587" s="255">
        <v>17.9513</v>
      </c>
      <c r="J587" s="255">
        <v>17.506900000000002</v>
      </c>
      <c r="K587" s="255">
        <v>17.346800000000002</v>
      </c>
      <c r="L587" s="255">
        <v>17.047999999999998</v>
      </c>
      <c r="M587" s="255">
        <v>17.443899999999999</v>
      </c>
      <c r="N587" s="255">
        <v>17.851500000000001</v>
      </c>
      <c r="O587" s="255">
        <v>17.814599999999999</v>
      </c>
      <c r="P587" s="255">
        <v>17.8337</v>
      </c>
      <c r="Q587" s="255">
        <v>17.694199999999999</v>
      </c>
      <c r="R587" s="255">
        <v>18.094899999999999</v>
      </c>
      <c r="S587" s="255">
        <v>18.327400000000001</v>
      </c>
      <c r="T587" s="255">
        <v>18.287700000000001</v>
      </c>
      <c r="U587" s="255">
        <v>18.220700000000001</v>
      </c>
      <c r="V587" s="255">
        <v>18.1113</v>
      </c>
      <c r="W587" s="255">
        <v>18.022400000000001</v>
      </c>
      <c r="X587" s="255">
        <v>17.941700000000001</v>
      </c>
      <c r="Y587" s="255">
        <v>18.101800000000001</v>
      </c>
      <c r="Z587" s="1070">
        <f ca="1">[1]ExtEntry!$K85</f>
        <v>18.101800000000001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43.319600000000001</v>
      </c>
      <c r="G588" s="255">
        <v>44.030299999999997</v>
      </c>
      <c r="H588" s="255">
        <v>44.741</v>
      </c>
      <c r="I588" s="255">
        <v>44.283000000000001</v>
      </c>
      <c r="J588" s="255">
        <v>43.240699999999997</v>
      </c>
      <c r="K588" s="255">
        <v>43.524999999999999</v>
      </c>
      <c r="L588" s="255">
        <v>43.524999999999999</v>
      </c>
      <c r="M588" s="255">
        <v>44.046100000000003</v>
      </c>
      <c r="N588" s="255">
        <v>44.156700000000001</v>
      </c>
      <c r="O588" s="255">
        <v>44.535699999999999</v>
      </c>
      <c r="P588" s="255">
        <v>44.82</v>
      </c>
      <c r="Q588" s="255">
        <v>44.677799999999998</v>
      </c>
      <c r="R588" s="255">
        <v>44.440899999999999</v>
      </c>
      <c r="S588" s="255">
        <v>44.4251</v>
      </c>
      <c r="T588" s="255">
        <v>44.440899999999999</v>
      </c>
      <c r="U588" s="255">
        <v>44.314599999999999</v>
      </c>
      <c r="V588" s="255">
        <v>44.314599999999999</v>
      </c>
      <c r="W588" s="255">
        <v>43.319600000000001</v>
      </c>
      <c r="X588" s="255">
        <v>43.319600000000001</v>
      </c>
      <c r="Y588" s="255">
        <v>43.382800000000003</v>
      </c>
      <c r="Z588" s="1070">
        <f ca="1">[1]ExtEntry!$K86</f>
        <v>43.382800000000003</v>
      </c>
      <c r="AB588" s="263">
        <v>16458</v>
      </c>
      <c r="AC588" s="263">
        <v>16728</v>
      </c>
      <c r="AD588" s="263">
        <v>16998</v>
      </c>
      <c r="AE588" s="263">
        <v>16824</v>
      </c>
      <c r="AF588" s="263">
        <v>16428</v>
      </c>
      <c r="AG588" s="263">
        <v>16536</v>
      </c>
      <c r="AH588" s="263">
        <v>16392</v>
      </c>
      <c r="AI588" s="263">
        <v>16734</v>
      </c>
      <c r="AJ588" s="263">
        <v>16896</v>
      </c>
      <c r="AK588" s="263">
        <v>16920</v>
      </c>
      <c r="AL588" s="263">
        <v>17028</v>
      </c>
      <c r="AM588" s="263">
        <v>16928.1702</v>
      </c>
      <c r="AN588" s="263">
        <v>16838.413199999999</v>
      </c>
      <c r="AO588" s="263">
        <v>16832.429400000001</v>
      </c>
      <c r="AP588" s="263">
        <v>16856.364600000001</v>
      </c>
      <c r="AQ588" s="263">
        <v>16790.542799999999</v>
      </c>
      <c r="AR588" s="263">
        <v>16443.482400000001</v>
      </c>
      <c r="AS588" s="263">
        <v>16413.563399999999</v>
      </c>
      <c r="AT588" s="263">
        <v>16353.725399999999</v>
      </c>
      <c r="AU588" s="263">
        <v>16437.498599999999</v>
      </c>
      <c r="AV588" s="260">
        <f ca="1">Calc!F86</f>
        <v>16437.498599999999</v>
      </c>
      <c r="AX588" s="86" t="str">
        <f t="shared" ca="1" si="47"/>
        <v>ORA</v>
      </c>
      <c r="AY588" s="79">
        <f ca="1">Tab2MarketValue[[#This Row],[M_Val20]]-Tab2MarketValue[[#This Row],[M_Val19]]</f>
        <v>0</v>
      </c>
    </row>
    <row r="589" spans="1:70" hidden="1">
      <c r="A589" s="86" t="str">
        <f t="shared" ca="1" si="48"/>
        <v>OXY</v>
      </c>
      <c r="F589" s="255">
        <v>23.428799999999999</v>
      </c>
      <c r="G589" s="255">
        <v>23.720300000000002</v>
      </c>
      <c r="H589" s="255">
        <v>24.261800000000001</v>
      </c>
      <c r="I589" s="255">
        <v>31.223500000000001</v>
      </c>
      <c r="J589" s="255">
        <v>31.042200000000001</v>
      </c>
      <c r="K589" s="255">
        <v>30.285399999999999</v>
      </c>
      <c r="L589" s="255">
        <v>30.1723</v>
      </c>
      <c r="M589" s="255">
        <v>30.1723</v>
      </c>
      <c r="N589" s="255">
        <v>30.3949</v>
      </c>
      <c r="O589" s="255">
        <v>30.2318</v>
      </c>
      <c r="P589" s="255">
        <v>30.6541</v>
      </c>
      <c r="Q589" s="255">
        <v>31.183499999999999</v>
      </c>
      <c r="R589" s="255">
        <v>30.635899999999999</v>
      </c>
      <c r="S589" s="255">
        <v>30.927900000000001</v>
      </c>
      <c r="T589" s="255">
        <v>31.008199999999999</v>
      </c>
      <c r="U589" s="255">
        <v>31.150500000000001</v>
      </c>
      <c r="V589" s="255">
        <v>31.151700000000002</v>
      </c>
      <c r="W589" s="255">
        <v>30.453399999999998</v>
      </c>
      <c r="X589" s="255">
        <v>30.158799999999999</v>
      </c>
      <c r="Y589" s="255">
        <v>30.077400000000001</v>
      </c>
      <c r="Z589" s="1070">
        <f ca="1">[1]ExtEntry!$K87</f>
        <v>30.077400000000001</v>
      </c>
      <c r="AB589" s="260">
        <v>159100</v>
      </c>
      <c r="AC589" s="260">
        <v>161080</v>
      </c>
      <c r="AD589" s="260">
        <v>164757.20000000001</v>
      </c>
      <c r="AE589" s="260">
        <v>171080</v>
      </c>
      <c r="AF589" s="260">
        <v>170060</v>
      </c>
      <c r="AG589" s="260">
        <v>165940</v>
      </c>
      <c r="AH589" s="260">
        <v>165320</v>
      </c>
      <c r="AI589" s="260">
        <v>165320</v>
      </c>
      <c r="AJ589" s="260">
        <v>166540</v>
      </c>
      <c r="AK589" s="260">
        <v>165660</v>
      </c>
      <c r="AL589" s="260">
        <v>167960</v>
      </c>
      <c r="AM589" s="260">
        <v>170399.07691999999</v>
      </c>
      <c r="AN589" s="260">
        <v>167406.77799999999</v>
      </c>
      <c r="AO589" s="260">
        <v>169002.45799999998</v>
      </c>
      <c r="AP589" s="260">
        <v>169441.27</v>
      </c>
      <c r="AQ589" s="260">
        <v>170219.16399999999</v>
      </c>
      <c r="AR589" s="260">
        <v>169261.75599999999</v>
      </c>
      <c r="AS589" s="260">
        <v>166409.478</v>
      </c>
      <c r="AT589" s="260">
        <v>166549.1</v>
      </c>
      <c r="AU589" s="260">
        <v>164355.04</v>
      </c>
      <c r="AV589" s="260">
        <f ca="1">Calc!F87</f>
        <v>164355.04</v>
      </c>
      <c r="AX589" s="86" t="str">
        <f t="shared" ca="1" si="47"/>
        <v>OXY</v>
      </c>
      <c r="AY589" s="79">
        <f ca="1">Tab2MarketValue[[#This Row],[M_Val20]]-Tab2MarketValue[[#This Row],[M_Val19]]</f>
        <v>0</v>
      </c>
      <c r="BQ589" t="s">
        <v>189</v>
      </c>
      <c r="BR589" t="s">
        <v>178</v>
      </c>
    </row>
    <row r="590" spans="1:70" hidden="1">
      <c r="A590" s="86" t="str">
        <f t="shared" ca="1" si="48"/>
        <v>PFE</v>
      </c>
      <c r="F590" s="255">
        <v>14.359400000000001</v>
      </c>
      <c r="G590" s="255">
        <v>14.4993</v>
      </c>
      <c r="H590" s="255">
        <v>14.2079</v>
      </c>
      <c r="I590" s="255">
        <v>14.621700000000001</v>
      </c>
      <c r="J590" s="255">
        <v>14.8345</v>
      </c>
      <c r="K590" s="255">
        <v>14.5809</v>
      </c>
      <c r="L590" s="255">
        <v>14.2195</v>
      </c>
      <c r="M590" s="255">
        <v>14.607100000000001</v>
      </c>
      <c r="N590" s="255">
        <v>14.9831</v>
      </c>
      <c r="O590" s="255">
        <v>14.991899999999999</v>
      </c>
      <c r="P590" s="255">
        <v>14.986000000000001</v>
      </c>
      <c r="Q590" s="255">
        <v>14.7849</v>
      </c>
      <c r="R590" s="255">
        <v>14.6683</v>
      </c>
      <c r="S590" s="255">
        <v>14.971399999999999</v>
      </c>
      <c r="T590" s="255">
        <v>14.929500000000001</v>
      </c>
      <c r="U590" s="255">
        <v>14.9277</v>
      </c>
      <c r="V590" s="255">
        <v>14.9803</v>
      </c>
      <c r="W590" s="255">
        <v>14.907299999999999</v>
      </c>
      <c r="X590" s="255">
        <v>14.7646</v>
      </c>
      <c r="Y590" s="255">
        <v>15.0443</v>
      </c>
      <c r="Z590" s="1070">
        <f ca="1">[1]ExtEntry!$K88</f>
        <v>15.0443</v>
      </c>
      <c r="AB590" s="263">
        <v>39416</v>
      </c>
      <c r="AC590" s="263">
        <v>39800</v>
      </c>
      <c r="AD590" s="263">
        <v>39000</v>
      </c>
      <c r="AE590" s="263">
        <v>40136</v>
      </c>
      <c r="AF590" s="263">
        <v>40720</v>
      </c>
      <c r="AG590" s="263">
        <v>40024</v>
      </c>
      <c r="AH590" s="263">
        <v>0</v>
      </c>
      <c r="AI590" s="263">
        <v>0</v>
      </c>
      <c r="AJ590" s="263">
        <v>51410</v>
      </c>
      <c r="AK590" s="263">
        <v>51420</v>
      </c>
      <c r="AL590" s="263">
        <v>51420</v>
      </c>
      <c r="AM590" s="263">
        <v>50593.028999999995</v>
      </c>
      <c r="AN590" s="263">
        <v>50194.108999999997</v>
      </c>
      <c r="AO590" s="263">
        <v>51231.300999999999</v>
      </c>
      <c r="AP590" s="263">
        <v>51087.6898</v>
      </c>
      <c r="AQ590" s="263">
        <v>51081.705999999998</v>
      </c>
      <c r="AR590" s="263">
        <v>51899.491999999998</v>
      </c>
      <c r="AS590" s="263">
        <v>51011.894999999997</v>
      </c>
      <c r="AT590" s="263">
        <v>51410.814999999995</v>
      </c>
      <c r="AU590" s="263">
        <v>51480.625999999997</v>
      </c>
      <c r="AV590" s="260">
        <f ca="1">Calc!F88</f>
        <v>51480.625999999997</v>
      </c>
      <c r="AX590" s="86" t="str">
        <f t="shared" ca="1" si="47"/>
        <v>PFE</v>
      </c>
      <c r="AY590" s="79">
        <f ca="1">Tab2MarketValue[[#This Row],[M_Val20]]-Tab2MarketValue[[#This Row],[M_Val19]]</f>
        <v>0</v>
      </c>
      <c r="BQ590" t="s">
        <v>190</v>
      </c>
      <c r="BR590" t="s">
        <v>2186</v>
      </c>
    </row>
    <row r="591" spans="1:70" hidden="1">
      <c r="A591" s="86" t="str">
        <f t="shared" ca="1" si="48"/>
        <v>RIG</v>
      </c>
      <c r="F591" s="255">
        <v>0</v>
      </c>
      <c r="G591" s="255">
        <v>99</v>
      </c>
      <c r="H591" s="255">
        <v>0</v>
      </c>
      <c r="I591" s="255">
        <v>99</v>
      </c>
      <c r="J591" s="255">
        <v>99</v>
      </c>
      <c r="K591" s="255">
        <v>0</v>
      </c>
      <c r="L591" s="255">
        <v>0</v>
      </c>
      <c r="M591" s="255">
        <v>0</v>
      </c>
      <c r="N591" s="255">
        <v>99</v>
      </c>
      <c r="O591" s="255">
        <v>99</v>
      </c>
      <c r="P591" s="255">
        <v>99</v>
      </c>
      <c r="Q591" s="255">
        <v>99</v>
      </c>
      <c r="R591" s="255">
        <v>0</v>
      </c>
      <c r="S591" s="255">
        <v>0</v>
      </c>
      <c r="T591" s="255">
        <v>99</v>
      </c>
      <c r="U591" s="255">
        <v>0</v>
      </c>
      <c r="V591" s="255">
        <v>99</v>
      </c>
      <c r="W591" s="255">
        <v>0</v>
      </c>
      <c r="X591" s="255">
        <v>0</v>
      </c>
      <c r="Y591" s="255">
        <v>99</v>
      </c>
      <c r="Z591" s="1070">
        <f>[1]ExtEntry!$K89</f>
        <v>99</v>
      </c>
      <c r="AB591" s="260">
        <v>186960</v>
      </c>
      <c r="AC591" s="260">
        <v>188400</v>
      </c>
      <c r="AD591" s="260">
        <v>170280</v>
      </c>
      <c r="AE591" s="260">
        <v>172430</v>
      </c>
      <c r="AF591" s="260">
        <v>177590</v>
      </c>
      <c r="AG591" s="260">
        <v>176085</v>
      </c>
      <c r="AH591" s="260">
        <v>167270</v>
      </c>
      <c r="AI591" s="260">
        <v>167024.9</v>
      </c>
      <c r="AJ591" s="260">
        <v>149800</v>
      </c>
      <c r="AK591" s="260">
        <v>150500</v>
      </c>
      <c r="AL591" s="260">
        <v>153650</v>
      </c>
      <c r="AM591" s="260">
        <v>155259.66399999999</v>
      </c>
      <c r="AN591" s="260">
        <v>150442.70499999999</v>
      </c>
      <c r="AO591" s="260">
        <v>155329.47500000001</v>
      </c>
      <c r="AP591" s="260">
        <v>121907.45875000001</v>
      </c>
      <c r="AQ591" s="260">
        <v>122593.10249999999</v>
      </c>
      <c r="AR591" s="260">
        <v>121770.33000000002</v>
      </c>
      <c r="AS591" s="260">
        <v>124238.64749999999</v>
      </c>
      <c r="AT591" s="260">
        <v>117793.59625</v>
      </c>
      <c r="AU591" s="260">
        <v>117519.33875</v>
      </c>
      <c r="AV591" s="260">
        <f ca="1">Calc!F89</f>
        <v>117519.33875</v>
      </c>
      <c r="AX591" s="86" t="str">
        <f t="shared" ca="1" si="47"/>
        <v>RIG</v>
      </c>
      <c r="AY591" s="79">
        <f ca="1">Tab2MarketValue[[#This Row],[M_Val20]]-Tab2MarketValue[[#This Row],[M_Val19]]</f>
        <v>0</v>
      </c>
      <c r="BQ591" t="s">
        <v>139</v>
      </c>
      <c r="BR591" t="s">
        <v>2187</v>
      </c>
    </row>
    <row r="592" spans="1:70">
      <c r="A592" s="86" t="str">
        <f t="shared" ca="1" si="48"/>
        <v>RRC</v>
      </c>
      <c r="F592" s="255">
        <v>15.571300000000001</v>
      </c>
      <c r="G592" s="255">
        <v>15.4579</v>
      </c>
      <c r="H592" s="255">
        <v>15.718299999999999</v>
      </c>
      <c r="I592" s="255">
        <v>16.054300000000001</v>
      </c>
      <c r="J592" s="255">
        <v>16.3903</v>
      </c>
      <c r="K592" s="255">
        <v>16.409099999999999</v>
      </c>
      <c r="L592" s="255">
        <v>16.253699999999998</v>
      </c>
      <c r="M592" s="255">
        <v>16.1004</v>
      </c>
      <c r="N592" s="255">
        <v>16.250599999999999</v>
      </c>
      <c r="O592" s="255">
        <v>15.873799999999999</v>
      </c>
      <c r="P592" s="255">
        <v>16.583400000000001</v>
      </c>
      <c r="Q592" s="255">
        <v>16.495200000000001</v>
      </c>
      <c r="R592" s="255">
        <v>16.001799999999999</v>
      </c>
      <c r="S592" s="255">
        <v>16.402799999999999</v>
      </c>
      <c r="T592" s="255">
        <v>16.7514</v>
      </c>
      <c r="U592" s="255">
        <v>16.8857</v>
      </c>
      <c r="V592" s="255">
        <v>16.6633</v>
      </c>
      <c r="W592" s="255">
        <v>15.9703</v>
      </c>
      <c r="X592" s="255">
        <v>15.6595</v>
      </c>
      <c r="Y592" s="255">
        <v>15.2438</v>
      </c>
      <c r="Z592" s="1070">
        <f ca="1">[1]ExtEntry!$K90</f>
        <v>15.2438</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191</v>
      </c>
      <c r="BR592" t="s">
        <v>1878</v>
      </c>
    </row>
    <row r="593" spans="1:70">
      <c r="A593" s="86" t="str">
        <f t="shared" ca="1" si="48"/>
        <v>XYZ</v>
      </c>
      <c r="F593" s="1070">
        <v>43.492400000000004</v>
      </c>
      <c r="G593" s="1070">
        <v>42.069200000000002</v>
      </c>
      <c r="H593" s="1070">
        <v>38.691400000000002</v>
      </c>
      <c r="I593" s="1070">
        <v>30.402799999999999</v>
      </c>
      <c r="J593" s="1070">
        <v>28.983000000000001</v>
      </c>
      <c r="K593" s="1070">
        <v>28.909400000000002</v>
      </c>
      <c r="L593" s="1070">
        <v>31.767900000000001</v>
      </c>
      <c r="M593" s="1070">
        <v>31.2073</v>
      </c>
      <c r="N593" s="1070">
        <v>33.095300000000002</v>
      </c>
      <c r="O593" s="1070">
        <v>32.025100000000002</v>
      </c>
      <c r="P593" s="1070">
        <v>33.573</v>
      </c>
      <c r="Q593" s="1070">
        <v>33.381900000000002</v>
      </c>
      <c r="R593" s="1070">
        <v>30.176500000000001</v>
      </c>
      <c r="S593" s="1070">
        <v>31.095400000000001</v>
      </c>
      <c r="T593" s="1070">
        <v>30.7271</v>
      </c>
      <c r="U593" s="1070">
        <v>30.6919</v>
      </c>
      <c r="V593" s="1070">
        <v>31.270900000000001</v>
      </c>
      <c r="W593" s="1070">
        <v>31.039200000000001</v>
      </c>
      <c r="X593" s="1070">
        <v>31.818200000000001</v>
      </c>
      <c r="Y593" s="1070">
        <v>31.979099999999999</v>
      </c>
      <c r="Z593" s="1070">
        <f ca="1">[1]ExtEntry!$K91</f>
        <v>31.979099999999999</v>
      </c>
      <c r="AB593" s="260">
        <v>44190</v>
      </c>
      <c r="AC593" s="260">
        <v>42744</v>
      </c>
      <c r="AD593" s="260">
        <v>39312</v>
      </c>
      <c r="AE593" s="260">
        <v>36279</v>
      </c>
      <c r="AF593" s="260">
        <v>34584</v>
      </c>
      <c r="AG593" s="260">
        <v>34497</v>
      </c>
      <c r="AH593" s="260">
        <v>37908</v>
      </c>
      <c r="AI593" s="260">
        <v>37239</v>
      </c>
      <c r="AJ593" s="260">
        <v>39491.999999999993</v>
      </c>
      <c r="AK593" s="260">
        <v>39018</v>
      </c>
      <c r="AL593" s="260">
        <v>40062</v>
      </c>
      <c r="AM593" s="260">
        <v>39726.448199999999</v>
      </c>
      <c r="AN593" s="260">
        <v>35911.775699999998</v>
      </c>
      <c r="AO593" s="260">
        <v>37005.315150000002</v>
      </c>
      <c r="AP593" s="260">
        <v>36567.001799999998</v>
      </c>
      <c r="AQ593" s="260">
        <v>36525.1152</v>
      </c>
      <c r="AR593" s="260">
        <v>36549.0504</v>
      </c>
      <c r="AS593" s="260">
        <v>36938.476104000001</v>
      </c>
      <c r="AT593" s="260">
        <v>37865.486400000002</v>
      </c>
      <c r="AU593" s="260">
        <v>38056.968000000001</v>
      </c>
      <c r="AV593" s="260">
        <f ca="1">Calc!F91</f>
        <v>38056.968000000001</v>
      </c>
      <c r="AX593" s="86" t="str">
        <f t="shared" ca="1" si="47"/>
        <v>XYZ</v>
      </c>
      <c r="AY593" s="79">
        <f ca="1">Tab2MarketValue[[#This Row],[M_Val20]]-Tab2MarketValue[[#This Row],[M_Val19]]</f>
        <v>0</v>
      </c>
      <c r="BQ593" t="s">
        <v>192</v>
      </c>
      <c r="BR593" t="s">
        <v>2188</v>
      </c>
    </row>
    <row r="594" spans="1:70">
      <c r="A594" s="86" t="str">
        <f t="shared" ca="1" si="48"/>
        <v>THC</v>
      </c>
      <c r="F594" s="255">
        <v>13.8658</v>
      </c>
      <c r="G594" s="255">
        <v>13.680300000000001</v>
      </c>
      <c r="H594" s="255">
        <v>13.6149</v>
      </c>
      <c r="I594" s="255">
        <v>12.8216</v>
      </c>
      <c r="J594" s="255">
        <v>12.8276</v>
      </c>
      <c r="K594" s="255">
        <v>12.866099999999999</v>
      </c>
      <c r="L594" s="255">
        <v>12.5145</v>
      </c>
      <c r="M594" s="255">
        <v>12.917999999999999</v>
      </c>
      <c r="N594" s="255">
        <v>14.5334</v>
      </c>
      <c r="O594" s="255">
        <v>14.5198</v>
      </c>
      <c r="P594" s="255">
        <v>14.412100000000001</v>
      </c>
      <c r="Q594" s="255">
        <v>14.527100000000001</v>
      </c>
      <c r="R594" s="255">
        <v>14.2622</v>
      </c>
      <c r="S594" s="255">
        <v>14.226699999999999</v>
      </c>
      <c r="T594" s="255">
        <v>14.0465</v>
      </c>
      <c r="U594" s="255">
        <v>14.113300000000001</v>
      </c>
      <c r="V594" s="255">
        <v>14.0997</v>
      </c>
      <c r="W594" s="255">
        <v>13.3925</v>
      </c>
      <c r="X594" s="255">
        <v>13.124700000000001</v>
      </c>
      <c r="Y594" s="255">
        <v>13.132999999999999</v>
      </c>
      <c r="Z594" s="1070">
        <f ca="1">[1]ExtEntry!$K92</f>
        <v>13.132999999999999</v>
      </c>
      <c r="AB594" s="263">
        <v>312930</v>
      </c>
      <c r="AC594" s="263">
        <v>308745</v>
      </c>
      <c r="AD594" s="263">
        <v>307267.5</v>
      </c>
      <c r="AE594" s="263">
        <v>289365</v>
      </c>
      <c r="AF594" s="263">
        <v>289500</v>
      </c>
      <c r="AG594" s="263">
        <v>290370</v>
      </c>
      <c r="AH594" s="263">
        <v>282435</v>
      </c>
      <c r="AI594" s="263">
        <v>291540</v>
      </c>
      <c r="AJ594" s="263">
        <v>327997.5</v>
      </c>
      <c r="AK594" s="263">
        <v>326130</v>
      </c>
      <c r="AL594" s="263">
        <v>325260</v>
      </c>
      <c r="AM594" s="263">
        <v>326969.79149999999</v>
      </c>
      <c r="AN594" s="263">
        <v>321008.43075</v>
      </c>
      <c r="AO594" s="263">
        <v>320208.09749999997</v>
      </c>
      <c r="AP594" s="263">
        <v>316154.07299999997</v>
      </c>
      <c r="AQ594" s="263">
        <v>317657.50274999999</v>
      </c>
      <c r="AR594" s="263">
        <v>314149.5</v>
      </c>
      <c r="AS594" s="263">
        <v>301433.92499999999</v>
      </c>
      <c r="AT594" s="263">
        <v>295405.24650000001</v>
      </c>
      <c r="AU594" s="263">
        <v>295592.24024999997</v>
      </c>
      <c r="AV594" s="260">
        <f ca="1">Calc!F92</f>
        <v>295592.24024999997</v>
      </c>
      <c r="AX594" s="86" t="str">
        <f t="shared" ca="1" si="47"/>
        <v>THC</v>
      </c>
      <c r="AY594" s="79">
        <f ca="1">Tab2MarketValue[[#This Row],[M_Val20]]-Tab2MarketValue[[#This Row],[M_Val19]]</f>
        <v>0</v>
      </c>
      <c r="BQ594" t="s">
        <v>2189</v>
      </c>
      <c r="BR594" t="s">
        <v>1821</v>
      </c>
    </row>
    <row r="595" spans="1:70">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546.91932000000008</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194</v>
      </c>
      <c r="BR595" t="s">
        <v>701</v>
      </c>
    </row>
    <row r="596" spans="1:70">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795363.60000000009</v>
      </c>
      <c r="AC596" s="260">
        <v>786420</v>
      </c>
      <c r="AD596" s="260">
        <v>784415.39999999991</v>
      </c>
      <c r="AE596" s="260">
        <v>777630.6</v>
      </c>
      <c r="AF596" s="260">
        <v>755271.6</v>
      </c>
      <c r="AG596" s="260">
        <v>752881.5</v>
      </c>
      <c r="AH596" s="260">
        <v>763675.5</v>
      </c>
      <c r="AI596" s="260">
        <v>730830.89999999991</v>
      </c>
      <c r="AJ596" s="260">
        <v>761439.6</v>
      </c>
      <c r="AK596" s="260">
        <v>762827.4</v>
      </c>
      <c r="AL596" s="260">
        <v>761979.29999999993</v>
      </c>
      <c r="AM596" s="260">
        <v>759076.14575999987</v>
      </c>
      <c r="AN596" s="260">
        <v>768841.40816999995</v>
      </c>
      <c r="AO596" s="260">
        <v>765073.70849999995</v>
      </c>
      <c r="AP596" s="260">
        <v>765073.70849999995</v>
      </c>
      <c r="AQ596" s="260">
        <v>769841.00196000002</v>
      </c>
      <c r="AR596" s="260">
        <v>772301.54052000004</v>
      </c>
      <c r="AS596" s="260">
        <v>785219.36795999995</v>
      </c>
      <c r="AT596" s="260">
        <v>787064.77188000001</v>
      </c>
      <c r="AU596" s="260">
        <v>794138.82023999991</v>
      </c>
      <c r="AV596" s="260">
        <f ca="1">Calc!F94</f>
        <v>794138.82023999991</v>
      </c>
      <c r="AX596" s="86" t="str">
        <f t="shared" ca="1" si="47"/>
        <v>LOCK</v>
      </c>
      <c r="AY596" s="79">
        <f ca="1">Tab2MarketValue[[#This Row],[M_Val20]]-Tab2MarketValue[[#This Row],[M_Val19]]</f>
        <v>0</v>
      </c>
      <c r="BQ596" t="s">
        <v>2191</v>
      </c>
      <c r="BR596" t="s">
        <v>2190</v>
      </c>
    </row>
    <row r="597" spans="1:70">
      <c r="A597" s="86" t="str">
        <f t="shared" ca="1" si="48"/>
        <v>JBASML</v>
      </c>
      <c r="F597" s="1070">
        <v>34.810200000000002</v>
      </c>
      <c r="G597" s="1070">
        <v>34.376300000000001</v>
      </c>
      <c r="H597" s="1070">
        <v>33.435600000000001</v>
      </c>
      <c r="I597" s="1070">
        <v>33.5623</v>
      </c>
      <c r="J597" s="1070">
        <v>32.997900000000001</v>
      </c>
      <c r="K597" s="1070">
        <v>34.042299999999997</v>
      </c>
      <c r="L597" s="973">
        <v>34.165100000000002</v>
      </c>
      <c r="M597" s="1063">
        <v>32.022599999999997</v>
      </c>
      <c r="N597" s="1070">
        <v>33.032400000000003</v>
      </c>
      <c r="O597" s="1070">
        <v>34.449300000000001</v>
      </c>
      <c r="P597" s="1070">
        <v>34.6873</v>
      </c>
      <c r="Q597" s="1070">
        <v>35.582000000000001</v>
      </c>
      <c r="R597" s="346">
        <v>36.058100000000003</v>
      </c>
      <c r="S597" s="1070">
        <v>36.718499999999999</v>
      </c>
      <c r="T597" s="1070">
        <v>36.991100000000003</v>
      </c>
      <c r="U597" s="1070">
        <v>36.756900000000002</v>
      </c>
      <c r="V597" s="1070">
        <v>36.537999999999997</v>
      </c>
      <c r="W597" s="973">
        <v>36.587899999999998</v>
      </c>
      <c r="X597" s="1077">
        <v>36.323</v>
      </c>
      <c r="Y597" s="1070">
        <v>36.127200000000002</v>
      </c>
      <c r="Z597" s="1070">
        <f ca="1">[1]ExtEntry!$K95</f>
        <v>36.127200000000002</v>
      </c>
      <c r="AB597" s="260">
        <v>181320</v>
      </c>
      <c r="AC597" s="260">
        <v>179060</v>
      </c>
      <c r="AD597" s="260">
        <v>174160</v>
      </c>
      <c r="AE597" s="260">
        <v>174820</v>
      </c>
      <c r="AF597" s="260">
        <v>171880</v>
      </c>
      <c r="AG597" s="260">
        <v>177320</v>
      </c>
      <c r="AH597" s="260">
        <v>177960</v>
      </c>
      <c r="AI597" s="260">
        <v>166800</v>
      </c>
      <c r="AJ597" s="260">
        <v>181860</v>
      </c>
      <c r="AK597" s="260">
        <v>179440</v>
      </c>
      <c r="AL597" s="260">
        <v>180680</v>
      </c>
      <c r="AM597" s="260">
        <v>184839.58199999999</v>
      </c>
      <c r="AN597" s="260">
        <v>187312.886</v>
      </c>
      <c r="AO597" s="260">
        <v>0</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2192</v>
      </c>
      <c r="BR597" t="s">
        <v>2193</v>
      </c>
    </row>
    <row r="598" spans="1:70">
      <c r="A598" s="86" t="str">
        <f ca="1">A98</f>
        <v>JBEOAN</v>
      </c>
      <c r="F598" s="255">
        <v>13.2645</v>
      </c>
      <c r="G598" s="255">
        <v>13.289300000000001</v>
      </c>
      <c r="H598" s="255">
        <v>13.309900000000001</v>
      </c>
      <c r="I598" s="255">
        <v>12.84</v>
      </c>
      <c r="J598" s="255">
        <v>13.243499999999999</v>
      </c>
      <c r="K598" s="255">
        <v>13.3043</v>
      </c>
      <c r="L598" s="255">
        <v>13.391299999999999</v>
      </c>
      <c r="M598" s="255">
        <v>13.504300000000001</v>
      </c>
      <c r="N598" s="255">
        <v>13.4391</v>
      </c>
      <c r="O598" s="255">
        <v>13.47</v>
      </c>
      <c r="P598" s="255">
        <v>13.3261</v>
      </c>
      <c r="Q598" s="255">
        <v>13.2348</v>
      </c>
      <c r="R598" s="255">
        <v>13.2913</v>
      </c>
      <c r="S598" s="255">
        <v>13.686999999999999</v>
      </c>
      <c r="T598" s="255">
        <v>13.7913</v>
      </c>
      <c r="U598" s="255">
        <v>13.5565</v>
      </c>
      <c r="V598" s="255">
        <v>13.4217</v>
      </c>
      <c r="W598" s="255">
        <v>13.552199999999999</v>
      </c>
      <c r="X598" s="255">
        <v>13.521699999999999</v>
      </c>
      <c r="Y598" s="255">
        <v>13.0739</v>
      </c>
      <c r="Z598" s="1070">
        <f ca="1">[1]ExtEntry!$K96</f>
        <v>13.0739</v>
      </c>
      <c r="AB598" s="263">
        <v>288900</v>
      </c>
      <c r="AC598" s="263">
        <v>289439.99999999994</v>
      </c>
      <c r="AD598" s="263">
        <v>289890</v>
      </c>
      <c r="AE598" s="263">
        <v>320145</v>
      </c>
      <c r="AF598" s="263">
        <v>319830</v>
      </c>
      <c r="AG598" s="263">
        <v>321300</v>
      </c>
      <c r="AH598" s="263">
        <v>323400</v>
      </c>
      <c r="AI598" s="263">
        <v>326130</v>
      </c>
      <c r="AJ598" s="263">
        <v>324555</v>
      </c>
      <c r="AK598" s="263">
        <v>321510</v>
      </c>
      <c r="AL598" s="263">
        <v>321825</v>
      </c>
      <c r="AM598" s="263">
        <v>318757.02600000001</v>
      </c>
      <c r="AN598" s="263">
        <v>320118.34049999999</v>
      </c>
      <c r="AO598" s="263">
        <v>329647.54200000002</v>
      </c>
      <c r="AP598" s="263">
        <v>332160.73800000001</v>
      </c>
      <c r="AQ598" s="263">
        <v>326506.04699999996</v>
      </c>
      <c r="AR598" s="263">
        <v>323259.83549999999</v>
      </c>
      <c r="AS598" s="263">
        <v>326401.33049999998</v>
      </c>
      <c r="AT598" s="263">
        <v>325668.315</v>
      </c>
      <c r="AU598" s="263">
        <v>314882.51549999998</v>
      </c>
      <c r="AV598" s="260">
        <f ca="1">Calc!F96</f>
        <v>314882.51549999998</v>
      </c>
      <c r="AX598" s="86" t="str">
        <f t="shared" ca="1" si="47"/>
        <v>JBEOAN</v>
      </c>
      <c r="AY598" s="79">
        <f ca="1">Tab2MarketValue[[#This Row],[M_Val20]]-Tab2MarketValue[[#This Row],[M_Val19]]</f>
        <v>0</v>
      </c>
      <c r="BQ598" t="s">
        <v>2194</v>
      </c>
      <c r="BR598" t="s">
        <v>661</v>
      </c>
    </row>
    <row r="599" spans="1:70">
      <c r="AX599" s="86"/>
      <c r="AY599" s="79">
        <f ca="1">SUM(AY505:AY598)</f>
        <v>0</v>
      </c>
      <c r="BQ599" t="s">
        <v>198</v>
      </c>
      <c r="BR599" t="s">
        <v>2195</v>
      </c>
    </row>
    <row r="600" spans="1:70">
      <c r="AX600" s="86"/>
      <c r="BQ600" t="s">
        <v>2196</v>
      </c>
      <c r="BR600" t="s">
        <v>177</v>
      </c>
    </row>
    <row r="601" spans="1:70">
      <c r="AX601" s="86"/>
      <c r="BQ601" t="s">
        <v>179</v>
      </c>
      <c r="BR601" t="s">
        <v>2197</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1014</v>
      </c>
      <c r="BR602" t="s">
        <v>2198</v>
      </c>
    </row>
    <row r="603" spans="1:70">
      <c r="A603" s="86"/>
      <c r="F603" s="115">
        <f t="shared" ref="F603:Z603" ca="1" si="49">F502</f>
        <v>45974</v>
      </c>
      <c r="G603" s="115">
        <f t="shared" ca="1" si="49"/>
        <v>45975</v>
      </c>
      <c r="H603" s="115">
        <f t="shared" ca="1" si="49"/>
        <v>45978</v>
      </c>
      <c r="I603" s="115">
        <f t="shared" ca="1" si="49"/>
        <v>45979</v>
      </c>
      <c r="J603" s="115">
        <f t="shared" ca="1" si="49"/>
        <v>45980</v>
      </c>
      <c r="K603" s="115">
        <f t="shared" ca="1" si="49"/>
        <v>45981</v>
      </c>
      <c r="L603" s="115">
        <f t="shared" ca="1" si="49"/>
        <v>45982</v>
      </c>
      <c r="M603" s="115">
        <f t="shared" ca="1" si="49"/>
        <v>45985</v>
      </c>
      <c r="N603" s="115">
        <f t="shared" ca="1" si="49"/>
        <v>45986</v>
      </c>
      <c r="O603" s="115">
        <f t="shared" ca="1" si="49"/>
        <v>45987</v>
      </c>
      <c r="P603" s="115">
        <f t="shared" ca="1" si="49"/>
        <v>45988</v>
      </c>
      <c r="Q603" s="115">
        <f t="shared" ca="1" si="49"/>
        <v>45989</v>
      </c>
      <c r="R603" s="115">
        <f t="shared" ca="1" si="49"/>
        <v>45992</v>
      </c>
      <c r="S603" s="115">
        <f t="shared" ca="1" si="49"/>
        <v>45993</v>
      </c>
      <c r="T603" s="115">
        <f t="shared" ca="1" si="49"/>
        <v>45994</v>
      </c>
      <c r="U603" s="115">
        <f t="shared" ca="1" si="49"/>
        <v>45995</v>
      </c>
      <c r="V603" s="115">
        <f t="shared" ca="1" si="49"/>
        <v>45996</v>
      </c>
      <c r="W603" s="115">
        <f t="shared" ca="1" si="49"/>
        <v>45999</v>
      </c>
      <c r="X603" s="115">
        <f t="shared" ca="1" si="49"/>
        <v>46000</v>
      </c>
      <c r="Y603" s="115">
        <f t="shared" ca="1" si="49"/>
        <v>46001</v>
      </c>
      <c r="Z603" s="115">
        <f t="shared" ca="1" si="49"/>
        <v>46002</v>
      </c>
      <c r="AB603" s="115">
        <f t="shared" ref="AB603:AV603" ca="1" si="50">F502</f>
        <v>45974</v>
      </c>
      <c r="AC603" s="115">
        <f t="shared" ca="1" si="50"/>
        <v>45975</v>
      </c>
      <c r="AD603" s="115">
        <f t="shared" ca="1" si="50"/>
        <v>45978</v>
      </c>
      <c r="AE603" s="115">
        <f t="shared" ca="1" si="50"/>
        <v>45979</v>
      </c>
      <c r="AF603" s="115">
        <f t="shared" ca="1" si="50"/>
        <v>45980</v>
      </c>
      <c r="AG603" s="115">
        <f t="shared" ca="1" si="50"/>
        <v>45981</v>
      </c>
      <c r="AH603" s="115">
        <f t="shared" ca="1" si="50"/>
        <v>45982</v>
      </c>
      <c r="AI603" s="115">
        <f t="shared" ca="1" si="50"/>
        <v>45985</v>
      </c>
      <c r="AJ603" s="115">
        <f t="shared" ca="1" si="50"/>
        <v>45986</v>
      </c>
      <c r="AK603" s="115">
        <f t="shared" ca="1" si="50"/>
        <v>45987</v>
      </c>
      <c r="AL603" s="115">
        <f t="shared" ca="1" si="50"/>
        <v>45988</v>
      </c>
      <c r="AM603" s="115">
        <f t="shared" ca="1" si="50"/>
        <v>45989</v>
      </c>
      <c r="AN603" s="115">
        <f t="shared" ca="1" si="50"/>
        <v>45992</v>
      </c>
      <c r="AO603" s="115">
        <f t="shared" ca="1" si="50"/>
        <v>45993</v>
      </c>
      <c r="AP603" s="115">
        <f t="shared" ca="1" si="50"/>
        <v>45994</v>
      </c>
      <c r="AQ603" s="115">
        <f t="shared" ca="1" si="50"/>
        <v>45995</v>
      </c>
      <c r="AR603" s="115">
        <f t="shared" ca="1" si="50"/>
        <v>45996</v>
      </c>
      <c r="AS603" s="115">
        <f t="shared" ca="1" si="50"/>
        <v>45999</v>
      </c>
      <c r="AT603" s="115">
        <f t="shared" ca="1" si="50"/>
        <v>46000</v>
      </c>
      <c r="AU603" s="115">
        <f t="shared" ca="1" si="50"/>
        <v>46001</v>
      </c>
      <c r="AV603" s="115">
        <f t="shared" ca="1" si="50"/>
        <v>46002</v>
      </c>
      <c r="AX603" s="86"/>
      <c r="BR603" t="s">
        <v>2199</v>
      </c>
    </row>
    <row r="604" spans="1:70">
      <c r="A604" s="86"/>
      <c r="F604" s="278" t="s">
        <v>329</v>
      </c>
      <c r="G604" s="278" t="s">
        <v>330</v>
      </c>
      <c r="H604" s="278" t="s">
        <v>331</v>
      </c>
      <c r="I604" s="278" t="s">
        <v>332</v>
      </c>
      <c r="J604" s="278" t="s">
        <v>333</v>
      </c>
      <c r="K604" s="278" t="s">
        <v>334</v>
      </c>
      <c r="L604" s="278" t="s">
        <v>335</v>
      </c>
      <c r="M604" s="278" t="s">
        <v>336</v>
      </c>
      <c r="N604" s="278" t="s">
        <v>337</v>
      </c>
      <c r="O604" s="278" t="s">
        <v>338</v>
      </c>
      <c r="P604" s="278" t="s">
        <v>339</v>
      </c>
      <c r="Q604" s="278" t="s">
        <v>340</v>
      </c>
      <c r="R604" s="278" t="s">
        <v>341</v>
      </c>
      <c r="S604" s="278" t="s">
        <v>342</v>
      </c>
      <c r="T604" s="278" t="s">
        <v>343</v>
      </c>
      <c r="U604" s="278" t="s">
        <v>344</v>
      </c>
      <c r="V604" s="278" t="s">
        <v>345</v>
      </c>
      <c r="W604" s="278" t="s">
        <v>346</v>
      </c>
      <c r="X604" s="278" t="s">
        <v>347</v>
      </c>
      <c r="Y604" s="278" t="s">
        <v>348</v>
      </c>
      <c r="Z604" s="278" t="s">
        <v>349</v>
      </c>
      <c r="AB604" s="277" t="s">
        <v>1282</v>
      </c>
      <c r="AC604" s="277" t="s">
        <v>1283</v>
      </c>
      <c r="AD604" s="277" t="s">
        <v>1284</v>
      </c>
      <c r="AE604" s="277" t="s">
        <v>1285</v>
      </c>
      <c r="AF604" s="277" t="s">
        <v>1286</v>
      </c>
      <c r="AG604" s="277" t="s">
        <v>1287</v>
      </c>
      <c r="AH604" s="277" t="s">
        <v>1288</v>
      </c>
      <c r="AI604" s="277" t="s">
        <v>1289</v>
      </c>
      <c r="AJ604" s="277" t="s">
        <v>1290</v>
      </c>
      <c r="AK604" s="277" t="s">
        <v>1291</v>
      </c>
      <c r="AL604" s="277" t="s">
        <v>1292</v>
      </c>
      <c r="AM604" s="277" t="s">
        <v>1293</v>
      </c>
      <c r="AN604" s="277" t="s">
        <v>1294</v>
      </c>
      <c r="AO604" s="277" t="s">
        <v>1295</v>
      </c>
      <c r="AP604" s="277" t="s">
        <v>1296</v>
      </c>
      <c r="AQ604" s="277" t="s">
        <v>1297</v>
      </c>
      <c r="AR604" s="277" t="s">
        <v>1298</v>
      </c>
      <c r="AS604" s="277" t="s">
        <v>1299</v>
      </c>
      <c r="AT604" s="277" t="s">
        <v>1300</v>
      </c>
      <c r="AU604" s="277" t="s">
        <v>1301</v>
      </c>
      <c r="AV604" s="277" t="s">
        <v>1302</v>
      </c>
      <c r="AX604" s="86"/>
      <c r="BR604" t="s">
        <v>2131</v>
      </c>
    </row>
    <row r="605" spans="1:70">
      <c r="A605" s="86" t="str">
        <f ca="1">A5</f>
        <v>AAPL</v>
      </c>
      <c r="F605" s="243">
        <v>0.1</v>
      </c>
      <c r="G605" s="243">
        <v>0.36</v>
      </c>
      <c r="H605" s="243">
        <v>-1.7729999999999999</v>
      </c>
      <c r="I605" s="243">
        <v>-0.54</v>
      </c>
      <c r="J605" s="243">
        <v>-0.02</v>
      </c>
      <c r="K605" s="243">
        <v>2.59</v>
      </c>
      <c r="L605" s="243">
        <v>-1.68</v>
      </c>
      <c r="M605" s="243">
        <v>5.79</v>
      </c>
      <c r="N605" s="243">
        <v>1.0900000000000001</v>
      </c>
      <c r="O605" s="243">
        <v>0.57999999999999996</v>
      </c>
      <c r="P605" s="243">
        <v>1.3</v>
      </c>
      <c r="Q605" s="243">
        <v>1.97</v>
      </c>
      <c r="R605" s="243">
        <v>2.855</v>
      </c>
      <c r="S605" s="243">
        <v>0.88</v>
      </c>
      <c r="T605" s="243">
        <v>-2.04</v>
      </c>
      <c r="U605" s="243">
        <v>-4.04</v>
      </c>
      <c r="V605" s="243">
        <v>-1.92</v>
      </c>
      <c r="W605" s="243">
        <v>-0.31</v>
      </c>
      <c r="X605" s="243">
        <v>1.6</v>
      </c>
      <c r="Y605" s="243">
        <v>-0.75</v>
      </c>
      <c r="Z605" s="243">
        <f ca="1">[1]ExtEntry!$L3</f>
        <v>-0.75</v>
      </c>
      <c r="AB605" s="305">
        <v>1.023287813726216</v>
      </c>
      <c r="AC605" s="305">
        <v>1.0219259519408503</v>
      </c>
      <c r="AD605" s="305">
        <v>1.0314703895939132</v>
      </c>
      <c r="AE605" s="305">
        <v>1.0147607283139384</v>
      </c>
      <c r="AF605" s="305">
        <v>1.0336186434340413</v>
      </c>
      <c r="AG605" s="305">
        <v>1.0237046624449135</v>
      </c>
      <c r="AH605" s="305">
        <v>1.0357875074940048</v>
      </c>
      <c r="AI605" s="305">
        <v>1.0161408983972944</v>
      </c>
      <c r="AJ605" s="305">
        <v>1.0132635042796518</v>
      </c>
      <c r="AK605" s="305">
        <v>1.0151253828139073</v>
      </c>
      <c r="AL605" s="305">
        <v>1.0103928635467094</v>
      </c>
      <c r="AM605" s="305">
        <v>1.0033047859839042</v>
      </c>
      <c r="AN605" s="305">
        <v>0.98528806980119243</v>
      </c>
      <c r="AO605" s="305">
        <v>0.98146114188177092</v>
      </c>
      <c r="AP605" s="305">
        <v>0.99154689424599685</v>
      </c>
      <c r="AQ605" s="305">
        <v>1.0058478811895326</v>
      </c>
      <c r="AR605" s="305">
        <v>1.0172083004519694</v>
      </c>
      <c r="AS605" s="305">
        <v>1.0216057713091722</v>
      </c>
      <c r="AT605" s="305">
        <v>1.0172083004519694</v>
      </c>
      <c r="AU605" s="305">
        <v>1.0199522713376257</v>
      </c>
      <c r="AV605" s="305">
        <f ca="1">Calc!AT3</f>
        <v>1.0199522713376257</v>
      </c>
      <c r="AX605" s="86" t="str">
        <f ca="1">A5</f>
        <v>AAPL</v>
      </c>
    </row>
    <row r="606" spans="1:70">
      <c r="A606" s="86" t="str">
        <f t="shared" ref="A606:A669" ca="1" si="51">A6</f>
        <v>ADEA</v>
      </c>
      <c r="F606" s="251">
        <v>1.03</v>
      </c>
      <c r="G606" s="251">
        <v>0.155</v>
      </c>
      <c r="H606" s="251">
        <v>4.4999999999999998E-2</v>
      </c>
      <c r="I606" s="251">
        <v>-0.28000000000000003</v>
      </c>
      <c r="J606" s="251">
        <v>-0.06</v>
      </c>
      <c r="K606" s="251">
        <v>-0.09</v>
      </c>
      <c r="L606" s="251">
        <v>-0.105</v>
      </c>
      <c r="M606" s="251">
        <v>0.41</v>
      </c>
      <c r="N606" s="251">
        <v>0.11</v>
      </c>
      <c r="O606" s="251">
        <v>-0.04</v>
      </c>
      <c r="P606" s="251">
        <v>0.06</v>
      </c>
      <c r="Q606" s="251">
        <v>0.02</v>
      </c>
      <c r="R606" s="251">
        <v>5.5E-2</v>
      </c>
      <c r="S606" s="251">
        <v>-0.17</v>
      </c>
      <c r="T606" s="251">
        <v>0.08</v>
      </c>
      <c r="U606" s="251">
        <v>-2.5000000000000001E-2</v>
      </c>
      <c r="V606" s="251">
        <v>7.0000000000000007E-2</v>
      </c>
      <c r="W606" s="251">
        <v>0.215</v>
      </c>
      <c r="X606" s="251">
        <v>0.72</v>
      </c>
      <c r="Y606" s="251">
        <v>0.04</v>
      </c>
      <c r="Z606" s="243">
        <f ca="1">[1]ExtEntry!$L4</f>
        <v>0.04</v>
      </c>
      <c r="AB606" s="305">
        <v>1.4997583454281569</v>
      </c>
      <c r="AC606" s="305">
        <v>1.4830764262648009</v>
      </c>
      <c r="AD606" s="305">
        <v>1.4714610181559273</v>
      </c>
      <c r="AE606" s="305">
        <v>1.6070505443234837</v>
      </c>
      <c r="AF606" s="305">
        <v>1.6734145748987854</v>
      </c>
      <c r="AG606" s="305">
        <v>1.6856990212071779</v>
      </c>
      <c r="AH606" s="305">
        <v>1.7330540880503142</v>
      </c>
      <c r="AI606" s="305">
        <v>1.7009604938271605</v>
      </c>
      <c r="AJ606" s="305">
        <v>1.5850722311396468</v>
      </c>
      <c r="AK606" s="305">
        <v>1.6043866774979691</v>
      </c>
      <c r="AL606" s="305">
        <v>1.5966046887631367</v>
      </c>
      <c r="AM606" s="305">
        <v>1.5940274414850686</v>
      </c>
      <c r="AN606" s="305">
        <v>1.5869827239855363</v>
      </c>
      <c r="AO606" s="305">
        <v>1.6043866774979691</v>
      </c>
      <c r="AP606" s="305">
        <v>1.572452229299363</v>
      </c>
      <c r="AQ606" s="305">
        <v>1.5755883526126844</v>
      </c>
      <c r="AR606" s="305">
        <v>1.5787370103916867</v>
      </c>
      <c r="AS606" s="305">
        <v>1.5233320478210568</v>
      </c>
      <c r="AT606" s="305">
        <v>1.4607988165680474</v>
      </c>
      <c r="AU606" s="305">
        <v>1.4564896755162242</v>
      </c>
      <c r="AV606" s="305">
        <f ca="1">Calc!AT4</f>
        <v>1.4564896755162242</v>
      </c>
      <c r="AX606" s="86" t="str">
        <f t="shared" ref="AX606:AX669" ca="1" si="52">A6</f>
        <v>ADEA</v>
      </c>
    </row>
    <row r="607" spans="1:70">
      <c r="A607" s="86" t="str">
        <f t="shared" ca="1" si="51"/>
        <v>AET</v>
      </c>
      <c r="F607" s="243">
        <v>1</v>
      </c>
      <c r="G607" s="243">
        <v>-1.6</v>
      </c>
      <c r="H607" s="243">
        <v>0.3</v>
      </c>
      <c r="I607" s="243">
        <v>-1</v>
      </c>
      <c r="J607" s="243">
        <v>0</v>
      </c>
      <c r="K607" s="243">
        <v>0</v>
      </c>
      <c r="L607" s="243">
        <v>0.5</v>
      </c>
      <c r="M607" s="243">
        <v>-1.5</v>
      </c>
      <c r="N607" s="243">
        <v>-0.9</v>
      </c>
      <c r="O607" s="243">
        <v>-1.3</v>
      </c>
      <c r="P607" s="243">
        <v>-0.8</v>
      </c>
      <c r="Q607" s="243">
        <v>1</v>
      </c>
      <c r="R607" s="243">
        <v>-0.9</v>
      </c>
      <c r="S607" s="243">
        <v>0.9</v>
      </c>
      <c r="T607" s="243">
        <v>0.3</v>
      </c>
      <c r="U607" s="243">
        <v>0.2</v>
      </c>
      <c r="V607" s="243">
        <v>0.6</v>
      </c>
      <c r="W607" s="243">
        <v>-0.4</v>
      </c>
      <c r="X607" s="243">
        <v>1.5</v>
      </c>
      <c r="Y607" s="243">
        <v>-1.1000000000000001</v>
      </c>
      <c r="Z607" s="243">
        <f ca="1">[1]ExtEntry!$L5</f>
        <v>-1.1000000000000001</v>
      </c>
      <c r="AB607" s="305">
        <v>2.1013043478260869</v>
      </c>
      <c r="AC607" s="305">
        <v>2.1770270270270271</v>
      </c>
      <c r="AD607" s="305">
        <v>2.1624161073825503</v>
      </c>
      <c r="AE607" s="305">
        <v>2.1384955752212389</v>
      </c>
      <c r="AF607" s="305">
        <v>2.1480000000000001</v>
      </c>
      <c r="AG607" s="305">
        <v>2.1480000000000001</v>
      </c>
      <c r="AH607" s="305">
        <v>2.1243956043956045</v>
      </c>
      <c r="AI607" s="305">
        <v>2.1968181818181818</v>
      </c>
      <c r="AJ607" s="305">
        <v>2.3755610972568579</v>
      </c>
      <c r="AK607" s="305">
        <v>2.4551546391752579</v>
      </c>
      <c r="AL607" s="305">
        <v>2.506842105263158</v>
      </c>
      <c r="AM607" s="305">
        <v>2.4425641025641025</v>
      </c>
      <c r="AN607" s="305">
        <v>2.5002624671916012</v>
      </c>
      <c r="AO607" s="305">
        <v>2.4425641025641025</v>
      </c>
      <c r="AP607" s="305">
        <v>2.4807291666666669</v>
      </c>
      <c r="AQ607" s="305">
        <v>2.4678756476683938</v>
      </c>
      <c r="AR607" s="305">
        <v>2.4301020408163265</v>
      </c>
      <c r="AS607" s="305">
        <v>2.4678756476683938</v>
      </c>
      <c r="AT607" s="305">
        <v>2.3755610972568579</v>
      </c>
      <c r="AU607" s="305">
        <v>2.4425641025641025</v>
      </c>
      <c r="AV607" s="305">
        <f ca="1">Calc!AT5</f>
        <v>2.4425641025641025</v>
      </c>
      <c r="AX607" s="86" t="str">
        <f t="shared" ca="1" si="52"/>
        <v>AET</v>
      </c>
    </row>
    <row r="608" spans="1:70">
      <c r="A608" s="86" t="str">
        <f t="shared" ca="1" si="51"/>
        <v>AMZN</v>
      </c>
      <c r="F608" s="251">
        <v>0.88</v>
      </c>
      <c r="G608" s="251">
        <v>-6.3936000000000002</v>
      </c>
      <c r="H608" s="251">
        <v>1.52</v>
      </c>
      <c r="I608" s="251">
        <v>-2.89</v>
      </c>
      <c r="J608" s="251">
        <v>-10.32</v>
      </c>
      <c r="K608" s="251">
        <v>-1.3680000000000001</v>
      </c>
      <c r="L608" s="251">
        <v>-3.84</v>
      </c>
      <c r="M608" s="251">
        <v>4.0949999999999998</v>
      </c>
      <c r="N608" s="251">
        <v>0.06</v>
      </c>
      <c r="O608" s="251">
        <v>-0.51</v>
      </c>
      <c r="P608" s="251">
        <v>4.0599999999999996</v>
      </c>
      <c r="Q608" s="251">
        <v>1.8</v>
      </c>
      <c r="R608" s="251">
        <v>0.41499999999999998</v>
      </c>
      <c r="S608" s="251">
        <v>-2.74</v>
      </c>
      <c r="T608" s="251">
        <v>-2.04</v>
      </c>
      <c r="U608" s="251">
        <v>-5.0433000000000003</v>
      </c>
      <c r="V608" s="251">
        <v>0.42</v>
      </c>
      <c r="W608" s="251">
        <v>0.82709999999999995</v>
      </c>
      <c r="X608" s="251">
        <v>3.86</v>
      </c>
      <c r="Y608" s="251">
        <v>-1.5</v>
      </c>
      <c r="Z608" s="243">
        <f ca="1">[1]ExtEntry!$L6</f>
        <v>-1.5</v>
      </c>
      <c r="AB608" s="305">
        <v>1.1527741806554757</v>
      </c>
      <c r="AC608" s="305">
        <v>1.1830046299030708</v>
      </c>
      <c r="AD608" s="305">
        <v>1.1793592574419365</v>
      </c>
      <c r="AE608" s="305">
        <v>1.2289577740849631</v>
      </c>
      <c r="AF608" s="305">
        <v>1.2959968546394069</v>
      </c>
      <c r="AG608" s="305">
        <v>1.3040125326654068</v>
      </c>
      <c r="AH608" s="305">
        <v>1.3179076993374459</v>
      </c>
      <c r="AI608" s="305">
        <v>1.303700137862454</v>
      </c>
      <c r="AJ608" s="305">
        <v>1.282583162843338</v>
      </c>
      <c r="AK608" s="305">
        <v>1.2857733897713388</v>
      </c>
      <c r="AL608" s="305">
        <v>1.2633900608867163</v>
      </c>
      <c r="AM608" s="305">
        <v>1.2537138541400732</v>
      </c>
      <c r="AN608" s="305">
        <v>1.2575933331910627</v>
      </c>
      <c r="AO608" s="305">
        <v>1.2717879402624308</v>
      </c>
      <c r="AP608" s="305">
        <v>1.2679569240037869</v>
      </c>
      <c r="AQ608" s="305">
        <v>1.296085629816919</v>
      </c>
      <c r="AR608" s="305">
        <v>1.2853730667015204</v>
      </c>
      <c r="AS608" s="305">
        <v>1.2956061709902331</v>
      </c>
      <c r="AT608" s="305">
        <v>1.2728953317801364</v>
      </c>
      <c r="AU608" s="305">
        <v>1.2811867291992356</v>
      </c>
      <c r="AV608" s="305">
        <f ca="1">Calc!AT6</f>
        <v>1.2811867291992356</v>
      </c>
      <c r="AX608" s="86" t="str">
        <f t="shared" ca="1" si="52"/>
        <v>AMZN</v>
      </c>
    </row>
    <row r="609" spans="1:50" ht="24" customHeight="1">
      <c r="A609" s="86" t="str">
        <f t="shared" ca="1" si="51"/>
        <v>ALDNE</v>
      </c>
      <c r="F609" s="243">
        <v>2E-3</v>
      </c>
      <c r="G609" s="243">
        <v>-8.0000000000000002E-3</v>
      </c>
      <c r="H609" s="243">
        <v>-2E-3</v>
      </c>
      <c r="I609" s="243">
        <v>-5.3999999999999999E-2</v>
      </c>
      <c r="J609" s="243">
        <v>-0.01</v>
      </c>
      <c r="K609" s="243">
        <v>8.0000000000000002E-3</v>
      </c>
      <c r="L609" s="243">
        <v>-0.02</v>
      </c>
      <c r="M609" s="243">
        <v>-1.2E-2</v>
      </c>
      <c r="N609" s="243">
        <v>-0.02</v>
      </c>
      <c r="O609" s="243">
        <v>-2.5999999999999999E-2</v>
      </c>
      <c r="P609" s="243">
        <v>-1.6E-2</v>
      </c>
      <c r="Q609" s="243">
        <v>1.4E-2</v>
      </c>
      <c r="R609" s="243">
        <v>2E-3</v>
      </c>
      <c r="S609" s="243">
        <v>8.0000000000000002E-3</v>
      </c>
      <c r="T609" s="243">
        <v>6.0000000000000001E-3</v>
      </c>
      <c r="U609" s="243">
        <v>-6.0000000000000001E-3</v>
      </c>
      <c r="V609" s="243">
        <v>0</v>
      </c>
      <c r="W609" s="243">
        <v>0</v>
      </c>
      <c r="X609" s="243">
        <v>8.0000000000000002E-3</v>
      </c>
      <c r="Y609" s="243">
        <v>-4.8000000000000001E-2</v>
      </c>
      <c r="Z609" s="243">
        <f ca="1">[1]ExtEntry!$L7</f>
        <v>-4.8000000000000001E-2</v>
      </c>
      <c r="AB609" s="305">
        <v>1.9409240506329115</v>
      </c>
      <c r="AC609" s="305">
        <v>1.9607800511508953</v>
      </c>
      <c r="AD609" s="305">
        <v>1.9658076923076924</v>
      </c>
      <c r="AE609" s="305">
        <v>2.3022972972972973</v>
      </c>
      <c r="AF609" s="305">
        <v>2.2885522388059703</v>
      </c>
      <c r="AG609" s="305">
        <v>2.2286773255813959</v>
      </c>
      <c r="AH609" s="305">
        <v>2.2954041916167665</v>
      </c>
      <c r="AI609" s="305">
        <v>2.3373932926829268</v>
      </c>
      <c r="AJ609" s="305">
        <v>2.425185758513932</v>
      </c>
      <c r="AK609" s="305">
        <v>2.5268870967741934</v>
      </c>
      <c r="AL609" s="305">
        <v>2.5938245033112586</v>
      </c>
      <c r="AM609" s="305">
        <v>2.5350647249190938</v>
      </c>
      <c r="AN609" s="305">
        <v>2.5268870967741934</v>
      </c>
      <c r="AO609" s="305">
        <v>2.4946974522292993</v>
      </c>
      <c r="AP609" s="305">
        <v>2.5026677316293928</v>
      </c>
      <c r="AQ609" s="305">
        <v>2.5268870967741934</v>
      </c>
      <c r="AR609" s="305">
        <v>2.5268870967741934</v>
      </c>
      <c r="AS609" s="305">
        <v>2.6553728813559325</v>
      </c>
      <c r="AT609" s="305">
        <v>2.6198494983277594</v>
      </c>
      <c r="AU609" s="305">
        <v>2.8484909090909087</v>
      </c>
      <c r="AV609" s="305">
        <f ca="1">Calc!AT7</f>
        <v>2.8484909090909087</v>
      </c>
      <c r="AX609" s="86" t="str">
        <f t="shared" ca="1" si="52"/>
        <v>ALDNE</v>
      </c>
    </row>
    <row r="610" spans="1:50">
      <c r="A610" s="86" t="str">
        <f t="shared" ca="1" si="51"/>
        <v>ASML</v>
      </c>
      <c r="F610" s="251">
        <v>-11.4</v>
      </c>
      <c r="G610" s="251">
        <v>-11.3</v>
      </c>
      <c r="H610" s="251">
        <v>-24.5</v>
      </c>
      <c r="I610" s="251">
        <v>-7.4</v>
      </c>
      <c r="J610" s="251">
        <v>-6.2</v>
      </c>
      <c r="K610" s="251">
        <v>21</v>
      </c>
      <c r="L610" s="251">
        <v>3.2</v>
      </c>
      <c r="M610" s="251">
        <v>-55.8</v>
      </c>
      <c r="N610" s="251">
        <v>49</v>
      </c>
      <c r="O610" s="251">
        <v>-12.1</v>
      </c>
      <c r="P610" s="251">
        <v>6.2</v>
      </c>
      <c r="Q610" s="251">
        <v>23.3</v>
      </c>
      <c r="R610" s="251">
        <v>12.4</v>
      </c>
      <c r="S610" s="251">
        <v>17.2</v>
      </c>
      <c r="T610" s="251">
        <v>24.3</v>
      </c>
      <c r="U610" s="251">
        <v>-6.1</v>
      </c>
      <c r="V610" s="251">
        <v>-5.7</v>
      </c>
      <c r="W610" s="251">
        <v>-10.3</v>
      </c>
      <c r="X610" s="251">
        <v>-6.9</v>
      </c>
      <c r="Y610" s="251">
        <v>-5.0999999999999996</v>
      </c>
      <c r="Z610" s="243">
        <f ca="1">[1]ExtEntry!$L8</f>
        <v>-5.0999999999999996</v>
      </c>
      <c r="AB610" s="305">
        <v>1.0389402823737039</v>
      </c>
      <c r="AC610" s="305">
        <v>1.0520532335529991</v>
      </c>
      <c r="AD610" s="305">
        <v>1.08165280202113</v>
      </c>
      <c r="AE610" s="305">
        <v>1.0775692254890745</v>
      </c>
      <c r="AF610" s="305">
        <v>1.0960010006981615</v>
      </c>
      <c r="AG610" s="305">
        <v>1.0623767877284007</v>
      </c>
      <c r="AH610" s="305">
        <v>1.0585561474488649</v>
      </c>
      <c r="AI610" s="305">
        <v>1.1293804076738609</v>
      </c>
      <c r="AJ610" s="305">
        <v>1.0488039150995272</v>
      </c>
      <c r="AK610" s="305">
        <v>1.0629485064645563</v>
      </c>
      <c r="AL610" s="305">
        <v>1.0556535311047155</v>
      </c>
      <c r="AM610" s="305">
        <v>1.0291112549908277</v>
      </c>
      <c r="AN610" s="305">
        <v>1.0155227345330635</v>
      </c>
      <c r="AO610" s="305">
        <v>0.99725755516051462</v>
      </c>
      <c r="AP610" s="305">
        <v>0.98990803404608685</v>
      </c>
      <c r="AQ610" s="305">
        <v>0.9962158153139038</v>
      </c>
      <c r="AR610" s="305">
        <v>1.0334377889869693</v>
      </c>
      <c r="AS610" s="305">
        <v>1.0320279147864415</v>
      </c>
      <c r="AT610" s="305">
        <v>1.0395553911205073</v>
      </c>
      <c r="AU610" s="305">
        <v>1.0451901371027739</v>
      </c>
      <c r="AV610" s="305">
        <f ca="1">Calc!AT8</f>
        <v>1.0451901371027739</v>
      </c>
      <c r="AX610" s="86" t="str">
        <f t="shared" ca="1" si="52"/>
        <v>ASML</v>
      </c>
    </row>
    <row r="611" spans="1:50">
      <c r="A611" s="86" t="str">
        <f t="shared" ca="1" si="51"/>
        <v>AVGO</v>
      </c>
      <c r="F611" s="251">
        <v>7.04</v>
      </c>
      <c r="G611" s="251">
        <v>-3.38</v>
      </c>
      <c r="H611" s="251">
        <v>-8.2050000000000001</v>
      </c>
      <c r="I611" s="251">
        <v>2.48</v>
      </c>
      <c r="J611" s="251">
        <v>-2.15</v>
      </c>
      <c r="K611" s="251">
        <v>7.47</v>
      </c>
      <c r="L611" s="251">
        <v>-3.88</v>
      </c>
      <c r="M611" s="251">
        <v>-3.3252000000000002</v>
      </c>
      <c r="N611" s="251">
        <v>10.2875</v>
      </c>
      <c r="O611" s="251">
        <v>12.54</v>
      </c>
      <c r="P611" s="251">
        <v>5.39</v>
      </c>
      <c r="Q611" s="251">
        <v>-12.78</v>
      </c>
      <c r="R611" s="251">
        <v>-4.51</v>
      </c>
      <c r="S611" s="251">
        <v>-5.57</v>
      </c>
      <c r="T611" s="251">
        <v>-0.96</v>
      </c>
      <c r="U611" s="251">
        <v>1.1294999999999999</v>
      </c>
      <c r="V611" s="251">
        <v>9.2100000000000009</v>
      </c>
      <c r="W611" s="251">
        <v>4.4490999999999996</v>
      </c>
      <c r="X611" s="251">
        <v>6.68</v>
      </c>
      <c r="Y611" s="251">
        <v>-6.6</v>
      </c>
      <c r="Z611" s="243">
        <f ca="1">[1]ExtEntry!$L9</f>
        <v>-6.6</v>
      </c>
      <c r="AB611" s="305">
        <v>1.0930459914201347</v>
      </c>
      <c r="AC611" s="305">
        <v>1.1034354611923509</v>
      </c>
      <c r="AD611" s="305">
        <v>1.1295296285101544</v>
      </c>
      <c r="AE611" s="305">
        <v>1.1457736669976055</v>
      </c>
      <c r="AF611" s="305">
        <v>1.1523690161527165</v>
      </c>
      <c r="AG611" s="305">
        <v>1.1276306865534385</v>
      </c>
      <c r="AH611" s="305">
        <v>1.1193634107377188</v>
      </c>
      <c r="AI611" s="305">
        <v>1.1423219507253093</v>
      </c>
      <c r="AJ611" s="305">
        <v>1.0150760844131614</v>
      </c>
      <c r="AK611" s="305">
        <v>1.0093249993711799</v>
      </c>
      <c r="AL611" s="305">
        <v>0.99582425054595991</v>
      </c>
      <c r="AM611" s="305">
        <v>1.028441591060536</v>
      </c>
      <c r="AN611" s="305">
        <v>1.0516480331262941</v>
      </c>
      <c r="AO611" s="305">
        <v>1.0672269680851063</v>
      </c>
      <c r="AP611" s="305">
        <v>1.0543005701374109</v>
      </c>
      <c r="AQ611" s="305">
        <v>1.0511810802916648</v>
      </c>
      <c r="AR611" s="305">
        <v>1.0487836715867158</v>
      </c>
      <c r="AS611" s="305">
        <v>1.0091930668814206</v>
      </c>
      <c r="AT611" s="305">
        <v>0.99105828510545546</v>
      </c>
      <c r="AU611" s="305">
        <v>1.0071544159263726</v>
      </c>
      <c r="AV611" s="305">
        <f ca="1">Calc!AT9</f>
        <v>1.0071544159263726</v>
      </c>
      <c r="AX611" s="86" t="str">
        <f t="shared" ca="1" si="52"/>
        <v>AVGO</v>
      </c>
    </row>
    <row r="612" spans="1:50" hidden="1">
      <c r="A612" s="86" t="str">
        <f t="shared" ca="1" si="51"/>
        <v>AZN</v>
      </c>
      <c r="F612" s="251">
        <v>-0.88</v>
      </c>
      <c r="G612" s="251">
        <v>2.5449999999999999</v>
      </c>
      <c r="H612" s="251">
        <v>0.78500000000000003</v>
      </c>
      <c r="I612" s="251">
        <v>0.49</v>
      </c>
      <c r="J612" s="251">
        <v>0.15</v>
      </c>
      <c r="K612" s="251">
        <v>-0.57989999999999997</v>
      </c>
      <c r="L612" s="251">
        <v>-0.38080000000000003</v>
      </c>
      <c r="M612" s="251">
        <v>2.93</v>
      </c>
      <c r="N612" s="251">
        <v>0.42499999999999999</v>
      </c>
      <c r="O612" s="251">
        <v>0.08</v>
      </c>
      <c r="P612" s="251">
        <v>-0.59</v>
      </c>
      <c r="Q612" s="251">
        <v>-1.93</v>
      </c>
      <c r="R612" s="251">
        <v>-0.315</v>
      </c>
      <c r="S612" s="251">
        <v>0.88</v>
      </c>
      <c r="T612" s="251">
        <v>0.68</v>
      </c>
      <c r="U612" s="251">
        <v>-0.54</v>
      </c>
      <c r="V612" s="251">
        <v>0.15</v>
      </c>
      <c r="W612" s="251">
        <v>-1.2549999999999999</v>
      </c>
      <c r="X612" s="251">
        <v>1.69</v>
      </c>
      <c r="Y612" s="251">
        <v>-1.22</v>
      </c>
      <c r="Z612" s="243">
        <f ca="1">[1]ExtEntry!$L10</f>
        <v>-1.22</v>
      </c>
      <c r="AB612" s="305">
        <v>1.1491402341343191</v>
      </c>
      <c r="AC612" s="305">
        <v>1.1141971443933329</v>
      </c>
      <c r="AD612" s="305">
        <v>1.1028647625805688</v>
      </c>
      <c r="AE612" s="305">
        <v>1.0466075196408531</v>
      </c>
      <c r="AF612" s="305">
        <v>1.0413481853713009</v>
      </c>
      <c r="AG612" s="305">
        <v>1.0481356096036758</v>
      </c>
      <c r="AH612" s="305">
        <v>1.0524046035851808</v>
      </c>
      <c r="AI612" s="305">
        <v>1.0179317760069861</v>
      </c>
      <c r="AJ612" s="305">
        <v>1.0108656381786152</v>
      </c>
      <c r="AK612" s="305">
        <v>1.0146027646806688</v>
      </c>
      <c r="AL612" s="305">
        <v>1.0210582335813654</v>
      </c>
      <c r="AM612" s="305">
        <v>1.042876197819143</v>
      </c>
      <c r="AN612" s="305">
        <v>1.0496394878332687</v>
      </c>
      <c r="AO612" s="305">
        <v>1.0398981878088964</v>
      </c>
      <c r="AP612" s="305">
        <v>1.0421874518436984</v>
      </c>
      <c r="AQ612" s="305">
        <v>1.0484191119477355</v>
      </c>
      <c r="AR612" s="305">
        <v>1.0741245287203369</v>
      </c>
      <c r="AS612" s="305">
        <v>1.075973896139961</v>
      </c>
      <c r="AT612" s="305">
        <v>1.0585132772374604</v>
      </c>
      <c r="AU612" s="305">
        <v>1.072815926459187</v>
      </c>
      <c r="AV612" s="304">
        <f ca="1">Calc!AT10</f>
        <v>1.072815926459187</v>
      </c>
      <c r="AX612" s="86" t="str">
        <f t="shared" ca="1" si="52"/>
        <v>AZN</v>
      </c>
    </row>
    <row r="613" spans="1:50" hidden="1">
      <c r="A613" s="86" t="str">
        <f t="shared" ca="1" si="51"/>
        <v>BLDP</v>
      </c>
      <c r="F613" s="251">
        <v>0.28000000000000003</v>
      </c>
      <c r="G613" s="251">
        <v>-0.08</v>
      </c>
      <c r="H613" s="251">
        <v>-6.5000000000000002E-2</v>
      </c>
      <c r="I613" s="251">
        <v>-0.16</v>
      </c>
      <c r="J613" s="251">
        <v>-0.02</v>
      </c>
      <c r="K613" s="251">
        <v>-4.8000000000000001E-2</v>
      </c>
      <c r="L613" s="251">
        <v>-0.125</v>
      </c>
      <c r="M613" s="251">
        <v>0.05</v>
      </c>
      <c r="N613" s="251">
        <v>6.5000000000000002E-2</v>
      </c>
      <c r="O613" s="251">
        <v>0.09</v>
      </c>
      <c r="P613" s="251">
        <v>0.06</v>
      </c>
      <c r="Q613" s="251">
        <v>-0.11</v>
      </c>
      <c r="R613" s="251">
        <v>3.5000000000000003E-2</v>
      </c>
      <c r="S613" s="251">
        <v>-0.08</v>
      </c>
      <c r="T613" s="251">
        <v>-0.04</v>
      </c>
      <c r="U613" s="251">
        <v>0.10009999999999999</v>
      </c>
      <c r="V613" s="251">
        <v>0.02</v>
      </c>
      <c r="W613" s="251">
        <v>0.01</v>
      </c>
      <c r="X613" s="251">
        <v>-0.04</v>
      </c>
      <c r="Y613" s="251">
        <v>0.11</v>
      </c>
      <c r="Z613" s="243">
        <f ca="1">[1]ExtEntry!$L11</f>
        <v>0.11</v>
      </c>
      <c r="AB613" s="305">
        <v>0.75342465753424659</v>
      </c>
      <c r="AC613" s="305">
        <v>0.77030812324929976</v>
      </c>
      <c r="AD613" s="305">
        <v>0.78909612625538028</v>
      </c>
      <c r="AE613" s="305">
        <v>0.90759075907590769</v>
      </c>
      <c r="AF613" s="305">
        <v>0.95155709342560546</v>
      </c>
      <c r="AG613" s="305">
        <v>0.96762843068261783</v>
      </c>
      <c r="AH613" s="305">
        <v>1.0091743119266054</v>
      </c>
      <c r="AI613" s="305">
        <v>1.0073260073260073</v>
      </c>
      <c r="AJ613" s="305">
        <v>1.0843920145190562</v>
      </c>
      <c r="AK613" s="305">
        <v>1.0746402877697843</v>
      </c>
      <c r="AL613" s="305">
        <v>1.0519366197183098</v>
      </c>
      <c r="AM613" s="305">
        <v>1.0943223443223442</v>
      </c>
      <c r="AN613" s="305">
        <v>1.1003683241252302</v>
      </c>
      <c r="AO613" s="305">
        <v>1.1359315589353611</v>
      </c>
      <c r="AP613" s="305">
        <v>1.1189138576779025</v>
      </c>
      <c r="AQ613" s="305">
        <v>1.0784809212663804</v>
      </c>
      <c r="AR613" s="305">
        <v>1.0593971631205674</v>
      </c>
      <c r="AS613" s="305">
        <v>1.0631672597864767</v>
      </c>
      <c r="AT613" s="305">
        <v>1.0746402877697843</v>
      </c>
      <c r="AU613" s="305">
        <v>1.0337370242214532</v>
      </c>
      <c r="AV613" s="304">
        <f ca="1">Calc!AT11</f>
        <v>1.0337370242214532</v>
      </c>
      <c r="AX613" s="86" t="str">
        <f t="shared" ca="1" si="52"/>
        <v>BLDP</v>
      </c>
    </row>
    <row r="614" spans="1:50" hidden="1">
      <c r="A614" s="86" t="str">
        <f t="shared" ca="1" si="51"/>
        <v>BMRA</v>
      </c>
      <c r="F614" s="251">
        <v>0.1</v>
      </c>
      <c r="G614" s="251">
        <v>-0.03</v>
      </c>
      <c r="H614" s="251">
        <v>-5.2499999999999998E-2</v>
      </c>
      <c r="I614" s="251">
        <v>-0.09</v>
      </c>
      <c r="J614" s="251">
        <v>-0.04</v>
      </c>
      <c r="K614" s="251">
        <v>-3.5000000000000003E-2</v>
      </c>
      <c r="L614" s="251">
        <v>0.02</v>
      </c>
      <c r="M614" s="251">
        <v>0.03</v>
      </c>
      <c r="N614" s="251">
        <v>-2.5000000000000001E-2</v>
      </c>
      <c r="O614" s="251">
        <v>-7.0000000000000007E-2</v>
      </c>
      <c r="P614" s="251">
        <v>0.05</v>
      </c>
      <c r="Q614" s="251">
        <v>-0.1</v>
      </c>
      <c r="R614" s="251">
        <v>6.25E-2</v>
      </c>
      <c r="S614" s="251">
        <v>4.1000000000000002E-2</v>
      </c>
      <c r="T614" s="251">
        <v>-0.03</v>
      </c>
      <c r="U614" s="251">
        <v>2.1399999999999999E-2</v>
      </c>
      <c r="V614" s="251">
        <v>3.6999999999999998E-2</v>
      </c>
      <c r="W614" s="251">
        <v>5.0000000000000001E-3</v>
      </c>
      <c r="X614" s="251">
        <v>-0.04</v>
      </c>
      <c r="Y614" s="251">
        <v>0.09</v>
      </c>
      <c r="Z614" s="243">
        <f ca="1">[1]ExtEntry!$L12</f>
        <v>0.09</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0.71</v>
      </c>
      <c r="G615" s="251">
        <v>-0.68</v>
      </c>
      <c r="H615" s="251">
        <v>-0.33</v>
      </c>
      <c r="I615" s="251">
        <v>-0.37</v>
      </c>
      <c r="J615" s="251">
        <v>0.13</v>
      </c>
      <c r="K615" s="251">
        <v>1.28</v>
      </c>
      <c r="L615" s="251">
        <v>-1.675</v>
      </c>
      <c r="M615" s="251">
        <v>1.2</v>
      </c>
      <c r="N615" s="251">
        <v>1.605</v>
      </c>
      <c r="O615" s="251">
        <v>1.34</v>
      </c>
      <c r="P615" s="251">
        <v>1.1499999999999999</v>
      </c>
      <c r="Q615" s="251">
        <v>-0.34</v>
      </c>
      <c r="R615" s="251">
        <v>0.5</v>
      </c>
      <c r="S615" s="251">
        <v>1.5</v>
      </c>
      <c r="T615" s="251">
        <v>3.58</v>
      </c>
      <c r="U615" s="251">
        <v>1.58</v>
      </c>
      <c r="V615" s="251">
        <v>1.04</v>
      </c>
      <c r="W615" s="251">
        <v>9.5000000000000001E-2</v>
      </c>
      <c r="X615" s="251">
        <v>1.6950000000000001</v>
      </c>
      <c r="Y615" s="251">
        <v>0.66</v>
      </c>
      <c r="Z615" s="243">
        <f ca="1">[1]ExtEntry!$L13</f>
        <v>0.66</v>
      </c>
      <c r="AB615" s="305">
        <v>1.1183828155721589</v>
      </c>
      <c r="AC615" s="305">
        <v>1.1262439362439363</v>
      </c>
      <c r="AD615" s="305">
        <v>1.131733983286908</v>
      </c>
      <c r="AE615" s="305">
        <v>1.1342163509471586</v>
      </c>
      <c r="AF615" s="305">
        <v>1.1570575671277461</v>
      </c>
      <c r="AG615" s="305">
        <v>1.1421877510040161</v>
      </c>
      <c r="AH615" s="305">
        <v>1.1590025979318423</v>
      </c>
      <c r="AI615" s="305">
        <v>1.1510867145603561</v>
      </c>
      <c r="AJ615" s="305">
        <v>1.11246246655315</v>
      </c>
      <c r="AK615" s="305">
        <v>1.1153383084577113</v>
      </c>
      <c r="AL615" s="305">
        <v>1.1030712011577424</v>
      </c>
      <c r="AM615" s="305">
        <v>1.1072373619988378</v>
      </c>
      <c r="AN615" s="305">
        <v>1.1080958519092847</v>
      </c>
      <c r="AO615" s="305">
        <v>1.0921131913267743</v>
      </c>
      <c r="AP615" s="305">
        <v>1.0708375948300084</v>
      </c>
      <c r="AQ615" s="305">
        <v>1.0557094182825486</v>
      </c>
      <c r="AR615" s="305">
        <v>1.0501305706147201</v>
      </c>
      <c r="AS615" s="305">
        <v>1.0483484841535569</v>
      </c>
      <c r="AT615" s="305">
        <v>1.0284428346456693</v>
      </c>
      <c r="AU615" s="305">
        <v>1.0226909172259506</v>
      </c>
      <c r="AV615" s="304">
        <f ca="1">Calc!AT13</f>
        <v>1.0226909172259506</v>
      </c>
      <c r="AX615" s="86" t="str">
        <f t="shared" ca="1" si="52"/>
        <v>C</v>
      </c>
    </row>
    <row r="616" spans="1:50" hidden="1">
      <c r="A616" s="86" t="str">
        <f t="shared" ca="1" si="51"/>
        <v>CSCO</v>
      </c>
      <c r="F616" s="251">
        <v>-0.22</v>
      </c>
      <c r="G616" s="251">
        <v>-0.94499999999999995</v>
      </c>
      <c r="H616" s="251">
        <v>-0.115</v>
      </c>
      <c r="I616" s="251">
        <v>0.62</v>
      </c>
      <c r="J616" s="251">
        <v>-0.41</v>
      </c>
      <c r="K616" s="251">
        <v>0.90359999999999996</v>
      </c>
      <c r="L616" s="251">
        <v>-2.17</v>
      </c>
      <c r="M616" s="251">
        <v>1.175</v>
      </c>
      <c r="N616" s="251">
        <v>-3.5000000000000003E-2</v>
      </c>
      <c r="O616" s="251">
        <v>-0.25</v>
      </c>
      <c r="P616" s="251">
        <v>0.87</v>
      </c>
      <c r="Q616" s="251">
        <v>-0.64990000000000003</v>
      </c>
      <c r="R616" s="251">
        <v>0.85</v>
      </c>
      <c r="S616" s="251">
        <v>0.36499999999999999</v>
      </c>
      <c r="T616" s="251">
        <v>0.88</v>
      </c>
      <c r="U616" s="251">
        <v>-0.17499999999999999</v>
      </c>
      <c r="V616" s="251">
        <v>0.21</v>
      </c>
      <c r="W616" s="251">
        <v>0.745</v>
      </c>
      <c r="X616" s="251">
        <v>0.74</v>
      </c>
      <c r="Y616" s="251">
        <v>-0.98</v>
      </c>
      <c r="Z616" s="243">
        <f ca="1">[1]ExtEntry!$L14</f>
        <v>-0.98</v>
      </c>
      <c r="AB616" s="305">
        <v>1.0581269070735091</v>
      </c>
      <c r="AC616" s="305">
        <v>1.0721797484365116</v>
      </c>
      <c r="AD616" s="305">
        <v>1.0756566795911173</v>
      </c>
      <c r="AE616" s="305">
        <v>0.97808910256410253</v>
      </c>
      <c r="AF616" s="305">
        <v>0.9860533798629959</v>
      </c>
      <c r="AG616" s="305">
        <v>0.97467025919339334</v>
      </c>
      <c r="AH616" s="305">
        <v>1.0009308580425085</v>
      </c>
      <c r="AI616" s="305">
        <v>0.99577041049402859</v>
      </c>
      <c r="AJ616" s="305">
        <v>1.1118143802844598</v>
      </c>
      <c r="AK616" s="305">
        <v>1.1149567503615094</v>
      </c>
      <c r="AL616" s="305">
        <v>1.1023493631401093</v>
      </c>
      <c r="AM616" s="305">
        <v>1.1117400553938193</v>
      </c>
      <c r="AN616" s="305">
        <v>1.1030661984653403</v>
      </c>
      <c r="AO616" s="305">
        <v>1.0981389266524244</v>
      </c>
      <c r="AP616" s="305">
        <v>1.0908650803858522</v>
      </c>
      <c r="AQ616" s="305">
        <v>1.0933259426361586</v>
      </c>
      <c r="AR616" s="305">
        <v>1.0877870976016417</v>
      </c>
      <c r="AS616" s="305">
        <v>1.0654451353558194</v>
      </c>
      <c r="AT616" s="305">
        <v>1.0568817445482868</v>
      </c>
      <c r="AU616" s="305">
        <v>1.0699477734325724</v>
      </c>
      <c r="AV616" s="304">
        <f ca="1">Calc!AT14</f>
        <v>1.0699477734325724</v>
      </c>
      <c r="AX616" s="86" t="str">
        <f t="shared" ca="1" si="52"/>
        <v>CSCO</v>
      </c>
    </row>
    <row r="617" spans="1:50" hidden="1">
      <c r="A617" s="86" t="str">
        <f t="shared" ca="1" si="51"/>
        <v>CVS</v>
      </c>
      <c r="F617" s="251">
        <v>0.48</v>
      </c>
      <c r="G617" s="251">
        <v>0.18</v>
      </c>
      <c r="H617" s="251">
        <v>0.18</v>
      </c>
      <c r="I617" s="251">
        <v>-1.37</v>
      </c>
      <c r="J617" s="251">
        <v>-0.47</v>
      </c>
      <c r="K617" s="251">
        <v>-1.52</v>
      </c>
      <c r="L617" s="251">
        <v>-0.41499999999999998</v>
      </c>
      <c r="M617" s="251">
        <v>1.7150000000000001</v>
      </c>
      <c r="N617" s="251">
        <v>1.39</v>
      </c>
      <c r="O617" s="251">
        <v>1.39</v>
      </c>
      <c r="P617" s="251">
        <v>0.5</v>
      </c>
      <c r="Q617" s="251">
        <v>-0.62</v>
      </c>
      <c r="R617" s="251">
        <v>-1.4850000000000001</v>
      </c>
      <c r="S617" s="251">
        <v>-0.5968</v>
      </c>
      <c r="T617" s="251">
        <v>-2.56</v>
      </c>
      <c r="U617" s="251">
        <v>-0.14510000000000001</v>
      </c>
      <c r="V617" s="251">
        <v>-1.1200000000000001</v>
      </c>
      <c r="W617" s="251">
        <v>2.17</v>
      </c>
      <c r="X617" s="251">
        <v>0.75</v>
      </c>
      <c r="Y617" s="251">
        <v>1.86</v>
      </c>
      <c r="Z617" s="243">
        <f ca="1">[1]ExtEntry!$L15</f>
        <v>1.86</v>
      </c>
      <c r="AB617" s="305">
        <v>1.1517311608961303</v>
      </c>
      <c r="AC617" s="305">
        <v>1.1492442525085735</v>
      </c>
      <c r="AD617" s="305">
        <v>1.147640791476408</v>
      </c>
      <c r="AE617" s="305">
        <v>1.1619365609348915</v>
      </c>
      <c r="AF617" s="305">
        <v>1.1608929946112394</v>
      </c>
      <c r="AG617" s="305">
        <v>1.1839832504579952</v>
      </c>
      <c r="AH617" s="305">
        <v>1.1884153149011625</v>
      </c>
      <c r="AI617" s="305">
        <v>1.1636550704134783</v>
      </c>
      <c r="AJ617" s="305">
        <v>1.145504633107939</v>
      </c>
      <c r="AK617" s="305">
        <v>1.145504633107939</v>
      </c>
      <c r="AL617" s="305">
        <v>1.1383773021403685</v>
      </c>
      <c r="AM617" s="305">
        <v>1.1472284926009533</v>
      </c>
      <c r="AN617" s="305">
        <v>1.1786381498421699</v>
      </c>
      <c r="AO617" s="305">
        <v>1.1876940973628725</v>
      </c>
      <c r="AP617" s="305">
        <v>1.2187583266719957</v>
      </c>
      <c r="AQ617" s="305">
        <v>1.22209768498789</v>
      </c>
      <c r="AR617" s="305">
        <v>1.2143329366653446</v>
      </c>
      <c r="AS617" s="305">
        <v>1.1669631512071157</v>
      </c>
      <c r="AT617" s="305">
        <v>1.1626788201038107</v>
      </c>
      <c r="AU617" s="305">
        <v>1.1362118025485588</v>
      </c>
      <c r="AV617" s="304">
        <f ca="1">Calc!AT15</f>
        <v>1.1362118025485588</v>
      </c>
      <c r="AX617" s="86" t="str">
        <f t="shared" ca="1" si="52"/>
        <v>CVS</v>
      </c>
    </row>
    <row r="618" spans="1:50" hidden="1">
      <c r="A618" s="86" t="str">
        <f t="shared" ca="1" si="51"/>
        <v>DDD</v>
      </c>
      <c r="F618" s="251">
        <v>-0.02</v>
      </c>
      <c r="G618" s="251">
        <v>-0.33500000000000002</v>
      </c>
      <c r="H618" s="251">
        <v>-2.5000000000000001E-2</v>
      </c>
      <c r="I618" s="251">
        <v>0</v>
      </c>
      <c r="J618" s="251">
        <v>0</v>
      </c>
      <c r="K618" s="251">
        <v>-3.5000000000000003E-2</v>
      </c>
      <c r="L618" s="251">
        <v>-0.1</v>
      </c>
      <c r="M618" s="251">
        <v>7.4999999999999997E-2</v>
      </c>
      <c r="N618" s="251">
        <v>1.4999999999999999E-2</v>
      </c>
      <c r="O618" s="251">
        <v>0.03</v>
      </c>
      <c r="P618" s="251">
        <v>0.04</v>
      </c>
      <c r="Q618" s="251">
        <v>-7.4999999999999997E-2</v>
      </c>
      <c r="R618" s="251">
        <v>0.05</v>
      </c>
      <c r="S618" s="251">
        <v>3.5000000000000003E-2</v>
      </c>
      <c r="T618" s="251">
        <v>0.16</v>
      </c>
      <c r="U618" s="251">
        <v>1.4999999999999999E-2</v>
      </c>
      <c r="V618" s="251">
        <v>-0.09</v>
      </c>
      <c r="W618" s="251">
        <v>-0.36499999999999999</v>
      </c>
      <c r="X618" s="251">
        <v>0</v>
      </c>
      <c r="Y618" s="251">
        <v>0.19500000000000001</v>
      </c>
      <c r="Z618" s="243">
        <f ca="1">[1]ExtEntry!$L16</f>
        <v>0.19500000000000001</v>
      </c>
      <c r="AB618" s="305">
        <v>1.25</v>
      </c>
      <c r="AC618" s="305">
        <v>1.434878587196468</v>
      </c>
      <c r="AD618" s="305">
        <v>1.4606741573033708</v>
      </c>
      <c r="AE618" s="305">
        <v>1.5046296296296295</v>
      </c>
      <c r="AF618" s="305">
        <v>1.5625</v>
      </c>
      <c r="AG618" s="305">
        <v>1.5892420537897312</v>
      </c>
      <c r="AH618" s="305">
        <v>1.7287234042553192</v>
      </c>
      <c r="AI618" s="305">
        <v>1.6709511568123392</v>
      </c>
      <c r="AJ618" s="305">
        <v>1.7813267813267812</v>
      </c>
      <c r="AK618" s="305">
        <v>1.7682926829268295</v>
      </c>
      <c r="AL618" s="305">
        <v>1.7427884615384615</v>
      </c>
      <c r="AM618" s="305">
        <v>1.8079800498753118</v>
      </c>
      <c r="AN618" s="305">
        <v>1.7682926829268295</v>
      </c>
      <c r="AO618" s="305">
        <v>1.7469879518072287</v>
      </c>
      <c r="AP618" s="305">
        <v>1.6477272727272725</v>
      </c>
      <c r="AQ618" s="305">
        <v>1.6292134831460674</v>
      </c>
      <c r="AR618" s="305">
        <v>1.6782407407407407</v>
      </c>
      <c r="AS618" s="305">
        <v>2.0538243626062322</v>
      </c>
      <c r="AT618" s="305">
        <v>2.0480225988700567</v>
      </c>
      <c r="AU618" s="305">
        <v>1.8447837150127226</v>
      </c>
      <c r="AV618" s="304">
        <f ca="1">Calc!AT16</f>
        <v>1.8447837150127226</v>
      </c>
      <c r="AX618" s="86" t="str">
        <f t="shared" ca="1" si="52"/>
        <v>DDD</v>
      </c>
    </row>
    <row r="619" spans="1:50" hidden="1">
      <c r="A619" s="86" t="str">
        <f t="shared" ca="1" si="51"/>
        <v>DIS</v>
      </c>
      <c r="F619" s="251">
        <v>-0.13</v>
      </c>
      <c r="G619" s="251">
        <v>-1.2</v>
      </c>
      <c r="H619" s="251">
        <v>0.24</v>
      </c>
      <c r="I619" s="251">
        <v>-1.81</v>
      </c>
      <c r="J619" s="251">
        <v>0.59</v>
      </c>
      <c r="K619" s="251">
        <v>-0.98</v>
      </c>
      <c r="L619" s="251">
        <v>-1.8</v>
      </c>
      <c r="M619" s="251">
        <v>1.75</v>
      </c>
      <c r="N619" s="251">
        <v>0.53500000000000003</v>
      </c>
      <c r="O619" s="251">
        <v>0.12</v>
      </c>
      <c r="P619" s="251">
        <v>1.04</v>
      </c>
      <c r="Q619" s="251">
        <v>1.97</v>
      </c>
      <c r="R619" s="251">
        <v>-1.7949999999999999</v>
      </c>
      <c r="S619" s="251">
        <v>-0.11</v>
      </c>
      <c r="T619" s="251">
        <v>0.9</v>
      </c>
      <c r="U619" s="251">
        <v>-0.76990000000000003</v>
      </c>
      <c r="V619" s="251">
        <v>-0.24</v>
      </c>
      <c r="W619" s="251">
        <v>-0.93</v>
      </c>
      <c r="X619" s="251">
        <v>1.81</v>
      </c>
      <c r="Y619" s="251">
        <v>2.65</v>
      </c>
      <c r="Z619" s="243">
        <f ca="1">[1]ExtEntry!$L17</f>
        <v>2.65</v>
      </c>
      <c r="AB619" s="305">
        <v>1.2041710077240881</v>
      </c>
      <c r="AC619" s="305">
        <v>1.2170697167755991</v>
      </c>
      <c r="AD619" s="305">
        <v>1.2108046599837441</v>
      </c>
      <c r="AE619" s="305">
        <v>1.2672249527410206</v>
      </c>
      <c r="AF619" s="305">
        <v>1.2615016936394428</v>
      </c>
      <c r="AG619" s="305">
        <v>1.2732421652421653</v>
      </c>
      <c r="AH619" s="305">
        <v>1.3033187518226887</v>
      </c>
      <c r="AI619" s="305">
        <v>1.2836036381043561</v>
      </c>
      <c r="AJ619" s="305">
        <v>1.2759744811979392</v>
      </c>
      <c r="AK619" s="305">
        <v>1.281094169970028</v>
      </c>
      <c r="AL619" s="305">
        <v>1.2683408634057625</v>
      </c>
      <c r="AM619" s="305">
        <v>1.2448663096580233</v>
      </c>
      <c r="AN619" s="305">
        <v>1.2622392950702548</v>
      </c>
      <c r="AO619" s="305">
        <v>1.2653129297173416</v>
      </c>
      <c r="AP619" s="305">
        <v>1.253225858318358</v>
      </c>
      <c r="AQ619" s="305">
        <v>1.2622982163492269</v>
      </c>
      <c r="AR619" s="305">
        <v>1.2591805568754157</v>
      </c>
      <c r="AS619" s="305">
        <v>1.2418328959700093</v>
      </c>
      <c r="AT619" s="305">
        <v>1.2175279794174401</v>
      </c>
      <c r="AU619" s="305">
        <v>1.1885860243989952</v>
      </c>
      <c r="AV619" s="304">
        <f ca="1">Calc!AT17</f>
        <v>1.1885860243989952</v>
      </c>
      <c r="AX619" s="86" t="str">
        <f t="shared" ca="1" si="52"/>
        <v>DIS</v>
      </c>
    </row>
    <row r="620" spans="1:50" hidden="1">
      <c r="A620" s="86" t="str">
        <f t="shared" ca="1" si="51"/>
        <v>DSY</v>
      </c>
      <c r="F620" s="251">
        <v>-0.06</v>
      </c>
      <c r="G620" s="251">
        <v>-0.72</v>
      </c>
      <c r="H620" s="251">
        <v>0.08</v>
      </c>
      <c r="I620" s="251">
        <v>-0.24</v>
      </c>
      <c r="J620" s="251">
        <v>-0.01</v>
      </c>
      <c r="K620" s="251">
        <v>0.2</v>
      </c>
      <c r="L620" s="251">
        <v>-0.06</v>
      </c>
      <c r="M620" s="251">
        <v>0.17</v>
      </c>
      <c r="N620" s="251">
        <v>0.19</v>
      </c>
      <c r="O620" s="251">
        <v>0</v>
      </c>
      <c r="P620" s="251">
        <v>-0.04</v>
      </c>
      <c r="Q620" s="251">
        <v>-0.26</v>
      </c>
      <c r="R620" s="251">
        <v>-0.43</v>
      </c>
      <c r="S620" s="251">
        <v>-0.01</v>
      </c>
      <c r="T620" s="251">
        <v>-0.01</v>
      </c>
      <c r="U620" s="251">
        <v>0.35</v>
      </c>
      <c r="V620" s="251">
        <v>0.02</v>
      </c>
      <c r="W620" s="251">
        <v>-0.16</v>
      </c>
      <c r="X620" s="251">
        <v>-0.33</v>
      </c>
      <c r="Y620" s="251">
        <v>0.11</v>
      </c>
      <c r="Z620" s="243">
        <f ca="1">[1]ExtEntry!$L18</f>
        <v>0.11</v>
      </c>
      <c r="AB620" s="305">
        <v>1.3293486238532111</v>
      </c>
      <c r="AC620" s="305">
        <v>1.3704978503869303</v>
      </c>
      <c r="AD620" s="305">
        <v>1.3658003427592118</v>
      </c>
      <c r="AE620" s="305">
        <v>1.3287944977073782</v>
      </c>
      <c r="AF620" s="305">
        <v>1.3758213206732843</v>
      </c>
      <c r="AG620" s="305">
        <v>1.363463644140291</v>
      </c>
      <c r="AH620" s="305">
        <v>1.3669716981132076</v>
      </c>
      <c r="AI620" s="305">
        <v>1.3570787569178375</v>
      </c>
      <c r="AJ620" s="305">
        <v>1.3199908902691513</v>
      </c>
      <c r="AK620" s="305">
        <v>1.3199908902691513</v>
      </c>
      <c r="AL620" s="305">
        <v>1.322180837826628</v>
      </c>
      <c r="AM620" s="305">
        <v>1.3365945492662474</v>
      </c>
      <c r="AN620" s="305">
        <v>1.361134927412468</v>
      </c>
      <c r="AO620" s="305">
        <v>1.3617163605296883</v>
      </c>
      <c r="AP620" s="305">
        <v>1.3617163605296883</v>
      </c>
      <c r="AQ620" s="305">
        <v>1.3416574074074075</v>
      </c>
      <c r="AR620" s="305">
        <v>1.331184188393608</v>
      </c>
      <c r="AS620" s="305">
        <v>1.3556985010706637</v>
      </c>
      <c r="AT620" s="305">
        <v>1.3751329278887925</v>
      </c>
      <c r="AU620" s="305">
        <v>1.368593169044531</v>
      </c>
      <c r="AV620" s="304">
        <f ca="1">Calc!AT18</f>
        <v>1.368593169044531</v>
      </c>
      <c r="AX620" s="86" t="str">
        <f t="shared" ca="1" si="52"/>
        <v>DSY</v>
      </c>
    </row>
    <row r="621" spans="1:50" hidden="1">
      <c r="A621" s="86" t="str">
        <f t="shared" ca="1" si="51"/>
        <v>DVA</v>
      </c>
      <c r="F621" s="251">
        <v>1.19</v>
      </c>
      <c r="G621" s="251">
        <v>0.66</v>
      </c>
      <c r="H621" s="251">
        <v>1.7949999999999999</v>
      </c>
      <c r="I621" s="251">
        <v>-1.49</v>
      </c>
      <c r="J621" s="251">
        <v>-0.71</v>
      </c>
      <c r="K621" s="251">
        <v>-1.405</v>
      </c>
      <c r="L621" s="251">
        <v>-0.43</v>
      </c>
      <c r="M621" s="251">
        <v>5.67</v>
      </c>
      <c r="N621" s="251">
        <v>-1.1000000000000001</v>
      </c>
      <c r="O621" s="251">
        <v>-1.27</v>
      </c>
      <c r="P621" s="251">
        <v>-0.42</v>
      </c>
      <c r="Q621" s="251">
        <v>0.72499999999999998</v>
      </c>
      <c r="R621" s="251">
        <v>-0.18</v>
      </c>
      <c r="S621" s="251">
        <v>0.76</v>
      </c>
      <c r="T621" s="251">
        <v>-0.93</v>
      </c>
      <c r="U621" s="251">
        <v>-0.95</v>
      </c>
      <c r="V621" s="251">
        <v>0.11</v>
      </c>
      <c r="W621" s="251">
        <v>-0.69</v>
      </c>
      <c r="X621" s="251">
        <v>2.0099999999999998</v>
      </c>
      <c r="Y621" s="251">
        <v>1.665</v>
      </c>
      <c r="Z621" s="243">
        <f ca="1">[1]ExtEntry!$L19</f>
        <v>1.665</v>
      </c>
      <c r="AB621" s="305">
        <v>1.2143034004621989</v>
      </c>
      <c r="AC621" s="305">
        <v>1.2077245115744542</v>
      </c>
      <c r="AD621" s="305">
        <v>1.1929860125684169</v>
      </c>
      <c r="AE621" s="305">
        <v>1.2103076669957222</v>
      </c>
      <c r="AF621" s="305">
        <v>1.2622254632807137</v>
      </c>
      <c r="AG621" s="305">
        <v>1.2776258086926318</v>
      </c>
      <c r="AH621" s="305">
        <v>1.2819116493857281</v>
      </c>
      <c r="AI621" s="305">
        <v>1.2157081474136506</v>
      </c>
      <c r="AJ621" s="305">
        <v>1.201463374074998</v>
      </c>
      <c r="AK621" s="305">
        <v>1.2031640299750208</v>
      </c>
      <c r="AL621" s="305">
        <v>1.2073863636363635</v>
      </c>
      <c r="AM621" s="305">
        <v>1.2001162742411029</v>
      </c>
      <c r="AN621" s="305">
        <v>1.2136737779270956</v>
      </c>
      <c r="AO621" s="305">
        <v>1.2047690511922629</v>
      </c>
      <c r="AP621" s="305">
        <v>1.2219873150105709</v>
      </c>
      <c r="AQ621" s="305">
        <v>1.2318840579710144</v>
      </c>
      <c r="AR621" s="305">
        <v>1.2309396030326263</v>
      </c>
      <c r="AS621" s="305">
        <v>1.241835682365074</v>
      </c>
      <c r="AT621" s="305">
        <v>1.2175598247387933</v>
      </c>
      <c r="AU621" s="305">
        <v>1.200714612156716</v>
      </c>
      <c r="AV621" s="304">
        <f ca="1">Calc!AT19</f>
        <v>1.200714612156716</v>
      </c>
      <c r="AX621" s="86" t="str">
        <f t="shared" ca="1" si="52"/>
        <v>DVA</v>
      </c>
    </row>
    <row r="622" spans="1:50" hidden="1">
      <c r="A622" s="86" t="str">
        <f t="shared" ca="1" si="51"/>
        <v>DXC</v>
      </c>
      <c r="F622" s="251">
        <v>0.27</v>
      </c>
      <c r="G622" s="251">
        <v>-7.4999999999999997E-2</v>
      </c>
      <c r="H622" s="251">
        <v>-0.46500000000000002</v>
      </c>
      <c r="I622" s="251">
        <v>-0.41</v>
      </c>
      <c r="J622" s="251">
        <v>-0.24</v>
      </c>
      <c r="K622" s="251">
        <v>-0.11</v>
      </c>
      <c r="L622" s="251">
        <v>-0.08</v>
      </c>
      <c r="M622" s="251">
        <v>0.52</v>
      </c>
      <c r="N622" s="251">
        <v>7.0000000000000007E-2</v>
      </c>
      <c r="O622" s="251">
        <v>0.05</v>
      </c>
      <c r="P622" s="251">
        <v>0.125</v>
      </c>
      <c r="Q622" s="251">
        <v>0.24</v>
      </c>
      <c r="R622" s="251">
        <v>8.5000000000000006E-2</v>
      </c>
      <c r="S622" s="251">
        <v>0.12</v>
      </c>
      <c r="T622" s="251">
        <v>0.14000000000000001</v>
      </c>
      <c r="U622" s="251">
        <v>0.2445</v>
      </c>
      <c r="V622" s="251">
        <v>0.14000000000000001</v>
      </c>
      <c r="W622" s="251">
        <v>0.59</v>
      </c>
      <c r="X622" s="251">
        <v>0.08</v>
      </c>
      <c r="Y622" s="251">
        <v>0.12</v>
      </c>
      <c r="Z622" s="243">
        <f ca="1">[1]ExtEntry!$L20</f>
        <v>0.12</v>
      </c>
      <c r="AB622" s="305">
        <v>1.0499637943519189</v>
      </c>
      <c r="AC622" s="305">
        <v>1.0556971241354205</v>
      </c>
      <c r="AD622" s="305">
        <v>1.1005692599620494</v>
      </c>
      <c r="AE622" s="305">
        <v>1.1231603408210689</v>
      </c>
      <c r="AF622" s="305">
        <v>1.1865793780687397</v>
      </c>
      <c r="AG622" s="305">
        <v>1.1973575557390588</v>
      </c>
      <c r="AH622" s="305">
        <v>1.2174643157010916</v>
      </c>
      <c r="AI622" s="305">
        <v>1.1408339889850512</v>
      </c>
      <c r="AJ622" s="305">
        <v>1.1043412033511042</v>
      </c>
      <c r="AK622" s="305">
        <v>1.1060259344012204</v>
      </c>
      <c r="AL622" s="305">
        <v>1.0955799017755952</v>
      </c>
      <c r="AM622" s="305">
        <v>1.0788690476190477</v>
      </c>
      <c r="AN622" s="305">
        <v>1.0720887245841035</v>
      </c>
      <c r="AO622" s="305">
        <v>1.0599415204678362</v>
      </c>
      <c r="AP622" s="305">
        <v>1.0583941605839418</v>
      </c>
      <c r="AQ622" s="305">
        <v>1.03983649467532</v>
      </c>
      <c r="AR622" s="305">
        <v>1.0269121813031161</v>
      </c>
      <c r="AS622" s="305">
        <v>0.96989966555183948</v>
      </c>
      <c r="AT622" s="305">
        <v>0.95899470899470907</v>
      </c>
      <c r="AU622" s="305">
        <v>0.95144356955380571</v>
      </c>
      <c r="AV622" s="304">
        <f ca="1">Calc!AT20</f>
        <v>0.95144356955380571</v>
      </c>
      <c r="AX622" s="86" t="str">
        <f t="shared" ca="1" si="52"/>
        <v>DXC</v>
      </c>
    </row>
    <row r="623" spans="1:50" hidden="1">
      <c r="A623" s="86" t="str">
        <f t="shared" ca="1" si="51"/>
        <v>EOAN</v>
      </c>
      <c r="F623" s="251">
        <v>0.3</v>
      </c>
      <c r="G623" s="251">
        <v>0.03</v>
      </c>
      <c r="H623" s="251">
        <v>2.5000000000000001E-2</v>
      </c>
      <c r="I623" s="251">
        <v>0.02</v>
      </c>
      <c r="J623" s="251">
        <v>-0.11</v>
      </c>
      <c r="K623" s="251">
        <v>-0.04</v>
      </c>
      <c r="L623" s="251">
        <v>0.1</v>
      </c>
      <c r="M623" s="251">
        <v>0.14000000000000001</v>
      </c>
      <c r="N623" s="251">
        <v>7.4999999999999997E-2</v>
      </c>
      <c r="O623" s="251">
        <v>-0.14499999999999999</v>
      </c>
      <c r="P623" s="251">
        <v>1.4999999999999999E-2</v>
      </c>
      <c r="Q623" s="251">
        <v>-0.105</v>
      </c>
      <c r="R623" s="251">
        <v>6.5000000000000002E-2</v>
      </c>
      <c r="S623" s="251">
        <v>0.45500000000000002</v>
      </c>
      <c r="T623" s="251">
        <v>0.57499999999999996</v>
      </c>
      <c r="U623" s="251">
        <v>-0.27</v>
      </c>
      <c r="V623" s="251">
        <v>-0.155</v>
      </c>
      <c r="W623" s="251">
        <v>6.5000000000000002E-2</v>
      </c>
      <c r="X623" s="251">
        <v>-4.4999999999999998E-2</v>
      </c>
      <c r="Y623" s="251">
        <v>-0.51500000000000001</v>
      </c>
      <c r="Z623" s="243">
        <f ca="1">[1]ExtEntry!$L21</f>
        <v>-0.51500000000000001</v>
      </c>
      <c r="AB623" s="305">
        <v>1.0541800623052959</v>
      </c>
      <c r="AC623" s="305">
        <v>1.0522133084577114</v>
      </c>
      <c r="AD623" s="305">
        <v>1.0505799441167338</v>
      </c>
      <c r="AE623" s="305">
        <v>1.1098451951459496</v>
      </c>
      <c r="AF623" s="305">
        <v>1.1109382797110965</v>
      </c>
      <c r="AG623" s="305">
        <v>1.1058555555555554</v>
      </c>
      <c r="AH623" s="305">
        <v>1.0986746753246752</v>
      </c>
      <c r="AI623" s="305">
        <v>1.0894777849323889</v>
      </c>
      <c r="AJ623" s="305">
        <v>1.0957088320931738</v>
      </c>
      <c r="AK623" s="305">
        <v>1.1060862181580666</v>
      </c>
      <c r="AL623" s="305">
        <v>1.1050035889070149</v>
      </c>
      <c r="AM623" s="305">
        <v>1.1126268068331144</v>
      </c>
      <c r="AN623" s="305">
        <v>1.1078953222113184</v>
      </c>
      <c r="AO623" s="305">
        <v>1.075869123252859</v>
      </c>
      <c r="AP623" s="305">
        <v>1.0677288776796974</v>
      </c>
      <c r="AQ623" s="305">
        <v>1.086220654265555</v>
      </c>
      <c r="AR623" s="305">
        <v>1.0971286038224815</v>
      </c>
      <c r="AS623" s="305">
        <v>1.0865691369906962</v>
      </c>
      <c r="AT623" s="305">
        <v>1.0890147909967847</v>
      </c>
      <c r="AU623" s="305">
        <v>1.126317259727303</v>
      </c>
      <c r="AV623" s="304">
        <f ca="1">Calc!AT21</f>
        <v>1.126317259727303</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1.91</v>
      </c>
      <c r="G625" s="251">
        <v>0.15</v>
      </c>
      <c r="H625" s="251">
        <v>1.82</v>
      </c>
      <c r="I625" s="251">
        <v>-1.37</v>
      </c>
      <c r="J625" s="251">
        <v>0.03</v>
      </c>
      <c r="K625" s="251">
        <v>1.1850000000000001</v>
      </c>
      <c r="L625" s="251">
        <v>-0.1726</v>
      </c>
      <c r="M625" s="251">
        <v>2.19</v>
      </c>
      <c r="N625" s="251">
        <v>0.33</v>
      </c>
      <c r="O625" s="251">
        <v>0.03</v>
      </c>
      <c r="P625" s="251">
        <v>0.71</v>
      </c>
      <c r="Q625" s="251">
        <v>6.5500000000000003E-2</v>
      </c>
      <c r="R625" s="251">
        <v>0.65500000000000003</v>
      </c>
      <c r="S625" s="251">
        <v>0.64500000000000002</v>
      </c>
      <c r="T625" s="251">
        <v>1.03</v>
      </c>
      <c r="U625" s="251">
        <v>1.365</v>
      </c>
      <c r="V625" s="251">
        <v>0.89500000000000002</v>
      </c>
      <c r="W625" s="251">
        <v>1.05</v>
      </c>
      <c r="X625" s="251">
        <v>3.645</v>
      </c>
      <c r="Y625" s="251">
        <v>4.4999999999999998E-2</v>
      </c>
      <c r="Z625" s="243">
        <f ca="1">[1]ExtEntry!$L23</f>
        <v>4.4999999999999998E-2</v>
      </c>
      <c r="AB625" s="305">
        <v>1.0635918871765049</v>
      </c>
      <c r="AC625" s="305">
        <v>1.0614313697040048</v>
      </c>
      <c r="AD625" s="305">
        <v>1.0352936597792246</v>
      </c>
      <c r="AE625" s="305">
        <v>1.0373489790130461</v>
      </c>
      <c r="AF625" s="305">
        <v>1.0767419782160732</v>
      </c>
      <c r="AG625" s="305">
        <v>1.058436663531795</v>
      </c>
      <c r="AH625" s="305">
        <v>1.0706371089782432</v>
      </c>
      <c r="AI625" s="305">
        <v>1.0416324932365086</v>
      </c>
      <c r="AJ625" s="305">
        <v>1.0142778005744768</v>
      </c>
      <c r="AK625" s="305">
        <v>1.0184569427276473</v>
      </c>
      <c r="AL625" s="305">
        <v>1.0086214635473343</v>
      </c>
      <c r="AM625" s="305">
        <v>1.0077236683857556</v>
      </c>
      <c r="AN625" s="305">
        <v>1.0074566945180354</v>
      </c>
      <c r="AO625" s="305">
        <v>0.99796581656685279</v>
      </c>
      <c r="AP625" s="305">
        <v>0.99282166287320939</v>
      </c>
      <c r="AQ625" s="305">
        <v>0.97500295838537898</v>
      </c>
      <c r="AR625" s="305">
        <v>0.9767768790688498</v>
      </c>
      <c r="AS625" s="305">
        <v>0.96755119854090654</v>
      </c>
      <c r="AT625" s="305">
        <v>0.91911676257657304</v>
      </c>
      <c r="AU625" s="305">
        <v>0.91866200754530269</v>
      </c>
      <c r="AV625" s="304">
        <f ca="1">Calc!AT23</f>
        <v>0.91866200754530269</v>
      </c>
      <c r="AX625" s="86" t="str">
        <f t="shared" ca="1" si="52"/>
        <v>GM</v>
      </c>
    </row>
    <row r="626" spans="1:50" hidden="1">
      <c r="A626" s="86" t="str">
        <f t="shared" ca="1" si="51"/>
        <v>HPE</v>
      </c>
      <c r="F626" s="251">
        <v>0.14000000000000001</v>
      </c>
      <c r="G626" s="251">
        <v>-0.26500000000000001</v>
      </c>
      <c r="H626" s="251">
        <v>0</v>
      </c>
      <c r="I626" s="251">
        <v>-0.1</v>
      </c>
      <c r="J626" s="251">
        <v>-0.32</v>
      </c>
      <c r="K626" s="251">
        <v>-0.16500000000000001</v>
      </c>
      <c r="L626" s="251">
        <v>-0.52400000000000002</v>
      </c>
      <c r="M626" s="251">
        <v>0.60819999999999996</v>
      </c>
      <c r="N626" s="251">
        <v>0.16500000000000001</v>
      </c>
      <c r="O626" s="251">
        <v>0.17</v>
      </c>
      <c r="P626" s="251">
        <v>0.34</v>
      </c>
      <c r="Q626" s="251">
        <v>5.0000000000000001E-3</v>
      </c>
      <c r="R626" s="251">
        <v>-1.4999999999999999E-2</v>
      </c>
      <c r="S626" s="251">
        <v>0.06</v>
      </c>
      <c r="T626" s="251">
        <v>0.35</v>
      </c>
      <c r="U626" s="251">
        <v>0.61499999999999999</v>
      </c>
      <c r="V626" s="251">
        <v>0.42499999999999999</v>
      </c>
      <c r="W626" s="251">
        <v>0.64500000000000002</v>
      </c>
      <c r="X626" s="251">
        <v>0.5</v>
      </c>
      <c r="Y626" s="251">
        <v>-0.72</v>
      </c>
      <c r="Z626" s="243">
        <f ca="1">[1]ExtEntry!$L24</f>
        <v>-0.72</v>
      </c>
      <c r="AB626" s="305">
        <v>1.1186544303797468</v>
      </c>
      <c r="AC626" s="305">
        <v>1.1308214971209214</v>
      </c>
      <c r="AD626" s="305">
        <v>1.1329961538461539</v>
      </c>
      <c r="AE626" s="305">
        <v>1.1612838370565046</v>
      </c>
      <c r="AF626" s="305">
        <v>1.2679153515064563</v>
      </c>
      <c r="AG626" s="305">
        <v>1.2786163491680733</v>
      </c>
      <c r="AH626" s="305">
        <v>1.3205872683801554</v>
      </c>
      <c r="AI626" s="305">
        <v>1.2852362300152218</v>
      </c>
      <c r="AJ626" s="305">
        <v>1.2311265969802556</v>
      </c>
      <c r="AK626" s="305">
        <v>1.2308406874129121</v>
      </c>
      <c r="AL626" s="305">
        <v>1.2117055326931869</v>
      </c>
      <c r="AM626" s="305">
        <v>1.2114285714285715</v>
      </c>
      <c r="AN626" s="305">
        <v>1.2086659064994298</v>
      </c>
      <c r="AO626" s="305">
        <v>1.2056414922656962</v>
      </c>
      <c r="AP626" s="305">
        <v>1.189941625505164</v>
      </c>
      <c r="AQ626" s="305">
        <v>1.1584699453551912</v>
      </c>
      <c r="AR626" s="305">
        <v>1.1313564844587354</v>
      </c>
      <c r="AS626" s="305">
        <v>1.0768777800448888</v>
      </c>
      <c r="AT626" s="305">
        <v>1.0442774040364069</v>
      </c>
      <c r="AU626" s="305">
        <v>1.0753418907905461</v>
      </c>
      <c r="AV626" s="304">
        <f ca="1">Calc!AT24</f>
        <v>1.0753418907905461</v>
      </c>
      <c r="AX626" s="86" t="str">
        <f t="shared" ca="1" si="52"/>
        <v>HPE</v>
      </c>
    </row>
    <row r="627" spans="1:50" hidden="1">
      <c r="A627" s="86" t="str">
        <f t="shared" ca="1" si="51"/>
        <v>HPQ</v>
      </c>
      <c r="F627" s="251">
        <v>0.7</v>
      </c>
      <c r="G627" s="251">
        <v>-0.46</v>
      </c>
      <c r="H627" s="251">
        <v>4.4999999999999998E-2</v>
      </c>
      <c r="I627" s="251">
        <v>-0.46700000000000003</v>
      </c>
      <c r="J627" s="251">
        <v>-0.16</v>
      </c>
      <c r="K627" s="251">
        <v>-0.17</v>
      </c>
      <c r="L627" s="251">
        <v>-0.14000000000000001</v>
      </c>
      <c r="M627" s="251">
        <v>1.5049999999999999</v>
      </c>
      <c r="N627" s="251">
        <v>-0.495</v>
      </c>
      <c r="O627" s="251">
        <v>-0.33500000000000002</v>
      </c>
      <c r="P627" s="251">
        <v>0.45</v>
      </c>
      <c r="Q627" s="251">
        <v>0.115</v>
      </c>
      <c r="R627" s="251">
        <v>0.71</v>
      </c>
      <c r="S627" s="251">
        <v>0.2</v>
      </c>
      <c r="T627" s="251">
        <v>4.4999999999999998E-2</v>
      </c>
      <c r="U627" s="251">
        <v>0.4582</v>
      </c>
      <c r="V627" s="251">
        <v>-0.02</v>
      </c>
      <c r="W627" s="251">
        <v>0.245</v>
      </c>
      <c r="X627" s="251">
        <v>0.12</v>
      </c>
      <c r="Y627" s="251">
        <v>0.215</v>
      </c>
      <c r="Z627" s="243">
        <f ca="1">[1]ExtEntry!$L25</f>
        <v>0.215</v>
      </c>
      <c r="AB627" s="305">
        <v>1.0616554054054053</v>
      </c>
      <c r="AC627" s="305">
        <v>1.080309396485867</v>
      </c>
      <c r="AD627" s="305">
        <v>1.0788670608430289</v>
      </c>
      <c r="AE627" s="305">
        <v>1.1537755476685838</v>
      </c>
      <c r="AF627" s="305">
        <v>1.2453764861294583</v>
      </c>
      <c r="AG627" s="305">
        <v>1.2547692990239574</v>
      </c>
      <c r="AH627" s="305">
        <v>1.2665696372592925</v>
      </c>
      <c r="AI627" s="305">
        <v>1.1728177482894464</v>
      </c>
      <c r="AJ627" s="305">
        <v>1.164218258132214</v>
      </c>
      <c r="AK627" s="305">
        <v>1.1564519491348759</v>
      </c>
      <c r="AL627" s="305">
        <v>1.1353868194842407</v>
      </c>
      <c r="AM627" s="305">
        <v>1.130527817403709</v>
      </c>
      <c r="AN627" s="305">
        <v>1.1050796812749004</v>
      </c>
      <c r="AO627" s="305">
        <v>1.0941814595660748</v>
      </c>
      <c r="AP627" s="305">
        <v>1.1009128795395913</v>
      </c>
      <c r="AQ627" s="305">
        <v>1.0814599075178766</v>
      </c>
      <c r="AR627" s="305">
        <v>1.0000482998454405</v>
      </c>
      <c r="AS627" s="305">
        <v>1.0223681611692672</v>
      </c>
      <c r="AT627" s="305">
        <v>1.0149509803921568</v>
      </c>
      <c r="AU627" s="305">
        <v>1.018746309781539</v>
      </c>
      <c r="AV627" s="304">
        <f ca="1">Calc!AT25</f>
        <v>1.018746309781539</v>
      </c>
      <c r="AX627" s="86" t="str">
        <f t="shared" ca="1" si="52"/>
        <v>HPQ</v>
      </c>
    </row>
    <row r="628" spans="1:50" hidden="1">
      <c r="A628" s="86" t="str">
        <f t="shared" ca="1" si="51"/>
        <v>IAG</v>
      </c>
      <c r="F628" s="251">
        <v>2.6</v>
      </c>
      <c r="G628" s="251">
        <v>-11.1</v>
      </c>
      <c r="H628" s="251">
        <v>-47.9</v>
      </c>
      <c r="I628" s="251">
        <v>-8.3000000000000007</v>
      </c>
      <c r="J628" s="251">
        <v>-0.91100000000000003</v>
      </c>
      <c r="K628" s="251">
        <v>6.3</v>
      </c>
      <c r="L628" s="251">
        <v>4.8</v>
      </c>
      <c r="M628" s="251">
        <v>-3.1</v>
      </c>
      <c r="N628" s="251">
        <v>8</v>
      </c>
      <c r="O628" s="251">
        <v>-2.5</v>
      </c>
      <c r="P628" s="251">
        <v>-0.4</v>
      </c>
      <c r="Q628" s="251">
        <v>-2.8</v>
      </c>
      <c r="R628" s="251">
        <v>-4.2</v>
      </c>
      <c r="S628" s="251">
        <v>2.9</v>
      </c>
      <c r="T628" s="251">
        <v>1.6</v>
      </c>
      <c r="U628" s="251">
        <v>-5.9</v>
      </c>
      <c r="V628" s="251">
        <v>0.7</v>
      </c>
      <c r="W628" s="251">
        <v>-3.4</v>
      </c>
      <c r="X628" s="251">
        <v>-2</v>
      </c>
      <c r="Y628" s="251">
        <v>12</v>
      </c>
      <c r="Z628" s="243">
        <f ca="1">[1]ExtEntry!$L26</f>
        <v>12</v>
      </c>
      <c r="AB628" s="305">
        <v>1.0914727187206021</v>
      </c>
      <c r="AC628" s="305">
        <v>1.1207297754165659</v>
      </c>
      <c r="AD628" s="305">
        <v>1.2673244128891317</v>
      </c>
      <c r="AE628" s="305">
        <v>1.1976624516129033</v>
      </c>
      <c r="AF628" s="305">
        <v>1.2529913145368787</v>
      </c>
      <c r="AG628" s="305">
        <v>1.2290630296610168</v>
      </c>
      <c r="AH628" s="305">
        <v>1.2136354602510462</v>
      </c>
      <c r="AI628" s="305">
        <v>1.2235544423938833</v>
      </c>
      <c r="AJ628" s="305">
        <v>1.1614570641282564</v>
      </c>
      <c r="AK628" s="305">
        <v>1.1687765565918831</v>
      </c>
      <c r="AL628" s="305">
        <v>1.1699562452687358</v>
      </c>
      <c r="AM628" s="305">
        <v>1.1782812198221093</v>
      </c>
      <c r="AN628" s="305">
        <v>1.1909932185974825</v>
      </c>
      <c r="AO628" s="305">
        <v>1.1821867924528302</v>
      </c>
      <c r="AP628" s="305">
        <v>1.1861183422870301</v>
      </c>
      <c r="AQ628" s="305">
        <v>1.2042952207792208</v>
      </c>
      <c r="AR628" s="305">
        <v>1.1967060409644803</v>
      </c>
      <c r="AS628" s="305">
        <v>1.1908398348813209</v>
      </c>
      <c r="AT628" s="305">
        <v>1.1970163900414936</v>
      </c>
      <c r="AU628" s="305">
        <v>1.160889134808853</v>
      </c>
      <c r="AV628" s="304">
        <f ca="1">Calc!AT26</f>
        <v>1.160889134808853</v>
      </c>
      <c r="AX628" s="86" t="str">
        <f t="shared" ca="1" si="52"/>
        <v>IAG</v>
      </c>
    </row>
    <row r="629" spans="1:50" hidden="1">
      <c r="A629" s="86" t="str">
        <f t="shared" ca="1" si="51"/>
        <v>KR</v>
      </c>
      <c r="F629" s="251">
        <v>-0.61</v>
      </c>
      <c r="G629" s="251">
        <v>0.25</v>
      </c>
      <c r="H629" s="251">
        <v>1.4750000000000001</v>
      </c>
      <c r="I629" s="251">
        <v>1.095</v>
      </c>
      <c r="J629" s="251">
        <v>1.3049999999999999</v>
      </c>
      <c r="K629" s="251">
        <v>0.17</v>
      </c>
      <c r="L629" s="251">
        <v>-1.3</v>
      </c>
      <c r="M629" s="251">
        <v>0.46</v>
      </c>
      <c r="N629" s="251">
        <v>1.21</v>
      </c>
      <c r="O629" s="251">
        <v>0.88</v>
      </c>
      <c r="P629" s="251">
        <v>0.25</v>
      </c>
      <c r="Q629" s="251">
        <v>0.61499999999999999</v>
      </c>
      <c r="R629" s="251">
        <v>-0.52500000000000002</v>
      </c>
      <c r="S629" s="251">
        <v>-0.21</v>
      </c>
      <c r="T629" s="251">
        <v>-0.81</v>
      </c>
      <c r="U629" s="251">
        <v>-3.55</v>
      </c>
      <c r="V629" s="251">
        <v>-0.43</v>
      </c>
      <c r="W629" s="251">
        <v>-0.47299999999999998</v>
      </c>
      <c r="X629" s="251">
        <v>-1.66</v>
      </c>
      <c r="Y629" s="251">
        <v>0.97499999999999998</v>
      </c>
      <c r="Z629" s="243">
        <f ca="1">[1]ExtEntry!$L27</f>
        <v>0.97499999999999998</v>
      </c>
      <c r="AB629" s="305">
        <v>1.2042034837688045</v>
      </c>
      <c r="AC629" s="305">
        <v>1.1994550473186121</v>
      </c>
      <c r="AD629" s="305">
        <v>1.1716424004313997</v>
      </c>
      <c r="AE629" s="305">
        <v>1.1398553548677208</v>
      </c>
      <c r="AF629" s="305">
        <v>1.1281870781099326</v>
      </c>
      <c r="AG629" s="305">
        <v>1.1257653589933383</v>
      </c>
      <c r="AH629" s="305">
        <v>1.1502866434729997</v>
      </c>
      <c r="AI629" s="305">
        <v>1.1459531344183242</v>
      </c>
      <c r="AJ629" s="305">
        <v>1.1275913004750593</v>
      </c>
      <c r="AK629" s="305">
        <v>1.1331426227062509</v>
      </c>
      <c r="AL629" s="305">
        <v>1.1289320749108205</v>
      </c>
      <c r="AM629" s="305">
        <v>1.1187060902864718</v>
      </c>
      <c r="AN629" s="305">
        <v>1.1332271540469974</v>
      </c>
      <c r="AO629" s="305">
        <v>1.1367038311882671</v>
      </c>
      <c r="AP629" s="305">
        <v>1.1470031712473572</v>
      </c>
      <c r="AQ629" s="305">
        <v>1.2123631284916201</v>
      </c>
      <c r="AR629" s="305">
        <v>1.1858338383033009</v>
      </c>
      <c r="AS629" s="305">
        <v>1.1821202727836331</v>
      </c>
      <c r="AT629" s="305">
        <v>1.2142984977139124</v>
      </c>
      <c r="AU629" s="305">
        <v>1.195268665112915</v>
      </c>
      <c r="AV629" s="304">
        <f ca="1">Calc!AT27</f>
        <v>1.195268665112915</v>
      </c>
      <c r="AX629" s="86" t="str">
        <f t="shared" ca="1" si="52"/>
        <v>KR</v>
      </c>
    </row>
    <row r="630" spans="1:50" hidden="1">
      <c r="A630" s="86" t="str">
        <f t="shared" ca="1" si="51"/>
        <v>LNSR</v>
      </c>
      <c r="F630" s="251">
        <v>0.36</v>
      </c>
      <c r="G630" s="251">
        <v>-0.89</v>
      </c>
      <c r="H630" s="251">
        <v>-0.81</v>
      </c>
      <c r="I630" s="251">
        <v>-0.14000000000000001</v>
      </c>
      <c r="J630" s="251">
        <v>0.11</v>
      </c>
      <c r="K630" s="251">
        <v>0.12</v>
      </c>
      <c r="L630" s="251">
        <v>-0.17</v>
      </c>
      <c r="M630" s="251">
        <v>0.215</v>
      </c>
      <c r="N630" s="251">
        <v>0.24</v>
      </c>
      <c r="O630" s="251">
        <v>0.33</v>
      </c>
      <c r="P630" s="251">
        <v>-0.17</v>
      </c>
      <c r="Q630" s="251">
        <v>0.22500000000000001</v>
      </c>
      <c r="R630" s="251">
        <v>7.0000000000000007E-2</v>
      </c>
      <c r="S630" s="251">
        <v>-0.1234</v>
      </c>
      <c r="T630" s="251">
        <v>0.22</v>
      </c>
      <c r="U630" s="251">
        <v>0.13</v>
      </c>
      <c r="V630" s="251">
        <v>-0.19</v>
      </c>
      <c r="W630" s="251">
        <v>0.05</v>
      </c>
      <c r="X630" s="251">
        <v>0.26</v>
      </c>
      <c r="Y630" s="251">
        <v>-0.05</v>
      </c>
      <c r="Z630" s="243">
        <f ca="1">[1]ExtEntry!$L28</f>
        <v>-0.05</v>
      </c>
      <c r="AB630" s="305">
        <v>1.1980830670926519</v>
      </c>
      <c r="AC630" s="305">
        <v>1.2897678417884779</v>
      </c>
      <c r="AD630" s="305">
        <v>1.4111006585136405</v>
      </c>
      <c r="AE630" s="305">
        <v>1.4836795252225521</v>
      </c>
      <c r="AF630" s="305">
        <v>1.5045135406218655</v>
      </c>
      <c r="AG630" s="305">
        <v>1.4866204162537167</v>
      </c>
      <c r="AH630" s="305">
        <v>1.5197568389057752</v>
      </c>
      <c r="AI630" s="305">
        <v>1.5128593040847202</v>
      </c>
      <c r="AJ630" s="305">
        <v>1.4619883040935673</v>
      </c>
      <c r="AK630" s="305">
        <v>1.4492753623188406</v>
      </c>
      <c r="AL630" s="305">
        <v>1.4734774066797642</v>
      </c>
      <c r="AM630" s="305">
        <v>1.4416146083613648</v>
      </c>
      <c r="AN630" s="305">
        <v>1.4534883720930232</v>
      </c>
      <c r="AO630" s="305">
        <v>1.4783277156880139</v>
      </c>
      <c r="AP630" s="305">
        <v>1.4299332697807436</v>
      </c>
      <c r="AQ630" s="305">
        <v>1.4124293785310735</v>
      </c>
      <c r="AR630" s="305">
        <v>1.3392857142857144</v>
      </c>
      <c r="AS630" s="305">
        <v>1.3345195729537367</v>
      </c>
      <c r="AT630" s="305">
        <v>1.2987012987012987</v>
      </c>
      <c r="AU630" s="305">
        <v>1.3043478260869565</v>
      </c>
      <c r="AV630" s="304">
        <f ca="1">Calc!AT28</f>
        <v>1.3043478260869565</v>
      </c>
      <c r="AX630" s="86" t="str">
        <f t="shared" ca="1" si="52"/>
        <v>LNSR</v>
      </c>
    </row>
    <row r="631" spans="1:50" hidden="1">
      <c r="A631" s="86" t="str">
        <f t="shared" ca="1" si="51"/>
        <v>LUMN</v>
      </c>
      <c r="F631" s="251">
        <v>0.315</v>
      </c>
      <c r="G631" s="251">
        <v>-0.04</v>
      </c>
      <c r="H631" s="251">
        <v>-0.45500000000000002</v>
      </c>
      <c r="I631" s="251">
        <v>-0.125</v>
      </c>
      <c r="J631" s="251">
        <v>-0.44</v>
      </c>
      <c r="K631" s="251">
        <v>-0.105</v>
      </c>
      <c r="L631" s="251">
        <v>-0.1244</v>
      </c>
      <c r="M631" s="251">
        <v>0.23499999999999999</v>
      </c>
      <c r="N631" s="251">
        <v>0.12</v>
      </c>
      <c r="O631" s="251">
        <v>9.5000000000000001E-2</v>
      </c>
      <c r="P631" s="251">
        <v>1.4999999999999999E-2</v>
      </c>
      <c r="Q631" s="251">
        <v>9.5000000000000001E-2</v>
      </c>
      <c r="R631" s="251">
        <v>0.84499999999999997</v>
      </c>
      <c r="S631" s="251">
        <v>-5.0000000000000001E-3</v>
      </c>
      <c r="T631" s="251">
        <v>0.42499999999999999</v>
      </c>
      <c r="U631" s="251">
        <v>-0.53990000000000005</v>
      </c>
      <c r="V631" s="251">
        <v>-0.52</v>
      </c>
      <c r="W631" s="251">
        <v>1.5100000000000001E-2</v>
      </c>
      <c r="X631" s="251">
        <v>0.19500000000000001</v>
      </c>
      <c r="Y631" s="251">
        <v>-0.04</v>
      </c>
      <c r="Z631" s="243">
        <f ca="1">[1]ExtEntry!$L29</f>
        <v>-0.04</v>
      </c>
      <c r="AB631" s="305">
        <v>0.54887148779364348</v>
      </c>
      <c r="AC631" s="305">
        <v>0.55064695009242148</v>
      </c>
      <c r="AD631" s="305">
        <v>0.56824034334763951</v>
      </c>
      <c r="AE631" s="305">
        <v>0.74521575984990618</v>
      </c>
      <c r="AF631" s="305">
        <v>0.78188976377952757</v>
      </c>
      <c r="AG631" s="305">
        <v>0.79281437125748511</v>
      </c>
      <c r="AH631" s="305">
        <v>0.78855418497538254</v>
      </c>
      <c r="AI631" s="305">
        <v>0.77226182760855477</v>
      </c>
      <c r="AJ631" s="305">
        <v>0.8907635467980296</v>
      </c>
      <c r="AK631" s="305">
        <v>0.89351451513279789</v>
      </c>
      <c r="AL631" s="305">
        <v>0.89241209130166554</v>
      </c>
      <c r="AM631" s="305">
        <v>0.88153564899451553</v>
      </c>
      <c r="AN631" s="305">
        <v>0.79178981937602622</v>
      </c>
      <c r="AO631" s="305">
        <v>0.79178981937602622</v>
      </c>
      <c r="AP631" s="305">
        <v>0.7561944589649765</v>
      </c>
      <c r="AQ631" s="305">
        <v>0.80098780744399289</v>
      </c>
      <c r="AR631" s="305">
        <v>0.87566585956416465</v>
      </c>
      <c r="AS631" s="305">
        <v>0.86260151936172502</v>
      </c>
      <c r="AT631" s="305">
        <v>0.83185738930419773</v>
      </c>
      <c r="AU631" s="305">
        <v>0.83618497109826584</v>
      </c>
      <c r="AV631" s="304">
        <f ca="1">Calc!AT29</f>
        <v>0.83618497109826584</v>
      </c>
      <c r="AX631" s="86" t="str">
        <f t="shared" ca="1" si="52"/>
        <v>LUMN</v>
      </c>
    </row>
    <row r="632" spans="1:50" hidden="1">
      <c r="A632" s="86" t="str">
        <f t="shared" ca="1" si="51"/>
        <v>MRNA</v>
      </c>
      <c r="F632" s="251">
        <v>-0.19</v>
      </c>
      <c r="G632" s="251">
        <v>0.54500000000000004</v>
      </c>
      <c r="H632" s="251">
        <v>0.19500000000000001</v>
      </c>
      <c r="I632" s="251">
        <v>-0.19</v>
      </c>
      <c r="J632" s="251">
        <v>0.16</v>
      </c>
      <c r="K632" s="251">
        <v>-0.64</v>
      </c>
      <c r="L632" s="251">
        <v>-1.39</v>
      </c>
      <c r="M632" s="251">
        <v>1.135</v>
      </c>
      <c r="N632" s="251">
        <v>0.17499999999999999</v>
      </c>
      <c r="O632" s="251">
        <v>0.26</v>
      </c>
      <c r="P632" s="251">
        <v>0.97</v>
      </c>
      <c r="Q632" s="251">
        <v>-1.55</v>
      </c>
      <c r="R632" s="251">
        <v>-0.09</v>
      </c>
      <c r="S632" s="251">
        <v>0.49509999999999998</v>
      </c>
      <c r="T632" s="251">
        <v>1.111</v>
      </c>
      <c r="U632" s="251">
        <v>0.61499999999999999</v>
      </c>
      <c r="V632" s="251">
        <v>2.21</v>
      </c>
      <c r="W632" s="251">
        <v>0.36299999999999999</v>
      </c>
      <c r="X632" s="251">
        <v>0.79</v>
      </c>
      <c r="Y632" s="251">
        <v>0.6</v>
      </c>
      <c r="Z632" s="243">
        <f ca="1">[1]ExtEntry!$L30</f>
        <v>0.6</v>
      </c>
      <c r="AB632" s="305">
        <v>1.7105263157894737</v>
      </c>
      <c r="AC632" s="305">
        <v>1.6718523127981746</v>
      </c>
      <c r="AD632" s="305">
        <v>1.6432212028542303</v>
      </c>
      <c r="AE632" s="305">
        <v>1.6269681065805408</v>
      </c>
      <c r="AF632" s="305">
        <v>1.6171749598715888</v>
      </c>
      <c r="AG632" s="305">
        <v>1.6598023064250409</v>
      </c>
      <c r="AH632" s="305">
        <v>1.7683194383501535</v>
      </c>
      <c r="AI632" s="305">
        <v>1.7152585656522663</v>
      </c>
      <c r="AJ632" s="305">
        <v>1.49712296890672</v>
      </c>
      <c r="AK632" s="305">
        <v>1.4920347860855656</v>
      </c>
      <c r="AL632" s="305">
        <v>1.4363275596612779</v>
      </c>
      <c r="AM632" s="305">
        <v>1.527457634056488</v>
      </c>
      <c r="AN632" s="305">
        <v>1.5503028666389695</v>
      </c>
      <c r="AO632" s="305">
        <v>1.5196757496406041</v>
      </c>
      <c r="AP632" s="305">
        <v>1.4824913591037305</v>
      </c>
      <c r="AQ632" s="305">
        <v>1.446628804031789</v>
      </c>
      <c r="AR632" s="305">
        <v>1.2916166064981949</v>
      </c>
      <c r="AS632" s="305">
        <v>1.2627600324709702</v>
      </c>
      <c r="AT632" s="305">
        <v>1.2324416121253874</v>
      </c>
      <c r="AU632" s="305">
        <v>1.207484981437732</v>
      </c>
      <c r="AV632" s="304">
        <f ca="1">Calc!AT30</f>
        <v>1.207484981437732</v>
      </c>
      <c r="AX632" s="86" t="str">
        <f t="shared" ca="1" si="52"/>
        <v>MRNA</v>
      </c>
    </row>
    <row r="633" spans="1:50" hidden="1">
      <c r="A633" s="86" t="str">
        <f t="shared" ca="1" si="51"/>
        <v>MSFT</v>
      </c>
      <c r="F633" s="251">
        <v>-7.17</v>
      </c>
      <c r="G633" s="251">
        <v>-10.01</v>
      </c>
      <c r="H633" s="251">
        <v>0.53</v>
      </c>
      <c r="I633" s="251">
        <v>6.89</v>
      </c>
      <c r="J633" s="251">
        <v>-13.7</v>
      </c>
      <c r="K633" s="251">
        <v>-7.2</v>
      </c>
      <c r="L633" s="251">
        <v>-6.7016</v>
      </c>
      <c r="M633" s="251">
        <v>-3.75</v>
      </c>
      <c r="N633" s="251">
        <v>9.23</v>
      </c>
      <c r="O633" s="251">
        <v>8.51</v>
      </c>
      <c r="P633" s="251">
        <v>6.42</v>
      </c>
      <c r="Q633" s="251">
        <v>-3.17</v>
      </c>
      <c r="R633" s="251">
        <v>3.03</v>
      </c>
      <c r="S633" s="251">
        <v>-6.3849999999999998</v>
      </c>
      <c r="T633" s="251">
        <v>-12.27</v>
      </c>
      <c r="U633" s="251">
        <v>0.69499999999999995</v>
      </c>
      <c r="V633" s="251">
        <v>2.3199999999999998</v>
      </c>
      <c r="W633" s="251">
        <v>-8.1500000000000003E-2</v>
      </c>
      <c r="X633" s="251">
        <v>-13.696</v>
      </c>
      <c r="Y633" s="251">
        <v>4.91</v>
      </c>
      <c r="Z633" s="243">
        <f ca="1">[1]ExtEntry!$L31</f>
        <v>4.91</v>
      </c>
      <c r="AB633" s="305">
        <v>1.2347711964665982</v>
      </c>
      <c r="AC633" s="305">
        <v>1.2596330282610881</v>
      </c>
      <c r="AD633" s="305">
        <v>1.2584180214215379</v>
      </c>
      <c r="AE633" s="305">
        <v>1.2274619938061075</v>
      </c>
      <c r="AF633" s="305">
        <v>1.2682042163672815</v>
      </c>
      <c r="AG633" s="305">
        <v>1.2869696459031217</v>
      </c>
      <c r="AH633" s="305">
        <v>1.3059762039622245</v>
      </c>
      <c r="AI633" s="305">
        <v>1.3192604702115107</v>
      </c>
      <c r="AJ633" s="305">
        <v>1.2862687672247128</v>
      </c>
      <c r="AK633" s="305">
        <v>1.2881763130792996</v>
      </c>
      <c r="AL633" s="305">
        <v>1.2713644495039842</v>
      </c>
      <c r="AM633" s="305">
        <v>1.2793748465755665</v>
      </c>
      <c r="AN633" s="305">
        <v>1.2769455050329745</v>
      </c>
      <c r="AO633" s="305">
        <v>1.2931972746916451</v>
      </c>
      <c r="AP633" s="305">
        <v>1.3091277499843006</v>
      </c>
      <c r="AQ633" s="305">
        <v>1.3072260019856821</v>
      </c>
      <c r="AR633" s="305">
        <v>1.2944151005877969</v>
      </c>
      <c r="AS633" s="305">
        <v>1.2739062021006704</v>
      </c>
      <c r="AT633" s="305">
        <v>1.3075020279141334</v>
      </c>
      <c r="AU633" s="305">
        <v>1.2935851242062588</v>
      </c>
      <c r="AV633" s="304">
        <f ca="1">Calc!AT31</f>
        <v>1.2935851242062588</v>
      </c>
      <c r="AX633" s="86" t="str">
        <f t="shared" ca="1" si="52"/>
        <v>MSFT</v>
      </c>
    </row>
    <row r="634" spans="1:50" hidden="1">
      <c r="A634" s="86" t="str">
        <f t="shared" ca="1" si="51"/>
        <v>NEE</v>
      </c>
      <c r="F634" s="251">
        <v>0.45</v>
      </c>
      <c r="G634" s="251">
        <v>0.25</v>
      </c>
      <c r="H634" s="251">
        <v>1.71</v>
      </c>
      <c r="I634" s="251">
        <v>-0.14000000000000001</v>
      </c>
      <c r="J634" s="251">
        <v>-1.05</v>
      </c>
      <c r="K634" s="251">
        <v>7.0000000000000007E-2</v>
      </c>
      <c r="L634" s="251">
        <v>0.41</v>
      </c>
      <c r="M634" s="251">
        <v>-0.75349999999999995</v>
      </c>
      <c r="N634" s="251">
        <v>0.58499999999999996</v>
      </c>
      <c r="O634" s="251">
        <v>0.71</v>
      </c>
      <c r="P634" s="251">
        <v>0.71</v>
      </c>
      <c r="Q634" s="251">
        <v>-1.27</v>
      </c>
      <c r="R634" s="251">
        <v>-3.9E-2</v>
      </c>
      <c r="S634" s="251">
        <v>1.35</v>
      </c>
      <c r="T634" s="251">
        <v>0.39</v>
      </c>
      <c r="U634" s="251">
        <v>-1.425</v>
      </c>
      <c r="V634" s="251">
        <v>-0.28499999999999998</v>
      </c>
      <c r="W634" s="251">
        <v>-0.22</v>
      </c>
      <c r="X634" s="251">
        <v>1.64</v>
      </c>
      <c r="Y634" s="251">
        <v>-0.05</v>
      </c>
      <c r="Z634" s="243">
        <f ca="1">[1]ExtEntry!$L32</f>
        <v>-0.05</v>
      </c>
      <c r="AB634" s="305">
        <v>1.1078646213781349</v>
      </c>
      <c r="AC634" s="305">
        <v>1.1045029736618521</v>
      </c>
      <c r="AD634" s="305">
        <v>1.0870863696093658</v>
      </c>
      <c r="AE634" s="305">
        <v>1.0852713178294575</v>
      </c>
      <c r="AF634" s="305">
        <v>1.0743801652892562</v>
      </c>
      <c r="AG634" s="305">
        <v>1.0742533349073309</v>
      </c>
      <c r="AH634" s="305">
        <v>1.0746339159187528</v>
      </c>
      <c r="AI634" s="305">
        <v>1.096649795131357</v>
      </c>
      <c r="AJ634" s="305">
        <v>1.0653866416905695</v>
      </c>
      <c r="AK634" s="305">
        <v>1.0638297872340425</v>
      </c>
      <c r="AL634" s="305">
        <v>1.0550724637681159</v>
      </c>
      <c r="AM634" s="305">
        <v>1.070336391437309</v>
      </c>
      <c r="AN634" s="305">
        <v>1.0755102764415974</v>
      </c>
      <c r="AO634" s="305">
        <v>1.059001512859304</v>
      </c>
      <c r="AP634" s="305">
        <v>1.0709662233729551</v>
      </c>
      <c r="AQ634" s="305">
        <v>1.0894941634241244</v>
      </c>
      <c r="AR634" s="305">
        <v>1.0950003008242584</v>
      </c>
      <c r="AS634" s="305">
        <v>1.1328270882609237</v>
      </c>
      <c r="AT634" s="305">
        <v>1.1195866141732282</v>
      </c>
      <c r="AU634" s="305">
        <v>1.1204136912090619</v>
      </c>
      <c r="AV634" s="304">
        <f ca="1">Calc!AT32</f>
        <v>1.1204136912090619</v>
      </c>
      <c r="AX634" s="86" t="str">
        <f t="shared" ca="1" si="52"/>
        <v>NEE</v>
      </c>
    </row>
    <row r="635" spans="1:50" hidden="1">
      <c r="A635" s="86" t="str">
        <f t="shared" ca="1" si="51"/>
        <v>NEM</v>
      </c>
      <c r="F635" s="251">
        <v>2.72</v>
      </c>
      <c r="G635" s="251">
        <v>0.98480000000000001</v>
      </c>
      <c r="H635" s="251">
        <v>0.82</v>
      </c>
      <c r="I635" s="251">
        <v>-1.92</v>
      </c>
      <c r="J635" s="251">
        <v>-0.48</v>
      </c>
      <c r="K635" s="251">
        <v>0.995</v>
      </c>
      <c r="L635" s="251">
        <v>-4.6399999999999997</v>
      </c>
      <c r="M635" s="251">
        <v>1.62</v>
      </c>
      <c r="N635" s="251">
        <v>4.43</v>
      </c>
      <c r="O635" s="251">
        <v>4.5</v>
      </c>
      <c r="P635" s="251">
        <v>0.21</v>
      </c>
      <c r="Q635" s="251">
        <v>1.27</v>
      </c>
      <c r="R635" s="251">
        <v>-1.375</v>
      </c>
      <c r="S635" s="251">
        <v>0.7</v>
      </c>
      <c r="T635" s="251">
        <v>-0.81</v>
      </c>
      <c r="U635" s="251">
        <v>0.90500000000000003</v>
      </c>
      <c r="V635" s="251">
        <v>-0.96</v>
      </c>
      <c r="W635" s="251">
        <v>3.64</v>
      </c>
      <c r="X635" s="251">
        <v>0.32500000000000001</v>
      </c>
      <c r="Y635" s="251">
        <v>5.03</v>
      </c>
      <c r="Z635" s="243">
        <f ca="1">[1]ExtEntry!$L33</f>
        <v>5.03</v>
      </c>
      <c r="AB635" s="305">
        <v>1.2586988483214898</v>
      </c>
      <c r="AC635" s="305">
        <v>1.2435423192938795</v>
      </c>
      <c r="AD635" s="305">
        <v>1.2325734853029395</v>
      </c>
      <c r="AE635" s="305">
        <v>1.1701025056947609</v>
      </c>
      <c r="AF635" s="305">
        <v>1.1861794250086595</v>
      </c>
      <c r="AG635" s="305">
        <v>1.1728409155773731</v>
      </c>
      <c r="AH635" s="305">
        <v>1.2397128031857125</v>
      </c>
      <c r="AI635" s="305">
        <v>1.2285936378856732</v>
      </c>
      <c r="AJ635" s="305">
        <v>1.1450525152017688</v>
      </c>
      <c r="AK635" s="305">
        <v>1.1441670349094122</v>
      </c>
      <c r="AL635" s="305">
        <v>1.1415187920202798</v>
      </c>
      <c r="AM635" s="305">
        <v>1.1257608695652173</v>
      </c>
      <c r="AN635" s="305">
        <v>1.1449892211596926</v>
      </c>
      <c r="AO635" s="305">
        <v>1.1358850625137089</v>
      </c>
      <c r="AP635" s="305">
        <v>1.1550128248020519</v>
      </c>
      <c r="AQ635" s="305">
        <v>1.143724808127657</v>
      </c>
      <c r="AR635" s="305">
        <v>1.1673239750445632</v>
      </c>
      <c r="AS635" s="305">
        <v>1.1310341105354058</v>
      </c>
      <c r="AT635" s="305">
        <v>1.1097706932161202</v>
      </c>
      <c r="AU635" s="305">
        <v>1.0537966408528612</v>
      </c>
      <c r="AV635" s="304">
        <f ca="1">Calc!AT33</f>
        <v>1.0537966408528612</v>
      </c>
      <c r="AX635" s="86" t="str">
        <f t="shared" ca="1" si="52"/>
        <v>NEM</v>
      </c>
    </row>
    <row r="636" spans="1:50" hidden="1">
      <c r="A636" s="86" t="str">
        <f t="shared" ca="1" si="51"/>
        <v>NFLX</v>
      </c>
      <c r="F636" s="251">
        <v>5.5</v>
      </c>
      <c r="G636" s="251">
        <v>-4.25</v>
      </c>
      <c r="H636" s="251">
        <v>2.23</v>
      </c>
      <c r="I636" s="251">
        <v>-42.06</v>
      </c>
      <c r="J636" s="251">
        <v>3.8</v>
      </c>
      <c r="K636" s="251">
        <v>-4.3099999999999996</v>
      </c>
      <c r="L636" s="251">
        <v>-3.7172000000000001</v>
      </c>
      <c r="M636" s="251">
        <v>-0.56000000000000005</v>
      </c>
      <c r="N636" s="251">
        <v>1.72</v>
      </c>
      <c r="O636" s="251">
        <v>1.74</v>
      </c>
      <c r="P636" s="251">
        <v>1.43</v>
      </c>
      <c r="Q636" s="251">
        <v>1.2450000000000001</v>
      </c>
      <c r="R636" s="251">
        <v>0.23699999999999999</v>
      </c>
      <c r="S636" s="251">
        <v>-6.8</v>
      </c>
      <c r="T636" s="251">
        <v>-5.39</v>
      </c>
      <c r="U636" s="251">
        <v>-1.64</v>
      </c>
      <c r="V636" s="251">
        <v>-2.98</v>
      </c>
      <c r="W636" s="251">
        <v>-0.76</v>
      </c>
      <c r="X636" s="251">
        <v>-4</v>
      </c>
      <c r="Y636" s="251">
        <v>1.38</v>
      </c>
      <c r="Z636" s="243">
        <f ca="1">[1]ExtEntry!$L34</f>
        <v>1.38</v>
      </c>
      <c r="AB636" s="305">
        <v>1.2265563607231944</v>
      </c>
      <c r="AC636" s="305">
        <v>1.2313204046755193</v>
      </c>
      <c r="AD636" s="305">
        <v>1.2256748692290198</v>
      </c>
      <c r="AE636" s="305">
        <v>1.2114362912144725</v>
      </c>
      <c r="AF636" s="305">
        <v>11.809300552195635</v>
      </c>
      <c r="AG636" s="305">
        <v>12.272937693568956</v>
      </c>
      <c r="AH636" s="305">
        <v>12.676774605110142</v>
      </c>
      <c r="AI636" s="305">
        <v>12.818219960041862</v>
      </c>
      <c r="AJ636" s="305">
        <v>1.2688726912928761</v>
      </c>
      <c r="AK636" s="305">
        <v>1.2686335971358584</v>
      </c>
      <c r="AL636" s="305">
        <v>1.2517688017105142</v>
      </c>
      <c r="AM636" s="305">
        <v>1.237333057661383</v>
      </c>
      <c r="AN636" s="305">
        <v>1.2312010935657007</v>
      </c>
      <c r="AO636" s="305">
        <v>1.3130450511945393</v>
      </c>
      <c r="AP636" s="305">
        <v>1.2952363409003465</v>
      </c>
      <c r="AQ636" s="305">
        <v>1.3159965793588742</v>
      </c>
      <c r="AR636" s="305">
        <v>1.3309302673583401</v>
      </c>
      <c r="AS636" s="305">
        <v>1.3892788711860877</v>
      </c>
      <c r="AT636" s="305">
        <v>1.4390297702513215</v>
      </c>
      <c r="AU636" s="305">
        <v>1.4179237963651823</v>
      </c>
      <c r="AV636" s="304">
        <f ca="1">Calc!AT34</f>
        <v>1.4179237963651823</v>
      </c>
      <c r="AX636" s="86" t="str">
        <f t="shared" ca="1" si="52"/>
        <v>NFLX</v>
      </c>
    </row>
    <row r="637" spans="1:50" hidden="1">
      <c r="A637" s="86" t="str">
        <f t="shared" ca="1" si="51"/>
        <v>NOTE</v>
      </c>
      <c r="F637" s="251">
        <v>-0.4</v>
      </c>
      <c r="G637" s="251">
        <v>-0.34460000000000002</v>
      </c>
      <c r="H637" s="251">
        <v>0.05</v>
      </c>
      <c r="I637" s="251">
        <v>0.01</v>
      </c>
      <c r="J637" s="251">
        <v>-0.14000000000000001</v>
      </c>
      <c r="K637" s="251">
        <v>-0.11</v>
      </c>
      <c r="L637" s="251">
        <v>-6.8000000000000005E-2</v>
      </c>
      <c r="M637" s="251">
        <v>5.5E-2</v>
      </c>
      <c r="N637" s="251">
        <v>2.0799999999999999E-2</v>
      </c>
      <c r="O637" s="251">
        <v>7.0000000000000007E-2</v>
      </c>
      <c r="P637" s="251">
        <v>0.05</v>
      </c>
      <c r="Q637" s="251">
        <v>-0.14000000000000001</v>
      </c>
      <c r="R637" s="251">
        <v>-0.17499999999999999</v>
      </c>
      <c r="S637" s="251">
        <v>-0.11</v>
      </c>
      <c r="T637" s="251">
        <v>-0.02</v>
      </c>
      <c r="U637" s="251">
        <v>-0.02</v>
      </c>
      <c r="V637" s="251">
        <v>-0.12</v>
      </c>
      <c r="W637" s="251">
        <v>-5.0000000000000001E-3</v>
      </c>
      <c r="X637" s="251">
        <v>-0.05</v>
      </c>
      <c r="Y637" s="251">
        <v>0</v>
      </c>
      <c r="Z637" s="243">
        <f ca="1">[1]ExtEntry!$L35</f>
        <v>0</v>
      </c>
      <c r="AB637" s="305">
        <v>9.5169425981873115</v>
      </c>
      <c r="AC637" s="305">
        <v>10.622877183516559</v>
      </c>
      <c r="AD637" s="305">
        <v>10.328222950819674</v>
      </c>
      <c r="AE637" s="305">
        <v>12.402000000000001</v>
      </c>
      <c r="AF637" s="305">
        <v>14.062982142857143</v>
      </c>
      <c r="AG637" s="305">
        <v>14.78923943661972</v>
      </c>
      <c r="AH637" s="305">
        <v>15.276954413191079</v>
      </c>
      <c r="AI637" s="305">
        <v>15.254760290556902</v>
      </c>
      <c r="AJ637" s="305">
        <v>8.5909228846840406</v>
      </c>
      <c r="AK637" s="305">
        <v>8.4063493449781657</v>
      </c>
      <c r="AL637" s="305">
        <v>8.2976465517241387</v>
      </c>
      <c r="AM637" s="305">
        <v>8.7106515837104084</v>
      </c>
      <c r="AN637" s="305">
        <v>9.5536178660049629</v>
      </c>
      <c r="AO637" s="305">
        <v>10.026322916666668</v>
      </c>
      <c r="AP637" s="305">
        <v>9.5773830845771162</v>
      </c>
      <c r="AQ637" s="305">
        <v>9.6736381909547742</v>
      </c>
      <c r="AR637" s="305">
        <v>9.7224949494949495</v>
      </c>
      <c r="AS637" s="305">
        <v>10.322005361930296</v>
      </c>
      <c r="AT637" s="305">
        <v>10.405697297297298</v>
      </c>
      <c r="AU637" s="305">
        <v>10.405697297297298</v>
      </c>
      <c r="AV637" s="304">
        <f ca="1">Calc!AT35</f>
        <v>10.405697297297298</v>
      </c>
      <c r="AX637" s="86" t="str">
        <f t="shared" ca="1" si="52"/>
        <v>NOTE</v>
      </c>
    </row>
    <row r="638" spans="1:50" hidden="1">
      <c r="A638" s="86" t="str">
        <f t="shared" ca="1" si="51"/>
        <v>PAAS</v>
      </c>
      <c r="F638" s="251">
        <v>0.56999999999999995</v>
      </c>
      <c r="G638" s="251">
        <v>-2.5000000000000001E-2</v>
      </c>
      <c r="H638" s="251">
        <v>0.88990000000000002</v>
      </c>
      <c r="I638" s="251">
        <v>-0.54</v>
      </c>
      <c r="J638" s="251">
        <v>0.68</v>
      </c>
      <c r="K638" s="251">
        <v>0.42</v>
      </c>
      <c r="L638" s="251">
        <v>-2.42</v>
      </c>
      <c r="M638" s="251">
        <v>0.46</v>
      </c>
      <c r="N638" s="251">
        <v>2.7749999999999999</v>
      </c>
      <c r="O638" s="251">
        <v>3.07</v>
      </c>
      <c r="P638" s="251">
        <v>3.07</v>
      </c>
      <c r="Q638" s="251">
        <v>0.53500000000000003</v>
      </c>
      <c r="R638" s="251">
        <v>-1.25</v>
      </c>
      <c r="S638" s="251">
        <v>0.215</v>
      </c>
      <c r="T638" s="251">
        <v>-0.42</v>
      </c>
      <c r="U638" s="251">
        <v>-0.1366</v>
      </c>
      <c r="V638" s="251">
        <v>0.19</v>
      </c>
      <c r="W638" s="251">
        <v>4.5956999999999999</v>
      </c>
      <c r="X638" s="251">
        <v>0.24</v>
      </c>
      <c r="Y638" s="251">
        <v>1.68</v>
      </c>
      <c r="Z638" s="243">
        <f ca="1">[1]ExtEntry!$L36</f>
        <v>1.68</v>
      </c>
      <c r="AB638" s="305">
        <v>1.3880663310630736</v>
      </c>
      <c r="AC638" s="305">
        <v>1.3890946806934361</v>
      </c>
      <c r="AD638" s="305">
        <v>1.3500902940388653</v>
      </c>
      <c r="AE638" s="305">
        <v>1.2172163074526097</v>
      </c>
      <c r="AF638" s="305">
        <v>1.231284475965327</v>
      </c>
      <c r="AG638" s="305">
        <v>1.2178487918939984</v>
      </c>
      <c r="AH638" s="305">
        <v>1.2796887796887797</v>
      </c>
      <c r="AI638" s="305">
        <v>1.2689496480779643</v>
      </c>
      <c r="AJ638" s="305">
        <v>1.1149887613864899</v>
      </c>
      <c r="AK638" s="305">
        <v>1.1072603383458646</v>
      </c>
      <c r="AL638" s="305">
        <v>1.0320849759088919</v>
      </c>
      <c r="AM638" s="305">
        <v>1.0199112650146089</v>
      </c>
      <c r="AN638" s="305">
        <v>1.0511933972786081</v>
      </c>
      <c r="AO638" s="305">
        <v>1.0457117496948851</v>
      </c>
      <c r="AP638" s="305">
        <v>1.0606572135944181</v>
      </c>
      <c r="AQ638" s="305">
        <v>1.0636881142305104</v>
      </c>
      <c r="AR638" s="305">
        <v>1.0756927235863933</v>
      </c>
      <c r="AS638" s="305">
        <v>0.99178119749011862</v>
      </c>
      <c r="AT638" s="305">
        <v>0.98150051387461468</v>
      </c>
      <c r="AU638" s="305">
        <v>0.94854986094557003</v>
      </c>
      <c r="AV638" s="304">
        <f ca="1">Calc!AT36</f>
        <v>0.94854986094557003</v>
      </c>
      <c r="AX638" s="86" t="str">
        <f t="shared" ca="1" si="52"/>
        <v>PAAS</v>
      </c>
    </row>
    <row r="639" spans="1:50" hidden="1">
      <c r="A639" s="86" t="str">
        <f t="shared" ca="1" si="51"/>
        <v>PROF</v>
      </c>
      <c r="F639" s="251">
        <v>-0.03</v>
      </c>
      <c r="G639" s="251">
        <v>0</v>
      </c>
      <c r="H639" s="251">
        <v>7.4999999999999997E-2</v>
      </c>
      <c r="I639" s="251">
        <v>0.5</v>
      </c>
      <c r="J639" s="251">
        <v>-0.23</v>
      </c>
      <c r="K639" s="251">
        <v>-0.24</v>
      </c>
      <c r="L639" s="251">
        <v>-0.18</v>
      </c>
      <c r="M639" s="251">
        <v>2.5000000000000001E-2</v>
      </c>
      <c r="N639" s="251">
        <v>-3.5000000000000003E-2</v>
      </c>
      <c r="O639" s="251">
        <v>-0.04</v>
      </c>
      <c r="P639" s="251">
        <v>0.14000000000000001</v>
      </c>
      <c r="Q639" s="251">
        <v>-0.19550000000000001</v>
      </c>
      <c r="R639" s="251">
        <v>-0.22</v>
      </c>
      <c r="S639" s="251">
        <v>0.19</v>
      </c>
      <c r="T639" s="251">
        <v>0.63500000000000001</v>
      </c>
      <c r="U639" s="251">
        <v>-1.9699999999999999E-2</v>
      </c>
      <c r="V639" s="251">
        <v>-0.15</v>
      </c>
      <c r="W639" s="251">
        <v>0.23</v>
      </c>
      <c r="X639" s="251">
        <v>7.0000000000000007E-2</v>
      </c>
      <c r="Y639" s="251">
        <v>0.19</v>
      </c>
      <c r="Z639" s="243">
        <f ca="1">[1]ExtEntry!$L37</f>
        <v>0.19</v>
      </c>
      <c r="AB639" s="305">
        <v>2.0648464163822524</v>
      </c>
      <c r="AC639" s="305">
        <v>2.0648464163822524</v>
      </c>
      <c r="AD639" s="305">
        <v>2.0421940928270041</v>
      </c>
      <c r="AE639" s="305">
        <v>1.7664233576642336</v>
      </c>
      <c r="AF639" s="305">
        <v>1.9422150882825038</v>
      </c>
      <c r="AG639" s="305">
        <v>2.020033388981636</v>
      </c>
      <c r="AH639" s="305">
        <v>2.0543293718166384</v>
      </c>
      <c r="AI639" s="305">
        <v>2.0508474576271185</v>
      </c>
      <c r="AJ639" s="305">
        <v>1.8716163959783449</v>
      </c>
      <c r="AK639" s="305">
        <v>1.873065015479876</v>
      </c>
      <c r="AL639" s="305">
        <v>1.8333333333333335</v>
      </c>
      <c r="AM639" s="305">
        <v>1.889296588336326</v>
      </c>
      <c r="AN639" s="305">
        <v>1.9516129032258063</v>
      </c>
      <c r="AO639" s="305">
        <v>1.8745158791634391</v>
      </c>
      <c r="AP639" s="305">
        <v>1.7536231884057969</v>
      </c>
      <c r="AQ639" s="305">
        <v>1.7586442451637283</v>
      </c>
      <c r="AR639" s="305">
        <v>1.8333333333333335</v>
      </c>
      <c r="AS639" s="305">
        <v>1.7261055634807418</v>
      </c>
      <c r="AT639" s="305">
        <v>1.6712707182320441</v>
      </c>
      <c r="AU639" s="305">
        <v>1.6285329744279946</v>
      </c>
      <c r="AV639" s="304">
        <f ca="1">Calc!AT37</f>
        <v>1.6285329744279946</v>
      </c>
      <c r="AX639" s="86" t="str">
        <f t="shared" ca="1" si="52"/>
        <v>PROF</v>
      </c>
    </row>
    <row r="640" spans="1:50" hidden="1">
      <c r="A640" s="86" t="str">
        <f t="shared" ca="1" si="51"/>
        <v>POET</v>
      </c>
      <c r="F640" s="251">
        <v>8.5000000000000006E-2</v>
      </c>
      <c r="G640" s="251">
        <v>-0.69</v>
      </c>
      <c r="H640" s="251">
        <v>4.99E-2</v>
      </c>
      <c r="I640" s="251">
        <v>-0.3</v>
      </c>
      <c r="J640" s="251">
        <v>0.12</v>
      </c>
      <c r="K640" s="251">
        <v>-0.1056</v>
      </c>
      <c r="L640" s="251">
        <v>-2.5000000000000001E-2</v>
      </c>
      <c r="M640" s="251">
        <v>0.08</v>
      </c>
      <c r="N640" s="251">
        <v>9.5000000000000001E-2</v>
      </c>
      <c r="O640" s="251">
        <v>0.17</v>
      </c>
      <c r="P640" s="251">
        <v>0.11</v>
      </c>
      <c r="Q640" s="251">
        <v>-0.20499999999999999</v>
      </c>
      <c r="R640" s="251">
        <v>4.4999999999999998E-2</v>
      </c>
      <c r="S640" s="251">
        <v>0.69450000000000001</v>
      </c>
      <c r="T640" s="251">
        <v>1.33</v>
      </c>
      <c r="U640" s="251">
        <v>0.47499999999999998</v>
      </c>
      <c r="V640" s="251">
        <v>-0.32</v>
      </c>
      <c r="W640" s="251">
        <v>0.61499999999999999</v>
      </c>
      <c r="X640" s="251">
        <v>0.25</v>
      </c>
      <c r="Y640" s="251">
        <v>7.0000000000000007E-2</v>
      </c>
      <c r="Z640" s="243">
        <f ca="1">[1]ExtEntry!$L38</f>
        <v>7.0000000000000007E-2</v>
      </c>
      <c r="AB640" s="305">
        <v>1.0991433305716654</v>
      </c>
      <c r="AC640" s="305">
        <v>1.2410346117867166</v>
      </c>
      <c r="AD640" s="305">
        <v>1.2352799865919291</v>
      </c>
      <c r="AE640" s="305">
        <v>1.5075749999999999</v>
      </c>
      <c r="AF640" s="305">
        <v>1.5462307692307693</v>
      </c>
      <c r="AG640" s="305">
        <v>1.5852523659305993</v>
      </c>
      <c r="AH640" s="305">
        <v>1.5700189349112428</v>
      </c>
      <c r="AI640" s="305">
        <v>1.5498434579439251</v>
      </c>
      <c r="AJ640" s="305">
        <v>1.3850996852046171</v>
      </c>
      <c r="AK640" s="305">
        <v>1.3636363636363635</v>
      </c>
      <c r="AL640" s="305">
        <v>1.3333333333333333</v>
      </c>
      <c r="AM640" s="305">
        <v>1.3909378292939936</v>
      </c>
      <c r="AN640" s="305">
        <v>1.4178302900107409</v>
      </c>
      <c r="AO640" s="305">
        <v>1.2280212112754674</v>
      </c>
      <c r="AP640" s="305">
        <v>1.0981697171381031</v>
      </c>
      <c r="AQ640" s="305">
        <v>1.0177332305319968</v>
      </c>
      <c r="AR640" s="305">
        <v>1.1460049586776859</v>
      </c>
      <c r="AS640" s="305">
        <v>1.0129043097151205</v>
      </c>
      <c r="AT640" s="305">
        <v>0.96969650349650338</v>
      </c>
      <c r="AU640" s="305">
        <v>0.96029501385041549</v>
      </c>
      <c r="AV640" s="304">
        <f ca="1">Calc!AT38</f>
        <v>0.96029501385041549</v>
      </c>
      <c r="AX640" s="86" t="str">
        <f t="shared" ca="1" si="52"/>
        <v>POET</v>
      </c>
    </row>
    <row r="641" spans="1:50" hidden="1">
      <c r="A641" s="86" t="str">
        <f t="shared" ca="1" si="51"/>
        <v>PW</v>
      </c>
      <c r="F641" s="251">
        <v>5.1700000000000003E-2</v>
      </c>
      <c r="G641" s="251">
        <v>-1.5299999999999999E-2</v>
      </c>
      <c r="H641" s="251">
        <v>-2.1899999999999999E-2</v>
      </c>
      <c r="I641" s="251">
        <v>8.7499999999999994E-2</v>
      </c>
      <c r="J641" s="251">
        <v>-6.8000000000000005E-2</v>
      </c>
      <c r="K641" s="251">
        <v>-2.1299999999999999E-2</v>
      </c>
      <c r="L641" s="251">
        <v>-9.1000000000000004E-3</v>
      </c>
      <c r="M641" s="251">
        <v>7.2999999999999995E-2</v>
      </c>
      <c r="N641" s="251">
        <v>0.16200000000000001</v>
      </c>
      <c r="O641" s="251">
        <v>0.1573</v>
      </c>
      <c r="P641" s="251">
        <v>-0.1605</v>
      </c>
      <c r="Q641" s="251">
        <v>-1.44E-2</v>
      </c>
      <c r="R641" s="251">
        <v>0.1</v>
      </c>
      <c r="S641" s="251">
        <v>-2.7300000000000001E-2</v>
      </c>
      <c r="T641" s="251">
        <v>0.03</v>
      </c>
      <c r="U641" s="251">
        <v>1.9800000000000002E-2</v>
      </c>
      <c r="V641" s="251">
        <v>-1.24E-2</v>
      </c>
      <c r="W641" s="251">
        <v>1.41E-2</v>
      </c>
      <c r="X641" s="251">
        <v>-0.03</v>
      </c>
      <c r="Y641" s="251">
        <v>-3.6400000000000002E-2</v>
      </c>
      <c r="Z641" s="243">
        <f ca="1">[1]ExtEntry!$L39</f>
        <v>-3.6400000000000002E-2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9.4700000000000006</v>
      </c>
      <c r="G642" s="251">
        <v>-1.5249999999999999</v>
      </c>
      <c r="H642" s="251">
        <v>-0.81</v>
      </c>
      <c r="I642" s="251">
        <v>2.06</v>
      </c>
      <c r="J642" s="251">
        <v>3.71</v>
      </c>
      <c r="K642" s="251">
        <v>-4.0199999999999996</v>
      </c>
      <c r="L642" s="251">
        <v>3.0950000000000002</v>
      </c>
      <c r="M642" s="251">
        <v>2.875</v>
      </c>
      <c r="N642" s="251">
        <v>1.68</v>
      </c>
      <c r="O642" s="251">
        <v>1.4</v>
      </c>
      <c r="P642" s="251">
        <v>-0.47</v>
      </c>
      <c r="Q642" s="251">
        <v>-2.64</v>
      </c>
      <c r="R642" s="251">
        <v>-2.86</v>
      </c>
      <c r="S642" s="251">
        <v>1.19</v>
      </c>
      <c r="T642" s="251">
        <v>2.8</v>
      </c>
      <c r="U642" s="251">
        <v>0.06</v>
      </c>
      <c r="V642" s="251">
        <v>1.54</v>
      </c>
      <c r="W642" s="251">
        <v>-0.37</v>
      </c>
      <c r="X642" s="251">
        <v>-1.1100000000000001</v>
      </c>
      <c r="Y642" s="251">
        <v>0.83</v>
      </c>
      <c r="Z642" s="243">
        <f ca="1">[1]ExtEntry!$L40</f>
        <v>0.83</v>
      </c>
      <c r="AB642" s="305">
        <v>1.0127696169088507</v>
      </c>
      <c r="AC642" s="305">
        <v>1.055287818306951</v>
      </c>
      <c r="AD642" s="305">
        <v>1.08562248654772</v>
      </c>
      <c r="AE642" s="305">
        <v>0.91400405340963276</v>
      </c>
      <c r="AF642" s="305">
        <v>0.82936672436174808</v>
      </c>
      <c r="AG642" s="305">
        <v>0.90837274881516572</v>
      </c>
      <c r="AH642" s="305">
        <v>0.85613243997766608</v>
      </c>
      <c r="AI642" s="305">
        <v>0.82057861500588658</v>
      </c>
      <c r="AJ642" s="305">
        <v>0.96799375487900075</v>
      </c>
      <c r="AK642" s="305">
        <v>0.9733124018838305</v>
      </c>
      <c r="AL642" s="305">
        <v>0.98237274707862943</v>
      </c>
      <c r="AM642" s="305">
        <v>1.0365726227795193</v>
      </c>
      <c r="AN642" s="305">
        <v>1.1171171171171173</v>
      </c>
      <c r="AO642" s="305">
        <v>1.0877192982456141</v>
      </c>
      <c r="AP642" s="305">
        <v>1.0506248676127938</v>
      </c>
      <c r="AQ642" s="305">
        <v>1.0492913052676116</v>
      </c>
      <c r="AR642" s="305">
        <v>1.0139002452984465</v>
      </c>
      <c r="AS642" s="305">
        <v>1.15268417383221</v>
      </c>
      <c r="AT642" s="305">
        <v>1.2032993692382339</v>
      </c>
      <c r="AU642" s="305">
        <v>1.1795481569560049</v>
      </c>
      <c r="AV642" s="304">
        <f ca="1">Calc!AT40</f>
        <v>1.1795481569560049</v>
      </c>
      <c r="AX642" s="86" t="str">
        <f t="shared" ca="1" si="52"/>
        <v>RIGL</v>
      </c>
    </row>
    <row r="643" spans="1:50" hidden="1">
      <c r="A643" s="86" t="str">
        <f t="shared" ca="1" si="51"/>
        <v>RWE</v>
      </c>
      <c r="F643" s="251">
        <v>0.27</v>
      </c>
      <c r="G643" s="251">
        <v>0.51</v>
      </c>
      <c r="H643" s="251">
        <v>-0.18</v>
      </c>
      <c r="I643" s="251">
        <v>-0.14000000000000001</v>
      </c>
      <c r="J643" s="251">
        <v>-0.39</v>
      </c>
      <c r="K643" s="251">
        <v>-0.94</v>
      </c>
      <c r="L643" s="251">
        <v>1.04</v>
      </c>
      <c r="M643" s="251">
        <v>-0.54</v>
      </c>
      <c r="N643" s="251">
        <v>0.77</v>
      </c>
      <c r="O643" s="251">
        <v>-0.74</v>
      </c>
      <c r="P643" s="251">
        <v>0.2</v>
      </c>
      <c r="Q643" s="251">
        <v>-0.36</v>
      </c>
      <c r="R643" s="251">
        <v>0</v>
      </c>
      <c r="S643" s="251">
        <v>0.81</v>
      </c>
      <c r="T643" s="251">
        <v>0.26</v>
      </c>
      <c r="U643" s="251">
        <v>-0.1</v>
      </c>
      <c r="V643" s="251">
        <v>-0.46</v>
      </c>
      <c r="W643" s="251">
        <v>0.52</v>
      </c>
      <c r="X643" s="251">
        <v>-0.06</v>
      </c>
      <c r="Y643" s="251">
        <v>-0.2</v>
      </c>
      <c r="Z643" s="243">
        <f ca="1">[1]ExtEntry!$L41</f>
        <v>-0.2</v>
      </c>
      <c r="AB643" s="305">
        <v>1.0501539544707814</v>
      </c>
      <c r="AC643" s="305">
        <v>1.0377333024118738</v>
      </c>
      <c r="AD643" s="305">
        <v>1.0428119319505942</v>
      </c>
      <c r="AE643" s="305">
        <v>0.98714008382969332</v>
      </c>
      <c r="AF643" s="305">
        <v>1.0105478771454381</v>
      </c>
      <c r="AG643" s="305">
        <v>1.0232577178138578</v>
      </c>
      <c r="AH643" s="305">
        <v>0.99615004452359746</v>
      </c>
      <c r="AI643" s="305">
        <v>1.0094080757951724</v>
      </c>
      <c r="AJ643" s="305">
        <v>1.0672230004518752</v>
      </c>
      <c r="AK643" s="305">
        <v>1.0853697150735293</v>
      </c>
      <c r="AL643" s="305">
        <v>1.0804046203110704</v>
      </c>
      <c r="AM643" s="305">
        <v>1.0893747693726936</v>
      </c>
      <c r="AN643" s="305">
        <v>1.0908842956120093</v>
      </c>
      <c r="AO643" s="305">
        <v>1.0708521877125368</v>
      </c>
      <c r="AP643" s="305">
        <v>1.084373048668503</v>
      </c>
      <c r="AQ643" s="305">
        <v>1.0868681546249424</v>
      </c>
      <c r="AR643" s="305">
        <v>1.1219485328365162</v>
      </c>
      <c r="AS643" s="305">
        <v>1.1026887159533074</v>
      </c>
      <c r="AT643" s="305">
        <v>1.1077597148769831</v>
      </c>
      <c r="AU643" s="305">
        <v>1.1128775698775699</v>
      </c>
      <c r="AV643" s="304">
        <f ca="1">Calc!AT41</f>
        <v>1.1128775698775699</v>
      </c>
      <c r="AX643" s="86" t="str">
        <f t="shared" ca="1" si="52"/>
        <v>RWE</v>
      </c>
    </row>
    <row r="644" spans="1:50" hidden="1">
      <c r="A644" s="86" t="str">
        <f t="shared" ca="1" si="51"/>
        <v>SAP</v>
      </c>
      <c r="F644" s="251">
        <v>1.9</v>
      </c>
      <c r="G644" s="251">
        <v>-10</v>
      </c>
      <c r="H644" s="251">
        <v>-2.2999999999999998</v>
      </c>
      <c r="I644" s="251">
        <v>-7</v>
      </c>
      <c r="J644" s="251">
        <v>0</v>
      </c>
      <c r="K644" s="251">
        <v>0.15</v>
      </c>
      <c r="L644" s="251">
        <v>1.1000000000000001</v>
      </c>
      <c r="M644" s="251">
        <v>-1.6</v>
      </c>
      <c r="N644" s="251">
        <v>1.85</v>
      </c>
      <c r="O644" s="251">
        <v>0.3</v>
      </c>
      <c r="P644" s="251">
        <v>1.55</v>
      </c>
      <c r="Q644" s="251">
        <v>0.35</v>
      </c>
      <c r="R644" s="251">
        <v>-1.05</v>
      </c>
      <c r="S644" s="251">
        <v>-0.6</v>
      </c>
      <c r="T644" s="251">
        <v>-1.35</v>
      </c>
      <c r="U644" s="251">
        <v>3.65</v>
      </c>
      <c r="V644" s="251">
        <v>3.1</v>
      </c>
      <c r="W644" s="251">
        <v>-0.1</v>
      </c>
      <c r="X644" s="251">
        <v>0.95</v>
      </c>
      <c r="Y644" s="251">
        <v>-1.65</v>
      </c>
      <c r="Z644" s="243">
        <f ca="1">[1]ExtEntry!$L42</f>
        <v>-1.65</v>
      </c>
      <c r="AB644" s="305">
        <v>1.2663601667032245</v>
      </c>
      <c r="AC644" s="305">
        <v>1.3244634090387706</v>
      </c>
      <c r="AD644" s="305">
        <v>1.3385893809413403</v>
      </c>
      <c r="AE644" s="305">
        <v>1.3674410232117482</v>
      </c>
      <c r="AF644" s="305">
        <v>1.4057307036766498</v>
      </c>
      <c r="AG644" s="305">
        <v>1.4047046228710462</v>
      </c>
      <c r="AH644" s="305">
        <v>1.3972255566311715</v>
      </c>
      <c r="AI644" s="305">
        <v>1.4081307317073173</v>
      </c>
      <c r="AJ644" s="305">
        <v>1.3913078858248671</v>
      </c>
      <c r="AK644" s="305">
        <v>1.3892914975845412</v>
      </c>
      <c r="AL644" s="305">
        <v>1.3789659074562455</v>
      </c>
      <c r="AM644" s="305">
        <v>1.3766555289612254</v>
      </c>
      <c r="AN644" s="305">
        <v>1.383610007216743</v>
      </c>
      <c r="AO644" s="305">
        <v>1.3876156332931244</v>
      </c>
      <c r="AP644" s="305">
        <v>1.3926553995157387</v>
      </c>
      <c r="AQ644" s="305">
        <v>1.3684669997620749</v>
      </c>
      <c r="AR644" s="305">
        <v>1.3446658851113715</v>
      </c>
      <c r="AS644" s="305">
        <v>1.3654761904761905</v>
      </c>
      <c r="AT644" s="305">
        <v>1.3593268547049064</v>
      </c>
      <c r="AU644" s="305">
        <v>1.370043000477783</v>
      </c>
      <c r="AV644" s="304">
        <f ca="1">Calc!AT42</f>
        <v>1.370043000477783</v>
      </c>
      <c r="AX644" s="86" t="str">
        <f t="shared" ca="1" si="52"/>
        <v>SAP</v>
      </c>
    </row>
    <row r="645" spans="1:50" hidden="1">
      <c r="A645" s="86" t="str">
        <f t="shared" ca="1" si="51"/>
        <v>SHECY</v>
      </c>
      <c r="F645" s="251">
        <v>-0.03</v>
      </c>
      <c r="G645" s="251">
        <v>-0.4</v>
      </c>
      <c r="H645" s="251">
        <v>0.23</v>
      </c>
      <c r="I645" s="251">
        <v>0.19</v>
      </c>
      <c r="J645" s="251">
        <v>-0.35</v>
      </c>
      <c r="K645" s="251">
        <v>-0.11550000000000001</v>
      </c>
      <c r="L645" s="251">
        <v>-0.47499999999999998</v>
      </c>
      <c r="M645" s="251">
        <v>0.73</v>
      </c>
      <c r="N645" s="251">
        <v>0.35</v>
      </c>
      <c r="O645" s="251">
        <v>0.35</v>
      </c>
      <c r="P645" s="251">
        <v>0.15</v>
      </c>
      <c r="Q645" s="251">
        <v>-0.02</v>
      </c>
      <c r="R645" s="251">
        <v>0.25750000000000001</v>
      </c>
      <c r="S645" s="251">
        <v>-0.246</v>
      </c>
      <c r="T645" s="251">
        <v>-0.08</v>
      </c>
      <c r="U645" s="251">
        <v>0.49</v>
      </c>
      <c r="V645" s="251">
        <v>-0.04</v>
      </c>
      <c r="W645" s="251">
        <v>-5.2999999999999999E-2</v>
      </c>
      <c r="X645" s="251">
        <v>0.23</v>
      </c>
      <c r="Y645" s="251">
        <v>-0.55000000000000004</v>
      </c>
      <c r="Z645" s="243">
        <f ca="1">[1]ExtEntry!$L43</f>
        <v>-0.55000000000000004</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-0.02</v>
      </c>
      <c r="G646" s="251">
        <v>-0.39</v>
      </c>
      <c r="H646" s="251">
        <v>0</v>
      </c>
      <c r="I646" s="251">
        <v>-0.38</v>
      </c>
      <c r="J646" s="251">
        <v>-0.03</v>
      </c>
      <c r="K646" s="251">
        <v>-0.05</v>
      </c>
      <c r="L646" s="251">
        <v>-0.17</v>
      </c>
      <c r="M646" s="251">
        <v>0.35</v>
      </c>
      <c r="N646" s="251">
        <v>0.06</v>
      </c>
      <c r="O646" s="251">
        <v>0.1</v>
      </c>
      <c r="P646" s="251">
        <v>0.15</v>
      </c>
      <c r="Q646" s="251">
        <v>-7.0000000000000007E-2</v>
      </c>
      <c r="R646" s="251">
        <v>0.12</v>
      </c>
      <c r="S646" s="251">
        <v>-0.02</v>
      </c>
      <c r="T646" s="251">
        <v>0.23</v>
      </c>
      <c r="U646" s="251">
        <v>0.15</v>
      </c>
      <c r="V646" s="251">
        <v>-0.12</v>
      </c>
      <c r="W646" s="251">
        <v>0.16</v>
      </c>
      <c r="X646" s="251">
        <v>0.11</v>
      </c>
      <c r="Y646" s="251">
        <v>0.15</v>
      </c>
      <c r="Z646" s="243">
        <f ca="1">[1]ExtEntry!$L44</f>
        <v>0.15</v>
      </c>
      <c r="AB646" s="305">
        <v>1.3536375634517768</v>
      </c>
      <c r="AC646" s="305">
        <v>1.4094429175475687</v>
      </c>
      <c r="AD646" s="305">
        <v>1.4094429175475687</v>
      </c>
      <c r="AE646" s="305">
        <v>1.4897575418994415</v>
      </c>
      <c r="AF646" s="305">
        <v>1.5686270588235294</v>
      </c>
      <c r="AG646" s="305">
        <v>1.5779088757396451</v>
      </c>
      <c r="AH646" s="305">
        <v>1.622059610705596</v>
      </c>
      <c r="AI646" s="305">
        <v>1.5594538011695904</v>
      </c>
      <c r="AJ646" s="305">
        <v>1.5310081395348838</v>
      </c>
      <c r="AK646" s="305">
        <v>1.5239201388888888</v>
      </c>
      <c r="AL646" s="305">
        <v>1.4979146757679183</v>
      </c>
      <c r="AM646" s="305">
        <v>1.509939220183486</v>
      </c>
      <c r="AN646" s="305">
        <v>1.5047622857142857</v>
      </c>
      <c r="AO646" s="305">
        <v>1.5082096219931271</v>
      </c>
      <c r="AP646" s="305">
        <v>1.4662216035634743</v>
      </c>
      <c r="AQ646" s="305">
        <v>1.4421325301204817</v>
      </c>
      <c r="AR646" s="305">
        <v>1.4548806629834252</v>
      </c>
      <c r="AS646" s="305">
        <v>1.4203527508090616</v>
      </c>
      <c r="AT646" s="305">
        <v>1.4172949407965556</v>
      </c>
      <c r="AU646" s="305">
        <v>1.3947743644067798</v>
      </c>
      <c r="AV646" s="304">
        <f ca="1">Calc!AT44</f>
        <v>1.3947743644067798</v>
      </c>
      <c r="AX646" s="86" t="str">
        <f t="shared" ca="1" si="52"/>
        <v>SSYS</v>
      </c>
    </row>
    <row r="647" spans="1:50" hidden="1">
      <c r="A647" s="86" t="str">
        <f t="shared" ca="1" si="51"/>
        <v>TSLA</v>
      </c>
      <c r="F647" s="251">
        <v>17.998000000000001</v>
      </c>
      <c r="G647" s="251">
        <v>-17.060099999999998</v>
      </c>
      <c r="H647" s="251">
        <v>-15.88</v>
      </c>
      <c r="I647" s="251">
        <v>2.36</v>
      </c>
      <c r="J647" s="251">
        <v>-7.67</v>
      </c>
      <c r="K647" s="251">
        <v>0.86</v>
      </c>
      <c r="L647" s="251">
        <v>-4.8441000000000001</v>
      </c>
      <c r="M647" s="251">
        <v>3.06</v>
      </c>
      <c r="N647" s="251">
        <v>4.03</v>
      </c>
      <c r="O647" s="251">
        <v>7.18</v>
      </c>
      <c r="P647" s="251">
        <v>3.59</v>
      </c>
      <c r="Q647" s="251">
        <v>-1.73</v>
      </c>
      <c r="R647" s="251">
        <v>-0.92</v>
      </c>
      <c r="S647" s="251">
        <v>13.305</v>
      </c>
      <c r="T647" s="251">
        <v>17.5</v>
      </c>
      <c r="U647" s="251">
        <v>3.3201000000000001</v>
      </c>
      <c r="V647" s="251">
        <v>0.47</v>
      </c>
      <c r="W647" s="251">
        <v>10.119999999999999</v>
      </c>
      <c r="X647" s="251">
        <v>6.2560000000000002</v>
      </c>
      <c r="Y647" s="251">
        <v>-4.5841000000000003</v>
      </c>
      <c r="Z647" s="243">
        <f ca="1">[1]ExtEntry!$L45</f>
        <v>-4.5841000000000003</v>
      </c>
      <c r="AB647" s="305">
        <v>0.84653602533650052</v>
      </c>
      <c r="AC647" s="305">
        <v>0.87934684149723419</v>
      </c>
      <c r="AD647" s="305">
        <v>0.90997848987279972</v>
      </c>
      <c r="AE647" s="305">
        <v>0.9677706195127983</v>
      </c>
      <c r="AF647" s="305">
        <v>0.97524747663551414</v>
      </c>
      <c r="AG647" s="305">
        <v>0.97316169704807143</v>
      </c>
      <c r="AH647" s="305">
        <v>0.9803884995436507</v>
      </c>
      <c r="AI647" s="305">
        <v>0.98249529237490274</v>
      </c>
      <c r="AJ647" s="305">
        <v>0.9279640082185957</v>
      </c>
      <c r="AK647" s="305">
        <v>0.92111163205026025</v>
      </c>
      <c r="AL647" s="305">
        <v>0.91342446009717082</v>
      </c>
      <c r="AM647" s="305">
        <v>0.91711278125291751</v>
      </c>
      <c r="AN647" s="305">
        <v>0.91544615814733699</v>
      </c>
      <c r="AO647" s="305">
        <v>0.88788213627992629</v>
      </c>
      <c r="AP647" s="305">
        <v>0.8795447016161525</v>
      </c>
      <c r="AQ647" s="305">
        <v>0.87305628737139773</v>
      </c>
      <c r="AR647" s="305">
        <v>0.86357758241758242</v>
      </c>
      <c r="AS647" s="305">
        <v>0.87375539248387812</v>
      </c>
      <c r="AT647" s="305">
        <v>0.87041464160238891</v>
      </c>
      <c r="AU647" s="305">
        <v>0.8792968986892935</v>
      </c>
      <c r="AV647" s="304">
        <f ca="1">Calc!AT45</f>
        <v>0.8792968986892935</v>
      </c>
      <c r="AX647" s="86" t="str">
        <f t="shared" ca="1" si="52"/>
        <v>TSLA</v>
      </c>
    </row>
    <row r="648" spans="1:50" hidden="1">
      <c r="A648" s="86" t="str">
        <f t="shared" ca="1" si="51"/>
        <v>TSM</v>
      </c>
      <c r="F648" s="251">
        <v>-0.1</v>
      </c>
      <c r="G648" s="251">
        <v>-4.21</v>
      </c>
      <c r="H648" s="251">
        <v>-3.39</v>
      </c>
      <c r="I648" s="251">
        <v>2.67</v>
      </c>
      <c r="J648" s="251">
        <v>-4</v>
      </c>
      <c r="K648" s="251">
        <v>1.58</v>
      </c>
      <c r="L648" s="251">
        <v>-2.3199999999999998</v>
      </c>
      <c r="M648" s="251">
        <v>-0.86</v>
      </c>
      <c r="N648" s="251">
        <v>7.04</v>
      </c>
      <c r="O648" s="251">
        <v>5.2949999999999999</v>
      </c>
      <c r="P648" s="251">
        <v>1.54</v>
      </c>
      <c r="Q648" s="251">
        <v>-1.1599999999999999</v>
      </c>
      <c r="R648" s="251">
        <v>4.6349999999999998</v>
      </c>
      <c r="S648" s="251">
        <v>1.69</v>
      </c>
      <c r="T648" s="251">
        <v>3.4</v>
      </c>
      <c r="U648" s="251">
        <v>-3.07</v>
      </c>
      <c r="V648" s="251">
        <v>1.75</v>
      </c>
      <c r="W648" s="251">
        <v>0.78</v>
      </c>
      <c r="X648" s="251">
        <v>6.73</v>
      </c>
      <c r="Y648" s="251">
        <v>-4.4227999999999996</v>
      </c>
      <c r="Z648" s="243">
        <f ca="1">[1]ExtEntry!$L46</f>
        <v>-4.4227999999999996</v>
      </c>
      <c r="AB648" s="305">
        <v>1.1409997618642627</v>
      </c>
      <c r="AC648" s="305">
        <v>1.1588186435407526</v>
      </c>
      <c r="AD648" s="305">
        <v>1.1733317474199754</v>
      </c>
      <c r="AE648" s="305">
        <v>1.1773682030399832</v>
      </c>
      <c r="AF648" s="305">
        <v>1.2064202007122047</v>
      </c>
      <c r="AG648" s="305">
        <v>1.2000317721564278</v>
      </c>
      <c r="AH648" s="305">
        <v>1.1976321371183718</v>
      </c>
      <c r="AI648" s="305">
        <v>1.2123947368421053</v>
      </c>
      <c r="AJ648" s="305">
        <v>1.1720371589195118</v>
      </c>
      <c r="AK648" s="305">
        <v>1.1790901974308128</v>
      </c>
      <c r="AL648" s="305">
        <v>1.1729217152658662</v>
      </c>
      <c r="AM648" s="305">
        <v>1.1775673497503012</v>
      </c>
      <c r="AN648" s="305">
        <v>1.1696515060807691</v>
      </c>
      <c r="AO648" s="305">
        <v>1.1638187759547962</v>
      </c>
      <c r="AP648" s="305">
        <v>1.1570837591796677</v>
      </c>
      <c r="AQ648" s="305">
        <v>1.1693914768452014</v>
      </c>
      <c r="AR648" s="305">
        <v>1.1602642866838604</v>
      </c>
      <c r="AS648" s="305">
        <v>1.1297098298364447</v>
      </c>
      <c r="AT648" s="305">
        <v>1.1024269039788483</v>
      </c>
      <c r="AU648" s="305">
        <v>1.1212996195723468</v>
      </c>
      <c r="AV648" s="304">
        <f ca="1">Calc!AT46</f>
        <v>1.1212996195723468</v>
      </c>
      <c r="AX648" s="86" t="str">
        <f t="shared" ca="1" si="52"/>
        <v>TSM</v>
      </c>
    </row>
    <row r="649" spans="1:50" hidden="1">
      <c r="A649" s="86" t="str">
        <f t="shared" ca="1" si="51"/>
        <v>UN0</v>
      </c>
      <c r="F649" s="251">
        <v>-0.1</v>
      </c>
      <c r="G649" s="251">
        <v>-1.55</v>
      </c>
      <c r="H649" s="251">
        <v>0.55000000000000004</v>
      </c>
      <c r="I649" s="251">
        <v>-0.05</v>
      </c>
      <c r="J649" s="251">
        <v>-0.9</v>
      </c>
      <c r="K649" s="251">
        <v>-0.2</v>
      </c>
      <c r="L649" s="251">
        <v>0.4</v>
      </c>
      <c r="M649" s="251">
        <v>0.2</v>
      </c>
      <c r="N649" s="251">
        <v>1.25</v>
      </c>
      <c r="O649" s="251">
        <v>0.85</v>
      </c>
      <c r="P649" s="251">
        <v>0.2</v>
      </c>
      <c r="Q649" s="251">
        <v>-0.05</v>
      </c>
      <c r="R649" s="251">
        <v>-0.75</v>
      </c>
      <c r="S649" s="251">
        <v>0.15</v>
      </c>
      <c r="T649" s="251">
        <v>0.15</v>
      </c>
      <c r="U649" s="251">
        <v>0.45</v>
      </c>
      <c r="V649" s="251">
        <v>0.1</v>
      </c>
      <c r="W649" s="251">
        <v>2</v>
      </c>
      <c r="X649" s="251">
        <v>-0.2</v>
      </c>
      <c r="Y649" s="251">
        <v>-0.3</v>
      </c>
      <c r="Z649" s="243">
        <f ca="1">[1]ExtEntry!$L47</f>
        <v>-0.3</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0.4</v>
      </c>
      <c r="G650" s="251">
        <v>-0.16500000000000001</v>
      </c>
      <c r="H650" s="251">
        <v>0.30499999999999999</v>
      </c>
      <c r="I650" s="251">
        <v>0.245</v>
      </c>
      <c r="J650" s="251">
        <v>-0.14000000000000001</v>
      </c>
      <c r="K650" s="251">
        <v>-0.23499999999999999</v>
      </c>
      <c r="L650" s="251">
        <v>0.05</v>
      </c>
      <c r="M650" s="251">
        <v>0.16500000000000001</v>
      </c>
      <c r="N650" s="251">
        <v>0.155</v>
      </c>
      <c r="O650" s="251">
        <v>0.05</v>
      </c>
      <c r="P650" s="251">
        <v>0.06</v>
      </c>
      <c r="Q650" s="251">
        <v>0.05</v>
      </c>
      <c r="R650" s="251">
        <v>0.185</v>
      </c>
      <c r="S650" s="251">
        <v>5.5E-2</v>
      </c>
      <c r="T650" s="251">
        <v>0.04</v>
      </c>
      <c r="U650" s="251">
        <v>4.4999999999999998E-2</v>
      </c>
      <c r="V650" s="251">
        <v>-0.18</v>
      </c>
      <c r="W650" s="251">
        <v>-5.5E-2</v>
      </c>
      <c r="X650" s="251">
        <v>0.28000000000000003</v>
      </c>
      <c r="Y650" s="251">
        <v>0.49</v>
      </c>
      <c r="Z650" s="243">
        <f ca="1">[1]ExtEntry!$L48</f>
        <v>0.49</v>
      </c>
      <c r="AB650" s="305">
        <v>1.159721875</v>
      </c>
      <c r="AC650" s="305">
        <v>1.1904121892542101</v>
      </c>
      <c r="AD650" s="305">
        <v>1.1305742574257425</v>
      </c>
      <c r="AE650" s="305">
        <v>1.1818821656050955</v>
      </c>
      <c r="AF650" s="305">
        <v>1.2068650406504065</v>
      </c>
      <c r="AG650" s="305">
        <v>1.2548131868131869</v>
      </c>
      <c r="AH650" s="305">
        <v>1.2349783693843595</v>
      </c>
      <c r="AI650" s="305">
        <v>1.231903734439834</v>
      </c>
      <c r="AJ650" s="305">
        <v>1.1223694466095089</v>
      </c>
      <c r="AK650" s="305">
        <v>1.1410459587955626</v>
      </c>
      <c r="AL650" s="305">
        <v>1.1302982731554161</v>
      </c>
      <c r="AM650" s="305">
        <v>1.1214953271028039</v>
      </c>
      <c r="AN650" s="305">
        <v>1.08843537414966</v>
      </c>
      <c r="AO650" s="305">
        <v>1.0786516853932584</v>
      </c>
      <c r="AP650" s="305">
        <v>1.0810810810810811</v>
      </c>
      <c r="AQ650" s="305">
        <v>1.0738255033557047</v>
      </c>
      <c r="AR650" s="305">
        <v>1.1267605633802817</v>
      </c>
      <c r="AS650" s="305">
        <v>1.1171450737005431</v>
      </c>
      <c r="AT650" s="305">
        <v>1.0666666666666667</v>
      </c>
      <c r="AU650" s="305">
        <v>0.99447513812154698</v>
      </c>
      <c r="AV650" s="304">
        <f ca="1">Calc!AT48</f>
        <v>0.99447513812154698</v>
      </c>
      <c r="AX650" s="86" t="str">
        <f t="shared" ca="1" si="52"/>
        <v>UNIT</v>
      </c>
    </row>
    <row r="651" spans="1:50" hidden="1">
      <c r="A651" s="86" t="str">
        <f t="shared" ca="1" si="51"/>
        <v>VLVLY</v>
      </c>
      <c r="F651" s="251">
        <v>0.76060000000000005</v>
      </c>
      <c r="G651" s="251">
        <v>-0.22059999999999999</v>
      </c>
      <c r="H651" s="251">
        <v>0.14649999999999999</v>
      </c>
      <c r="I651" s="251">
        <v>-0.33</v>
      </c>
      <c r="J651" s="251">
        <v>-0.01</v>
      </c>
      <c r="K651" s="251">
        <v>0.39500000000000002</v>
      </c>
      <c r="L651" s="251">
        <v>-0.59</v>
      </c>
      <c r="M651" s="251">
        <v>0.94</v>
      </c>
      <c r="N651" s="251">
        <v>0.15989999999999999</v>
      </c>
      <c r="O651" s="251">
        <v>0.17</v>
      </c>
      <c r="P651" s="251">
        <v>0.16</v>
      </c>
      <c r="Q651" s="251">
        <v>-5.0000000000000001E-3</v>
      </c>
      <c r="R651" s="251">
        <v>0.09</v>
      </c>
      <c r="S651" s="251">
        <v>-0.28999999999999998</v>
      </c>
      <c r="T651" s="251">
        <v>-0.08</v>
      </c>
      <c r="U651" s="251">
        <v>0.71599999999999997</v>
      </c>
      <c r="V651" s="251">
        <v>0.9</v>
      </c>
      <c r="W651" s="251">
        <v>-0.50800000000000001</v>
      </c>
      <c r="X651" s="251">
        <v>0.47</v>
      </c>
      <c r="Y651" s="251">
        <v>0.68500000000000005</v>
      </c>
      <c r="Z651" s="243">
        <f ca="1">[1]ExtEntry!$L49</f>
        <v>0.68500000000000005</v>
      </c>
      <c r="AB651" s="305">
        <v>1.2327505565506189</v>
      </c>
      <c r="AC651" s="305">
        <v>1.2426900584795322</v>
      </c>
      <c r="AD651" s="305">
        <v>1.2401291193259534</v>
      </c>
      <c r="AE651" s="305">
        <v>1.2125534950071326</v>
      </c>
      <c r="AF651" s="305">
        <v>1.231437884824339</v>
      </c>
      <c r="AG651" s="305">
        <v>1.2140689162649527</v>
      </c>
      <c r="AH651" s="305">
        <v>1.2368133866860678</v>
      </c>
      <c r="AI651" s="305">
        <v>1.2018381053375751</v>
      </c>
      <c r="AJ651" s="305">
        <v>1.1413264227137385</v>
      </c>
      <c r="AK651" s="305">
        <v>1.1409395973154361</v>
      </c>
      <c r="AL651" s="305">
        <v>1.1348464619492658</v>
      </c>
      <c r="AM651" s="305">
        <v>1.1350358871640795</v>
      </c>
      <c r="AN651" s="305">
        <v>1.1348464619492658</v>
      </c>
      <c r="AO651" s="305">
        <v>1.1455525606469004</v>
      </c>
      <c r="AP651" s="305">
        <v>1.1375041820006691</v>
      </c>
      <c r="AQ651" s="305">
        <v>1.1108932888976017</v>
      </c>
      <c r="AR651" s="305">
        <v>1.1128775834658189</v>
      </c>
      <c r="AS651" s="305">
        <v>1.1322463768115942</v>
      </c>
      <c r="AT651" s="305">
        <v>1.1160714285714286</v>
      </c>
      <c r="AU651" s="305">
        <v>1.0922140739584958</v>
      </c>
      <c r="AV651" s="305">
        <f ca="1">Calc!AT49</f>
        <v>1.0922140739584958</v>
      </c>
      <c r="AX651" s="86" t="str">
        <f t="shared" ca="1" si="52"/>
        <v>VLVLY</v>
      </c>
    </row>
    <row r="652" spans="1:50" hidden="1">
      <c r="A652" s="86" t="str">
        <f t="shared" ca="1" si="51"/>
        <v>VONN</v>
      </c>
      <c r="F652" s="251">
        <v>-0.3</v>
      </c>
      <c r="G652" s="251">
        <v>-0.9</v>
      </c>
      <c r="H652" s="251">
        <v>0.1</v>
      </c>
      <c r="I652" s="251">
        <v>-0.2</v>
      </c>
      <c r="J652" s="251">
        <v>-0.1</v>
      </c>
      <c r="K652" s="251">
        <v>0.4</v>
      </c>
      <c r="L652" s="251">
        <v>0.6</v>
      </c>
      <c r="M652" s="251">
        <v>-0.3</v>
      </c>
      <c r="N652" s="251">
        <v>0.5</v>
      </c>
      <c r="O652" s="251">
        <v>0.6</v>
      </c>
      <c r="P652" s="251">
        <v>0.1</v>
      </c>
      <c r="Q652" s="251">
        <v>0.2</v>
      </c>
      <c r="R652" s="251">
        <v>0.2</v>
      </c>
      <c r="S652" s="251">
        <v>-0.8</v>
      </c>
      <c r="T652" s="251">
        <v>-0.6</v>
      </c>
      <c r="U652" s="251">
        <v>0.6</v>
      </c>
      <c r="V652" s="251">
        <v>0.1</v>
      </c>
      <c r="W652" s="251">
        <v>0</v>
      </c>
      <c r="X652" s="251">
        <v>-0.5</v>
      </c>
      <c r="Y652" s="251">
        <v>0.3</v>
      </c>
      <c r="Z652" s="243">
        <f ca="1">[1]ExtEntry!$L50</f>
        <v>0.3</v>
      </c>
      <c r="AB652" s="305">
        <v>1.0406091370558375</v>
      </c>
      <c r="AC652" s="305">
        <v>1.0567010309278351</v>
      </c>
      <c r="AD652" s="305">
        <v>1.0548885077186965</v>
      </c>
      <c r="AE652" s="305">
        <v>1.0249999999999999</v>
      </c>
      <c r="AF652" s="305">
        <v>1.0477001703577513</v>
      </c>
      <c r="AG652" s="305">
        <v>1.0388513513513513</v>
      </c>
      <c r="AH652" s="305">
        <v>1.028428093645485</v>
      </c>
      <c r="AI652" s="305">
        <v>1.0336134453781514</v>
      </c>
      <c r="AJ652" s="305">
        <v>1.0444445</v>
      </c>
      <c r="AK652" s="305">
        <v>1.0341034653465346</v>
      </c>
      <c r="AL652" s="305">
        <v>1.0323998352553543</v>
      </c>
      <c r="AM652" s="305">
        <v>1.0290093596059113</v>
      </c>
      <c r="AN652" s="305">
        <v>1.0256410801963993</v>
      </c>
      <c r="AO652" s="305">
        <v>1.0392482587064678</v>
      </c>
      <c r="AP652" s="305">
        <v>1.0358127272727273</v>
      </c>
      <c r="AQ652" s="305">
        <v>1.0256410801963993</v>
      </c>
      <c r="AR652" s="305">
        <v>1.0239651960784313</v>
      </c>
      <c r="AS652" s="305">
        <v>1.0222947797716151</v>
      </c>
      <c r="AT652" s="305">
        <v>1.0307018092105265</v>
      </c>
      <c r="AU652" s="305">
        <v>1.0256410801963993</v>
      </c>
      <c r="AV652" s="305">
        <f ca="1">Calc!AT50</f>
        <v>1.0256410801963993</v>
      </c>
      <c r="AX652" s="86" t="str">
        <f t="shared" ca="1" si="52"/>
        <v>VONN</v>
      </c>
    </row>
    <row r="653" spans="1:50" hidden="1">
      <c r="A653" s="86" t="str">
        <f t="shared" ca="1" si="51"/>
        <v>VTRS</v>
      </c>
      <c r="F653" s="251">
        <v>0.26</v>
      </c>
      <c r="G653" s="251">
        <v>-0.55500000000000005</v>
      </c>
      <c r="H653" s="251">
        <v>-3.5000000000000003E-2</v>
      </c>
      <c r="I653" s="251">
        <v>-0.19</v>
      </c>
      <c r="J653" s="251">
        <v>0.05</v>
      </c>
      <c r="K653" s="251">
        <v>-0.16500000000000001</v>
      </c>
      <c r="L653" s="251">
        <v>-0.23499999999999999</v>
      </c>
      <c r="M653" s="251">
        <v>0.26500000000000001</v>
      </c>
      <c r="N653" s="251">
        <v>0.1</v>
      </c>
      <c r="O653" s="251">
        <v>0.08</v>
      </c>
      <c r="P653" s="251">
        <v>0.05</v>
      </c>
      <c r="Q653" s="251">
        <v>5.5E-2</v>
      </c>
      <c r="R653" s="251">
        <v>1.4999999999999999E-2</v>
      </c>
      <c r="S653" s="251">
        <v>0.16</v>
      </c>
      <c r="T653" s="251">
        <v>0.13</v>
      </c>
      <c r="U653" s="251">
        <v>-0.105</v>
      </c>
      <c r="V653" s="251">
        <v>0.17</v>
      </c>
      <c r="W653" s="251">
        <v>0.14499999999999999</v>
      </c>
      <c r="X653" s="251">
        <v>0.41</v>
      </c>
      <c r="Y653" s="251">
        <v>-0.01</v>
      </c>
      <c r="Z653" s="243">
        <f ca="1">[1]ExtEntry!$L51</f>
        <v>-0.01</v>
      </c>
      <c r="AB653" s="305">
        <v>1.1162790697674418</v>
      </c>
      <c r="AC653" s="305">
        <v>1.1770475723393821</v>
      </c>
      <c r="AD653" s="305">
        <v>1.1910669975186106</v>
      </c>
      <c r="AE653" s="305">
        <v>1.1194029850746268</v>
      </c>
      <c r="AF653" s="305">
        <v>1.1204481792717087</v>
      </c>
      <c r="AG653" s="305">
        <v>1.1379800853485065</v>
      </c>
      <c r="AH653" s="305">
        <v>1.1735941320293399</v>
      </c>
      <c r="AI653" s="305">
        <v>1.1477761836441893</v>
      </c>
      <c r="AJ653" s="305">
        <v>1.1374296435272044</v>
      </c>
      <c r="AK653" s="305">
        <v>1.1395676691729322</v>
      </c>
      <c r="AL653" s="305">
        <v>1.1342376052385408</v>
      </c>
      <c r="AM653" s="305">
        <v>1.1284318287575617</v>
      </c>
      <c r="AN653" s="305">
        <v>1.1315912272515165</v>
      </c>
      <c r="AO653" s="305">
        <v>1.1154553817847286</v>
      </c>
      <c r="AP653" s="305">
        <v>1.1185424354243543</v>
      </c>
      <c r="AQ653" s="305">
        <v>1.1294829995342339</v>
      </c>
      <c r="AR653" s="305">
        <v>1.1093321134492224</v>
      </c>
      <c r="AS653" s="305">
        <v>1.079216733422341</v>
      </c>
      <c r="AT653" s="305">
        <v>1.0452586206896552</v>
      </c>
      <c r="AU653" s="305">
        <v>1.046160483175151</v>
      </c>
      <c r="AV653" s="305">
        <f ca="1">Calc!AT51</f>
        <v>1.046160483175151</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-0.43</v>
      </c>
      <c r="G655" s="251">
        <v>1.21</v>
      </c>
      <c r="H655" s="251">
        <v>2.89</v>
      </c>
      <c r="I655" s="251">
        <v>1.52</v>
      </c>
      <c r="J655" s="251">
        <v>1.35</v>
      </c>
      <c r="K655" s="251">
        <v>-1.45</v>
      </c>
      <c r="L655" s="251">
        <v>-0.43</v>
      </c>
      <c r="M655" s="251">
        <v>0.09</v>
      </c>
      <c r="N655" s="251">
        <v>0.89090000000000003</v>
      </c>
      <c r="O655" s="251">
        <v>0.26</v>
      </c>
      <c r="P655" s="251">
        <v>1.2</v>
      </c>
      <c r="Q655" s="251">
        <v>1.37</v>
      </c>
      <c r="R655" s="251">
        <v>-1.1950000000000001</v>
      </c>
      <c r="S655" s="251">
        <v>1.5305</v>
      </c>
      <c r="T655" s="251">
        <v>2.4449999999999998</v>
      </c>
      <c r="U655" s="251">
        <v>-0.37</v>
      </c>
      <c r="V655" s="251">
        <v>-0.62</v>
      </c>
      <c r="W655" s="251">
        <v>3.335</v>
      </c>
      <c r="X655" s="251">
        <v>1.2749999999999999</v>
      </c>
      <c r="Y655" s="251">
        <v>0.01</v>
      </c>
      <c r="Z655" s="243">
        <f ca="1">[1]ExtEntry!$L53</f>
        <v>0.01</v>
      </c>
      <c r="AB655" s="305">
        <v>1.1158209480256793</v>
      </c>
      <c r="AC655" s="305">
        <v>1.1043606928366263</v>
      </c>
      <c r="AD655" s="305">
        <v>1.0808416389811739</v>
      </c>
      <c r="AE655" s="305">
        <v>1.0637156270959087</v>
      </c>
      <c r="AF655" s="305">
        <v>1.0659497605645636</v>
      </c>
      <c r="AG655" s="305">
        <v>1.0790950841979929</v>
      </c>
      <c r="AH655" s="305">
        <v>1.0851864522750598</v>
      </c>
      <c r="AI655" s="305">
        <v>1.0834258389548288</v>
      </c>
      <c r="AJ655" s="305">
        <v>1.1154159109677655</v>
      </c>
      <c r="AK655" s="305">
        <v>1.12154744271151</v>
      </c>
      <c r="AL655" s="305">
        <v>1.1099422264378718</v>
      </c>
      <c r="AM655" s="305">
        <v>1.0974507630659049</v>
      </c>
      <c r="AN655" s="305">
        <v>1.1150864122666435</v>
      </c>
      <c r="AO655" s="305">
        <v>1.1010131681927628</v>
      </c>
      <c r="AP655" s="305">
        <v>1.0924676426904307</v>
      </c>
      <c r="AQ655" s="305">
        <v>1.0961423826960741</v>
      </c>
      <c r="AR655" s="305">
        <v>1.1064194987984894</v>
      </c>
      <c r="AS655" s="305">
        <v>1.0805011943175626</v>
      </c>
      <c r="AT655" s="305">
        <v>1.0786028027609285</v>
      </c>
      <c r="AU655" s="305">
        <v>1.0783772480133835</v>
      </c>
      <c r="AV655" s="305">
        <f ca="1">Calc!AT53</f>
        <v>1.0783772480133835</v>
      </c>
      <c r="AX655" s="86" t="str">
        <f t="shared" ca="1" si="52"/>
        <v>XOM</v>
      </c>
    </row>
    <row r="656" spans="1:50" hidden="1">
      <c r="A656" s="86" t="str">
        <f t="shared" ca="1" si="51"/>
        <v>XPER</v>
      </c>
      <c r="F656" s="251">
        <v>0.37</v>
      </c>
      <c r="G656" s="251">
        <v>0.15</v>
      </c>
      <c r="H656" s="251">
        <v>-0.27150000000000002</v>
      </c>
      <c r="I656" s="251">
        <v>-0.11</v>
      </c>
      <c r="J656" s="251">
        <v>-0.14000000000000001</v>
      </c>
      <c r="K656" s="251">
        <v>-0.13</v>
      </c>
      <c r="L656" s="251">
        <v>-0.125</v>
      </c>
      <c r="M656" s="251">
        <v>0.23</v>
      </c>
      <c r="N656" s="251">
        <v>5.0000000000000001E-3</v>
      </c>
      <c r="O656" s="251">
        <v>0.03</v>
      </c>
      <c r="P656" s="251">
        <v>0.05</v>
      </c>
      <c r="Q656" s="251">
        <v>-6.9900000000000004E-2</v>
      </c>
      <c r="R656" s="251">
        <v>0.16</v>
      </c>
      <c r="S656" s="251">
        <v>-0.01</v>
      </c>
      <c r="T656" s="251">
        <v>0.16</v>
      </c>
      <c r="U656" s="251">
        <v>-0.1</v>
      </c>
      <c r="V656" s="251">
        <v>0.15</v>
      </c>
      <c r="W656" s="251">
        <v>8.5000000000000006E-2</v>
      </c>
      <c r="X656" s="251">
        <v>0.1</v>
      </c>
      <c r="Y656" s="251">
        <v>-0.09</v>
      </c>
      <c r="Z656" s="243">
        <f ca="1">[1]ExtEntry!$L54</f>
        <v>-0.09</v>
      </c>
      <c r="AB656" s="305">
        <v>1.6913946587537092</v>
      </c>
      <c r="AC656" s="305">
        <v>1.6545718432510887</v>
      </c>
      <c r="AD656" s="305">
        <v>1.7276653784951126</v>
      </c>
      <c r="AE656" s="305">
        <v>1.8416801292407108</v>
      </c>
      <c r="AF656" s="305">
        <v>1.9587628865979381</v>
      </c>
      <c r="AG656" s="305">
        <v>2.0035149384885762</v>
      </c>
      <c r="AH656" s="305">
        <v>2.0670897552130554</v>
      </c>
      <c r="AI656" s="305">
        <v>2.0105820105820107</v>
      </c>
      <c r="AJ656" s="305">
        <v>1.9947506561679791</v>
      </c>
      <c r="AK656" s="305">
        <v>1.9860627177700347</v>
      </c>
      <c r="AL656" s="305">
        <v>1.9689119170984457</v>
      </c>
      <c r="AM656" s="305">
        <v>1.9929721508365237</v>
      </c>
      <c r="AN656" s="305">
        <v>1.9453924914675766</v>
      </c>
      <c r="AO656" s="305">
        <v>1.9554030874785593</v>
      </c>
      <c r="AP656" s="305">
        <v>1.9000000000000001</v>
      </c>
      <c r="AQ656" s="305">
        <v>1.9322033898305084</v>
      </c>
      <c r="AR656" s="305">
        <v>1.8936877076411962</v>
      </c>
      <c r="AS656" s="305">
        <v>1.8551668022782752</v>
      </c>
      <c r="AT656" s="305">
        <v>1.8240000000000001</v>
      </c>
      <c r="AU656" s="305">
        <v>1.8506493506493507</v>
      </c>
      <c r="AV656" s="305">
        <f ca="1">Calc!AT54</f>
        <v>1.8506493506493507</v>
      </c>
      <c r="AX656" s="86" t="str">
        <f t="shared" ca="1" si="52"/>
        <v>XPER</v>
      </c>
    </row>
    <row r="657" spans="1:50" hidden="1">
      <c r="A657" s="86" t="str">
        <f t="shared" ca="1" si="51"/>
        <v>MVEALDNE</v>
      </c>
      <c r="F657" s="251">
        <v>2E-3</v>
      </c>
      <c r="G657" s="251">
        <v>-8.0000000000000002E-3</v>
      </c>
      <c r="H657" s="251">
        <v>-2E-3</v>
      </c>
      <c r="I657" s="251">
        <v>-5.3999999999999999E-2</v>
      </c>
      <c r="J657" s="251">
        <v>-0.01</v>
      </c>
      <c r="K657" s="251">
        <v>8.0000000000000002E-3</v>
      </c>
      <c r="L657" s="251">
        <v>-0.02</v>
      </c>
      <c r="M657" s="251">
        <v>-1.2E-2</v>
      </c>
      <c r="N657" s="251">
        <v>-0.02</v>
      </c>
      <c r="O657" s="251">
        <v>-2.5999999999999999E-2</v>
      </c>
      <c r="P657" s="251">
        <v>-1.6E-2</v>
      </c>
      <c r="Q657" s="251">
        <v>1.4E-2</v>
      </c>
      <c r="R657" s="251">
        <v>2E-3</v>
      </c>
      <c r="S657" s="251">
        <v>8.0000000000000002E-3</v>
      </c>
      <c r="T657" s="251">
        <v>6.0000000000000001E-3</v>
      </c>
      <c r="U657" s="251">
        <v>-6.0000000000000001E-3</v>
      </c>
      <c r="V657" s="251">
        <v>0</v>
      </c>
      <c r="W657" s="251">
        <v>0</v>
      </c>
      <c r="X657" s="251">
        <v>8.0000000000000002E-3</v>
      </c>
      <c r="Y657" s="251">
        <v>-4.8000000000000001E-2</v>
      </c>
      <c r="Z657" s="243">
        <f ca="1">[1]ExtEntry!$L55</f>
        <v>-4.8000000000000001E-2</v>
      </c>
      <c r="AB657" s="305">
        <v>1.9409240506329115</v>
      </c>
      <c r="AC657" s="305">
        <v>1.9607800511508953</v>
      </c>
      <c r="AD657" s="305">
        <v>1.9658076923076924</v>
      </c>
      <c r="AE657" s="305">
        <v>2.3022972972972973</v>
      </c>
      <c r="AF657" s="305">
        <v>2.2885522388059703</v>
      </c>
      <c r="AG657" s="305">
        <v>2.2286773255813959</v>
      </c>
      <c r="AH657" s="305">
        <v>2.2954041916167665</v>
      </c>
      <c r="AI657" s="305">
        <v>2.3373932926829268</v>
      </c>
      <c r="AJ657" s="305">
        <v>2.425185758513932</v>
      </c>
      <c r="AK657" s="305">
        <v>2.5268870967741934</v>
      </c>
      <c r="AL657" s="305">
        <v>2.5938245033112586</v>
      </c>
      <c r="AM657" s="305">
        <v>2.5350647249190938</v>
      </c>
      <c r="AN657" s="305">
        <v>2.5268870967741934</v>
      </c>
      <c r="AO657" s="305">
        <v>2.4946974522292993</v>
      </c>
      <c r="AP657" s="305">
        <v>2.5026677316293928</v>
      </c>
      <c r="AQ657" s="305">
        <v>2.5268870967741934</v>
      </c>
      <c r="AR657" s="305">
        <v>2.5268870967741934</v>
      </c>
      <c r="AS657" s="305">
        <v>2.6553728813559325</v>
      </c>
      <c r="AT657" s="305">
        <v>2.6198494983277594</v>
      </c>
      <c r="AU657" s="305">
        <v>2.8484909090909087</v>
      </c>
      <c r="AV657" s="305">
        <f ca="1">Calc!AT55</f>
        <v>2.8484909090909087</v>
      </c>
      <c r="AX657" s="86" t="str">
        <f t="shared" ca="1" si="52"/>
        <v>MVEALDNE</v>
      </c>
    </row>
    <row r="658" spans="1:50" hidden="1">
      <c r="A658" s="86" t="str">
        <f t="shared" ca="1" si="51"/>
        <v>MVEDDD</v>
      </c>
      <c r="F658" s="251">
        <v>-0.02</v>
      </c>
      <c r="G658" s="251">
        <v>-0.33500000000000002</v>
      </c>
      <c r="H658" s="251">
        <v>-2.5000000000000001E-2</v>
      </c>
      <c r="I658" s="251">
        <v>0</v>
      </c>
      <c r="J658" s="251">
        <v>0</v>
      </c>
      <c r="K658" s="251">
        <v>-3.5000000000000003E-2</v>
      </c>
      <c r="L658" s="251">
        <v>-0.1</v>
      </c>
      <c r="M658" s="251">
        <v>7.4999999999999997E-2</v>
      </c>
      <c r="N658" s="251">
        <v>1.4999999999999999E-2</v>
      </c>
      <c r="O658" s="251">
        <v>0.03</v>
      </c>
      <c r="P658" s="251">
        <v>0.04</v>
      </c>
      <c r="Q658" s="251">
        <v>-7.4999999999999997E-2</v>
      </c>
      <c r="R658" s="251">
        <v>0.05</v>
      </c>
      <c r="S658" s="251">
        <v>3.5000000000000003E-2</v>
      </c>
      <c r="T658" s="251">
        <v>0.16</v>
      </c>
      <c r="U658" s="251">
        <v>1.4999999999999999E-2</v>
      </c>
      <c r="V658" s="251">
        <v>-0.09</v>
      </c>
      <c r="W658" s="251">
        <v>-0.36499999999999999</v>
      </c>
      <c r="X658" s="251">
        <v>0</v>
      </c>
      <c r="Y658" s="251">
        <v>0.19500000000000001</v>
      </c>
      <c r="Z658" s="243">
        <f ca="1">[1]ExtEntry!$L56</f>
        <v>0.19500000000000001</v>
      </c>
      <c r="AB658" s="305">
        <v>1.25</v>
      </c>
      <c r="AC658" s="305">
        <v>1.434878587196468</v>
      </c>
      <c r="AD658" s="305">
        <v>1.4606741573033708</v>
      </c>
      <c r="AE658" s="305">
        <v>1.5046296296296295</v>
      </c>
      <c r="AF658" s="305">
        <v>1.5625</v>
      </c>
      <c r="AG658" s="305">
        <v>1.5892420537897312</v>
      </c>
      <c r="AH658" s="305">
        <v>1.7287234042553192</v>
      </c>
      <c r="AI658" s="305">
        <v>1.6709511568123392</v>
      </c>
      <c r="AJ658" s="305">
        <v>1.7813267813267812</v>
      </c>
      <c r="AK658" s="305">
        <v>1.7682926829268295</v>
      </c>
      <c r="AL658" s="305">
        <v>1.7427884615384615</v>
      </c>
      <c r="AM658" s="305">
        <v>1.8079800498753118</v>
      </c>
      <c r="AN658" s="305">
        <v>1.7682926829268295</v>
      </c>
      <c r="AO658" s="305">
        <v>1.7469879518072287</v>
      </c>
      <c r="AP658" s="305">
        <v>1.6477272727272725</v>
      </c>
      <c r="AQ658" s="305">
        <v>1.6292134831460674</v>
      </c>
      <c r="AR658" s="305">
        <v>1.6782407407407407</v>
      </c>
      <c r="AS658" s="305">
        <v>2.0538243626062322</v>
      </c>
      <c r="AT658" s="305">
        <v>2.0480225988700567</v>
      </c>
      <c r="AU658" s="305">
        <v>1.8447837150127226</v>
      </c>
      <c r="AV658" s="305">
        <f ca="1">Calc!AT56</f>
        <v>1.8447837150127226</v>
      </c>
      <c r="AX658" s="86" t="str">
        <f t="shared" ca="1" si="52"/>
        <v>MVEDDD</v>
      </c>
    </row>
    <row r="659" spans="1:50" hidden="1">
      <c r="A659" s="86" t="str">
        <f t="shared" ca="1" si="51"/>
        <v>MVEDSY</v>
      </c>
      <c r="F659" s="251">
        <v>-0.06</v>
      </c>
      <c r="G659" s="251">
        <v>-0.72</v>
      </c>
      <c r="H659" s="251">
        <v>0.08</v>
      </c>
      <c r="I659" s="251">
        <v>-0.24</v>
      </c>
      <c r="J659" s="251">
        <v>-0.01</v>
      </c>
      <c r="K659" s="251">
        <v>0.2</v>
      </c>
      <c r="L659" s="251">
        <v>-0.06</v>
      </c>
      <c r="M659" s="251">
        <v>0.17</v>
      </c>
      <c r="N659" s="251">
        <v>0.19</v>
      </c>
      <c r="O659" s="251">
        <v>0</v>
      </c>
      <c r="P659" s="251">
        <v>-0.04</v>
      </c>
      <c r="Q659" s="251">
        <v>-0.26</v>
      </c>
      <c r="R659" s="251">
        <v>-0.43</v>
      </c>
      <c r="S659" s="251">
        <v>-0.01</v>
      </c>
      <c r="T659" s="251">
        <v>-0.01</v>
      </c>
      <c r="U659" s="251">
        <v>0.35</v>
      </c>
      <c r="V659" s="251">
        <v>0.02</v>
      </c>
      <c r="W659" s="251">
        <v>-0.16</v>
      </c>
      <c r="X659" s="251">
        <v>-0.33</v>
      </c>
      <c r="Y659" s="251">
        <v>0.11</v>
      </c>
      <c r="Z659" s="243">
        <f ca="1">[1]ExtEntry!$L57</f>
        <v>0.11</v>
      </c>
      <c r="AB659" s="305">
        <v>1.3293486238532111</v>
      </c>
      <c r="AC659" s="305">
        <v>1.3704978503869303</v>
      </c>
      <c r="AD659" s="305">
        <v>1.3658003427592118</v>
      </c>
      <c r="AE659" s="305">
        <v>1.3287944977073782</v>
      </c>
      <c r="AF659" s="305">
        <v>1.3758213206732843</v>
      </c>
      <c r="AG659" s="305">
        <v>1.363463644140291</v>
      </c>
      <c r="AH659" s="305">
        <v>1.3669716981132076</v>
      </c>
      <c r="AI659" s="305">
        <v>1.3570787569178375</v>
      </c>
      <c r="AJ659" s="305">
        <v>1.3199908902691513</v>
      </c>
      <c r="AK659" s="305">
        <v>1.3199908902691513</v>
      </c>
      <c r="AL659" s="305">
        <v>1.322180837826628</v>
      </c>
      <c r="AM659" s="305">
        <v>1.3365945492662474</v>
      </c>
      <c r="AN659" s="305">
        <v>1.361134927412468</v>
      </c>
      <c r="AO659" s="305">
        <v>1.3617163605296883</v>
      </c>
      <c r="AP659" s="305">
        <v>1.3617163605296883</v>
      </c>
      <c r="AQ659" s="305">
        <v>1.3416574074074075</v>
      </c>
      <c r="AR659" s="305">
        <v>1.331184188393608</v>
      </c>
      <c r="AS659" s="305">
        <v>1.3556985010706637</v>
      </c>
      <c r="AT659" s="305">
        <v>1.3751329278887925</v>
      </c>
      <c r="AU659" s="305">
        <v>1.368593169044531</v>
      </c>
      <c r="AV659" s="305">
        <f ca="1">Calc!AT57</f>
        <v>1.368593169044531</v>
      </c>
      <c r="AX659" s="86" t="str">
        <f t="shared" ca="1" si="52"/>
        <v>MVEDSY</v>
      </c>
    </row>
    <row r="660" spans="1:50" hidden="1">
      <c r="A660" s="86" t="str">
        <f t="shared" ca="1" si="51"/>
        <v>MVEEOAN</v>
      </c>
      <c r="F660" s="251">
        <v>0.3</v>
      </c>
      <c r="G660" s="251">
        <v>0.03</v>
      </c>
      <c r="H660" s="251">
        <v>2.5000000000000001E-2</v>
      </c>
      <c r="I660" s="251">
        <v>0.02</v>
      </c>
      <c r="J660" s="251">
        <v>-0.11</v>
      </c>
      <c r="K660" s="251">
        <v>-0.04</v>
      </c>
      <c r="L660" s="251">
        <v>0.1</v>
      </c>
      <c r="M660" s="251">
        <v>0.14000000000000001</v>
      </c>
      <c r="N660" s="251">
        <v>7.4999999999999997E-2</v>
      </c>
      <c r="O660" s="251">
        <v>-0.14499999999999999</v>
      </c>
      <c r="P660" s="251">
        <v>1.4999999999999999E-2</v>
      </c>
      <c r="Q660" s="251">
        <v>-0.105</v>
      </c>
      <c r="R660" s="251">
        <v>6.5000000000000002E-2</v>
      </c>
      <c r="S660" s="251">
        <v>0.45500000000000002</v>
      </c>
      <c r="T660" s="251">
        <v>0.57499999999999996</v>
      </c>
      <c r="U660" s="251">
        <v>-0.27</v>
      </c>
      <c r="V660" s="251">
        <v>-0.155</v>
      </c>
      <c r="W660" s="251">
        <v>6.5000000000000002E-2</v>
      </c>
      <c r="X660" s="251">
        <v>-4.4999999999999998E-2</v>
      </c>
      <c r="Y660" s="251">
        <v>-0.51500000000000001</v>
      </c>
      <c r="Z660" s="243">
        <f ca="1">[1]ExtEntry!$L58</f>
        <v>-0.51500000000000001</v>
      </c>
      <c r="AB660" s="305">
        <v>1.0541800623052959</v>
      </c>
      <c r="AC660" s="305">
        <v>1.0522133084577114</v>
      </c>
      <c r="AD660" s="305">
        <v>1.0505799441167338</v>
      </c>
      <c r="AE660" s="305">
        <v>1.1098451951459496</v>
      </c>
      <c r="AF660" s="305">
        <v>1.1109382797110965</v>
      </c>
      <c r="AG660" s="305">
        <v>1.1058555555555554</v>
      </c>
      <c r="AH660" s="305">
        <v>1.0986746753246752</v>
      </c>
      <c r="AI660" s="305">
        <v>1.0894777849323889</v>
      </c>
      <c r="AJ660" s="305">
        <v>1.0957088320931738</v>
      </c>
      <c r="AK660" s="305">
        <v>1.1060862181580666</v>
      </c>
      <c r="AL660" s="305">
        <v>1.1050035889070149</v>
      </c>
      <c r="AM660" s="305">
        <v>1.1126268068331144</v>
      </c>
      <c r="AN660" s="305">
        <v>1.1078953222113184</v>
      </c>
      <c r="AO660" s="305">
        <v>1.075869123252859</v>
      </c>
      <c r="AP660" s="305">
        <v>1.0677288776796974</v>
      </c>
      <c r="AQ660" s="305">
        <v>1.086220654265555</v>
      </c>
      <c r="AR660" s="305">
        <v>1.0971286038224815</v>
      </c>
      <c r="AS660" s="305">
        <v>1.0865691369906962</v>
      </c>
      <c r="AT660" s="305">
        <v>1.0890147909967847</v>
      </c>
      <c r="AU660" s="305">
        <v>1.126317259727303</v>
      </c>
      <c r="AV660" s="305">
        <f ca="1">Calc!AT58</f>
        <v>1.126317259727303</v>
      </c>
      <c r="AX660" s="86" t="str">
        <f t="shared" ca="1" si="52"/>
        <v>MVEEOAN</v>
      </c>
    </row>
    <row r="661" spans="1:50" hidden="1">
      <c r="A661" s="86" t="str">
        <f t="shared" ca="1" si="51"/>
        <v>MVEENI</v>
      </c>
      <c r="F661" s="251">
        <v>5.8000000000000003E-2</v>
      </c>
      <c r="G661" s="251">
        <v>-0.02</v>
      </c>
      <c r="H661" s="251">
        <v>-1.6E-2</v>
      </c>
      <c r="I661" s="251">
        <v>1.6E-2</v>
      </c>
      <c r="J661" s="251">
        <v>0.03</v>
      </c>
      <c r="K661" s="251">
        <v>-0.112</v>
      </c>
      <c r="L661" s="251">
        <v>7.8E-2</v>
      </c>
      <c r="M661" s="251">
        <v>-0.2</v>
      </c>
      <c r="N661" s="251">
        <v>0.30599999999999999</v>
      </c>
      <c r="O661" s="251">
        <v>-5.6000000000000001E-2</v>
      </c>
      <c r="P661" s="251">
        <v>0.20200000000000001</v>
      </c>
      <c r="Q661" s="251">
        <v>4.5999999999999999E-2</v>
      </c>
      <c r="R661" s="251">
        <v>0.01</v>
      </c>
      <c r="S661" s="251">
        <v>0.12</v>
      </c>
      <c r="T661" s="251">
        <v>0.16400000000000001</v>
      </c>
      <c r="U661" s="251">
        <v>-2E-3</v>
      </c>
      <c r="V661" s="251">
        <v>-0.248</v>
      </c>
      <c r="W661" s="251">
        <v>0.04</v>
      </c>
      <c r="X661" s="251">
        <v>-9.4E-2</v>
      </c>
      <c r="Y661" s="251">
        <v>-0.11</v>
      </c>
      <c r="Z661" s="243">
        <f ca="1">[1]ExtEntry!$L59</f>
        <v>-0.11</v>
      </c>
      <c r="AB661" s="305">
        <v>1.0096900050100202</v>
      </c>
      <c r="AC661" s="305">
        <v>1.0109562327564585</v>
      </c>
      <c r="AD661" s="305">
        <v>1.0119715038915391</v>
      </c>
      <c r="AE661" s="305">
        <v>0.97867730970013356</v>
      </c>
      <c r="AF661" s="305">
        <v>0.9854969437652813</v>
      </c>
      <c r="AG661" s="305">
        <v>0.99412566284375392</v>
      </c>
      <c r="AH661" s="305">
        <v>0.98936732940598926</v>
      </c>
      <c r="AI661" s="305">
        <v>1.0016606610337973</v>
      </c>
      <c r="AJ661" s="305">
        <v>1.020210809458276</v>
      </c>
      <c r="AK661" s="305">
        <v>1.0237972379158822</v>
      </c>
      <c r="AL661" s="305">
        <v>1.0109775601289364</v>
      </c>
      <c r="AM661" s="305">
        <v>1.0081029793546792</v>
      </c>
      <c r="AN661" s="305">
        <v>1.0074802322708181</v>
      </c>
      <c r="AO661" s="305">
        <v>1.0000668383615405</v>
      </c>
      <c r="AP661" s="305">
        <v>0.99737585616438362</v>
      </c>
      <c r="AQ661" s="305">
        <v>0.99749785932721713</v>
      </c>
      <c r="AR661" s="305">
        <v>1.0185070177617686</v>
      </c>
      <c r="AS661" s="305">
        <v>1.0181276384405262</v>
      </c>
      <c r="AT661" s="305">
        <v>1.0241039090795554</v>
      </c>
      <c r="AU661" s="305">
        <v>1.0311871227364184</v>
      </c>
      <c r="AV661" s="305">
        <f ca="1">Calc!AT59</f>
        <v>1.0311871227364184</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0.06</v>
      </c>
      <c r="G663" s="251">
        <v>1.1599999999999999</v>
      </c>
      <c r="H663" s="251">
        <v>-1.1599999999999999</v>
      </c>
      <c r="I663" s="251">
        <v>-1.18</v>
      </c>
      <c r="J663" s="251">
        <v>-0.3</v>
      </c>
      <c r="K663" s="251">
        <v>0.34</v>
      </c>
      <c r="L663" s="251">
        <v>0.6</v>
      </c>
      <c r="M663" s="251">
        <v>-0.88</v>
      </c>
      <c r="N663" s="251">
        <v>1.2</v>
      </c>
      <c r="O663" s="251">
        <v>0.4</v>
      </c>
      <c r="P663" s="251">
        <v>0.04</v>
      </c>
      <c r="Q663" s="251">
        <v>-0.22</v>
      </c>
      <c r="R663" s="251">
        <v>1.34</v>
      </c>
      <c r="S663" s="251">
        <v>-0.42</v>
      </c>
      <c r="T663" s="251">
        <v>-0.54</v>
      </c>
      <c r="U663" s="251">
        <v>1.98</v>
      </c>
      <c r="V663" s="251">
        <v>-0.96</v>
      </c>
      <c r="W663" s="251">
        <v>0.28000000000000003</v>
      </c>
      <c r="X663" s="251">
        <v>0.57999999999999996</v>
      </c>
      <c r="Y663" s="251">
        <v>0.88</v>
      </c>
      <c r="Z663" s="243">
        <f ca="1">[1]ExtEntry!$L61</f>
        <v>0.88</v>
      </c>
      <c r="AB663" s="305">
        <v>1.1838599926793558</v>
      </c>
      <c r="AC663" s="305">
        <v>1.1592492831541219</v>
      </c>
      <c r="AD663" s="305">
        <v>1.1838599926793558</v>
      </c>
      <c r="AE663" s="305">
        <v>1.1156624698171784</v>
      </c>
      <c r="AF663" s="305">
        <v>1.1514081523673905</v>
      </c>
      <c r="AG663" s="305">
        <v>1.1384391059486096</v>
      </c>
      <c r="AH663" s="305">
        <v>1.1265431905259491</v>
      </c>
      <c r="AI663" s="305">
        <v>1.1440769366819949</v>
      </c>
      <c r="AJ663" s="305">
        <v>1.098366050420168</v>
      </c>
      <c r="AK663" s="305">
        <v>1.0910313856427378</v>
      </c>
      <c r="AL663" s="305">
        <v>1.0903033033033032</v>
      </c>
      <c r="AM663" s="305">
        <v>1.0943198258539852</v>
      </c>
      <c r="AN663" s="305">
        <v>1.0703042908614477</v>
      </c>
      <c r="AO663" s="305">
        <v>1.0777173482849602</v>
      </c>
      <c r="AP663" s="305">
        <v>1.0798542630535359</v>
      </c>
      <c r="AQ663" s="305">
        <v>1.04564448</v>
      </c>
      <c r="AR663" s="305">
        <v>1.0730147871303219</v>
      </c>
      <c r="AS663" s="305">
        <v>1.0498144674085852</v>
      </c>
      <c r="AT663" s="305">
        <v>1.0402225897920607</v>
      </c>
      <c r="AU663" s="305">
        <v>1.0259995338719703</v>
      </c>
      <c r="AV663" s="305">
        <f ca="1">Calc!AT61</f>
        <v>1.0259995338719703</v>
      </c>
      <c r="AX663" s="86" t="str">
        <f t="shared" ca="1" si="52"/>
        <v>MVEGLE</v>
      </c>
    </row>
    <row r="664" spans="1:50" hidden="1">
      <c r="A664" s="86" t="str">
        <f t="shared" ca="1" si="51"/>
        <v>MVEORA</v>
      </c>
      <c r="F664" s="251">
        <v>0</v>
      </c>
      <c r="G664" s="251">
        <v>0.22500000000000001</v>
      </c>
      <c r="H664" s="251">
        <v>0.22500000000000001</v>
      </c>
      <c r="I664" s="251">
        <v>-0.31</v>
      </c>
      <c r="J664" s="251">
        <v>-0.27</v>
      </c>
      <c r="K664" s="251">
        <v>-0.18</v>
      </c>
      <c r="L664" s="251">
        <v>-0.12</v>
      </c>
      <c r="M664" s="251">
        <v>0.28499999999999998</v>
      </c>
      <c r="N664" s="251">
        <v>0.1</v>
      </c>
      <c r="O664" s="251">
        <v>0.02</v>
      </c>
      <c r="P664" s="251">
        <v>0.09</v>
      </c>
      <c r="Q664" s="251">
        <v>-4.4999999999999998E-2</v>
      </c>
      <c r="R664" s="251">
        <v>0.22500000000000001</v>
      </c>
      <c r="S664" s="251">
        <v>-5.0000000000000001E-3</v>
      </c>
      <c r="T664" s="251">
        <v>1.4999999999999999E-2</v>
      </c>
      <c r="U664" s="251">
        <v>-5.5E-2</v>
      </c>
      <c r="V664" s="251">
        <v>-0.28999999999999998</v>
      </c>
      <c r="W664" s="251">
        <v>5.0000000000000001E-3</v>
      </c>
      <c r="X664" s="251">
        <v>-0.05</v>
      </c>
      <c r="Y664" s="251">
        <v>7.0000000000000007E-2</v>
      </c>
      <c r="Z664" s="243">
        <f ca="1">[1]ExtEntry!$L62</f>
        <v>7.0000000000000007E-2</v>
      </c>
      <c r="AB664" s="305">
        <v>1.1171870215092963</v>
      </c>
      <c r="AC664" s="305">
        <v>1.0991549497847919</v>
      </c>
      <c r="AD664" s="305">
        <v>1.0816957289092834</v>
      </c>
      <c r="AE664" s="305">
        <v>1.0928830242510699</v>
      </c>
      <c r="AF664" s="305">
        <v>1.1192271731190651</v>
      </c>
      <c r="AG664" s="305">
        <v>1.1119172714078376</v>
      </c>
      <c r="AH664" s="305">
        <v>1.1216852122986822</v>
      </c>
      <c r="AI664" s="305">
        <v>1.0987608461814269</v>
      </c>
      <c r="AJ664" s="305">
        <v>1.0991811079545455</v>
      </c>
      <c r="AK664" s="305">
        <v>1.0976219858156029</v>
      </c>
      <c r="AL664" s="305">
        <v>1.0906603241719521</v>
      </c>
      <c r="AM664" s="305">
        <v>1.094130081300813</v>
      </c>
      <c r="AN664" s="305">
        <v>1.0999623312011373</v>
      </c>
      <c r="AO664" s="305">
        <v>1.100353359402773</v>
      </c>
      <c r="AP664" s="305">
        <v>1.0987909123180688</v>
      </c>
      <c r="AQ664" s="305">
        <v>1.1030983606557379</v>
      </c>
      <c r="AR664" s="305">
        <v>1.1328027656477437</v>
      </c>
      <c r="AS664" s="305">
        <v>1.1348676631425447</v>
      </c>
      <c r="AT664" s="305">
        <v>1.1390201244054154</v>
      </c>
      <c r="AU664" s="305">
        <v>1.133215143793229</v>
      </c>
      <c r="AV664" s="305">
        <f ca="1">Calc!AT62</f>
        <v>1.133215143793229</v>
      </c>
      <c r="AX664" s="86" t="str">
        <f t="shared" ca="1" si="52"/>
        <v>MVEORA</v>
      </c>
    </row>
    <row r="665" spans="1:50" hidden="1">
      <c r="A665" s="86" t="str">
        <f t="shared" ca="1" si="51"/>
        <v>MVERWE</v>
      </c>
      <c r="F665" s="251">
        <v>0.27</v>
      </c>
      <c r="G665" s="251">
        <v>0.51</v>
      </c>
      <c r="H665" s="251">
        <v>-0.18</v>
      </c>
      <c r="I665" s="251">
        <v>-0.14000000000000001</v>
      </c>
      <c r="J665" s="251">
        <v>-0.39</v>
      </c>
      <c r="K665" s="251">
        <v>-0.94</v>
      </c>
      <c r="L665" s="251">
        <v>1.04</v>
      </c>
      <c r="M665" s="251">
        <v>-0.54</v>
      </c>
      <c r="N665" s="251">
        <v>0.77</v>
      </c>
      <c r="O665" s="251">
        <v>-0.74</v>
      </c>
      <c r="P665" s="251">
        <v>0.2</v>
      </c>
      <c r="Q665" s="251">
        <v>-0.36</v>
      </c>
      <c r="R665" s="251">
        <v>0</v>
      </c>
      <c r="S665" s="251">
        <v>0.81</v>
      </c>
      <c r="T665" s="251">
        <v>0.26</v>
      </c>
      <c r="U665" s="251">
        <v>-0.1</v>
      </c>
      <c r="V665" s="251">
        <v>-0.46</v>
      </c>
      <c r="W665" s="251">
        <v>0.52</v>
      </c>
      <c r="X665" s="251">
        <v>-0.06</v>
      </c>
      <c r="Y665" s="251">
        <v>-0.2</v>
      </c>
      <c r="Z665" s="243">
        <f ca="1">[1]ExtEntry!$L63</f>
        <v>-0.2</v>
      </c>
      <c r="AB665" s="305">
        <v>1.0501539544707814</v>
      </c>
      <c r="AC665" s="305">
        <v>1.0377333024118738</v>
      </c>
      <c r="AD665" s="305">
        <v>1.0428119319505942</v>
      </c>
      <c r="AE665" s="305">
        <v>0.98714008382969332</v>
      </c>
      <c r="AF665" s="305">
        <v>1.0105478771454381</v>
      </c>
      <c r="AG665" s="305">
        <v>1.0232577178138578</v>
      </c>
      <c r="AH665" s="305">
        <v>0.99615004452359746</v>
      </c>
      <c r="AI665" s="305">
        <v>1.0094080757951724</v>
      </c>
      <c r="AJ665" s="305">
        <v>1.0672230004518752</v>
      </c>
      <c r="AK665" s="305">
        <v>1.0853697150735293</v>
      </c>
      <c r="AL665" s="305">
        <v>1.0804046203110704</v>
      </c>
      <c r="AM665" s="305">
        <v>1.0893747693726936</v>
      </c>
      <c r="AN665" s="305">
        <v>1.0908842956120093</v>
      </c>
      <c r="AO665" s="305">
        <v>1.0708521877125368</v>
      </c>
      <c r="AP665" s="305">
        <v>1.084373048668503</v>
      </c>
      <c r="AQ665" s="305">
        <v>1.0868681546249424</v>
      </c>
      <c r="AR665" s="305">
        <v>1.1219485328365162</v>
      </c>
      <c r="AS665" s="305">
        <v>1.1026887159533074</v>
      </c>
      <c r="AT665" s="305">
        <v>1.1077597148769831</v>
      </c>
      <c r="AU665" s="305">
        <v>1.1128775698775699</v>
      </c>
      <c r="AV665" s="305">
        <f ca="1">Calc!AT63</f>
        <v>1.1128775698775699</v>
      </c>
      <c r="AX665" s="86" t="str">
        <f t="shared" ca="1" si="52"/>
        <v>MVERWE</v>
      </c>
    </row>
    <row r="666" spans="1:50" hidden="1">
      <c r="A666" s="86" t="str">
        <f t="shared" ca="1" si="51"/>
        <v>MVESAP</v>
      </c>
      <c r="F666" s="251">
        <v>1.9</v>
      </c>
      <c r="G666" s="251">
        <v>-10</v>
      </c>
      <c r="H666" s="251">
        <v>-2.2999999999999998</v>
      </c>
      <c r="I666" s="251">
        <v>-7</v>
      </c>
      <c r="J666" s="251">
        <v>0</v>
      </c>
      <c r="K666" s="251">
        <v>0.15</v>
      </c>
      <c r="L666" s="251">
        <v>1.1000000000000001</v>
      </c>
      <c r="M666" s="251">
        <v>-1.6</v>
      </c>
      <c r="N666" s="251">
        <v>1.85</v>
      </c>
      <c r="O666" s="251">
        <v>0.3</v>
      </c>
      <c r="P666" s="251">
        <v>1.55</v>
      </c>
      <c r="Q666" s="251">
        <v>0.35</v>
      </c>
      <c r="R666" s="251">
        <v>-1.05</v>
      </c>
      <c r="S666" s="251">
        <v>-0.6</v>
      </c>
      <c r="T666" s="251">
        <v>-1.35</v>
      </c>
      <c r="U666" s="251">
        <v>3.65</v>
      </c>
      <c r="V666" s="251">
        <v>3.1</v>
      </c>
      <c r="W666" s="251">
        <v>-0.1</v>
      </c>
      <c r="X666" s="251">
        <v>0.95</v>
      </c>
      <c r="Y666" s="251">
        <v>-1.65</v>
      </c>
      <c r="Z666" s="243">
        <f ca="1">[1]ExtEntry!$L64</f>
        <v>-1.65</v>
      </c>
      <c r="AB666" s="305">
        <v>1.2663601667032245</v>
      </c>
      <c r="AC666" s="305">
        <v>1.3244634090387706</v>
      </c>
      <c r="AD666" s="305">
        <v>1.3385893809413403</v>
      </c>
      <c r="AE666" s="305">
        <v>1.3674410232117482</v>
      </c>
      <c r="AF666" s="305">
        <v>1.4057307036766498</v>
      </c>
      <c r="AG666" s="305">
        <v>1.4047046228710462</v>
      </c>
      <c r="AH666" s="305">
        <v>1.3972255566311715</v>
      </c>
      <c r="AI666" s="305">
        <v>1.4081307317073173</v>
      </c>
      <c r="AJ666" s="305">
        <v>1.3913078858248671</v>
      </c>
      <c r="AK666" s="305">
        <v>1.3892914975845412</v>
      </c>
      <c r="AL666" s="305">
        <v>1.3789659074562455</v>
      </c>
      <c r="AM666" s="305">
        <v>1.3766555289612254</v>
      </c>
      <c r="AN666" s="305">
        <v>1.383610007216743</v>
      </c>
      <c r="AO666" s="305">
        <v>1.3876156332931244</v>
      </c>
      <c r="AP666" s="305">
        <v>1.3926553995157387</v>
      </c>
      <c r="AQ666" s="305">
        <v>1.3684669997620749</v>
      </c>
      <c r="AR666" s="305">
        <v>1.3446658851113715</v>
      </c>
      <c r="AS666" s="305">
        <v>1.3654761904761905</v>
      </c>
      <c r="AT666" s="305">
        <v>1.3593268547049064</v>
      </c>
      <c r="AU666" s="305">
        <v>1.370043000477783</v>
      </c>
      <c r="AV666" s="305">
        <f ca="1">Calc!AT64</f>
        <v>1.370043000477783</v>
      </c>
      <c r="AX666" s="86" t="str">
        <f t="shared" ca="1" si="52"/>
        <v>MVESAP</v>
      </c>
    </row>
    <row r="667" spans="1:50" hidden="1">
      <c r="A667" s="86" t="str">
        <f t="shared" ca="1" si="51"/>
        <v>MVEUN0</v>
      </c>
      <c r="F667" s="251">
        <v>-0.1</v>
      </c>
      <c r="G667" s="251">
        <v>-1.55</v>
      </c>
      <c r="H667" s="251">
        <v>0.55000000000000004</v>
      </c>
      <c r="I667" s="251">
        <v>-0.05</v>
      </c>
      <c r="J667" s="251">
        <v>-0.9</v>
      </c>
      <c r="K667" s="251">
        <v>-0.2</v>
      </c>
      <c r="L667" s="251">
        <v>0.4</v>
      </c>
      <c r="M667" s="251">
        <v>0.2</v>
      </c>
      <c r="N667" s="251">
        <v>1.25</v>
      </c>
      <c r="O667" s="251">
        <v>0.85</v>
      </c>
      <c r="P667" s="251">
        <v>0.2</v>
      </c>
      <c r="Q667" s="251">
        <v>-0.05</v>
      </c>
      <c r="R667" s="251">
        <v>-0.75</v>
      </c>
      <c r="S667" s="251">
        <v>0.15</v>
      </c>
      <c r="T667" s="251">
        <v>0.15</v>
      </c>
      <c r="U667" s="251">
        <v>0.45</v>
      </c>
      <c r="V667" s="251">
        <v>0.1</v>
      </c>
      <c r="W667" s="251">
        <v>2</v>
      </c>
      <c r="X667" s="251">
        <v>-0.2</v>
      </c>
      <c r="Y667" s="251">
        <v>-0.3</v>
      </c>
      <c r="Z667" s="243">
        <f ca="1">[1]ExtEntry!$L65</f>
        <v>-0.3</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0.1</v>
      </c>
      <c r="G668" s="251">
        <v>0.36</v>
      </c>
      <c r="H668" s="251">
        <v>-1.7729999999999999</v>
      </c>
      <c r="I668" s="251">
        <v>-0.54</v>
      </c>
      <c r="J668" s="251">
        <v>-0.02</v>
      </c>
      <c r="K668" s="251">
        <v>2.59</v>
      </c>
      <c r="L668" s="251">
        <v>-1.68</v>
      </c>
      <c r="M668" s="251">
        <v>5.79</v>
      </c>
      <c r="N668" s="251">
        <v>1.0900000000000001</v>
      </c>
      <c r="O668" s="251">
        <v>0.57999999999999996</v>
      </c>
      <c r="P668" s="251">
        <v>1.3</v>
      </c>
      <c r="Q668" s="251">
        <v>1.97</v>
      </c>
      <c r="R668" s="251">
        <v>2.855</v>
      </c>
      <c r="S668" s="251">
        <v>0.88</v>
      </c>
      <c r="T668" s="251">
        <v>-2.04</v>
      </c>
      <c r="U668" s="251">
        <v>-4.04</v>
      </c>
      <c r="V668" s="251">
        <v>-1.92</v>
      </c>
      <c r="W668" s="251">
        <v>-0.31</v>
      </c>
      <c r="X668" s="251">
        <v>1.6</v>
      </c>
      <c r="Y668" s="251">
        <v>-0.75</v>
      </c>
      <c r="Z668" s="243">
        <f ca="1">[1]ExtEntry!$L66</f>
        <v>-0.75</v>
      </c>
      <c r="AB668" s="305">
        <v>1.023287813726216</v>
      </c>
      <c r="AC668" s="305">
        <v>1.0219259519408503</v>
      </c>
      <c r="AD668" s="305">
        <v>1.0314703895939132</v>
      </c>
      <c r="AE668" s="305">
        <v>1.0147607283139384</v>
      </c>
      <c r="AF668" s="305">
        <v>1.0336186434340413</v>
      </c>
      <c r="AG668" s="305">
        <v>1.0237046624449135</v>
      </c>
      <c r="AH668" s="305">
        <v>1.0357875074940048</v>
      </c>
      <c r="AI668" s="305">
        <v>1.0161408983972944</v>
      </c>
      <c r="AJ668" s="305">
        <v>1.0132635042796518</v>
      </c>
      <c r="AK668" s="305">
        <v>1.0151253828139073</v>
      </c>
      <c r="AL668" s="305">
        <v>1.0103928635467094</v>
      </c>
      <c r="AM668" s="305">
        <v>1.0033047859839042</v>
      </c>
      <c r="AN668" s="305">
        <v>0.98528806980119243</v>
      </c>
      <c r="AO668" s="305">
        <v>0.98146114188177092</v>
      </c>
      <c r="AP668" s="305">
        <v>0.99154689424599685</v>
      </c>
      <c r="AQ668" s="305">
        <v>1.0058478811895326</v>
      </c>
      <c r="AR668" s="305">
        <v>1.0172083004519694</v>
      </c>
      <c r="AS668" s="305">
        <v>1.0216057713091722</v>
      </c>
      <c r="AT668" s="305">
        <v>1.0172083004519694</v>
      </c>
      <c r="AU668" s="305">
        <v>1.0199522713376257</v>
      </c>
      <c r="AV668" s="305">
        <f ca="1">Calc!AT66</f>
        <v>1.0199522713376257</v>
      </c>
      <c r="AX668" s="86" t="str">
        <f t="shared" ca="1" si="52"/>
        <v>SAFAAPL</v>
      </c>
    </row>
    <row r="669" spans="1:50" hidden="1">
      <c r="A669" s="86" t="str">
        <f t="shared" ca="1" si="51"/>
        <v>SAFAMZN</v>
      </c>
      <c r="F669" s="251">
        <v>0.88</v>
      </c>
      <c r="G669" s="251">
        <v>-6.3936000000000002</v>
      </c>
      <c r="H669" s="251">
        <v>1.52</v>
      </c>
      <c r="I669" s="251">
        <v>-2.89</v>
      </c>
      <c r="J669" s="251">
        <v>-10.32</v>
      </c>
      <c r="K669" s="251">
        <v>-1.3680000000000001</v>
      </c>
      <c r="L669" s="251">
        <v>-3.84</v>
      </c>
      <c r="M669" s="251">
        <v>4.0949999999999998</v>
      </c>
      <c r="N669" s="251">
        <v>0.06</v>
      </c>
      <c r="O669" s="251">
        <v>-0.51</v>
      </c>
      <c r="P669" s="251">
        <v>4.0599999999999996</v>
      </c>
      <c r="Q669" s="251">
        <v>1.8</v>
      </c>
      <c r="R669" s="251">
        <v>0.41499999999999998</v>
      </c>
      <c r="S669" s="251">
        <v>-2.74</v>
      </c>
      <c r="T669" s="251">
        <v>-2.04</v>
      </c>
      <c r="U669" s="251">
        <v>-5.0433000000000003</v>
      </c>
      <c r="V669" s="251">
        <v>0.42</v>
      </c>
      <c r="W669" s="251">
        <v>0.82709999999999995</v>
      </c>
      <c r="X669" s="251">
        <v>3.86</v>
      </c>
      <c r="Y669" s="251">
        <v>-1.5</v>
      </c>
      <c r="Z669" s="243">
        <f ca="1">[1]ExtEntry!$L67</f>
        <v>-1.5</v>
      </c>
      <c r="AB669" s="304">
        <v>1.1527741806554757</v>
      </c>
      <c r="AC669" s="304">
        <v>1.1830046299030708</v>
      </c>
      <c r="AD669" s="304">
        <v>1.1793592574419365</v>
      </c>
      <c r="AE669" s="304">
        <v>1.2289577740849631</v>
      </c>
      <c r="AF669" s="304">
        <v>1.2959968546394069</v>
      </c>
      <c r="AG669" s="304">
        <v>1.3040125326654068</v>
      </c>
      <c r="AH669" s="304">
        <v>1.3179076993374459</v>
      </c>
      <c r="AI669" s="304">
        <v>1.303700137862454</v>
      </c>
      <c r="AJ669" s="304">
        <v>1.282583162843338</v>
      </c>
      <c r="AK669" s="304">
        <v>1.2857733897713388</v>
      </c>
      <c r="AL669" s="304">
        <v>1.2633900608867163</v>
      </c>
      <c r="AM669" s="304">
        <v>1.2537138541400732</v>
      </c>
      <c r="AN669" s="304">
        <v>1.2575933331910627</v>
      </c>
      <c r="AO669" s="304">
        <v>1.2717879402624308</v>
      </c>
      <c r="AP669" s="304">
        <v>1.2679569240037869</v>
      </c>
      <c r="AQ669" s="304">
        <v>1.296085629816919</v>
      </c>
      <c r="AR669" s="304">
        <v>1.2853730667015204</v>
      </c>
      <c r="AS669" s="304">
        <v>1.2956061709902331</v>
      </c>
      <c r="AT669" s="304">
        <v>1.2728953317801364</v>
      </c>
      <c r="AU669" s="304">
        <v>1.2811867291992356</v>
      </c>
      <c r="AV669" s="305">
        <f ca="1">Calc!AT67</f>
        <v>1.2811867291992356</v>
      </c>
      <c r="AX669" s="86" t="str">
        <f t="shared" ca="1" si="52"/>
        <v>SAFAMZN</v>
      </c>
    </row>
    <row r="670" spans="1:50" hidden="1">
      <c r="A670" s="86" t="str">
        <f t="shared" ref="A670:A698" ca="1" si="53">A70</f>
        <v>SAFASML</v>
      </c>
      <c r="F670" s="251">
        <v>-11.4</v>
      </c>
      <c r="G670" s="251">
        <v>-11.3</v>
      </c>
      <c r="H670" s="251">
        <v>-24.5</v>
      </c>
      <c r="I670" s="251">
        <v>-7.4</v>
      </c>
      <c r="J670" s="251">
        <v>-6.2</v>
      </c>
      <c r="K670" s="251">
        <v>21</v>
      </c>
      <c r="L670" s="251">
        <v>3.2</v>
      </c>
      <c r="M670" s="251">
        <v>-55.8</v>
      </c>
      <c r="N670" s="251">
        <v>49</v>
      </c>
      <c r="O670" s="251">
        <v>-12.1</v>
      </c>
      <c r="P670" s="251">
        <v>6.2</v>
      </c>
      <c r="Q670" s="251">
        <v>23.3</v>
      </c>
      <c r="R670" s="251">
        <v>12.4</v>
      </c>
      <c r="S670" s="251">
        <v>17.2</v>
      </c>
      <c r="T670" s="251">
        <v>24.3</v>
      </c>
      <c r="U670" s="251">
        <v>-6.1</v>
      </c>
      <c r="V670" s="251">
        <v>-5.7</v>
      </c>
      <c r="W670" s="251">
        <v>-10.3</v>
      </c>
      <c r="X670" s="251">
        <v>-6.9</v>
      </c>
      <c r="Y670" s="251">
        <v>-5.0999999999999996</v>
      </c>
      <c r="Z670" s="243">
        <f ca="1">[1]ExtEntry!$L68</f>
        <v>-5.0999999999999996</v>
      </c>
      <c r="AB670" s="305">
        <v>1.0389402823737039</v>
      </c>
      <c r="AC670" s="305">
        <v>1.0520532335529991</v>
      </c>
      <c r="AD670" s="305">
        <v>1.08165280202113</v>
      </c>
      <c r="AE670" s="305">
        <v>1.0775692254890745</v>
      </c>
      <c r="AF670" s="305">
        <v>1.0960010006981615</v>
      </c>
      <c r="AG670" s="305">
        <v>1.0623767877284007</v>
      </c>
      <c r="AH670" s="305">
        <v>1.0585561474488649</v>
      </c>
      <c r="AI670" s="305">
        <v>1.1293804076738609</v>
      </c>
      <c r="AJ670" s="305">
        <v>1.0488039150995272</v>
      </c>
      <c r="AK670" s="305">
        <v>1.0629485064645563</v>
      </c>
      <c r="AL670" s="305">
        <v>1.0556535311047155</v>
      </c>
      <c r="AM670" s="305">
        <v>1.0291112549908277</v>
      </c>
      <c r="AN670" s="305">
        <v>1.0155227345330635</v>
      </c>
      <c r="AO670" s="305">
        <v>0.99725755516051462</v>
      </c>
      <c r="AP670" s="305">
        <v>0.98990803404608685</v>
      </c>
      <c r="AQ670" s="305">
        <v>0.9962158153139038</v>
      </c>
      <c r="AR670" s="305">
        <v>1.0334377889869693</v>
      </c>
      <c r="AS670" s="305">
        <v>1.0320279147864415</v>
      </c>
      <c r="AT670" s="305">
        <v>1.0395553911205073</v>
      </c>
      <c r="AU670" s="305">
        <v>1.0451901371027739</v>
      </c>
      <c r="AV670" s="305">
        <f ca="1">Calc!AT68</f>
        <v>1.0451901371027739</v>
      </c>
      <c r="AX670" s="86" t="str">
        <f t="shared" ref="AX670:AX698" ca="1" si="54">A70</f>
        <v>SAFASML</v>
      </c>
    </row>
    <row r="671" spans="1:50" hidden="1">
      <c r="A671" s="86" t="str">
        <f t="shared" ca="1" si="53"/>
        <v>SAFDDD</v>
      </c>
      <c r="F671" s="251">
        <v>-0.02</v>
      </c>
      <c r="G671" s="251">
        <v>-0.33500000000000002</v>
      </c>
      <c r="H671" s="251">
        <v>-2.5000000000000001E-2</v>
      </c>
      <c r="I671" s="251">
        <v>0</v>
      </c>
      <c r="J671" s="251">
        <v>0</v>
      </c>
      <c r="K671" s="251">
        <v>-3.5000000000000003E-2</v>
      </c>
      <c r="L671" s="251">
        <v>-0.1</v>
      </c>
      <c r="M671" s="251">
        <v>7.4999999999999997E-2</v>
      </c>
      <c r="N671" s="251">
        <v>1.4999999999999999E-2</v>
      </c>
      <c r="O671" s="251">
        <v>0.03</v>
      </c>
      <c r="P671" s="251">
        <v>0.04</v>
      </c>
      <c r="Q671" s="251">
        <v>-7.4999999999999997E-2</v>
      </c>
      <c r="R671" s="251">
        <v>0.05</v>
      </c>
      <c r="S671" s="251">
        <v>3.5000000000000003E-2</v>
      </c>
      <c r="T671" s="251">
        <v>0.16</v>
      </c>
      <c r="U671" s="251">
        <v>1.4999999999999999E-2</v>
      </c>
      <c r="V671" s="251">
        <v>-0.09</v>
      </c>
      <c r="W671" s="251">
        <v>-0.36499999999999999</v>
      </c>
      <c r="X671" s="251">
        <v>0</v>
      </c>
      <c r="Y671" s="251">
        <v>0.19500000000000001</v>
      </c>
      <c r="Z671" s="243">
        <f ca="1">[1]ExtEntry!$L69</f>
        <v>0.19500000000000001</v>
      </c>
      <c r="AB671" s="305">
        <v>1.25</v>
      </c>
      <c r="AC671" s="305">
        <v>1.434878587196468</v>
      </c>
      <c r="AD671" s="305">
        <v>1.4606741573033708</v>
      </c>
      <c r="AE671" s="305">
        <v>1.5046296296296295</v>
      </c>
      <c r="AF671" s="305">
        <v>1.5625</v>
      </c>
      <c r="AG671" s="305">
        <v>1.5892420537897312</v>
      </c>
      <c r="AH671" s="305">
        <v>1.7287234042553192</v>
      </c>
      <c r="AI671" s="305">
        <v>1.6709511568123392</v>
      </c>
      <c r="AJ671" s="305">
        <v>1.7813267813267812</v>
      </c>
      <c r="AK671" s="305">
        <v>1.7682926829268295</v>
      </c>
      <c r="AL671" s="305">
        <v>1.7427884615384615</v>
      </c>
      <c r="AM671" s="305">
        <v>1.8079800498753118</v>
      </c>
      <c r="AN671" s="305">
        <v>1.7682926829268295</v>
      </c>
      <c r="AO671" s="305">
        <v>1.7469879518072287</v>
      </c>
      <c r="AP671" s="305">
        <v>1.6477272727272725</v>
      </c>
      <c r="AQ671" s="305">
        <v>1.6292134831460674</v>
      </c>
      <c r="AR671" s="305">
        <v>1.6782407407407407</v>
      </c>
      <c r="AS671" s="305">
        <v>2.0538243626062322</v>
      </c>
      <c r="AT671" s="305">
        <v>2.0480225988700567</v>
      </c>
      <c r="AU671" s="305">
        <v>1.8447837150127226</v>
      </c>
      <c r="AV671" s="305">
        <f ca="1">Calc!AT69</f>
        <v>1.8447837150127226</v>
      </c>
      <c r="AX671" s="86" t="str">
        <f t="shared" ca="1" si="54"/>
        <v>SAFDDD</v>
      </c>
    </row>
    <row r="672" spans="1:50" hidden="1">
      <c r="A672" s="86" t="str">
        <f t="shared" ca="1" si="53"/>
        <v>SAFDIS</v>
      </c>
      <c r="F672" s="251">
        <v>-0.13</v>
      </c>
      <c r="G672" s="251">
        <v>-1.2</v>
      </c>
      <c r="H672" s="251">
        <v>0.24</v>
      </c>
      <c r="I672" s="251">
        <v>-1.81</v>
      </c>
      <c r="J672" s="251">
        <v>0.59</v>
      </c>
      <c r="K672" s="251">
        <v>-0.98</v>
      </c>
      <c r="L672" s="251">
        <v>-1.8</v>
      </c>
      <c r="M672" s="251">
        <v>1.75</v>
      </c>
      <c r="N672" s="251">
        <v>0.53500000000000003</v>
      </c>
      <c r="O672" s="251">
        <v>0.12</v>
      </c>
      <c r="P672" s="251">
        <v>1.04</v>
      </c>
      <c r="Q672" s="251">
        <v>1.97</v>
      </c>
      <c r="R672" s="251">
        <v>-1.7949999999999999</v>
      </c>
      <c r="S672" s="251">
        <v>-0.11</v>
      </c>
      <c r="T672" s="251">
        <v>0.9</v>
      </c>
      <c r="U672" s="251">
        <v>-0.76990000000000003</v>
      </c>
      <c r="V672" s="251">
        <v>-0.24</v>
      </c>
      <c r="W672" s="251">
        <v>-0.93</v>
      </c>
      <c r="X672" s="251">
        <v>1.81</v>
      </c>
      <c r="Y672" s="251">
        <v>2.65</v>
      </c>
      <c r="Z672" s="243">
        <f ca="1">[1]ExtEntry!$L70</f>
        <v>2.65</v>
      </c>
      <c r="AB672" s="305">
        <v>1.2041710077240881</v>
      </c>
      <c r="AC672" s="305">
        <v>1.2170697167755991</v>
      </c>
      <c r="AD672" s="305">
        <v>1.2108046599837441</v>
      </c>
      <c r="AE672" s="305">
        <v>1.2672249527410206</v>
      </c>
      <c r="AF672" s="305">
        <v>1.2615016936394428</v>
      </c>
      <c r="AG672" s="305">
        <v>1.2732421652421653</v>
      </c>
      <c r="AH672" s="305">
        <v>1.3033187518226887</v>
      </c>
      <c r="AI672" s="305">
        <v>1.2836036381043561</v>
      </c>
      <c r="AJ672" s="305">
        <v>1.2759744811979392</v>
      </c>
      <c r="AK672" s="305">
        <v>1.281094169970028</v>
      </c>
      <c r="AL672" s="305">
        <v>1.2683408634057625</v>
      </c>
      <c r="AM672" s="305">
        <v>1.2448663096580233</v>
      </c>
      <c r="AN672" s="305">
        <v>1.2622392950702548</v>
      </c>
      <c r="AO672" s="305">
        <v>1.2653129297173416</v>
      </c>
      <c r="AP672" s="305">
        <v>1.253225858318358</v>
      </c>
      <c r="AQ672" s="305">
        <v>1.2622982163492269</v>
      </c>
      <c r="AR672" s="305">
        <v>1.2591805568754157</v>
      </c>
      <c r="AS672" s="305">
        <v>1.2418328959700093</v>
      </c>
      <c r="AT672" s="305">
        <v>1.2175279794174401</v>
      </c>
      <c r="AU672" s="305">
        <v>1.1885860243989952</v>
      </c>
      <c r="AV672" s="305">
        <f ca="1">Calc!AT70</f>
        <v>1.1885860243989952</v>
      </c>
      <c r="AX672" s="86" t="str">
        <f t="shared" ca="1" si="54"/>
        <v>SAFDIS</v>
      </c>
    </row>
    <row r="673" spans="1:50" hidden="1">
      <c r="A673" s="86" t="str">
        <f t="shared" ca="1" si="53"/>
        <v>SAFGM</v>
      </c>
      <c r="F673" s="251">
        <v>1.91</v>
      </c>
      <c r="G673" s="251">
        <v>0.15</v>
      </c>
      <c r="H673" s="251">
        <v>1.82</v>
      </c>
      <c r="I673" s="251">
        <v>-1.37</v>
      </c>
      <c r="J673" s="251">
        <v>0.03</v>
      </c>
      <c r="K673" s="251">
        <v>1.1850000000000001</v>
      </c>
      <c r="L673" s="251">
        <v>-0.1726</v>
      </c>
      <c r="M673" s="251">
        <v>2.19</v>
      </c>
      <c r="N673" s="251">
        <v>0.33</v>
      </c>
      <c r="O673" s="251">
        <v>0.03</v>
      </c>
      <c r="P673" s="251">
        <v>0.71</v>
      </c>
      <c r="Q673" s="251">
        <v>6.5500000000000003E-2</v>
      </c>
      <c r="R673" s="251">
        <v>0.65500000000000003</v>
      </c>
      <c r="S673" s="251">
        <v>0.64500000000000002</v>
      </c>
      <c r="T673" s="251">
        <v>1.03</v>
      </c>
      <c r="U673" s="251">
        <v>1.365</v>
      </c>
      <c r="V673" s="251">
        <v>0.89500000000000002</v>
      </c>
      <c r="W673" s="251">
        <v>1.05</v>
      </c>
      <c r="X673" s="251">
        <v>3.645</v>
      </c>
      <c r="Y673" s="251">
        <v>4.4999999999999998E-2</v>
      </c>
      <c r="Z673" s="243">
        <f ca="1">[1]ExtEntry!$L71</f>
        <v>4.4999999999999998E-2</v>
      </c>
      <c r="AB673" s="305">
        <v>1.0635918871765049</v>
      </c>
      <c r="AC673" s="305">
        <v>1.0614313697040048</v>
      </c>
      <c r="AD673" s="305">
        <v>1.0352936597792246</v>
      </c>
      <c r="AE673" s="305">
        <v>1.0373489790130461</v>
      </c>
      <c r="AF673" s="305">
        <v>1.0767419782160732</v>
      </c>
      <c r="AG673" s="305">
        <v>1.058436663531795</v>
      </c>
      <c r="AH673" s="305">
        <v>1.0706371089782432</v>
      </c>
      <c r="AI673" s="305">
        <v>1.0416324932365086</v>
      </c>
      <c r="AJ673" s="305">
        <v>1.0142778005744768</v>
      </c>
      <c r="AK673" s="305">
        <v>1.0184569427276473</v>
      </c>
      <c r="AL673" s="305">
        <v>1.0086214635473343</v>
      </c>
      <c r="AM673" s="305">
        <v>1.0077236683857556</v>
      </c>
      <c r="AN673" s="305">
        <v>1.0074566945180354</v>
      </c>
      <c r="AO673" s="305">
        <v>0.99796581656685279</v>
      </c>
      <c r="AP673" s="305">
        <v>0.99282166287320939</v>
      </c>
      <c r="AQ673" s="305">
        <v>0.97500295838537898</v>
      </c>
      <c r="AR673" s="305">
        <v>0.9767768790688498</v>
      </c>
      <c r="AS673" s="305">
        <v>0.96755119854090654</v>
      </c>
      <c r="AT673" s="305">
        <v>0.91911676257657304</v>
      </c>
      <c r="AU673" s="305">
        <v>0.91866200754530269</v>
      </c>
      <c r="AV673" s="305">
        <f ca="1">Calc!AT71</f>
        <v>0.91866200754530269</v>
      </c>
      <c r="AX673" s="86" t="str">
        <f t="shared" ca="1" si="54"/>
        <v>SAFGM</v>
      </c>
    </row>
    <row r="674" spans="1:50" hidden="1">
      <c r="A674" s="86" t="str">
        <f t="shared" ca="1" si="53"/>
        <v>SAFIAG</v>
      </c>
      <c r="F674" s="251">
        <v>2.6</v>
      </c>
      <c r="G674" s="251">
        <v>-11.1</v>
      </c>
      <c r="H674" s="251">
        <v>-47.9</v>
      </c>
      <c r="I674" s="251">
        <v>-8.3000000000000007</v>
      </c>
      <c r="J674" s="251">
        <v>-0.91100000000000003</v>
      </c>
      <c r="K674" s="251">
        <v>6.3</v>
      </c>
      <c r="L674" s="251">
        <v>4.8</v>
      </c>
      <c r="M674" s="251">
        <v>-3.1</v>
      </c>
      <c r="N674" s="251">
        <v>8</v>
      </c>
      <c r="O674" s="251">
        <v>-2.5</v>
      </c>
      <c r="P674" s="251">
        <v>-0.4</v>
      </c>
      <c r="Q674" s="251">
        <v>-2.8</v>
      </c>
      <c r="R674" s="251">
        <v>-4.2</v>
      </c>
      <c r="S674" s="251">
        <v>2.9</v>
      </c>
      <c r="T674" s="251">
        <v>1.6</v>
      </c>
      <c r="U674" s="251">
        <v>-5.9</v>
      </c>
      <c r="V674" s="251">
        <v>0.7</v>
      </c>
      <c r="W674" s="251">
        <v>-3.4</v>
      </c>
      <c r="X674" s="251">
        <v>-2</v>
      </c>
      <c r="Y674" s="251">
        <v>12</v>
      </c>
      <c r="Z674" s="243">
        <f ca="1">[1]ExtEntry!$L72</f>
        <v>12</v>
      </c>
      <c r="AB674" s="305">
        <v>1.0914727187206021</v>
      </c>
      <c r="AC674" s="305">
        <v>1.1207297754165659</v>
      </c>
      <c r="AD674" s="305">
        <v>1.2673244128891317</v>
      </c>
      <c r="AE674" s="305">
        <v>1.1976624516129033</v>
      </c>
      <c r="AF674" s="305">
        <v>1.2529913145368787</v>
      </c>
      <c r="AG674" s="305">
        <v>1.2290630296610168</v>
      </c>
      <c r="AH674" s="305">
        <v>1.2136354602510462</v>
      </c>
      <c r="AI674" s="305">
        <v>1.2235544423938833</v>
      </c>
      <c r="AJ674" s="305">
        <v>1.1614570641282564</v>
      </c>
      <c r="AK674" s="305">
        <v>1.1687765565918831</v>
      </c>
      <c r="AL674" s="305">
        <v>1.1699562452687358</v>
      </c>
      <c r="AM674" s="305">
        <v>1.1782812198221093</v>
      </c>
      <c r="AN674" s="305">
        <v>1.1909932185974825</v>
      </c>
      <c r="AO674" s="305">
        <v>1.1821867924528302</v>
      </c>
      <c r="AP674" s="305">
        <v>1.1861183422870301</v>
      </c>
      <c r="AQ674" s="305">
        <v>1.2042952207792208</v>
      </c>
      <c r="AR674" s="305">
        <v>1.1967060409644803</v>
      </c>
      <c r="AS674" s="305">
        <v>1.1908398348813209</v>
      </c>
      <c r="AT674" s="305">
        <v>1.1970163900414936</v>
      </c>
      <c r="AU674" s="305">
        <v>1.160889134808853</v>
      </c>
      <c r="AV674" s="305">
        <f ca="1">Calc!AT72</f>
        <v>1.160889134808853</v>
      </c>
      <c r="AX674" s="86" t="str">
        <f t="shared" ca="1" si="54"/>
        <v>SAFIAG</v>
      </c>
    </row>
    <row r="675" spans="1:50" hidden="1">
      <c r="A675" s="86" t="str">
        <f t="shared" ca="1" si="53"/>
        <v>SAFMRNA</v>
      </c>
      <c r="F675" s="251">
        <v>-0.19</v>
      </c>
      <c r="G675" s="251">
        <v>0.54500000000000004</v>
      </c>
      <c r="H675" s="251">
        <v>0.19500000000000001</v>
      </c>
      <c r="I675" s="251">
        <v>-0.19</v>
      </c>
      <c r="J675" s="251">
        <v>0.16</v>
      </c>
      <c r="K675" s="251">
        <v>-0.64</v>
      </c>
      <c r="L675" s="251">
        <v>-1.39</v>
      </c>
      <c r="M675" s="251">
        <v>1.135</v>
      </c>
      <c r="N675" s="251">
        <v>0.17499999999999999</v>
      </c>
      <c r="O675" s="251">
        <v>0.26</v>
      </c>
      <c r="P675" s="251">
        <v>0.97</v>
      </c>
      <c r="Q675" s="251">
        <v>-1.55</v>
      </c>
      <c r="R675" s="251">
        <v>-0.09</v>
      </c>
      <c r="S675" s="251">
        <v>0.49509999999999998</v>
      </c>
      <c r="T675" s="251">
        <v>1.111</v>
      </c>
      <c r="U675" s="251">
        <v>0.61499999999999999</v>
      </c>
      <c r="V675" s="251">
        <v>2.21</v>
      </c>
      <c r="W675" s="251">
        <v>0.36299999999999999</v>
      </c>
      <c r="X675" s="251">
        <v>0.79</v>
      </c>
      <c r="Y675" s="251">
        <v>0.6</v>
      </c>
      <c r="Z675" s="243">
        <f ca="1">[1]ExtEntry!$L73</f>
        <v>0.6</v>
      </c>
      <c r="AB675" s="305">
        <v>1.7105263157894737</v>
      </c>
      <c r="AC675" s="305">
        <v>1.6718523127981746</v>
      </c>
      <c r="AD675" s="305">
        <v>1.6432212028542303</v>
      </c>
      <c r="AE675" s="305">
        <v>1.6269681065805408</v>
      </c>
      <c r="AF675" s="305">
        <v>1.6171749598715888</v>
      </c>
      <c r="AG675" s="305">
        <v>1.6598023064250409</v>
      </c>
      <c r="AH675" s="305">
        <v>1.7683194383501535</v>
      </c>
      <c r="AI675" s="305">
        <v>1.7152585656522663</v>
      </c>
      <c r="AJ675" s="305">
        <v>1.49712296890672</v>
      </c>
      <c r="AK675" s="305">
        <v>1.4920347860855656</v>
      </c>
      <c r="AL675" s="305">
        <v>1.4363275596612779</v>
      </c>
      <c r="AM675" s="305">
        <v>1.527457634056488</v>
      </c>
      <c r="AN675" s="305">
        <v>1.5503028666389695</v>
      </c>
      <c r="AO675" s="305">
        <v>1.5196757496406041</v>
      </c>
      <c r="AP675" s="305">
        <v>1.4824913591037305</v>
      </c>
      <c r="AQ675" s="305">
        <v>1.446628804031789</v>
      </c>
      <c r="AR675" s="305">
        <v>1.2916166064981949</v>
      </c>
      <c r="AS675" s="305">
        <v>1.2627600324709702</v>
      </c>
      <c r="AT675" s="305">
        <v>1.2324416121253874</v>
      </c>
      <c r="AU675" s="305">
        <v>1.207484981437732</v>
      </c>
      <c r="AV675" s="305">
        <f ca="1">Calc!AT73</f>
        <v>1.207484981437732</v>
      </c>
      <c r="AX675" s="86" t="str">
        <f t="shared" ca="1" si="54"/>
        <v>SAFMRNA</v>
      </c>
    </row>
    <row r="676" spans="1:50" hidden="1">
      <c r="A676" s="86" t="str">
        <f t="shared" ca="1" si="53"/>
        <v>BLNK</v>
      </c>
      <c r="F676" s="251">
        <v>0.16</v>
      </c>
      <c r="G676" s="251">
        <v>-0.13500000000000001</v>
      </c>
      <c r="H676" s="251">
        <v>7.9899999999999999E-2</v>
      </c>
      <c r="I676" s="251">
        <v>-0.05</v>
      </c>
      <c r="J676" s="251">
        <v>0.01</v>
      </c>
      <c r="K676" s="251">
        <v>-4.4999999999999998E-2</v>
      </c>
      <c r="L676" s="251">
        <v>-1.4999999999999999E-2</v>
      </c>
      <c r="M676" s="251">
        <v>-3.5000000000000003E-2</v>
      </c>
      <c r="N676" s="251">
        <v>1.4999999999999999E-2</v>
      </c>
      <c r="O676" s="251">
        <v>0.01</v>
      </c>
      <c r="P676" s="251">
        <v>0.03</v>
      </c>
      <c r="Q676" s="251">
        <v>-2.5000000000000001E-2</v>
      </c>
      <c r="R676" s="251">
        <v>5.0000000000000001E-3</v>
      </c>
      <c r="S676" s="251">
        <v>-5.0000000000000001E-3</v>
      </c>
      <c r="T676" s="251">
        <v>0.09</v>
      </c>
      <c r="U676" s="251">
        <v>5.5E-2</v>
      </c>
      <c r="V676" s="251">
        <v>-0.22</v>
      </c>
      <c r="W676" s="251">
        <v>-8.5000000000000006E-2</v>
      </c>
      <c r="X676" s="251">
        <v>-6.1199999999999997E-2</v>
      </c>
      <c r="Y676" s="251">
        <v>-5.8000000000000003E-2</v>
      </c>
      <c r="Z676" s="243">
        <f ca="1">[1]ExtEntry!$L74</f>
        <v>-5.8000000000000003E-2</v>
      </c>
      <c r="AB676" s="305">
        <v>1.4634146341463414</v>
      </c>
      <c r="AC676" s="305">
        <v>1.5946843853820598</v>
      </c>
      <c r="AD676" s="305">
        <v>1.5095289011887538</v>
      </c>
      <c r="AE676" s="305">
        <v>1.7021276595744681</v>
      </c>
      <c r="AF676" s="305">
        <v>1.7021276595744681</v>
      </c>
      <c r="AG676" s="305">
        <v>1.7582417582417582</v>
      </c>
      <c r="AH676" s="305">
        <v>1.7843866171003717</v>
      </c>
      <c r="AI676" s="305">
        <v>1.867704280155642</v>
      </c>
      <c r="AJ676" s="305">
        <v>1.867704280155642</v>
      </c>
      <c r="AK676" s="305">
        <v>1.875</v>
      </c>
      <c r="AL676" s="305">
        <v>1.83206106870229</v>
      </c>
      <c r="AM676" s="305">
        <v>1.867704280155642</v>
      </c>
      <c r="AN676" s="305">
        <v>1.8972332015810278</v>
      </c>
      <c r="AO676" s="305">
        <v>1.9123505976095618</v>
      </c>
      <c r="AP676" s="305">
        <v>1.7777777777777777</v>
      </c>
      <c r="AQ676" s="305">
        <v>1.7081850533807827</v>
      </c>
      <c r="AR676" s="305">
        <v>2</v>
      </c>
      <c r="AS676" s="305">
        <v>2.3645320197044337</v>
      </c>
      <c r="AT676" s="305">
        <v>2.5429116338207245</v>
      </c>
      <c r="AU676" s="305">
        <v>2.7094152178821402</v>
      </c>
      <c r="AV676" s="305">
        <f ca="1">Calc!AT74</f>
        <v>2.7094152178821402</v>
      </c>
      <c r="AX676" s="86" t="str">
        <f t="shared" ca="1" si="54"/>
        <v>BLNK</v>
      </c>
    </row>
    <row r="677" spans="1:50" hidden="1">
      <c r="A677" s="86" t="str">
        <f t="shared" ca="1" si="53"/>
        <v>ENI</v>
      </c>
      <c r="F677" s="251">
        <v>5.8000000000000003E-2</v>
      </c>
      <c r="G677" s="251">
        <v>-0.02</v>
      </c>
      <c r="H677" s="251">
        <v>-1.6E-2</v>
      </c>
      <c r="I677" s="251">
        <v>1.6E-2</v>
      </c>
      <c r="J677" s="251">
        <v>0.03</v>
      </c>
      <c r="K677" s="251">
        <v>-0.112</v>
      </c>
      <c r="L677" s="251">
        <v>7.8E-2</v>
      </c>
      <c r="M677" s="251">
        <v>-0.2</v>
      </c>
      <c r="N677" s="251">
        <v>0.30599999999999999</v>
      </c>
      <c r="O677" s="251">
        <v>-5.6000000000000001E-2</v>
      </c>
      <c r="P677" s="251">
        <v>0.20200000000000001</v>
      </c>
      <c r="Q677" s="251">
        <v>4.5999999999999999E-2</v>
      </c>
      <c r="R677" s="251">
        <v>0.01</v>
      </c>
      <c r="S677" s="251">
        <v>0.12</v>
      </c>
      <c r="T677" s="251">
        <v>0.16400000000000001</v>
      </c>
      <c r="U677" s="251">
        <v>-2E-3</v>
      </c>
      <c r="V677" s="251">
        <v>-0.248</v>
      </c>
      <c r="W677" s="251">
        <v>0.04</v>
      </c>
      <c r="X677" s="251">
        <v>-9.4E-2</v>
      </c>
      <c r="Y677" s="251">
        <v>-0.11</v>
      </c>
      <c r="Z677" s="243">
        <f ca="1">[1]ExtEntry!$L75</f>
        <v>-0.11</v>
      </c>
      <c r="AB677" s="305">
        <v>1.0096900050100202</v>
      </c>
      <c r="AC677" s="305">
        <v>1.0109562327564585</v>
      </c>
      <c r="AD677" s="305">
        <v>1.0119715038915391</v>
      </c>
      <c r="AE677" s="305">
        <v>0.97867730970013356</v>
      </c>
      <c r="AF677" s="305">
        <v>0.9854969437652813</v>
      </c>
      <c r="AG677" s="305">
        <v>0.99412566284375392</v>
      </c>
      <c r="AH677" s="305">
        <v>0.98936732940598926</v>
      </c>
      <c r="AI677" s="305">
        <v>1.0016606610337973</v>
      </c>
      <c r="AJ677" s="305">
        <v>1.020210809458276</v>
      </c>
      <c r="AK677" s="305">
        <v>1.0237972379158822</v>
      </c>
      <c r="AL677" s="305">
        <v>1.0109775601289364</v>
      </c>
      <c r="AM677" s="305">
        <v>1.0081029793546792</v>
      </c>
      <c r="AN677" s="305">
        <v>1.0074802322708181</v>
      </c>
      <c r="AO677" s="305">
        <v>1.0000668383615405</v>
      </c>
      <c r="AP677" s="305">
        <v>0.99737585616438362</v>
      </c>
      <c r="AQ677" s="305">
        <v>0.99749785932721713</v>
      </c>
      <c r="AR677" s="305">
        <v>1.0185070177617686</v>
      </c>
      <c r="AS677" s="305">
        <v>1.0181276384405262</v>
      </c>
      <c r="AT677" s="305">
        <v>1.0241039090795554</v>
      </c>
      <c r="AU677" s="305">
        <v>1.0311871227364184</v>
      </c>
      <c r="AV677" s="305">
        <f ca="1">Calc!AT75</f>
        <v>1.0311871227364184</v>
      </c>
      <c r="AX677" s="86" t="str">
        <f t="shared" ca="1" si="54"/>
        <v>ENI</v>
      </c>
    </row>
    <row r="678" spans="1:50" hidden="1">
      <c r="A678" s="86" t="str">
        <f t="shared" ca="1" si="53"/>
        <v>EZJ</v>
      </c>
      <c r="F678" s="251">
        <v>3.8</v>
      </c>
      <c r="G678" s="251">
        <v>-5.6</v>
      </c>
      <c r="H678" s="251">
        <v>-7.1</v>
      </c>
      <c r="I678" s="251">
        <v>-7.8</v>
      </c>
      <c r="J678" s="251">
        <v>-2</v>
      </c>
      <c r="K678" s="251">
        <v>6.3</v>
      </c>
      <c r="L678" s="251">
        <v>-4.0999999999999996</v>
      </c>
      <c r="M678" s="251">
        <v>5.8</v>
      </c>
      <c r="N678" s="251">
        <v>9.9</v>
      </c>
      <c r="O678" s="251">
        <v>2</v>
      </c>
      <c r="P678" s="251">
        <v>14.4</v>
      </c>
      <c r="Q678" s="251">
        <v>-5.9</v>
      </c>
      <c r="R678" s="251">
        <v>-0.9</v>
      </c>
      <c r="S678" s="251">
        <v>-3.7</v>
      </c>
      <c r="T678" s="251">
        <v>-7.1</v>
      </c>
      <c r="U678" s="251">
        <v>3.7</v>
      </c>
      <c r="V678" s="251">
        <v>0.5</v>
      </c>
      <c r="W678" s="251">
        <v>-6.3</v>
      </c>
      <c r="X678" s="251">
        <v>-1.9</v>
      </c>
      <c r="Y678" s="251">
        <v>8.6999999999999993</v>
      </c>
      <c r="Z678" s="243">
        <f ca="1">[1]ExtEntry!$L76</f>
        <v>8.6999999999999993</v>
      </c>
      <c r="AB678" s="305">
        <v>1.2936376781656682</v>
      </c>
      <c r="AC678" s="305">
        <v>1.3087774294670846</v>
      </c>
      <c r="AD678" s="305">
        <v>1.3284896054306323</v>
      </c>
      <c r="AE678" s="305">
        <v>1.3347186700767264</v>
      </c>
      <c r="AF678" s="305">
        <v>1.380013221683561</v>
      </c>
      <c r="AG678" s="305">
        <v>1.3552261415278077</v>
      </c>
      <c r="AH678" s="305">
        <v>1.36735807860262</v>
      </c>
      <c r="AI678" s="305">
        <v>1.3502587322121604</v>
      </c>
      <c r="AJ678" s="305">
        <v>1.3048654244306419</v>
      </c>
      <c r="AK678" s="305">
        <v>1.2994845360824743</v>
      </c>
      <c r="AL678" s="305">
        <v>1.262014417300761</v>
      </c>
      <c r="AM678" s="305">
        <v>1.2771023302938196</v>
      </c>
      <c r="AN678" s="305">
        <v>1.2794356475842468</v>
      </c>
      <c r="AO678" s="305">
        <v>1.2891184291266109</v>
      </c>
      <c r="AP678" s="305">
        <v>1.2981462409886715</v>
      </c>
      <c r="AQ678" s="305">
        <v>1.2883278822567457</v>
      </c>
      <c r="AR678" s="305">
        <v>1.2574024913212172</v>
      </c>
      <c r="AS678" s="305">
        <v>1.2873719422956302</v>
      </c>
      <c r="AT678" s="305">
        <v>1.2925062972292192</v>
      </c>
      <c r="AU678" s="305">
        <v>1.2693259121830549</v>
      </c>
      <c r="AV678" s="305">
        <f ca="1">Calc!AT76</f>
        <v>1.2693259121830549</v>
      </c>
      <c r="AX678" s="86" t="str">
        <f t="shared" ca="1" si="54"/>
        <v>EZJ</v>
      </c>
    </row>
    <row r="679" spans="1:50" hidden="1">
      <c r="A679" s="86" t="str">
        <f t="shared" ca="1" si="53"/>
        <v>F</v>
      </c>
      <c r="F679" s="251">
        <v>0.34499999999999997</v>
      </c>
      <c r="G679" s="251">
        <v>4.5600000000000002E-2</v>
      </c>
      <c r="H679" s="251">
        <v>0.23499999999999999</v>
      </c>
      <c r="I679" s="251">
        <v>-8.5000000000000006E-2</v>
      </c>
      <c r="J679" s="251">
        <v>0.14000000000000001</v>
      </c>
      <c r="K679" s="251">
        <v>-2.5000000000000001E-2</v>
      </c>
      <c r="L679" s="251">
        <v>-0.38</v>
      </c>
      <c r="M679" s="251">
        <v>0.45500000000000002</v>
      </c>
      <c r="N679" s="251">
        <v>6.5000000000000002E-2</v>
      </c>
      <c r="O679" s="251">
        <v>0.02</v>
      </c>
      <c r="P679" s="251">
        <v>0.06</v>
      </c>
      <c r="Q679" s="251">
        <v>-3.5000000000000003E-2</v>
      </c>
      <c r="R679" s="251">
        <v>-0.2001</v>
      </c>
      <c r="S679" s="251">
        <v>0.03</v>
      </c>
      <c r="T679" s="251">
        <v>0.14499999999999999</v>
      </c>
      <c r="U679" s="251">
        <v>-0.01</v>
      </c>
      <c r="V679" s="251">
        <v>-0.11</v>
      </c>
      <c r="W679" s="251">
        <v>2.5000000000000001E-2</v>
      </c>
      <c r="X679" s="251">
        <v>0.32500000000000001</v>
      </c>
      <c r="Y679" s="251">
        <v>0.215</v>
      </c>
      <c r="Z679" s="243">
        <f ca="1">[1]ExtEntry!$L77</f>
        <v>0.215</v>
      </c>
      <c r="AB679" s="305">
        <v>0.93376475066615916</v>
      </c>
      <c r="AC679" s="305">
        <v>0.93230259357231904</v>
      </c>
      <c r="AD679" s="305">
        <v>0.92881484286255211</v>
      </c>
      <c r="AE679" s="305">
        <v>0.92951875710496401</v>
      </c>
      <c r="AF679" s="305">
        <v>0.94201228878648235</v>
      </c>
      <c r="AG679" s="305">
        <v>0.94382454790303971</v>
      </c>
      <c r="AH679" s="305">
        <v>0.97963258785942497</v>
      </c>
      <c r="AI679" s="305">
        <v>0.95336183443451228</v>
      </c>
      <c r="AJ679" s="305">
        <v>0.94559879108424638</v>
      </c>
      <c r="AK679" s="305">
        <v>0.94882486732373017</v>
      </c>
      <c r="AL679" s="305">
        <v>0.94452830188679249</v>
      </c>
      <c r="AM679" s="305">
        <v>0.94488486221215562</v>
      </c>
      <c r="AN679" s="305">
        <v>0.9656710314122795</v>
      </c>
      <c r="AO679" s="305">
        <v>0.96343341031562746</v>
      </c>
      <c r="AP679" s="305">
        <v>0.95497901564288445</v>
      </c>
      <c r="AQ679" s="305">
        <v>0.95680428134556583</v>
      </c>
      <c r="AR679" s="305">
        <v>0.97006907137375298</v>
      </c>
      <c r="AS679" s="305">
        <v>0.96012153437143954</v>
      </c>
      <c r="AT679" s="305">
        <v>0.94293174188735551</v>
      </c>
      <c r="AU679" s="305">
        <v>0.92770642201834863</v>
      </c>
      <c r="AV679" s="305">
        <f ca="1">Calc!AT77</f>
        <v>0.92770642201834863</v>
      </c>
      <c r="AX679" s="86" t="str">
        <f t="shared" ca="1" si="54"/>
        <v>F</v>
      </c>
    </row>
    <row r="680" spans="1:50" hidden="1">
      <c r="A680" s="86" t="str">
        <f t="shared" ca="1" si="53"/>
        <v>GLE</v>
      </c>
      <c r="F680" s="251">
        <v>0.06</v>
      </c>
      <c r="G680" s="251">
        <v>1.1599999999999999</v>
      </c>
      <c r="H680" s="251">
        <v>-1.1599999999999999</v>
      </c>
      <c r="I680" s="251">
        <v>-1.18</v>
      </c>
      <c r="J680" s="251">
        <v>-0.3</v>
      </c>
      <c r="K680" s="251">
        <v>0.34</v>
      </c>
      <c r="L680" s="251">
        <v>0.6</v>
      </c>
      <c r="M680" s="251">
        <v>-0.88</v>
      </c>
      <c r="N680" s="251">
        <v>1.2</v>
      </c>
      <c r="O680" s="251">
        <v>0.4</v>
      </c>
      <c r="P680" s="251">
        <v>0.04</v>
      </c>
      <c r="Q680" s="251">
        <v>-0.22</v>
      </c>
      <c r="R680" s="251">
        <v>1.34</v>
      </c>
      <c r="S680" s="251">
        <v>-0.42</v>
      </c>
      <c r="T680" s="251">
        <v>-0.54</v>
      </c>
      <c r="U680" s="251">
        <v>1.98</v>
      </c>
      <c r="V680" s="251">
        <v>-0.96</v>
      </c>
      <c r="W680" s="251">
        <v>0.28000000000000003</v>
      </c>
      <c r="X680" s="251">
        <v>0.57999999999999996</v>
      </c>
      <c r="Y680" s="251">
        <v>0.88</v>
      </c>
      <c r="Z680" s="243">
        <f ca="1">[1]ExtEntry!$L78</f>
        <v>0.88</v>
      </c>
      <c r="AB680" s="305">
        <v>1.1838599926793558</v>
      </c>
      <c r="AC680" s="305">
        <v>1.1592492831541219</v>
      </c>
      <c r="AD680" s="305">
        <v>1.1838599926793558</v>
      </c>
      <c r="AE680" s="305">
        <v>1.1156624698171784</v>
      </c>
      <c r="AF680" s="305">
        <v>1.1514081523673905</v>
      </c>
      <c r="AG680" s="305">
        <v>1.1384391059486096</v>
      </c>
      <c r="AH680" s="305">
        <v>1.1265431905259491</v>
      </c>
      <c r="AI680" s="305">
        <v>1.1440769366819949</v>
      </c>
      <c r="AJ680" s="305">
        <v>1.098366050420168</v>
      </c>
      <c r="AK680" s="305">
        <v>1.0910313856427378</v>
      </c>
      <c r="AL680" s="305">
        <v>1.0903033033033032</v>
      </c>
      <c r="AM680" s="305">
        <v>1.0943198258539852</v>
      </c>
      <c r="AN680" s="305">
        <v>1.0703042908614477</v>
      </c>
      <c r="AO680" s="305">
        <v>1.0777173482849602</v>
      </c>
      <c r="AP680" s="305">
        <v>1.0798542630535359</v>
      </c>
      <c r="AQ680" s="305">
        <v>1.04564448</v>
      </c>
      <c r="AR680" s="305">
        <v>1.0730147871303219</v>
      </c>
      <c r="AS680" s="305">
        <v>1.0498144674085852</v>
      </c>
      <c r="AT680" s="305">
        <v>1.0402225897920607</v>
      </c>
      <c r="AU680" s="305">
        <v>1.0259995338719703</v>
      </c>
      <c r="AV680" s="305">
        <f ca="1">Calc!AT78</f>
        <v>1.0259995338719703</v>
      </c>
      <c r="AX680" s="86" t="str">
        <f t="shared" ca="1" si="54"/>
        <v>GLE</v>
      </c>
    </row>
    <row r="681" spans="1:50" hidden="1">
      <c r="A681" s="86" t="str">
        <f t="shared" ca="1" si="53"/>
        <v>GNRC</v>
      </c>
      <c r="F681" s="251">
        <v>2.59</v>
      </c>
      <c r="G681" s="251">
        <v>-5.65</v>
      </c>
      <c r="H681" s="251">
        <v>0.83</v>
      </c>
      <c r="I681" s="251">
        <v>-3.52</v>
      </c>
      <c r="J681" s="251">
        <v>1.95</v>
      </c>
      <c r="K681" s="251">
        <v>4.43</v>
      </c>
      <c r="L681" s="251">
        <v>-5.5</v>
      </c>
      <c r="M681" s="251">
        <v>6.91</v>
      </c>
      <c r="N681" s="251">
        <v>1.46</v>
      </c>
      <c r="O681" s="251">
        <v>0.28000000000000003</v>
      </c>
      <c r="P681" s="251">
        <v>2.81</v>
      </c>
      <c r="Q681" s="251">
        <v>-0.28999999999999998</v>
      </c>
      <c r="R681" s="251">
        <v>6.06</v>
      </c>
      <c r="S681" s="251">
        <v>3.5381999999999998</v>
      </c>
      <c r="T681" s="251">
        <v>3.895</v>
      </c>
      <c r="U681" s="251">
        <v>5.25</v>
      </c>
      <c r="V681" s="251">
        <v>-0.93</v>
      </c>
      <c r="W681" s="251">
        <v>-2.1675</v>
      </c>
      <c r="X681" s="251">
        <v>6.51</v>
      </c>
      <c r="Y681" s="251">
        <v>1.1599999999999999</v>
      </c>
      <c r="Z681" s="243">
        <f ca="1">[1]ExtEntry!$L79</f>
        <v>1.1599999999999999</v>
      </c>
      <c r="AB681" s="305">
        <v>1.303371026510868</v>
      </c>
      <c r="AC681" s="305">
        <v>1.3513358952647689</v>
      </c>
      <c r="AD681" s="305">
        <v>1.341809597723451</v>
      </c>
      <c r="AE681" s="305">
        <v>1.3729773013036859</v>
      </c>
      <c r="AF681" s="305">
        <v>1.4563428330759509</v>
      </c>
      <c r="AG681" s="305">
        <v>1.4124215399278373</v>
      </c>
      <c r="AH681" s="305">
        <v>1.4635341422121897</v>
      </c>
      <c r="AI681" s="305">
        <v>1.4101175830897845</v>
      </c>
      <c r="AJ681" s="305">
        <v>1.3731502466337822</v>
      </c>
      <c r="AK681" s="305">
        <v>1.3840365493147002</v>
      </c>
      <c r="AL681" s="305">
        <v>1.3585702037855305</v>
      </c>
      <c r="AM681" s="305">
        <v>1.3611735165851724</v>
      </c>
      <c r="AN681" s="305">
        <v>1.3266357547655847</v>
      </c>
      <c r="AO681" s="305">
        <v>1.2968355952412429</v>
      </c>
      <c r="AP681" s="305">
        <v>1.2939292107659934</v>
      </c>
      <c r="AQ681" s="305">
        <v>1.2528889429509793</v>
      </c>
      <c r="AR681" s="305">
        <v>1.2691762676360052</v>
      </c>
      <c r="AS681" s="305">
        <v>1.2726065267417257</v>
      </c>
      <c r="AT681" s="305">
        <v>1.2363461769295403</v>
      </c>
      <c r="AU681" s="305">
        <v>1.2281643116914089</v>
      </c>
      <c r="AV681" s="305">
        <f ca="1">Calc!AT79</f>
        <v>1.2281643116914089</v>
      </c>
      <c r="AX681" s="86" t="str">
        <f t="shared" ca="1" si="54"/>
        <v>GNRC</v>
      </c>
    </row>
    <row r="682" spans="1:50" hidden="1">
      <c r="A682" s="86" t="str">
        <f t="shared" ca="1" si="53"/>
        <v>GS</v>
      </c>
      <c r="F682" s="251">
        <v>2.2799999999999998</v>
      </c>
      <c r="G682" s="251">
        <v>-5.72</v>
      </c>
      <c r="H682" s="251">
        <v>-2.2250000000000001</v>
      </c>
      <c r="I682" s="251">
        <v>-15.02</v>
      </c>
      <c r="J682" s="251">
        <v>1.34</v>
      </c>
      <c r="K682" s="251">
        <v>4.59</v>
      </c>
      <c r="L682" s="251">
        <v>-7.93</v>
      </c>
      <c r="M682" s="251">
        <v>3.71</v>
      </c>
      <c r="N682" s="251">
        <v>13.574999999999999</v>
      </c>
      <c r="O682" s="251">
        <v>13.53</v>
      </c>
      <c r="P682" s="251">
        <v>9.6750000000000007</v>
      </c>
      <c r="Q682" s="251">
        <v>-12.744</v>
      </c>
      <c r="R682" s="251">
        <v>7.7750000000000004</v>
      </c>
      <c r="S682" s="251">
        <v>9.0649999999999995</v>
      </c>
      <c r="T682" s="251">
        <v>21.45</v>
      </c>
      <c r="U682" s="251">
        <v>-0.04</v>
      </c>
      <c r="V682" s="251">
        <v>16.63</v>
      </c>
      <c r="W682" s="251">
        <v>11.683199999999999</v>
      </c>
      <c r="X682" s="251">
        <v>12.72</v>
      </c>
      <c r="Y682" s="251">
        <v>21.7</v>
      </c>
      <c r="Z682" s="243">
        <f ca="1">[1]ExtEntry!$L80</f>
        <v>21.7</v>
      </c>
      <c r="AB682" s="305">
        <v>1.0110099481786889</v>
      </c>
      <c r="AC682" s="305">
        <v>1.0183803040501924</v>
      </c>
      <c r="AD682" s="305">
        <v>1.0209931814275073</v>
      </c>
      <c r="AE682" s="305">
        <v>1.0143736716931484</v>
      </c>
      <c r="AF682" s="305">
        <v>1.0321046466726733</v>
      </c>
      <c r="AG682" s="305">
        <v>1.0268310517486456</v>
      </c>
      <c r="AH682" s="305">
        <v>1.0305658946610801</v>
      </c>
      <c r="AI682" s="305">
        <v>1.0314275607465815</v>
      </c>
      <c r="AJ682" s="305">
        <v>0.98361468081064352</v>
      </c>
      <c r="AK682" s="305">
        <v>0.98366893424036272</v>
      </c>
      <c r="AL682" s="305">
        <v>0.97195213671073111</v>
      </c>
      <c r="AM682" s="305">
        <v>0.98675795774232256</v>
      </c>
      <c r="AN682" s="305">
        <v>0.98513604252211118</v>
      </c>
      <c r="AO682" s="305">
        <v>0.97361475235813288</v>
      </c>
      <c r="AP682" s="305">
        <v>0.95920242392369659</v>
      </c>
      <c r="AQ682" s="305">
        <v>0.95935148769320888</v>
      </c>
      <c r="AR682" s="305">
        <v>0.9392204433209278</v>
      </c>
      <c r="AS682" s="305">
        <v>0.91365071247620033</v>
      </c>
      <c r="AT682" s="305">
        <v>0.90242471606881824</v>
      </c>
      <c r="AU682" s="305">
        <v>0.88098700243704298</v>
      </c>
      <c r="AV682" s="305">
        <f ca="1">Calc!AT80</f>
        <v>0.88098700243704298</v>
      </c>
      <c r="AX682" s="86" t="str">
        <f t="shared" ca="1" si="54"/>
        <v>GS</v>
      </c>
    </row>
    <row r="683" spans="1:50" hidden="1">
      <c r="A683" s="86" t="str">
        <f t="shared" ca="1" si="53"/>
        <v>LAZR</v>
      </c>
      <c r="F683" s="251">
        <v>-0.11</v>
      </c>
      <c r="G683" s="251">
        <v>-5.1700000000000003E-2</v>
      </c>
      <c r="H683" s="251">
        <v>9.5000000000000001E-2</v>
      </c>
      <c r="I683" s="251">
        <v>-0.05</v>
      </c>
      <c r="J683" s="251">
        <v>-4.1300000000000003E-2</v>
      </c>
      <c r="K683" s="251">
        <v>1.9699999999999999E-2</v>
      </c>
      <c r="L683" s="251">
        <v>1.83E-2</v>
      </c>
      <c r="M683" s="251">
        <v>-2.5700000000000001E-2</v>
      </c>
      <c r="N683" s="251">
        <v>2.9700000000000001E-2</v>
      </c>
      <c r="O683" s="251">
        <v>1.9300000000000001E-2</v>
      </c>
      <c r="P683" s="251">
        <v>9.0300000000000005E-2</v>
      </c>
      <c r="Q683" s="251">
        <v>-2.53E-2</v>
      </c>
      <c r="R683" s="251">
        <v>-3.4099999999999998E-2</v>
      </c>
      <c r="S683" s="251">
        <v>1.1999999999999999E-3</v>
      </c>
      <c r="T683" s="251">
        <v>5.9799999999999999E-2</v>
      </c>
      <c r="U683" s="251">
        <v>0.20710000000000001</v>
      </c>
      <c r="V683" s="251">
        <v>-0.1004</v>
      </c>
      <c r="W683" s="251">
        <v>1.04E-2</v>
      </c>
      <c r="X683" s="251">
        <v>1.46E-2</v>
      </c>
      <c r="Y683" s="251">
        <v>9.2700000000000005E-2</v>
      </c>
      <c r="Z683" s="243">
        <f ca="1">[1]ExtEntry!$L81</f>
        <v>9.2700000000000005E-2</v>
      </c>
      <c r="AB683" s="305">
        <v>2.0161290322580645</v>
      </c>
      <c r="AC683" s="305">
        <v>2.1038458301775647</v>
      </c>
      <c r="AD683" s="305">
        <v>2.0080321285140559</v>
      </c>
      <c r="AE683" s="305">
        <v>2.4752475247524752</v>
      </c>
      <c r="AF683" s="305">
        <v>2.8865027133125505</v>
      </c>
      <c r="AG683" s="305">
        <v>2.8223075186272295</v>
      </c>
      <c r="AH683" s="305">
        <v>2.7067994802944999</v>
      </c>
      <c r="AI683" s="305">
        <v>2.8548589699668834</v>
      </c>
      <c r="AJ683" s="305">
        <v>18.151004356243948</v>
      </c>
      <c r="AK683" s="305">
        <v>18.38234068627451</v>
      </c>
      <c r="AL683" s="305">
        <v>16.550799955864505</v>
      </c>
      <c r="AM683" s="305">
        <v>17.026095346197504</v>
      </c>
      <c r="AN683" s="305">
        <v>18.161992977358036</v>
      </c>
      <c r="AO683" s="305">
        <v>18.292670731707318</v>
      </c>
      <c r="AP683" s="305">
        <v>17.072604142954699</v>
      </c>
      <c r="AQ683" s="305">
        <v>13.815962052132264</v>
      </c>
      <c r="AR683" s="305">
        <v>16.135961703958692</v>
      </c>
      <c r="AS683" s="305">
        <v>17.035763770584897</v>
      </c>
      <c r="AT683" s="305">
        <v>17.172283915283341</v>
      </c>
      <c r="AU683" s="305">
        <v>15.524725729662597</v>
      </c>
      <c r="AV683" s="305">
        <f ca="1">Calc!AT81</f>
        <v>15.524725729662597</v>
      </c>
      <c r="AX683" s="86" t="str">
        <f t="shared" ca="1" si="54"/>
        <v>LAZR</v>
      </c>
    </row>
    <row r="684" spans="1:50" hidden="1">
      <c r="A684" s="86" t="str">
        <f t="shared" ca="1" si="53"/>
        <v>LUV</v>
      </c>
      <c r="F684" s="251">
        <v>1.9450000000000001</v>
      </c>
      <c r="G684" s="251">
        <v>-0.17</v>
      </c>
      <c r="H684" s="251">
        <v>0.85499999999999998</v>
      </c>
      <c r="I684" s="251">
        <v>-0.20499999999999999</v>
      </c>
      <c r="J684" s="251">
        <v>0.11</v>
      </c>
      <c r="K684" s="251">
        <v>-0.14000000000000001</v>
      </c>
      <c r="L684" s="251">
        <v>-0.51</v>
      </c>
      <c r="M684" s="251">
        <v>1.669</v>
      </c>
      <c r="N684" s="251">
        <v>0.77</v>
      </c>
      <c r="O684" s="251">
        <v>0.70499999999999996</v>
      </c>
      <c r="P684" s="251">
        <v>-0.23499999999999999</v>
      </c>
      <c r="Q684" s="251">
        <v>7.4999999999999997E-2</v>
      </c>
      <c r="R684" s="251">
        <v>0.67500000000000004</v>
      </c>
      <c r="S684" s="251">
        <v>0.11</v>
      </c>
      <c r="T684" s="251">
        <v>0.255</v>
      </c>
      <c r="U684" s="251">
        <v>0.19500000000000001</v>
      </c>
      <c r="V684" s="251">
        <v>2.02</v>
      </c>
      <c r="W684" s="251">
        <v>0.45500000000000002</v>
      </c>
      <c r="X684" s="251">
        <v>1.675</v>
      </c>
      <c r="Y684" s="251">
        <v>0.91</v>
      </c>
      <c r="Z684" s="243">
        <f ca="1">[1]ExtEntry!$L82</f>
        <v>0.91</v>
      </c>
      <c r="AB684" s="305">
        <v>1.0777694132532027</v>
      </c>
      <c r="AC684" s="305">
        <v>1.0834238473767888</v>
      </c>
      <c r="AD684" s="305">
        <v>1.0527940676656882</v>
      </c>
      <c r="AE684" s="305">
        <v>1.0377243794731232</v>
      </c>
      <c r="AF684" s="305">
        <v>1.0661351689612015</v>
      </c>
      <c r="AG684" s="305">
        <v>1.0708258956631052</v>
      </c>
      <c r="AH684" s="305">
        <v>1.0848035657433939</v>
      </c>
      <c r="AI684" s="305">
        <v>1.0379140394163697</v>
      </c>
      <c r="AJ684" s="305">
        <v>0.97442584685454026</v>
      </c>
      <c r="AK684" s="305">
        <v>0.97623214031085137</v>
      </c>
      <c r="AL684" s="305">
        <v>0.98295994256999275</v>
      </c>
      <c r="AM684" s="305">
        <v>0.98126931345850665</v>
      </c>
      <c r="AN684" s="305">
        <v>0.96576611651854993</v>
      </c>
      <c r="AO684" s="305">
        <v>0.96318458075407998</v>
      </c>
      <c r="AP684" s="305">
        <v>0.95927084209051416</v>
      </c>
      <c r="AQ684" s="305">
        <v>0.9541903832752614</v>
      </c>
      <c r="AR684" s="305">
        <v>0.91118160190325137</v>
      </c>
      <c r="AS684" s="305">
        <v>0.8975393828928524</v>
      </c>
      <c r="AT684" s="305">
        <v>0.86553672316384167</v>
      </c>
      <c r="AU684" s="305">
        <v>0.84609720176730474</v>
      </c>
      <c r="AV684" s="305">
        <f ca="1">Calc!AT82</f>
        <v>0.84609720176730474</v>
      </c>
      <c r="AX684" s="86" t="str">
        <f t="shared" ca="1" si="54"/>
        <v>LUV</v>
      </c>
    </row>
    <row r="685" spans="1:50" hidden="1">
      <c r="A685" s="86" t="str">
        <f t="shared" ca="1" si="53"/>
        <v>MA</v>
      </c>
      <c r="F685" s="251">
        <v>1.01</v>
      </c>
      <c r="G685" s="251">
        <v>-0.98</v>
      </c>
      <c r="H685" s="251">
        <v>-1.98</v>
      </c>
      <c r="I685" s="251">
        <v>-9.84</v>
      </c>
      <c r="J685" s="251">
        <v>-9.75</v>
      </c>
      <c r="K685" s="251">
        <v>-1.4975000000000001</v>
      </c>
      <c r="L685" s="251">
        <v>5.35</v>
      </c>
      <c r="M685" s="251">
        <v>13.3</v>
      </c>
      <c r="N685" s="251">
        <v>0.99</v>
      </c>
      <c r="O685" s="251">
        <v>-1.54</v>
      </c>
      <c r="P685" s="251">
        <v>5.15</v>
      </c>
      <c r="Q685" s="251">
        <v>-2.0449999999999999</v>
      </c>
      <c r="R685" s="251">
        <v>1.38</v>
      </c>
      <c r="S685" s="251">
        <v>4.09</v>
      </c>
      <c r="T685" s="251">
        <v>8.77</v>
      </c>
      <c r="U685" s="251">
        <v>-11.164999999999999</v>
      </c>
      <c r="V685" s="251">
        <v>3</v>
      </c>
      <c r="W685" s="251">
        <v>-1.05</v>
      </c>
      <c r="X685" s="251">
        <v>1.29</v>
      </c>
      <c r="Y685" s="251">
        <v>24.71</v>
      </c>
      <c r="Z685" s="243">
        <f ca="1">[1]ExtEntry!$L83</f>
        <v>24.71</v>
      </c>
      <c r="AB685" s="305">
        <v>1.1831943441201964</v>
      </c>
      <c r="AC685" s="305">
        <v>1.1862576720438867</v>
      </c>
      <c r="AD685" s="305">
        <v>1.1884739706149103</v>
      </c>
      <c r="AE685" s="305">
        <v>1.2006041449068219</v>
      </c>
      <c r="AF685" s="305">
        <v>1.243038702333523</v>
      </c>
      <c r="AG685" s="305">
        <v>1.2454428725532591</v>
      </c>
      <c r="AH685" s="305">
        <v>1.2230604244833958</v>
      </c>
      <c r="AI685" s="305">
        <v>1.2106982889242028</v>
      </c>
      <c r="AJ685" s="305">
        <v>1.1991845066306213</v>
      </c>
      <c r="AK685" s="305">
        <v>1.2047520782485825</v>
      </c>
      <c r="AL685" s="305">
        <v>1.1934728584933099</v>
      </c>
      <c r="AM685" s="305">
        <v>1.1969434897946161</v>
      </c>
      <c r="AN685" s="305">
        <v>1.2038242413129181</v>
      </c>
      <c r="AO685" s="305">
        <v>1.1936464545454546</v>
      </c>
      <c r="AP685" s="305">
        <v>1.183575304680176</v>
      </c>
      <c r="AQ685" s="305">
        <v>1.2100035018845667</v>
      </c>
      <c r="AR685" s="305">
        <v>1.2039125451578001</v>
      </c>
      <c r="AS685" s="305">
        <v>1.2171259200207643</v>
      </c>
      <c r="AT685" s="305">
        <v>1.2183682540271694</v>
      </c>
      <c r="AU685" s="305">
        <v>1.1649050694678564</v>
      </c>
      <c r="AV685" s="305">
        <f ca="1">Calc!AT83</f>
        <v>1.1649050694678564</v>
      </c>
      <c r="AX685" s="86" t="str">
        <f t="shared" ca="1" si="54"/>
        <v>MA</v>
      </c>
    </row>
    <row r="686" spans="1:50" hidden="1">
      <c r="A686" s="86" t="str">
        <f t="shared" ca="1" si="53"/>
        <v>NVAX</v>
      </c>
      <c r="F686" s="251">
        <v>0.18</v>
      </c>
      <c r="G686" s="251">
        <v>1.01E-2</v>
      </c>
      <c r="H686" s="251">
        <v>-0.18099999999999999</v>
      </c>
      <c r="I686" s="251">
        <v>-0.09</v>
      </c>
      <c r="J686" s="251">
        <v>-0.23</v>
      </c>
      <c r="K686" s="251">
        <v>-0.17499999999999999</v>
      </c>
      <c r="L686" s="251">
        <v>-0.105</v>
      </c>
      <c r="M686" s="251">
        <v>0.255</v>
      </c>
      <c r="N686" s="251">
        <v>0.185</v>
      </c>
      <c r="O686" s="251">
        <v>0.26</v>
      </c>
      <c r="P686" s="251">
        <v>0.1</v>
      </c>
      <c r="Q686" s="251">
        <v>-0.27500000000000002</v>
      </c>
      <c r="R686" s="251">
        <v>-8.5000000000000006E-2</v>
      </c>
      <c r="S686" s="251">
        <v>0.17469999999999999</v>
      </c>
      <c r="T686" s="251">
        <v>0.24</v>
      </c>
      <c r="U686" s="251">
        <v>-1.4999999999999999E-2</v>
      </c>
      <c r="V686" s="251">
        <v>0.05</v>
      </c>
      <c r="W686" s="251">
        <v>0.02</v>
      </c>
      <c r="X686" s="251">
        <v>0.08</v>
      </c>
      <c r="Y686" s="251">
        <v>-0.05</v>
      </c>
      <c r="Z686" s="243">
        <f ca="1">[1]ExtEntry!$L84</f>
        <v>-0.05</v>
      </c>
      <c r="AB686" s="305">
        <v>1.6401170351105332</v>
      </c>
      <c r="AC686" s="305">
        <v>1.6379657407046664</v>
      </c>
      <c r="AD686" s="305">
        <v>1.7023215008773116</v>
      </c>
      <c r="AE686" s="305">
        <v>1.8095408895265426</v>
      </c>
      <c r="AF686" s="305">
        <v>1.919710806697108</v>
      </c>
      <c r="AG686" s="305">
        <v>1.9722439405785772</v>
      </c>
      <c r="AH686" s="305">
        <v>2.0228548516439453</v>
      </c>
      <c r="AI686" s="305">
        <v>1.9478764478764481</v>
      </c>
      <c r="AJ686" s="305">
        <v>1.8424247272727272</v>
      </c>
      <c r="AK686" s="305">
        <v>1.8225424460431654</v>
      </c>
      <c r="AL686" s="305">
        <v>1.7966907801418439</v>
      </c>
      <c r="AM686" s="305">
        <v>1.8696191881918818</v>
      </c>
      <c r="AN686" s="305">
        <v>1.9177395912187736</v>
      </c>
      <c r="AO686" s="305">
        <v>1.8697019794234431</v>
      </c>
      <c r="AP686" s="305">
        <v>1.8518523391812867</v>
      </c>
      <c r="AQ686" s="305">
        <v>1.8559223443223443</v>
      </c>
      <c r="AR686" s="305">
        <v>1.8330926193921853</v>
      </c>
      <c r="AS686" s="305">
        <v>1.8627455882352941</v>
      </c>
      <c r="AT686" s="305">
        <v>1.8793278931750741</v>
      </c>
      <c r="AU686" s="305">
        <v>1.8933736920777278</v>
      </c>
      <c r="AV686" s="305">
        <f ca="1">Calc!AT84</f>
        <v>1.8933736920777278</v>
      </c>
      <c r="AX686" s="86" t="str">
        <f t="shared" ca="1" si="54"/>
        <v>NVAX</v>
      </c>
    </row>
    <row r="687" spans="1:50" hidden="1">
      <c r="A687" s="86" t="str">
        <f t="shared" ca="1" si="53"/>
        <v>NVS</v>
      </c>
      <c r="F687" s="251">
        <v>0.49</v>
      </c>
      <c r="G687" s="251">
        <v>1.2050000000000001</v>
      </c>
      <c r="H687" s="251">
        <v>-0.12</v>
      </c>
      <c r="I687" s="251">
        <v>-0.65</v>
      </c>
      <c r="J687" s="251">
        <v>-3.57</v>
      </c>
      <c r="K687" s="251">
        <v>-1.17</v>
      </c>
      <c r="L687" s="251">
        <v>-2.6549999999999998</v>
      </c>
      <c r="M687" s="251">
        <v>3.19</v>
      </c>
      <c r="N687" s="251">
        <v>0.27</v>
      </c>
      <c r="O687" s="251">
        <v>0.18</v>
      </c>
      <c r="P687" s="251">
        <v>-0.04</v>
      </c>
      <c r="Q687" s="251">
        <v>-1.02</v>
      </c>
      <c r="R687" s="251">
        <v>3.34</v>
      </c>
      <c r="S687" s="251">
        <v>1.73</v>
      </c>
      <c r="T687" s="251">
        <v>1.44</v>
      </c>
      <c r="U687" s="251">
        <v>-0.49</v>
      </c>
      <c r="V687" s="251">
        <v>-0.17</v>
      </c>
      <c r="W687" s="251">
        <v>1.61</v>
      </c>
      <c r="X687" s="251">
        <v>0.18</v>
      </c>
      <c r="Y687" s="251">
        <v>1.17</v>
      </c>
      <c r="Z687" s="243">
        <f ca="1">[1]ExtEntry!$L85</f>
        <v>1.17</v>
      </c>
      <c r="AB687" s="305">
        <v>1.0155697211155379</v>
      </c>
      <c r="AC687" s="305">
        <v>1.0059113689278245</v>
      </c>
      <c r="AD687" s="305">
        <v>1.0079398971925662</v>
      </c>
      <c r="AE687" s="305">
        <v>0.97100411397226882</v>
      </c>
      <c r="AF687" s="305">
        <v>0.995889982809814</v>
      </c>
      <c r="AG687" s="305">
        <v>1.0048407442447176</v>
      </c>
      <c r="AH687" s="305">
        <v>1.0224539729653843</v>
      </c>
      <c r="AI687" s="305">
        <v>0.9992473539788318</v>
      </c>
      <c r="AJ687" s="305">
        <v>1.0171692331264843</v>
      </c>
      <c r="AK687" s="305">
        <v>1.0178710518245937</v>
      </c>
      <c r="AL687" s="305">
        <v>1.0181832822085888</v>
      </c>
      <c r="AM687" s="305">
        <v>1.0262103880043283</v>
      </c>
      <c r="AN687" s="305">
        <v>1.0034849973546973</v>
      </c>
      <c r="AO687" s="305">
        <v>0.99075516752481152</v>
      </c>
      <c r="AP687" s="305">
        <v>0.99290382889620099</v>
      </c>
      <c r="AQ687" s="305">
        <v>0.99655558057494553</v>
      </c>
      <c r="AR687" s="305">
        <v>1.0198262513231513</v>
      </c>
      <c r="AS687" s="305">
        <v>1.0235409015025041</v>
      </c>
      <c r="AT687" s="305">
        <v>1.0281440658586782</v>
      </c>
      <c r="AU687" s="305">
        <v>1.0190557570262917</v>
      </c>
      <c r="AV687" s="305">
        <f ca="1">Calc!AT85</f>
        <v>1.0190557570262917</v>
      </c>
      <c r="AX687" s="86" t="str">
        <f t="shared" ca="1" si="54"/>
        <v>NVS</v>
      </c>
    </row>
    <row r="688" spans="1:50" hidden="1">
      <c r="A688" s="86" t="str">
        <f t="shared" ca="1" si="53"/>
        <v>ORA</v>
      </c>
      <c r="F688" s="251">
        <v>0</v>
      </c>
      <c r="G688" s="251">
        <v>0.22500000000000001</v>
      </c>
      <c r="H688" s="251">
        <v>0.22500000000000001</v>
      </c>
      <c r="I688" s="251">
        <v>-0.31</v>
      </c>
      <c r="J688" s="251">
        <v>-0.27</v>
      </c>
      <c r="K688" s="251">
        <v>-0.18</v>
      </c>
      <c r="L688" s="251">
        <v>-0.12</v>
      </c>
      <c r="M688" s="251">
        <v>0.28499999999999998</v>
      </c>
      <c r="N688" s="251">
        <v>0.1</v>
      </c>
      <c r="O688" s="251">
        <v>0.02</v>
      </c>
      <c r="P688" s="251">
        <v>0.09</v>
      </c>
      <c r="Q688" s="251">
        <v>-4.4999999999999998E-2</v>
      </c>
      <c r="R688" s="251">
        <v>0.22500000000000001</v>
      </c>
      <c r="S688" s="251">
        <v>-5.0000000000000001E-3</v>
      </c>
      <c r="T688" s="251">
        <v>1.4999999999999999E-2</v>
      </c>
      <c r="U688" s="251">
        <v>-5.5E-2</v>
      </c>
      <c r="V688" s="251">
        <v>-0.28999999999999998</v>
      </c>
      <c r="W688" s="251">
        <v>5.0000000000000001E-3</v>
      </c>
      <c r="X688" s="251">
        <v>-0.05</v>
      </c>
      <c r="Y688" s="251">
        <v>7.0000000000000007E-2</v>
      </c>
      <c r="Z688" s="243">
        <f ca="1">[1]ExtEntry!$L86</f>
        <v>7.0000000000000007E-2</v>
      </c>
      <c r="AB688" s="305">
        <v>1.1171870215092963</v>
      </c>
      <c r="AC688" s="305">
        <v>1.0991549497847919</v>
      </c>
      <c r="AD688" s="305">
        <v>1.0816957289092834</v>
      </c>
      <c r="AE688" s="305">
        <v>1.0928830242510699</v>
      </c>
      <c r="AF688" s="305">
        <v>1.1192271731190651</v>
      </c>
      <c r="AG688" s="305">
        <v>1.1119172714078376</v>
      </c>
      <c r="AH688" s="305">
        <v>1.1216852122986822</v>
      </c>
      <c r="AI688" s="305">
        <v>1.0987608461814269</v>
      </c>
      <c r="AJ688" s="305">
        <v>1.0991811079545455</v>
      </c>
      <c r="AK688" s="305">
        <v>1.0976219858156029</v>
      </c>
      <c r="AL688" s="305">
        <v>1.0906603241719521</v>
      </c>
      <c r="AM688" s="305">
        <v>1.094130081300813</v>
      </c>
      <c r="AN688" s="305">
        <v>1.0999623312011373</v>
      </c>
      <c r="AO688" s="305">
        <v>1.100353359402773</v>
      </c>
      <c r="AP688" s="305">
        <v>1.0987909123180688</v>
      </c>
      <c r="AQ688" s="305">
        <v>1.1030983606557379</v>
      </c>
      <c r="AR688" s="305">
        <v>1.1328027656477437</v>
      </c>
      <c r="AS688" s="305">
        <v>1.1348676631425447</v>
      </c>
      <c r="AT688" s="305">
        <v>1.1390201244054154</v>
      </c>
      <c r="AU688" s="305">
        <v>1.133215143793229</v>
      </c>
      <c r="AV688" s="305">
        <f ca="1">Calc!AT86</f>
        <v>1.133215143793229</v>
      </c>
      <c r="AX688" s="86" t="str">
        <f t="shared" ca="1" si="54"/>
        <v>ORA</v>
      </c>
    </row>
    <row r="689" spans="1:51" hidden="1">
      <c r="A689" s="86" t="str">
        <f t="shared" ca="1" si="53"/>
        <v>OXY</v>
      </c>
      <c r="F689" s="251">
        <v>-0.30499999999999999</v>
      </c>
      <c r="G689" s="251">
        <v>0.52</v>
      </c>
      <c r="H689" s="251">
        <v>0.88929999999999998</v>
      </c>
      <c r="I689" s="251">
        <v>0.75</v>
      </c>
      <c r="J689" s="251">
        <v>0.82499999999999996</v>
      </c>
      <c r="K689" s="251">
        <v>-1.0349999999999999</v>
      </c>
      <c r="L689" s="251">
        <v>-0.12</v>
      </c>
      <c r="M689" s="251">
        <v>0.12</v>
      </c>
      <c r="N689" s="251">
        <v>0.22500000000000001</v>
      </c>
      <c r="O689" s="251">
        <v>5.0000000000000001E-3</v>
      </c>
      <c r="P689" s="251">
        <v>0.56999999999999995</v>
      </c>
      <c r="Q689" s="251">
        <v>0.71509999999999996</v>
      </c>
      <c r="R689" s="251">
        <v>-0.375</v>
      </c>
      <c r="S689" s="251">
        <v>0.38500000000000001</v>
      </c>
      <c r="T689" s="251">
        <v>0.495</v>
      </c>
      <c r="U689" s="251">
        <v>0.22</v>
      </c>
      <c r="V689" s="251">
        <v>-0.24</v>
      </c>
      <c r="W689" s="251">
        <v>0.35499999999999998</v>
      </c>
      <c r="X689" s="251">
        <v>0.44</v>
      </c>
      <c r="Y689" s="251">
        <v>-0.55000000000000004</v>
      </c>
      <c r="Z689" s="243">
        <f ca="1">[1]ExtEntry!$L87</f>
        <v>-0.55000000000000004</v>
      </c>
      <c r="AB689" s="305">
        <v>1.2548847265870522</v>
      </c>
      <c r="AC689" s="305">
        <v>1.2394596473801838</v>
      </c>
      <c r="AD689" s="305">
        <v>1.2117962674772331</v>
      </c>
      <c r="AE689" s="305">
        <v>1.1670105213935</v>
      </c>
      <c r="AF689" s="305">
        <v>1.1740101140773844</v>
      </c>
      <c r="AG689" s="305">
        <v>1.2031587320718333</v>
      </c>
      <c r="AH689" s="305">
        <v>1.207670941204936</v>
      </c>
      <c r="AI689" s="305">
        <v>1.207670941204936</v>
      </c>
      <c r="AJ689" s="305">
        <v>1.2109203794884114</v>
      </c>
      <c r="AK689" s="305">
        <v>1.2173528914644454</v>
      </c>
      <c r="AL689" s="305">
        <v>1.2006827816146701</v>
      </c>
      <c r="AM689" s="305">
        <v>1.1803008772073578</v>
      </c>
      <c r="AN689" s="305">
        <v>1.2013980698200881</v>
      </c>
      <c r="AO689" s="305">
        <v>1.1900547621857667</v>
      </c>
      <c r="AP689" s="305">
        <v>1.1869728075338435</v>
      </c>
      <c r="AQ689" s="305">
        <v>1.1815483946566674</v>
      </c>
      <c r="AR689" s="305">
        <v>1.1872495875559745</v>
      </c>
      <c r="AS689" s="305">
        <v>1.2075991849454633</v>
      </c>
      <c r="AT689" s="305">
        <v>1.2065868263473054</v>
      </c>
      <c r="AU689" s="305">
        <v>1.2226941747572815</v>
      </c>
      <c r="AV689" s="305">
        <f ca="1">Calc!AT87</f>
        <v>1.2226941747572815</v>
      </c>
      <c r="AX689" s="86" t="str">
        <f t="shared" ca="1" si="54"/>
        <v>OXY</v>
      </c>
    </row>
    <row r="690" spans="1:51" hidden="1">
      <c r="A690" s="86" t="str">
        <f t="shared" ca="1" si="53"/>
        <v>PFE</v>
      </c>
      <c r="F690" s="251">
        <v>0.33500000000000002</v>
      </c>
      <c r="G690" s="251">
        <v>0.26500000000000001</v>
      </c>
      <c r="H690" s="251">
        <v>-4.4999999999999998E-2</v>
      </c>
      <c r="I690" s="251">
        <v>-0.70499999999999996</v>
      </c>
      <c r="J690" s="251">
        <v>0.37</v>
      </c>
      <c r="K690" s="251">
        <v>-0.435</v>
      </c>
      <c r="L690" s="251">
        <v>-0.48499999999999999</v>
      </c>
      <c r="M690" s="251">
        <v>0.66</v>
      </c>
      <c r="N690" s="251">
        <v>-1.4999999999999999E-2</v>
      </c>
      <c r="O690" s="251">
        <v>-0.01</v>
      </c>
      <c r="P690" s="251">
        <v>0</v>
      </c>
      <c r="Q690" s="251">
        <v>-0.375</v>
      </c>
      <c r="R690" s="251">
        <v>-0.105</v>
      </c>
      <c r="S690" s="251">
        <v>0.53500000000000003</v>
      </c>
      <c r="T690" s="251">
        <v>0.46300000000000002</v>
      </c>
      <c r="U690" s="251">
        <v>0.04</v>
      </c>
      <c r="V690" s="251">
        <v>0.32</v>
      </c>
      <c r="W690" s="251">
        <v>-0.19500000000000001</v>
      </c>
      <c r="X690" s="251">
        <v>0.44500000000000001</v>
      </c>
      <c r="Y690" s="251">
        <v>0.03</v>
      </c>
      <c r="Z690" s="243">
        <f ca="1">[1]ExtEntry!$L88</f>
        <v>0.03</v>
      </c>
      <c r="AB690" s="305">
        <v>1.1671158920235436</v>
      </c>
      <c r="AC690" s="305">
        <v>1.1558552763819094</v>
      </c>
      <c r="AD690" s="305">
        <v>1.1795651282051283</v>
      </c>
      <c r="AE690" s="305">
        <v>1.1461789914291409</v>
      </c>
      <c r="AF690" s="305">
        <v>1.1297406679764244</v>
      </c>
      <c r="AG690" s="305">
        <v>1.1493863681790926</v>
      </c>
      <c r="AH690" s="305">
        <v>1.1785980733756918</v>
      </c>
      <c r="AI690" s="305">
        <v>1.1473224261771748</v>
      </c>
      <c r="AJ690" s="305">
        <v>1.1297249562341958</v>
      </c>
      <c r="AK690" s="305">
        <v>1.1295052508751457</v>
      </c>
      <c r="AL690" s="305">
        <v>1.1295052508751457</v>
      </c>
      <c r="AM690" s="305">
        <v>1.1448681253696038</v>
      </c>
      <c r="AN690" s="305">
        <v>1.1539670176832904</v>
      </c>
      <c r="AO690" s="305">
        <v>1.130604633054312</v>
      </c>
      <c r="AP690" s="305">
        <v>1.1337828446492015</v>
      </c>
      <c r="AQ690" s="305">
        <v>1.1339156579461149</v>
      </c>
      <c r="AR690" s="305">
        <v>1.1160484242890085</v>
      </c>
      <c r="AS690" s="305">
        <v>1.135467448680352</v>
      </c>
      <c r="AT690" s="305">
        <v>1.1266568380213386</v>
      </c>
      <c r="AU690" s="305">
        <v>1.1251290197597832</v>
      </c>
      <c r="AV690" s="305">
        <f ca="1">Calc!AT88</f>
        <v>1.1251290197597832</v>
      </c>
      <c r="AX690" s="86" t="str">
        <f t="shared" ca="1" si="54"/>
        <v>PFE</v>
      </c>
    </row>
    <row r="691" spans="1:51" hidden="1">
      <c r="A691" s="86" t="str">
        <f t="shared" ca="1" si="53"/>
        <v>RIG</v>
      </c>
      <c r="F691" s="251">
        <v>-5.0000000000000001E-3</v>
      </c>
      <c r="G691" s="251">
        <v>2.5000000000000001E-2</v>
      </c>
      <c r="H691" s="251">
        <v>0.06</v>
      </c>
      <c r="I691" s="251">
        <v>0</v>
      </c>
      <c r="J691" s="251">
        <v>0.05</v>
      </c>
      <c r="K691" s="251">
        <v>-3.5000000000000003E-2</v>
      </c>
      <c r="L691" s="251">
        <v>-0.21</v>
      </c>
      <c r="M691" s="251">
        <v>4.4299999999999999E-2</v>
      </c>
      <c r="N691" s="251">
        <v>0.23</v>
      </c>
      <c r="O691" s="251">
        <v>0.25</v>
      </c>
      <c r="P691" s="251">
        <v>0.09</v>
      </c>
      <c r="Q691" s="251">
        <v>3.7999999999999999E-2</v>
      </c>
      <c r="R691" s="251">
        <v>-0.04</v>
      </c>
      <c r="S691" s="251">
        <v>0.14000000000000001</v>
      </c>
      <c r="T691" s="251">
        <v>0.13500000000000001</v>
      </c>
      <c r="U691" s="251">
        <v>0.02</v>
      </c>
      <c r="V691" s="251">
        <v>0.01</v>
      </c>
      <c r="W691" s="251">
        <v>0.09</v>
      </c>
      <c r="X691" s="251">
        <v>-0.155</v>
      </c>
      <c r="Y691" s="251">
        <v>-1.4999999999999999E-2</v>
      </c>
      <c r="Z691" s="243">
        <f ca="1">[1]ExtEntry!$L89</f>
        <v>-1.4999999999999999E-2</v>
      </c>
      <c r="AB691" s="305">
        <v>1.0151091142490372</v>
      </c>
      <c r="AC691" s="305">
        <v>1.0073503184713377</v>
      </c>
      <c r="AD691" s="305">
        <v>0.99844696969696978</v>
      </c>
      <c r="AE691" s="305">
        <v>0.98599750623441407</v>
      </c>
      <c r="AF691" s="305">
        <v>0.95734866828087173</v>
      </c>
      <c r="AG691" s="305">
        <v>0.96553113553113556</v>
      </c>
      <c r="AH691" s="305">
        <v>1.0164138817480719</v>
      </c>
      <c r="AI691" s="305">
        <v>1.0179054141029271</v>
      </c>
      <c r="AJ691" s="305">
        <v>0.97321962616822422</v>
      </c>
      <c r="AK691" s="305">
        <v>0.96869302325581397</v>
      </c>
      <c r="AL691" s="305">
        <v>0.94883371298405472</v>
      </c>
      <c r="AM691" s="305">
        <v>0.93646133093525163</v>
      </c>
      <c r="AN691" s="305">
        <v>0.96644547563805105</v>
      </c>
      <c r="AO691" s="305">
        <v>0.93604044943820219</v>
      </c>
      <c r="AP691" s="305">
        <v>0.93709336332958371</v>
      </c>
      <c r="AQ691" s="305">
        <v>0.93185234899328862</v>
      </c>
      <c r="AR691" s="305">
        <v>0.93814864864864855</v>
      </c>
      <c r="AS691" s="305">
        <v>0.91950993377483436</v>
      </c>
      <c r="AT691" s="305">
        <v>0.96982072176949941</v>
      </c>
      <c r="AU691" s="305">
        <v>0.97208401400233369</v>
      </c>
      <c r="AV691" s="305">
        <f ca="1">Calc!AT89</f>
        <v>0.97208401400233369</v>
      </c>
      <c r="AX691" s="86" t="str">
        <f t="shared" ca="1" si="54"/>
        <v>RIG</v>
      </c>
    </row>
    <row r="692" spans="1:51">
      <c r="A692" s="86" t="str">
        <f t="shared" ca="1" si="53"/>
        <v>RRC</v>
      </c>
      <c r="F692" s="251">
        <v>0.05</v>
      </c>
      <c r="G692" s="251">
        <v>-0.26</v>
      </c>
      <c r="H692" s="251">
        <v>0.7</v>
      </c>
      <c r="I692" s="251">
        <v>0.21</v>
      </c>
      <c r="J692" s="251">
        <v>0.88</v>
      </c>
      <c r="K692" s="251">
        <v>4.4999999999999998E-2</v>
      </c>
      <c r="L692" s="251">
        <v>-0.61499999999999999</v>
      </c>
      <c r="M692" s="251">
        <v>0.15</v>
      </c>
      <c r="N692" s="251">
        <v>0.89749999999999996</v>
      </c>
      <c r="O692" s="251">
        <v>0.66</v>
      </c>
      <c r="P692" s="251">
        <v>1.03</v>
      </c>
      <c r="Q692" s="251">
        <v>-0.21</v>
      </c>
      <c r="R692" s="251">
        <v>-1.155</v>
      </c>
      <c r="S692" s="251">
        <v>0.99</v>
      </c>
      <c r="T692" s="251">
        <v>1.82</v>
      </c>
      <c r="U692" s="251">
        <v>0.32</v>
      </c>
      <c r="V692" s="251">
        <v>-0.08</v>
      </c>
      <c r="W692" s="251">
        <v>0.35</v>
      </c>
      <c r="X692" s="251">
        <v>-0.25</v>
      </c>
      <c r="Y692" s="251">
        <v>-0.99</v>
      </c>
      <c r="Z692" s="243">
        <f ca="1">[1]ExtEntry!$L90</f>
        <v>-0.99</v>
      </c>
      <c r="AB692" s="305">
        <v>1.11692071197411</v>
      </c>
      <c r="AC692" s="305">
        <v>1.1251132844335776</v>
      </c>
      <c r="AD692" s="305">
        <v>1.1064766230296552</v>
      </c>
      <c r="AE692" s="305">
        <v>1.0833225215799112</v>
      </c>
      <c r="AF692" s="305">
        <v>1.0611176018447348</v>
      </c>
      <c r="AG692" s="305">
        <v>1.0598955854126677</v>
      </c>
      <c r="AH692" s="305">
        <v>1.0700276450071049</v>
      </c>
      <c r="AI692" s="305">
        <v>1.0802143974960874</v>
      </c>
      <c r="AJ692" s="305">
        <v>1.086465017119969</v>
      </c>
      <c r="AK692" s="305">
        <v>1.0931742069682788</v>
      </c>
      <c r="AL692" s="305">
        <v>1.0646614332742466</v>
      </c>
      <c r="AM692" s="305">
        <v>1.0703533604887985</v>
      </c>
      <c r="AN692" s="305">
        <v>1.1033586143550718</v>
      </c>
      <c r="AO692" s="305">
        <v>1.0763819764464926</v>
      </c>
      <c r="AP692" s="305">
        <v>1.0539854600150413</v>
      </c>
      <c r="AQ692" s="305">
        <v>1.0455976125341955</v>
      </c>
      <c r="AR692" s="305">
        <v>1.0638997474747474</v>
      </c>
      <c r="AS692" s="305">
        <v>1.1078209308440703</v>
      </c>
      <c r="AT692" s="305">
        <v>1.1298050415661034</v>
      </c>
      <c r="AU692" s="305">
        <v>1.1606179063360882</v>
      </c>
      <c r="AV692" s="305">
        <f ca="1">Calc!AT90</f>
        <v>1.1606179063360882</v>
      </c>
      <c r="AX692" s="86" t="str">
        <f t="shared" ca="1" si="54"/>
        <v>RRC</v>
      </c>
    </row>
    <row r="693" spans="1:51">
      <c r="A693" s="86" t="str">
        <f t="shared" ca="1" si="53"/>
        <v>XYZ</v>
      </c>
      <c r="F693" s="243">
        <v>1.07</v>
      </c>
      <c r="G693" s="243">
        <v>-2.41</v>
      </c>
      <c r="H693" s="243">
        <v>-5.41</v>
      </c>
      <c r="I693" s="243">
        <v>-1.835</v>
      </c>
      <c r="J693" s="243">
        <v>-1.25</v>
      </c>
      <c r="K693" s="243">
        <v>-0.14499999999999999</v>
      </c>
      <c r="L693" s="243">
        <v>1.18</v>
      </c>
      <c r="M693" s="243">
        <v>0.115</v>
      </c>
      <c r="N693" s="243">
        <v>2.13</v>
      </c>
      <c r="O693" s="243">
        <v>1.34</v>
      </c>
      <c r="P693" s="243">
        <v>1.74</v>
      </c>
      <c r="Q693" s="243">
        <v>-0.41</v>
      </c>
      <c r="R693" s="243">
        <v>-4.335</v>
      </c>
      <c r="S693" s="243">
        <v>1.7324999999999999</v>
      </c>
      <c r="T693" s="243">
        <v>1</v>
      </c>
      <c r="U693" s="243">
        <v>-7.0000000000000007E-2</v>
      </c>
      <c r="V693" s="243">
        <v>-1.1100000000000001</v>
      </c>
      <c r="W693" s="243">
        <v>0.69079999999999997</v>
      </c>
      <c r="X693" s="243">
        <v>1.71</v>
      </c>
      <c r="Y693" s="243">
        <v>0.31</v>
      </c>
      <c r="Z693" s="243">
        <f ca="1">[1]ExtEntry!$L91</f>
        <v>0.31</v>
      </c>
      <c r="AB693" s="305">
        <v>1.2017007467752885</v>
      </c>
      <c r="AC693" s="305">
        <v>1.242353453116227</v>
      </c>
      <c r="AD693" s="305">
        <v>1.3508128815628817</v>
      </c>
      <c r="AE693" s="305">
        <v>1.4637436533531796</v>
      </c>
      <c r="AF693" s="305">
        <v>1.5354833448993754</v>
      </c>
      <c r="AG693" s="305">
        <v>1.5393557700669624</v>
      </c>
      <c r="AH693" s="305">
        <v>1.4008429882874329</v>
      </c>
      <c r="AI693" s="305">
        <v>1.4260091839200839</v>
      </c>
      <c r="AJ693" s="305">
        <v>1.2762877544819207</v>
      </c>
      <c r="AK693" s="305">
        <v>1.2917924035060742</v>
      </c>
      <c r="AL693" s="305">
        <v>1.2581288003594431</v>
      </c>
      <c r="AM693" s="305">
        <v>1.2653300195812622</v>
      </c>
      <c r="AN693" s="305">
        <v>1.3997377322336084</v>
      </c>
      <c r="AO693" s="305">
        <v>1.3583742571855926</v>
      </c>
      <c r="AP693" s="305">
        <v>1.3746565210276551</v>
      </c>
      <c r="AQ693" s="305">
        <v>1.3762329619921365</v>
      </c>
      <c r="AR693" s="305">
        <v>1.375331696136215</v>
      </c>
      <c r="AS693" s="305">
        <v>1.3608321939777226</v>
      </c>
      <c r="AT693" s="305">
        <v>1.3275167509481669</v>
      </c>
      <c r="AU693" s="305">
        <v>1.3208374213836478</v>
      </c>
      <c r="AV693" s="305">
        <f ca="1">Calc!AT91</f>
        <v>1.3208374213836478</v>
      </c>
      <c r="AX693" s="86" t="str">
        <f t="shared" ca="1" si="54"/>
        <v>XYZ</v>
      </c>
    </row>
    <row r="694" spans="1:51">
      <c r="A694" s="86" t="str">
        <f t="shared" ca="1" si="53"/>
        <v>THC</v>
      </c>
      <c r="F694" s="251">
        <v>0.89</v>
      </c>
      <c r="G694" s="251">
        <v>-2.79</v>
      </c>
      <c r="H694" s="251">
        <v>0.65500000000000003</v>
      </c>
      <c r="I694" s="251">
        <v>-3.75</v>
      </c>
      <c r="J694" s="251">
        <v>0.6</v>
      </c>
      <c r="K694" s="251">
        <v>0.57999999999999996</v>
      </c>
      <c r="L694" s="251">
        <v>-5.96</v>
      </c>
      <c r="M694" s="251">
        <v>7.68</v>
      </c>
      <c r="N694" s="251">
        <v>0.20499999999999999</v>
      </c>
      <c r="O694" s="251">
        <v>-1.04</v>
      </c>
      <c r="P694" s="251">
        <v>-0.57999999999999996</v>
      </c>
      <c r="Q694" s="251">
        <v>1.73</v>
      </c>
      <c r="R694" s="251">
        <v>-0.54500000000000004</v>
      </c>
      <c r="S694" s="251">
        <v>-0.79</v>
      </c>
      <c r="T694" s="251">
        <v>-3.5</v>
      </c>
      <c r="U694" s="251">
        <v>1.0049999999999999</v>
      </c>
      <c r="V694" s="251">
        <v>-2.14</v>
      </c>
      <c r="W694" s="251">
        <v>-4.8099999999999996</v>
      </c>
      <c r="X694" s="251">
        <v>-4.53</v>
      </c>
      <c r="Y694" s="251">
        <v>0.125</v>
      </c>
      <c r="Z694" s="243">
        <f ca="1">[1]ExtEntry!$L92</f>
        <v>0.125</v>
      </c>
      <c r="AB694" s="305">
        <v>1.1006569360559868</v>
      </c>
      <c r="AC694" s="305">
        <v>1.1155762036632171</v>
      </c>
      <c r="AD694" s="305">
        <v>1.1209404671825038</v>
      </c>
      <c r="AE694" s="305">
        <v>1.190291068373853</v>
      </c>
      <c r="AF694" s="305">
        <v>1.1897360103626942</v>
      </c>
      <c r="AG694" s="305">
        <v>1.18617135034611</v>
      </c>
      <c r="AH694" s="305">
        <v>1.2194967868713156</v>
      </c>
      <c r="AI694" s="305">
        <v>1.1814110413665362</v>
      </c>
      <c r="AJ694" s="305">
        <v>1.0675168408295796</v>
      </c>
      <c r="AK694" s="305">
        <v>1.0736297028792201</v>
      </c>
      <c r="AL694" s="305">
        <v>1.0765014296255304</v>
      </c>
      <c r="AM694" s="305">
        <v>1.067980829940065</v>
      </c>
      <c r="AN694" s="305">
        <v>1.087814013095044</v>
      </c>
      <c r="AO694" s="305">
        <v>1.0905329128708245</v>
      </c>
      <c r="AP694" s="305">
        <v>1.1045167502602442</v>
      </c>
      <c r="AQ694" s="305">
        <v>1.0992892227271658</v>
      </c>
      <c r="AR694" s="305">
        <v>1.1158729999999999</v>
      </c>
      <c r="AS694" s="305">
        <v>1.1629445657568238</v>
      </c>
      <c r="AT694" s="305">
        <v>1.1866781283232897</v>
      </c>
      <c r="AU694" s="305">
        <v>1.1859274273134441</v>
      </c>
      <c r="AV694" s="305">
        <f ca="1">Calc!AT92</f>
        <v>1.1859274273134441</v>
      </c>
      <c r="AX694" s="86" t="str">
        <f t="shared" ca="1" si="54"/>
        <v>THC</v>
      </c>
    </row>
    <row r="695" spans="1:51">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1">
      <c r="A696" s="86" t="str">
        <f t="shared" ca="1" si="53"/>
        <v>LOCK</v>
      </c>
      <c r="F696" s="243">
        <v>-8.5999999999999993E-2</v>
      </c>
      <c r="G696" s="243">
        <v>-0.11600000000000001</v>
      </c>
      <c r="H696" s="243">
        <v>-2.5999999999999999E-2</v>
      </c>
      <c r="I696" s="243">
        <v>-0.216</v>
      </c>
      <c r="J696" s="243">
        <v>9.6000000000000002E-2</v>
      </c>
      <c r="K696" s="243">
        <v>6.5000000000000002E-2</v>
      </c>
      <c r="L696" s="243">
        <v>0.14000000000000001</v>
      </c>
      <c r="M696" s="243">
        <v>-0.42599999999999999</v>
      </c>
      <c r="N696" s="243">
        <v>0.113</v>
      </c>
      <c r="O696" s="243">
        <v>1.7999999999999999E-2</v>
      </c>
      <c r="P696" s="243">
        <v>-1.0999999999999999E-2</v>
      </c>
      <c r="Q696" s="243">
        <v>-1.0999999999999999E-2</v>
      </c>
      <c r="R696" s="243">
        <v>0.127</v>
      </c>
      <c r="S696" s="243">
        <v>-4.9000000000000002E-2</v>
      </c>
      <c r="T696" s="243">
        <v>-4.9000000000000002E-2</v>
      </c>
      <c r="U696" s="243">
        <v>6.2E-2</v>
      </c>
      <c r="V696" s="243">
        <v>3.2000000000000001E-2</v>
      </c>
      <c r="W696" s="243">
        <v>0.11</v>
      </c>
      <c r="X696" s="243">
        <v>2.4E-2</v>
      </c>
      <c r="Y696" s="243">
        <v>9.1999999999999998E-2</v>
      </c>
      <c r="Z696" s="243">
        <f ca="1">[1]ExtEntry!$L94</f>
        <v>9.1999999999999998E-2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1">
      <c r="A697" s="86" t="str">
        <f t="shared" ca="1" si="53"/>
        <v>JBASML</v>
      </c>
      <c r="F697" s="243">
        <v>-11.4</v>
      </c>
      <c r="G697" s="243">
        <v>-11.3</v>
      </c>
      <c r="H697" s="243">
        <v>-24.5</v>
      </c>
      <c r="I697" s="243">
        <v>-7.4</v>
      </c>
      <c r="J697" s="243">
        <v>-6.2</v>
      </c>
      <c r="K697" s="243">
        <v>21</v>
      </c>
      <c r="L697" s="1072">
        <v>3.2</v>
      </c>
      <c r="M697" s="1073">
        <v>-55.8</v>
      </c>
      <c r="N697" s="243">
        <v>49</v>
      </c>
      <c r="O697" s="243">
        <v>-12.1</v>
      </c>
      <c r="P697" s="243">
        <v>6.2</v>
      </c>
      <c r="Q697" s="243">
        <v>23.3</v>
      </c>
      <c r="R697" s="1074">
        <v>12.4</v>
      </c>
      <c r="S697" s="243">
        <v>17.2</v>
      </c>
      <c r="T697" s="243">
        <v>24.3</v>
      </c>
      <c r="U697" s="243">
        <v>-6.1</v>
      </c>
      <c r="V697" s="243">
        <v>-5.7</v>
      </c>
      <c r="W697" s="1072">
        <v>-10.3</v>
      </c>
      <c r="X697" s="1075">
        <v>-6.9</v>
      </c>
      <c r="Y697" s="243">
        <v>-5.0999999999999996</v>
      </c>
      <c r="Z697" s="243">
        <f ca="1">[1]ExtEntry!$L95</f>
        <v>-5.0999999999999996</v>
      </c>
      <c r="AB697" s="275">
        <v>1.0389402823737039</v>
      </c>
      <c r="AC697" s="275">
        <v>1.0520532335529991</v>
      </c>
      <c r="AD697" s="275">
        <v>1.08165280202113</v>
      </c>
      <c r="AE697" s="275">
        <v>1.0775692254890745</v>
      </c>
      <c r="AF697" s="275">
        <v>1.0960010006981615</v>
      </c>
      <c r="AG697" s="275">
        <v>1.0623767877284007</v>
      </c>
      <c r="AH697" s="275">
        <v>1.0585561474488649</v>
      </c>
      <c r="AI697" s="275">
        <v>1.1293804076738609</v>
      </c>
      <c r="AJ697" s="275">
        <v>1.0488039150995272</v>
      </c>
      <c r="AK697" s="275">
        <v>1.0629485064645563</v>
      </c>
      <c r="AL697" s="275">
        <v>1.0556535311047155</v>
      </c>
      <c r="AM697" s="275">
        <v>1.0291112549908277</v>
      </c>
      <c r="AN697" s="275">
        <v>1.0155227345330635</v>
      </c>
      <c r="AO697" s="275">
        <v>0.99725755516051462</v>
      </c>
      <c r="AP697" s="275">
        <v>0.98990803404608685</v>
      </c>
      <c r="AQ697" s="275">
        <v>0.9962158153139038</v>
      </c>
      <c r="AR697" s="275">
        <v>1.0334377889869693</v>
      </c>
      <c r="AS697" s="275">
        <v>1.0320279147864415</v>
      </c>
      <c r="AT697" s="275">
        <v>1.0395553911205073</v>
      </c>
      <c r="AU697" s="304">
        <v>1.0451901371027739</v>
      </c>
      <c r="AV697" s="305">
        <f ca="1">Calc!AT95</f>
        <v>1.0451901371027739</v>
      </c>
      <c r="AX697" s="86" t="str">
        <f t="shared" ca="1" si="54"/>
        <v>JBASML</v>
      </c>
    </row>
    <row r="698" spans="1:51">
      <c r="A698" s="86" t="str">
        <f t="shared" ca="1" si="53"/>
        <v>JBEOAN</v>
      </c>
      <c r="C698" s="672"/>
      <c r="D698" s="672"/>
      <c r="F698" s="243">
        <v>0.3</v>
      </c>
      <c r="G698" s="243">
        <v>0.03</v>
      </c>
      <c r="H698" s="243">
        <v>2.5000000000000001E-2</v>
      </c>
      <c r="I698" s="243">
        <v>0.02</v>
      </c>
      <c r="J698" s="243">
        <v>-0.11</v>
      </c>
      <c r="K698" s="243">
        <v>-0.04</v>
      </c>
      <c r="L698" s="243">
        <v>0.1</v>
      </c>
      <c r="M698" s="243">
        <v>0.14000000000000001</v>
      </c>
      <c r="N698" s="243">
        <v>7.4999999999999997E-2</v>
      </c>
      <c r="O698" s="243">
        <v>-0.14499999999999999</v>
      </c>
      <c r="P698" s="243">
        <v>1.4999999999999999E-2</v>
      </c>
      <c r="Q698" s="243">
        <v>-0.105</v>
      </c>
      <c r="R698" s="243">
        <v>6.5000000000000002E-2</v>
      </c>
      <c r="S698" s="243">
        <v>0.45500000000000002</v>
      </c>
      <c r="T698" s="243">
        <v>0.57499999999999996</v>
      </c>
      <c r="U698" s="243">
        <v>-0.27</v>
      </c>
      <c r="V698" s="243">
        <v>-0.155</v>
      </c>
      <c r="W698" s="243">
        <v>6.5000000000000002E-2</v>
      </c>
      <c r="X698" s="243">
        <v>-4.4999999999999998E-2</v>
      </c>
      <c r="Y698" s="243">
        <v>-0.51500000000000001</v>
      </c>
      <c r="Z698" s="243">
        <f ca="1">[1]ExtEntry!$L96</f>
        <v>-0.51500000000000001</v>
      </c>
      <c r="AB698" s="304">
        <v>1.0541800623052959</v>
      </c>
      <c r="AC698" s="304">
        <v>1.0522133084577114</v>
      </c>
      <c r="AD698" s="304">
        <v>1.0505799441167338</v>
      </c>
      <c r="AE698" s="304">
        <v>1.1098451951459496</v>
      </c>
      <c r="AF698" s="304">
        <v>1.1109382797110965</v>
      </c>
      <c r="AG698" s="304">
        <v>1.1058555555555554</v>
      </c>
      <c r="AH698" s="304">
        <v>1.0986746753246752</v>
      </c>
      <c r="AI698" s="304">
        <v>1.0894777849323889</v>
      </c>
      <c r="AJ698" s="304">
        <v>1.0957088320931738</v>
      </c>
      <c r="AK698" s="304">
        <v>1.1060862181580666</v>
      </c>
      <c r="AL698" s="304">
        <v>1.1050035889070149</v>
      </c>
      <c r="AM698" s="304">
        <v>1.1126268068331144</v>
      </c>
      <c r="AN698" s="304">
        <v>1.1078953222113184</v>
      </c>
      <c r="AO698" s="304">
        <v>1.075869123252859</v>
      </c>
      <c r="AP698" s="304">
        <v>1.0677288776796974</v>
      </c>
      <c r="AQ698" s="304">
        <v>1.086220654265555</v>
      </c>
      <c r="AR698" s="304">
        <v>1.0971286038224815</v>
      </c>
      <c r="AS698" s="304">
        <v>1.0865691369906962</v>
      </c>
      <c r="AT698" s="304">
        <v>1.0890147909967847</v>
      </c>
      <c r="AU698" s="304">
        <v>1.126317259727303</v>
      </c>
      <c r="AV698" s="305">
        <f ca="1">Calc!AT96</f>
        <v>1.126317259727303</v>
      </c>
      <c r="AX698" s="86" t="str">
        <f t="shared" ca="1" si="54"/>
        <v>JBEOAN</v>
      </c>
    </row>
    <row r="699" spans="1:51">
      <c r="C699" s="672"/>
      <c r="D699" s="672"/>
      <c r="AX699" s="86"/>
    </row>
    <row r="700" spans="1:51">
      <c r="A700" s="86"/>
      <c r="C700" s="672"/>
      <c r="D700" s="672"/>
      <c r="AX700" s="86"/>
    </row>
    <row r="701" spans="1:51" ht="26">
      <c r="A701" s="86"/>
      <c r="C701" s="672"/>
      <c r="D701" s="672" t="s">
        <v>2561</v>
      </c>
      <c r="E701" s="1217">
        <v>1</v>
      </c>
      <c r="F701" s="1219">
        <f t="shared" ref="F701:Z701" ca="1" si="55">$E701*_xlfn.XLOOKUP(DataShiftChartTicker,$A$704:$A$797,F$704:F$797)</f>
        <v>3.4473999999999998E-2</v>
      </c>
      <c r="G701" s="1219">
        <f t="shared" ca="1" si="55"/>
        <v>1.2063999999999998E-2</v>
      </c>
      <c r="H701" s="1219">
        <f t="shared" ca="1" si="55"/>
        <v>9.9360000000000004E-3</v>
      </c>
      <c r="I701" s="1219">
        <f t="shared" ca="1" si="55"/>
        <v>-2.1400000000000002E-2</v>
      </c>
      <c r="J701" s="1219">
        <f t="shared" ca="1" si="55"/>
        <v>-5.5120000000000004E-3</v>
      </c>
      <c r="K701" s="1219">
        <f t="shared" ca="1" si="55"/>
        <v>1.149E-2</v>
      </c>
      <c r="L701" s="1219">
        <f t="shared" ca="1" si="55"/>
        <v>-5.3023000000000001E-2</v>
      </c>
      <c r="M701" s="1219">
        <f t="shared" ca="1" si="55"/>
        <v>1.9755999999999999E-2</v>
      </c>
      <c r="N701" s="1219">
        <f t="shared" ca="1" si="55"/>
        <v>5.1500000000000004E-2</v>
      </c>
      <c r="O701" s="1219">
        <f t="shared" ca="1" si="55"/>
        <v>5.2312999999999998E-2</v>
      </c>
      <c r="P701" s="1219">
        <f t="shared" ca="1" si="55"/>
        <v>2.32E-3</v>
      </c>
      <c r="Q701" s="1219">
        <f t="shared" ca="1" si="55"/>
        <v>1.3998E-2</v>
      </c>
      <c r="R701" s="1219">
        <f t="shared" ca="1" si="55"/>
        <v>-1.4973E-2</v>
      </c>
      <c r="S701" s="1219">
        <f t="shared" ca="1" si="55"/>
        <v>7.7370000000000008E-3</v>
      </c>
      <c r="T701" s="1219">
        <f t="shared" ca="1" si="55"/>
        <v>-8.9519999999999999E-3</v>
      </c>
      <c r="U701" s="1219">
        <f t="shared" ca="1" si="55"/>
        <v>1.0095E-2</v>
      </c>
      <c r="V701" s="1219">
        <f t="shared" ca="1" si="55"/>
        <v>-1.0582000000000001E-2</v>
      </c>
      <c r="W701" s="1219">
        <f t="shared" ca="1" si="55"/>
        <v>4.0898999999999998E-2</v>
      </c>
      <c r="X701" s="1219">
        <f t="shared" ca="1" si="55"/>
        <v>3.454E-3</v>
      </c>
      <c r="Y701" s="1219">
        <f t="shared" ca="1" si="55"/>
        <v>5.3284000000000005E-2</v>
      </c>
      <c r="Z701" s="1219">
        <f t="shared" ca="1" si="55"/>
        <v>5.3284000000000005E-2</v>
      </c>
      <c r="AX701" s="86"/>
    </row>
    <row r="702" spans="1:51">
      <c r="A702" s="86"/>
      <c r="C702" s="672"/>
      <c r="D702" s="672"/>
      <c r="F702" s="115">
        <f t="shared" ref="F702:Z702" ca="1" si="56">F603</f>
        <v>45974</v>
      </c>
      <c r="G702" s="115">
        <f t="shared" ca="1" si="56"/>
        <v>45975</v>
      </c>
      <c r="H702" s="115">
        <f t="shared" ca="1" si="56"/>
        <v>45978</v>
      </c>
      <c r="I702" s="115">
        <f t="shared" ca="1" si="56"/>
        <v>45979</v>
      </c>
      <c r="J702" s="115">
        <f t="shared" ca="1" si="56"/>
        <v>45980</v>
      </c>
      <c r="K702" s="115">
        <f t="shared" ca="1" si="56"/>
        <v>45981</v>
      </c>
      <c r="L702" s="115">
        <f t="shared" ca="1" si="56"/>
        <v>45982</v>
      </c>
      <c r="M702" s="115">
        <f t="shared" ca="1" si="56"/>
        <v>45985</v>
      </c>
      <c r="N702" s="115">
        <f t="shared" ca="1" si="56"/>
        <v>45986</v>
      </c>
      <c r="O702" s="115">
        <f t="shared" ca="1" si="56"/>
        <v>45987</v>
      </c>
      <c r="P702" s="115">
        <f t="shared" ca="1" si="56"/>
        <v>45988</v>
      </c>
      <c r="Q702" s="115">
        <f t="shared" ca="1" si="56"/>
        <v>45989</v>
      </c>
      <c r="R702" s="115">
        <f t="shared" ca="1" si="56"/>
        <v>45992</v>
      </c>
      <c r="S702" s="115">
        <f t="shared" ca="1" si="56"/>
        <v>45993</v>
      </c>
      <c r="T702" s="115">
        <f t="shared" ca="1" si="56"/>
        <v>45994</v>
      </c>
      <c r="U702" s="115">
        <f t="shared" ca="1" si="56"/>
        <v>45995</v>
      </c>
      <c r="V702" s="115">
        <f t="shared" ca="1" si="56"/>
        <v>45996</v>
      </c>
      <c r="W702" s="115">
        <f t="shared" ca="1" si="56"/>
        <v>45999</v>
      </c>
      <c r="X702" s="115">
        <f t="shared" ca="1" si="56"/>
        <v>46000</v>
      </c>
      <c r="Y702" s="115">
        <f t="shared" ca="1" si="56"/>
        <v>46001</v>
      </c>
      <c r="Z702" s="115">
        <f t="shared" ca="1" si="56"/>
        <v>46002</v>
      </c>
      <c r="AB702" s="115">
        <f t="shared" ref="AB702:AV702" ca="1" si="57">F603</f>
        <v>45974</v>
      </c>
      <c r="AC702" s="115">
        <f t="shared" ca="1" si="57"/>
        <v>45975</v>
      </c>
      <c r="AD702" s="115">
        <f t="shared" ca="1" si="57"/>
        <v>45978</v>
      </c>
      <c r="AE702" s="115">
        <f t="shared" ca="1" si="57"/>
        <v>45979</v>
      </c>
      <c r="AF702" s="115">
        <f t="shared" ca="1" si="57"/>
        <v>45980</v>
      </c>
      <c r="AG702" s="115">
        <f t="shared" ca="1" si="57"/>
        <v>45981</v>
      </c>
      <c r="AH702" s="115">
        <f t="shared" ca="1" si="57"/>
        <v>45982</v>
      </c>
      <c r="AI702" s="115">
        <f t="shared" ca="1" si="57"/>
        <v>45985</v>
      </c>
      <c r="AJ702" s="115">
        <f t="shared" ca="1" si="57"/>
        <v>45986</v>
      </c>
      <c r="AK702" s="115">
        <f t="shared" ca="1" si="57"/>
        <v>45987</v>
      </c>
      <c r="AL702" s="115">
        <f t="shared" ca="1" si="57"/>
        <v>45988</v>
      </c>
      <c r="AM702" s="115">
        <f t="shared" ca="1" si="57"/>
        <v>45989</v>
      </c>
      <c r="AN702" s="115">
        <f t="shared" ca="1" si="57"/>
        <v>45992</v>
      </c>
      <c r="AO702" s="115">
        <f t="shared" ca="1" si="57"/>
        <v>45993</v>
      </c>
      <c r="AP702" s="115">
        <f t="shared" ca="1" si="57"/>
        <v>45994</v>
      </c>
      <c r="AQ702" s="115">
        <f t="shared" ca="1" si="57"/>
        <v>45995</v>
      </c>
      <c r="AR702" s="115">
        <f t="shared" ca="1" si="57"/>
        <v>45996</v>
      </c>
      <c r="AS702" s="115">
        <f t="shared" ca="1" si="57"/>
        <v>45999</v>
      </c>
      <c r="AT702" s="115">
        <f t="shared" ca="1" si="57"/>
        <v>46000</v>
      </c>
      <c r="AU702" s="115">
        <f t="shared" ca="1" si="57"/>
        <v>46001</v>
      </c>
      <c r="AV702" s="115">
        <f t="shared" ca="1" si="57"/>
        <v>46002</v>
      </c>
      <c r="AX702" s="86"/>
    </row>
    <row r="703" spans="1:51">
      <c r="A703" s="86"/>
      <c r="C703" s="672"/>
      <c r="D703" s="672"/>
      <c r="F703" s="278" t="s">
        <v>350</v>
      </c>
      <c r="G703" s="278" t="s">
        <v>351</v>
      </c>
      <c r="H703" s="278" t="s">
        <v>352</v>
      </c>
      <c r="I703" s="278" t="s">
        <v>353</v>
      </c>
      <c r="J703" s="278" t="s">
        <v>354</v>
      </c>
      <c r="K703" s="278" t="s">
        <v>355</v>
      </c>
      <c r="L703" s="278" t="s">
        <v>356</v>
      </c>
      <c r="M703" s="278" t="s">
        <v>357</v>
      </c>
      <c r="N703" s="278" t="s">
        <v>358</v>
      </c>
      <c r="O703" s="278" t="s">
        <v>359</v>
      </c>
      <c r="P703" s="278" t="s">
        <v>360</v>
      </c>
      <c r="Q703" s="278" t="s">
        <v>361</v>
      </c>
      <c r="R703" s="278" t="s">
        <v>362</v>
      </c>
      <c r="S703" s="278" t="s">
        <v>363</v>
      </c>
      <c r="T703" s="278" t="s">
        <v>364</v>
      </c>
      <c r="U703" s="278" t="s">
        <v>365</v>
      </c>
      <c r="V703" s="278" t="s">
        <v>366</v>
      </c>
      <c r="W703" s="278" t="s">
        <v>367</v>
      </c>
      <c r="X703" s="278" t="s">
        <v>368</v>
      </c>
      <c r="Y703" s="278" t="s">
        <v>369</v>
      </c>
      <c r="Z703" s="278" t="s">
        <v>370</v>
      </c>
      <c r="AB703" s="279" t="s">
        <v>1328</v>
      </c>
      <c r="AC703" s="279" t="s">
        <v>1329</v>
      </c>
      <c r="AD703" s="279" t="s">
        <v>1330</v>
      </c>
      <c r="AE703" s="279" t="s">
        <v>1331</v>
      </c>
      <c r="AF703" s="279" t="s">
        <v>1332</v>
      </c>
      <c r="AG703" s="279" t="s">
        <v>1333</v>
      </c>
      <c r="AH703" s="279" t="s">
        <v>1334</v>
      </c>
      <c r="AI703" s="279" t="s">
        <v>1335</v>
      </c>
      <c r="AJ703" s="279" t="s">
        <v>1336</v>
      </c>
      <c r="AK703" s="279" t="s">
        <v>1337</v>
      </c>
      <c r="AL703" s="279" t="s">
        <v>1338</v>
      </c>
      <c r="AM703" s="279" t="s">
        <v>1339</v>
      </c>
      <c r="AN703" s="279" t="s">
        <v>1340</v>
      </c>
      <c r="AO703" s="279" t="s">
        <v>1341</v>
      </c>
      <c r="AP703" s="279" t="s">
        <v>1342</v>
      </c>
      <c r="AQ703" s="279" t="s">
        <v>1343</v>
      </c>
      <c r="AR703" s="279" t="s">
        <v>1344</v>
      </c>
      <c r="AS703" s="279" t="s">
        <v>1345</v>
      </c>
      <c r="AT703" s="279" t="s">
        <v>1346</v>
      </c>
      <c r="AU703" s="279" t="s">
        <v>1347</v>
      </c>
      <c r="AV703" s="279" t="s">
        <v>1348</v>
      </c>
      <c r="AX703" s="86"/>
    </row>
    <row r="704" spans="1:51">
      <c r="A704" s="86" t="str">
        <f ca="1">A5</f>
        <v>AAPL</v>
      </c>
      <c r="C704" s="672"/>
      <c r="D704" s="672"/>
      <c r="F704" s="244">
        <v>3.703E-4</v>
      </c>
      <c r="G704" s="244">
        <v>1.333E-3</v>
      </c>
      <c r="H704" s="244">
        <v>-6.5719999999999997E-3</v>
      </c>
      <c r="I704" s="244">
        <v>-1.9780000000000002E-3</v>
      </c>
      <c r="J704" s="244">
        <v>-7.4779999999999999E-5</v>
      </c>
      <c r="K704" s="244">
        <v>9.6839999999999999E-3</v>
      </c>
      <c r="L704" s="244">
        <v>-6.2560000000000003E-3</v>
      </c>
      <c r="M704" s="244">
        <v>2.1745999999999998E-2</v>
      </c>
      <c r="N704" s="244">
        <v>3.9350000000000001E-3</v>
      </c>
      <c r="O704" s="244">
        <v>2.0939999999999999E-3</v>
      </c>
      <c r="P704" s="244">
        <v>4.6839999999999998E-3</v>
      </c>
      <c r="Q704" s="244">
        <v>7.0650000000000001E-3</v>
      </c>
      <c r="R704" s="244">
        <v>1.0085E-2</v>
      </c>
      <c r="S704" s="244">
        <v>3.075E-3</v>
      </c>
      <c r="T704" s="244">
        <v>-7.1279999999999998E-3</v>
      </c>
      <c r="U704" s="244">
        <v>-1.4218E-2</v>
      </c>
      <c r="V704" s="244">
        <v>-6.8400000000000006E-3</v>
      </c>
      <c r="W704" s="244">
        <v>-1.116E-3</v>
      </c>
      <c r="X704" s="244">
        <v>5.7720000000000002E-3</v>
      </c>
      <c r="Y704" s="244">
        <v>-2.6900000000000001E-3</v>
      </c>
      <c r="Z704" s="244">
        <f ca="1">[1]ExtEntry!$M3</f>
        <v>-2.6900000000000001E-3</v>
      </c>
      <c r="AB704" s="249">
        <v>2</v>
      </c>
      <c r="AC704" s="249">
        <v>2</v>
      </c>
      <c r="AD704" s="249">
        <v>7</v>
      </c>
      <c r="AE704" s="284">
        <v>1</v>
      </c>
      <c r="AF704" s="284">
        <v>9</v>
      </c>
      <c r="AG704" s="284">
        <v>5</v>
      </c>
      <c r="AH704" s="284">
        <v>11</v>
      </c>
      <c r="AI704" s="284">
        <v>2</v>
      </c>
      <c r="AJ704" s="284">
        <v>1</v>
      </c>
      <c r="AK704" s="284">
        <v>2</v>
      </c>
      <c r="AL704" s="284">
        <v>1</v>
      </c>
      <c r="AM704" s="273">
        <v>1</v>
      </c>
      <c r="AN704" s="273">
        <v>1</v>
      </c>
      <c r="AO704" s="273">
        <v>1</v>
      </c>
      <c r="AP704" s="273">
        <v>3</v>
      </c>
      <c r="AQ704" s="273">
        <v>5</v>
      </c>
      <c r="AR704" s="273">
        <v>7</v>
      </c>
      <c r="AS704" s="273">
        <v>9</v>
      </c>
      <c r="AT704" s="273">
        <v>7</v>
      </c>
      <c r="AU704" s="273" t="s">
        <v>2938</v>
      </c>
      <c r="AV704" s="273" t="str">
        <f ca="1">_xlfn.XLOOKUP(A704,TabCalc[Ticker],TabCalc[Up20])</f>
        <v>/50/%</v>
      </c>
      <c r="AX704" s="86" t="str">
        <f t="shared" ref="AX704:AX722" ca="1" si="58">A704</f>
        <v>AAPL</v>
      </c>
      <c r="AY704" t="str">
        <f ca="1">_xlfn.XLOOKUP(A704,TabCalc[Ticker],TabCalc[Up150])</f>
        <v>45/43/40%</v>
      </c>
    </row>
    <row r="705" spans="1:51">
      <c r="A705" s="86" t="str">
        <f t="shared" ref="A705:A768" ca="1" si="59">A6</f>
        <v>ADEA</v>
      </c>
      <c r="C705" s="672"/>
      <c r="D705" s="672"/>
      <c r="F705" s="252">
        <v>8.0784000000000009E-2</v>
      </c>
      <c r="G705" s="252">
        <v>1.1248000000000001E-2</v>
      </c>
      <c r="H705" s="252">
        <v>3.2140000000000003E-3</v>
      </c>
      <c r="I705" s="252">
        <v>-2.1309000000000002E-2</v>
      </c>
      <c r="J705" s="252">
        <v>-4.8349999999999999E-3</v>
      </c>
      <c r="K705" s="252">
        <v>-7.2870000000000001E-3</v>
      </c>
      <c r="L705" s="252">
        <v>-8.7279999999999996E-3</v>
      </c>
      <c r="M705" s="252">
        <v>3.4923000000000003E-2</v>
      </c>
      <c r="N705" s="252">
        <v>8.907E-3</v>
      </c>
      <c r="O705" s="252">
        <v>-3.2390000000000001E-3</v>
      </c>
      <c r="P705" s="252">
        <v>4.8739999999999999E-3</v>
      </c>
      <c r="Q705" s="252">
        <v>1.6170000000000002E-3</v>
      </c>
      <c r="R705" s="252">
        <v>4.4390000000000002E-3</v>
      </c>
      <c r="S705" s="252">
        <v>-1.3622E-2</v>
      </c>
      <c r="T705" s="252">
        <v>6.4099999999999999E-3</v>
      </c>
      <c r="U705" s="252">
        <v>-1.99E-3</v>
      </c>
      <c r="V705" s="252">
        <v>5.6270000000000001E-3</v>
      </c>
      <c r="W705" s="252">
        <v>1.6863E-2</v>
      </c>
      <c r="X705" s="252">
        <v>5.6250000000000001E-2</v>
      </c>
      <c r="Y705" s="252">
        <v>2.9589999999999998E-3</v>
      </c>
      <c r="Z705" s="244">
        <f ca="1">[1]ExtEntry!$M4</f>
        <v>2.9589999999999998E-3</v>
      </c>
      <c r="AB705" s="249">
        <v>19</v>
      </c>
      <c r="AC705" s="249">
        <v>18</v>
      </c>
      <c r="AD705" s="249">
        <v>17</v>
      </c>
      <c r="AE705" s="284">
        <v>19</v>
      </c>
      <c r="AF705" s="284">
        <v>20</v>
      </c>
      <c r="AG705" s="284">
        <v>20</v>
      </c>
      <c r="AH705" s="284">
        <v>20</v>
      </c>
      <c r="AI705" s="284">
        <v>19</v>
      </c>
      <c r="AJ705" s="284">
        <v>16</v>
      </c>
      <c r="AK705" s="284">
        <v>17</v>
      </c>
      <c r="AL705" s="284">
        <v>15</v>
      </c>
      <c r="AM705" s="273">
        <v>14</v>
      </c>
      <c r="AN705" s="273">
        <v>13</v>
      </c>
      <c r="AO705" s="273">
        <v>16</v>
      </c>
      <c r="AP705" s="273">
        <v>10</v>
      </c>
      <c r="AQ705" s="273">
        <v>10</v>
      </c>
      <c r="AR705" s="273">
        <v>10</v>
      </c>
      <c r="AS705" s="273">
        <v>5</v>
      </c>
      <c r="AT705" s="273">
        <v>4</v>
      </c>
      <c r="AU705" s="273" t="s">
        <v>2951</v>
      </c>
      <c r="AV705" s="273" t="str">
        <f ca="1">_xlfn.XLOOKUP(A705,TabCalc[Ticker],TabCalc[Up20])</f>
        <v>/100/%</v>
      </c>
      <c r="AX705" s="86" t="str">
        <f t="shared" ca="1" si="58"/>
        <v>ADEA</v>
      </c>
      <c r="AY705" t="str">
        <f ca="1">_xlfn.XLOOKUP(A705,TabCalc[Ticker],TabCalc[Up150])</f>
        <v>17/52/39%</v>
      </c>
    </row>
    <row r="706" spans="1:51">
      <c r="A706" s="86" t="str">
        <f t="shared" ca="1" si="59"/>
        <v>AET</v>
      </c>
      <c r="C706" s="672"/>
      <c r="D706" s="672"/>
      <c r="F706" s="244">
        <v>2.2221999999999999E-2</v>
      </c>
      <c r="G706" s="244">
        <v>-3.4783000000000001E-2</v>
      </c>
      <c r="H706" s="244">
        <v>6.757E-3</v>
      </c>
      <c r="I706" s="244">
        <v>-2.1644999999999998E-2</v>
      </c>
      <c r="J706" s="244">
        <v>0</v>
      </c>
      <c r="K706" s="244">
        <v>0</v>
      </c>
      <c r="L706" s="244">
        <v>1.1110999999999999E-2</v>
      </c>
      <c r="M706" s="244">
        <v>-3.2966999999999996E-2</v>
      </c>
      <c r="N706" s="244">
        <v>-2.1951000000000002E-2</v>
      </c>
      <c r="O706" s="244">
        <v>-3.2418999999999996E-2</v>
      </c>
      <c r="P706" s="244">
        <v>-2.0619000000000002E-2</v>
      </c>
      <c r="Q706" s="244">
        <v>2.6316000000000003E-2</v>
      </c>
      <c r="R706" s="244">
        <v>-2.3077E-2</v>
      </c>
      <c r="S706" s="244">
        <v>2.3622000000000001E-2</v>
      </c>
      <c r="T706" s="244">
        <v>7.8739999999999991E-3</v>
      </c>
      <c r="U706" s="244">
        <v>5.2080000000000008E-3</v>
      </c>
      <c r="V706" s="244">
        <v>1.5544000000000001E-2</v>
      </c>
      <c r="W706" s="244">
        <v>-1.0256000000000001E-2</v>
      </c>
      <c r="X706" s="244">
        <v>3.8859999999999999E-2</v>
      </c>
      <c r="Y706" s="244">
        <v>-2.7431000000000001E-2</v>
      </c>
      <c r="Z706" s="244">
        <f ca="1">[1]ExtEntry!$M5</f>
        <v>-2.7431000000000001E-2</v>
      </c>
      <c r="AB706" s="249">
        <v>3</v>
      </c>
      <c r="AC706" s="249">
        <v>9</v>
      </c>
      <c r="AD706" s="249">
        <v>8</v>
      </c>
      <c r="AE706" s="284">
        <v>3</v>
      </c>
      <c r="AF706" s="284">
        <v>4</v>
      </c>
      <c r="AG706" s="284">
        <v>4</v>
      </c>
      <c r="AH706" s="284">
        <v>3</v>
      </c>
      <c r="AI706" s="284">
        <v>13</v>
      </c>
      <c r="AJ706" s="284">
        <v>20</v>
      </c>
      <c r="AK706" s="284">
        <v>20</v>
      </c>
      <c r="AL706" s="284">
        <v>20</v>
      </c>
      <c r="AM706" s="273">
        <v>18</v>
      </c>
      <c r="AN706" s="273">
        <v>19</v>
      </c>
      <c r="AO706" s="273">
        <v>16</v>
      </c>
      <c r="AP706" s="273">
        <v>18</v>
      </c>
      <c r="AQ706" s="273">
        <v>17</v>
      </c>
      <c r="AR706" s="273">
        <v>13</v>
      </c>
      <c r="AS706" s="273">
        <v>16</v>
      </c>
      <c r="AT706" s="273">
        <v>10</v>
      </c>
      <c r="AU706" s="273" t="s">
        <v>2940</v>
      </c>
      <c r="AV706" s="273" t="str">
        <f ca="1">_xlfn.XLOOKUP(A706,TabCalc[Ticker],TabCalc[Up20])</f>
        <v>/25/%</v>
      </c>
      <c r="AX706" s="86" t="str">
        <f t="shared" ca="1" si="58"/>
        <v>AET</v>
      </c>
      <c r="AY706" t="str">
        <f ca="1">_xlfn.XLOOKUP(A706,TabCalc[Ticker],TabCalc[Up150])</f>
        <v>50/42/37%</v>
      </c>
    </row>
    <row r="707" spans="1:51">
      <c r="A707" s="86" t="str">
        <f t="shared" ca="1" si="59"/>
        <v>AMZN</v>
      </c>
      <c r="C707" s="672"/>
      <c r="D707" s="672"/>
      <c r="F707" s="252">
        <v>3.5299999999999997E-3</v>
      </c>
      <c r="G707" s="252">
        <v>-2.5554E-2</v>
      </c>
      <c r="H707" s="252">
        <v>6.2539999999999991E-3</v>
      </c>
      <c r="I707" s="252">
        <v>-1.2163999999999999E-2</v>
      </c>
      <c r="J707" s="252">
        <v>-4.4317000000000002E-2</v>
      </c>
      <c r="K707" s="252">
        <v>-6.1470000000000006E-3</v>
      </c>
      <c r="L707" s="252">
        <v>-1.7243999999999999E-2</v>
      </c>
      <c r="M707" s="252">
        <v>1.8859000000000001E-2</v>
      </c>
      <c r="N707" s="252">
        <v>2.6120000000000001E-4</v>
      </c>
      <c r="O707" s="252">
        <v>-2.2209999999999999E-3</v>
      </c>
      <c r="P707" s="252">
        <v>1.7717E-2</v>
      </c>
      <c r="Q707" s="252">
        <v>7.718E-3</v>
      </c>
      <c r="R707" s="252">
        <v>1.774E-3</v>
      </c>
      <c r="S707" s="252">
        <v>-1.1688E-2</v>
      </c>
      <c r="T707" s="252">
        <v>-8.7019999999999997E-3</v>
      </c>
      <c r="U707" s="252">
        <v>-2.1703E-2</v>
      </c>
      <c r="V707" s="252">
        <v>1.833E-3</v>
      </c>
      <c r="W707" s="252">
        <v>3.6449999999999998E-3</v>
      </c>
      <c r="X707" s="252">
        <v>1.6936E-2</v>
      </c>
      <c r="Y707" s="252">
        <v>-6.4720000000000003E-3</v>
      </c>
      <c r="Z707" s="244">
        <f ca="1">[1]ExtEntry!$M6</f>
        <v>-6.4720000000000003E-3</v>
      </c>
      <c r="AB707" s="249">
        <v>1</v>
      </c>
      <c r="AC707" s="249">
        <v>3</v>
      </c>
      <c r="AD707" s="249">
        <v>3</v>
      </c>
      <c r="AE707" s="284">
        <v>5</v>
      </c>
      <c r="AF707" s="284">
        <v>10</v>
      </c>
      <c r="AG707" s="284">
        <v>12</v>
      </c>
      <c r="AH707" s="284">
        <v>14</v>
      </c>
      <c r="AI707" s="284">
        <v>12</v>
      </c>
      <c r="AJ707" s="284">
        <v>6</v>
      </c>
      <c r="AK707" s="284">
        <v>8</v>
      </c>
      <c r="AL707" s="284">
        <v>6</v>
      </c>
      <c r="AM707" s="273">
        <v>5</v>
      </c>
      <c r="AN707" s="273">
        <v>7</v>
      </c>
      <c r="AO707" s="273">
        <v>9</v>
      </c>
      <c r="AP707" s="273">
        <v>9</v>
      </c>
      <c r="AQ707" s="273">
        <v>14</v>
      </c>
      <c r="AR707" s="273">
        <v>12</v>
      </c>
      <c r="AS707" s="273">
        <v>14</v>
      </c>
      <c r="AT707" s="273">
        <v>10</v>
      </c>
      <c r="AU707" s="273" t="s">
        <v>2955</v>
      </c>
      <c r="AV707" s="273" t="str">
        <f ca="1">_xlfn.XLOOKUP(A707,TabCalc[Ticker],TabCalc[Up20])</f>
        <v>//%</v>
      </c>
      <c r="AX707" s="86" t="str">
        <f t="shared" ca="1" si="58"/>
        <v>AMZN</v>
      </c>
      <c r="AY707" t="str">
        <f ca="1">_xlfn.XLOOKUP(A707,TabCalc[Ticker],TabCalc[Up150])</f>
        <v>29/33/37%</v>
      </c>
    </row>
    <row r="708" spans="1:51" hidden="1">
      <c r="A708" s="86" t="str">
        <f t="shared" ca="1" si="59"/>
        <v>ALDNE</v>
      </c>
      <c r="C708" s="672"/>
      <c r="D708" s="672"/>
      <c r="F708" s="244">
        <v>2.5380000000000003E-3</v>
      </c>
      <c r="G708" s="244">
        <v>-1.0126999999999999E-2</v>
      </c>
      <c r="H708" s="244">
        <v>-2.5580000000000004E-3</v>
      </c>
      <c r="I708" s="244">
        <v>-7.4999999999999997E-2</v>
      </c>
      <c r="J708" s="244">
        <v>-1.4705999999999999E-2</v>
      </c>
      <c r="K708" s="244">
        <v>1.1765000000000001E-2</v>
      </c>
      <c r="L708" s="244">
        <v>-2.9069999999999999E-2</v>
      </c>
      <c r="M708" s="244">
        <v>-1.7964000000000001E-2</v>
      </c>
      <c r="N708" s="244">
        <v>-3.0030000000000001E-2</v>
      </c>
      <c r="O708" s="244">
        <v>-4.0247999999999999E-2</v>
      </c>
      <c r="P708" s="244">
        <v>-2.5805999999999999E-2</v>
      </c>
      <c r="Q708" s="244">
        <v>2.3178999999999998E-2</v>
      </c>
      <c r="R708" s="244">
        <v>3.2360000000000002E-3</v>
      </c>
      <c r="S708" s="244">
        <v>1.2903E-2</v>
      </c>
      <c r="T708" s="244">
        <v>9.6769999999999998E-3</v>
      </c>
      <c r="U708" s="244">
        <v>-9.5849999999999998E-3</v>
      </c>
      <c r="V708" s="244">
        <v>0</v>
      </c>
      <c r="W708" s="244">
        <v>0</v>
      </c>
      <c r="X708" s="244">
        <v>1.3559000000000002E-2</v>
      </c>
      <c r="Y708" s="244">
        <v>-8.0267999999999992E-2</v>
      </c>
      <c r="Z708" s="244">
        <f ca="1">[1]ExtEntry!$M7</f>
        <v>-8.0267999999999992E-2</v>
      </c>
      <c r="AB708" s="249">
        <v>19</v>
      </c>
      <c r="AC708" s="249">
        <v>20</v>
      </c>
      <c r="AD708" s="249">
        <v>20</v>
      </c>
      <c r="AE708" s="284">
        <v>20</v>
      </c>
      <c r="AF708" s="284">
        <v>19</v>
      </c>
      <c r="AG708" s="284">
        <v>18</v>
      </c>
      <c r="AH708" s="284">
        <v>19</v>
      </c>
      <c r="AI708" s="284">
        <v>20</v>
      </c>
      <c r="AJ708" s="284">
        <v>20</v>
      </c>
      <c r="AK708" s="284">
        <v>20</v>
      </c>
      <c r="AL708" s="284">
        <v>20</v>
      </c>
      <c r="AM708" s="273">
        <v>19</v>
      </c>
      <c r="AN708" s="273">
        <v>17</v>
      </c>
      <c r="AO708" s="273">
        <v>16</v>
      </c>
      <c r="AP708" s="273">
        <v>16</v>
      </c>
      <c r="AQ708" s="273">
        <v>16</v>
      </c>
      <c r="AR708" s="273">
        <v>15</v>
      </c>
      <c r="AS708" s="273">
        <v>20</v>
      </c>
      <c r="AT708" s="273">
        <v>19</v>
      </c>
      <c r="AU708" s="273" t="s">
        <v>2955</v>
      </c>
      <c r="AV708" s="273" t="str">
        <f ca="1">_xlfn.XLOOKUP(A708,TabCalc[Ticker],TabCalc[Up20])</f>
        <v>//%</v>
      </c>
      <c r="AX708" s="86" t="str">
        <f t="shared" ca="1" si="58"/>
        <v>ALDNE</v>
      </c>
      <c r="AY708" t="str">
        <f ca="1">_xlfn.XLOOKUP(A708,TabCalc[Ticker],TabCalc[Up150])</f>
        <v>43/20/24%</v>
      </c>
    </row>
    <row r="709" spans="1:51" hidden="1">
      <c r="A709" s="86" t="str">
        <f t="shared" ca="1" si="59"/>
        <v>ASML</v>
      </c>
      <c r="C709" s="672"/>
      <c r="D709" s="672"/>
      <c r="F709" s="252">
        <v>-1.2418E-2</v>
      </c>
      <c r="G709" s="252">
        <v>-1.2463999999999999E-2</v>
      </c>
      <c r="H709" s="252">
        <v>-2.7365E-2</v>
      </c>
      <c r="I709" s="252">
        <v>-8.3949999999999997E-3</v>
      </c>
      <c r="J709" s="252">
        <v>-7.1630000000000001E-3</v>
      </c>
      <c r="K709" s="252">
        <v>2.4260999999999998E-2</v>
      </c>
      <c r="L709" s="252">
        <v>3.6089999999999998E-3</v>
      </c>
      <c r="M709" s="252">
        <v>-6.2711000000000003E-2</v>
      </c>
      <c r="N709" s="252">
        <v>5.6957000000000008E-2</v>
      </c>
      <c r="O709" s="252">
        <v>-1.3306999999999999E-2</v>
      </c>
      <c r="P709" s="252">
        <v>6.9099999999999995E-3</v>
      </c>
      <c r="Q709" s="252">
        <v>2.5790999999999998E-2</v>
      </c>
      <c r="R709" s="252">
        <v>1.3381000000000001E-2</v>
      </c>
      <c r="S709" s="252">
        <v>1.8314999999999998E-2</v>
      </c>
      <c r="T709" s="252">
        <v>2.5876E-2</v>
      </c>
      <c r="U709" s="252">
        <v>-6.332E-3</v>
      </c>
      <c r="V709" s="252">
        <v>-5.9540000000000001E-3</v>
      </c>
      <c r="W709" s="252">
        <v>-1.0693999999999999E-2</v>
      </c>
      <c r="X709" s="252">
        <v>-7.241E-3</v>
      </c>
      <c r="Y709" s="252">
        <v>-5.391E-3</v>
      </c>
      <c r="Z709" s="244">
        <f ca="1">[1]ExtEntry!$M8</f>
        <v>-5.391E-3</v>
      </c>
      <c r="AB709" s="249">
        <v>5</v>
      </c>
      <c r="AC709" s="249">
        <v>7</v>
      </c>
      <c r="AD709" s="249">
        <v>14</v>
      </c>
      <c r="AE709" s="284">
        <v>13</v>
      </c>
      <c r="AF709" s="284">
        <v>18</v>
      </c>
      <c r="AG709" s="284">
        <v>11</v>
      </c>
      <c r="AH709" s="284">
        <v>9</v>
      </c>
      <c r="AI709" s="284">
        <v>20</v>
      </c>
      <c r="AJ709" s="284">
        <v>3</v>
      </c>
      <c r="AK709" s="284">
        <v>8</v>
      </c>
      <c r="AL709" s="284">
        <v>7</v>
      </c>
      <c r="AM709" s="273">
        <v>2</v>
      </c>
      <c r="AN709" s="273">
        <v>1</v>
      </c>
      <c r="AO709" s="273">
        <v>1</v>
      </c>
      <c r="AP709" s="273">
        <v>1</v>
      </c>
      <c r="AQ709" s="273">
        <v>2</v>
      </c>
      <c r="AR709" s="273">
        <v>4</v>
      </c>
      <c r="AS709" s="273">
        <v>4</v>
      </c>
      <c r="AT709" s="273">
        <v>6</v>
      </c>
      <c r="AU709" s="273">
        <v>0</v>
      </c>
      <c r="AV709" s="273">
        <f ca="1">_xlfn.XLOOKUP(A709,TabCalc[Ticker],TabCalc[Up20])</f>
        <v>0</v>
      </c>
      <c r="AX709" s="86" t="str">
        <f t="shared" ca="1" si="58"/>
        <v>ASML</v>
      </c>
      <c r="AY709">
        <f ca="1">_xlfn.XLOOKUP(A709,TabCalc[Ticker],TabCalc[Up150])</f>
        <v>0.33333333333333331</v>
      </c>
    </row>
    <row r="710" spans="1:51" hidden="1">
      <c r="A710" s="86" t="str">
        <f t="shared" ca="1" si="59"/>
        <v>AVGO</v>
      </c>
      <c r="C710" s="672"/>
      <c r="D710" s="672"/>
      <c r="F710" s="252">
        <v>2.0003000000000003E-2</v>
      </c>
      <c r="G710" s="252">
        <v>-9.4160000000000008E-3</v>
      </c>
      <c r="H710" s="252">
        <v>-2.3073999999999997E-2</v>
      </c>
      <c r="I710" s="252">
        <v>7.2950000000000003E-3</v>
      </c>
      <c r="J710" s="252">
        <v>-6.2749999999999993E-3</v>
      </c>
      <c r="K710" s="252">
        <v>2.1937999999999999E-2</v>
      </c>
      <c r="L710" s="252">
        <v>-1.0947E-2</v>
      </c>
      <c r="M710" s="252">
        <v>-9.5879999999999993E-3</v>
      </c>
      <c r="N710" s="252">
        <v>2.6719E-2</v>
      </c>
      <c r="O710" s="252">
        <v>3.2569000000000001E-2</v>
      </c>
      <c r="P710" s="252">
        <v>1.3557E-2</v>
      </c>
      <c r="Q710" s="252">
        <v>-3.1715E-2</v>
      </c>
      <c r="R710" s="252">
        <v>-1.1682E-2</v>
      </c>
      <c r="S710" s="252">
        <v>-1.4598E-2</v>
      </c>
      <c r="T710" s="252">
        <v>-2.516E-3</v>
      </c>
      <c r="U710" s="252">
        <v>2.9680000000000002E-3</v>
      </c>
      <c r="V710" s="252">
        <v>2.4171000000000002E-2</v>
      </c>
      <c r="W710" s="252">
        <v>1.1091999999999999E-2</v>
      </c>
      <c r="X710" s="252">
        <v>1.6440999999999997E-2</v>
      </c>
      <c r="Y710" s="252">
        <v>-1.5982E-2</v>
      </c>
      <c r="Z710" s="244">
        <f ca="1">[1]ExtEntry!$M9</f>
        <v>-1.5982E-2</v>
      </c>
      <c r="AB710" s="249">
        <v>20</v>
      </c>
      <c r="AC710" s="249">
        <v>11</v>
      </c>
      <c r="AD710" s="249">
        <v>6</v>
      </c>
      <c r="AE710" s="284">
        <v>1</v>
      </c>
      <c r="AF710" s="284">
        <v>1</v>
      </c>
      <c r="AG710" s="284">
        <v>3</v>
      </c>
      <c r="AH710" s="284">
        <v>4</v>
      </c>
      <c r="AI710" s="284">
        <v>1</v>
      </c>
      <c r="AJ710" s="284">
        <v>1</v>
      </c>
      <c r="AK710" s="284">
        <v>2</v>
      </c>
      <c r="AL710" s="284">
        <v>3</v>
      </c>
      <c r="AM710" s="273">
        <v>5</v>
      </c>
      <c r="AN710" s="273">
        <v>6</v>
      </c>
      <c r="AO710" s="273">
        <v>5</v>
      </c>
      <c r="AP710" s="273">
        <v>6</v>
      </c>
      <c r="AQ710" s="273">
        <v>8</v>
      </c>
      <c r="AR710" s="273">
        <v>10</v>
      </c>
      <c r="AS710" s="273">
        <v>11</v>
      </c>
      <c r="AT710" s="273">
        <v>5</v>
      </c>
      <c r="AU710" s="273">
        <v>0</v>
      </c>
      <c r="AV710" s="273">
        <f ca="1">_xlfn.XLOOKUP(A710,TabCalc[Ticker],TabCalc[Up20])</f>
        <v>0</v>
      </c>
      <c r="AX710" s="86" t="str">
        <f t="shared" ca="1" si="58"/>
        <v>AVGO</v>
      </c>
      <c r="AY710">
        <f ca="1">_xlfn.XLOOKUP(A710,TabCalc[Ticker],TabCalc[Up150])</f>
        <v>0</v>
      </c>
    </row>
    <row r="711" spans="1:51" hidden="1">
      <c r="A711" s="86" t="str">
        <f t="shared" ca="1" si="59"/>
        <v>AZN</v>
      </c>
      <c r="C711" s="672"/>
      <c r="D711" s="672"/>
      <c r="F711" s="252">
        <v>-1.0728E-2</v>
      </c>
      <c r="G711" s="252">
        <v>3.1362000000000001E-2</v>
      </c>
      <c r="H711" s="252">
        <v>9.3710000000000009E-3</v>
      </c>
      <c r="I711" s="252">
        <v>5.5300000000000002E-3</v>
      </c>
      <c r="J711" s="252">
        <v>1.678E-3</v>
      </c>
      <c r="K711" s="252">
        <v>-6.4759999999999991E-3</v>
      </c>
      <c r="L711" s="252">
        <v>-4.2789999999999998E-3</v>
      </c>
      <c r="M711" s="252">
        <v>3.304E-2</v>
      </c>
      <c r="N711" s="252">
        <v>4.5579999999999996E-3</v>
      </c>
      <c r="O711" s="252">
        <v>8.5800000000000004E-4</v>
      </c>
      <c r="P711" s="252">
        <v>-6.3219999999999995E-3</v>
      </c>
      <c r="Q711" s="252">
        <v>-2.0815E-2</v>
      </c>
      <c r="R711" s="252">
        <v>-3.4799999999999996E-3</v>
      </c>
      <c r="S711" s="252">
        <v>9.7590000000000003E-3</v>
      </c>
      <c r="T711" s="252">
        <v>7.541E-3</v>
      </c>
      <c r="U711" s="252">
        <v>-5.9440000000000005E-3</v>
      </c>
      <c r="V711" s="252">
        <v>1.6659999999999999E-3</v>
      </c>
      <c r="W711" s="252">
        <v>-1.3749000000000001E-2</v>
      </c>
      <c r="X711" s="252">
        <v>1.8814999999999998E-2</v>
      </c>
      <c r="Y711" s="252">
        <v>-1.3332E-2</v>
      </c>
      <c r="Z711" s="244">
        <f ca="1">[1]ExtEntry!$M10</f>
        <v>-1.3332E-2</v>
      </c>
      <c r="AB711" s="249">
        <v>4</v>
      </c>
      <c r="AC711" s="249">
        <v>10</v>
      </c>
      <c r="AD711" s="249">
        <v>11</v>
      </c>
      <c r="AE711" s="284">
        <v>20</v>
      </c>
      <c r="AF711" s="284">
        <v>20</v>
      </c>
      <c r="AG711" s="284">
        <v>20</v>
      </c>
      <c r="AH711" s="284">
        <v>20</v>
      </c>
      <c r="AI711" s="284">
        <v>19</v>
      </c>
      <c r="AJ711" s="284">
        <v>18</v>
      </c>
      <c r="AK711" s="284">
        <v>17</v>
      </c>
      <c r="AL711" s="284">
        <v>16</v>
      </c>
      <c r="AM711" s="273">
        <v>18</v>
      </c>
      <c r="AN711" s="273">
        <v>20</v>
      </c>
      <c r="AO711" s="273">
        <v>20</v>
      </c>
      <c r="AP711" s="273">
        <v>19</v>
      </c>
      <c r="AQ711" s="273">
        <v>13</v>
      </c>
      <c r="AR711" s="273">
        <v>11</v>
      </c>
      <c r="AS711" s="273">
        <v>11</v>
      </c>
      <c r="AT711" s="273">
        <v>11</v>
      </c>
      <c r="AU711" s="273">
        <v>0</v>
      </c>
      <c r="AV711" s="273">
        <f ca="1">_xlfn.XLOOKUP(A711,TabCalc[Ticker],TabCalc[Up20])</f>
        <v>0</v>
      </c>
      <c r="AX711" s="86" t="str">
        <f t="shared" ca="1" si="58"/>
        <v>AZN</v>
      </c>
      <c r="AY711">
        <f ca="1">_xlfn.XLOOKUP(A711,TabCalc[Ticker],TabCalc[Up150])</f>
        <v>0.25</v>
      </c>
    </row>
    <row r="712" spans="1:51" hidden="1">
      <c r="A712" s="86" t="str">
        <f t="shared" ca="1" si="59"/>
        <v>BLDP</v>
      </c>
      <c r="C712" s="672"/>
      <c r="D712" s="672"/>
      <c r="F712" s="252">
        <v>8.3086000000000007E-2</v>
      </c>
      <c r="G712" s="252">
        <v>-2.1918000000000003E-2</v>
      </c>
      <c r="H712" s="252">
        <v>-1.831E-2</v>
      </c>
      <c r="I712" s="252">
        <v>-5.0157E-2</v>
      </c>
      <c r="J712" s="252">
        <v>-6.8730000000000006E-3</v>
      </c>
      <c r="K712" s="252">
        <v>-1.6608999999999999E-2</v>
      </c>
      <c r="L712" s="252">
        <v>-4.3860000000000003E-2</v>
      </c>
      <c r="M712" s="252">
        <v>1.8657E-2</v>
      </c>
      <c r="N712" s="252">
        <v>2.4163999999999998E-2</v>
      </c>
      <c r="O712" s="252">
        <v>3.3457000000000001E-2</v>
      </c>
      <c r="P712" s="252">
        <v>2.1583000000000001E-2</v>
      </c>
      <c r="Q712" s="252">
        <v>-3.8732000000000003E-2</v>
      </c>
      <c r="R712" s="252">
        <v>1.306E-2</v>
      </c>
      <c r="S712" s="252">
        <v>-2.9520000000000001E-2</v>
      </c>
      <c r="T712" s="252">
        <v>-1.4760000000000001E-2</v>
      </c>
      <c r="U712" s="252">
        <v>3.7490999999999997E-2</v>
      </c>
      <c r="V712" s="252">
        <v>7.143E-3</v>
      </c>
      <c r="W712" s="252">
        <v>3.5709999999999995E-3</v>
      </c>
      <c r="X712" s="252">
        <v>-1.4184E-2</v>
      </c>
      <c r="Y712" s="252">
        <v>3.9567999999999999E-2</v>
      </c>
      <c r="Z712" s="244">
        <f ca="1">[1]ExtEntry!$M11</f>
        <v>3.9567999999999999E-2</v>
      </c>
      <c r="AB712" s="249">
        <v>19</v>
      </c>
      <c r="AC712" s="249">
        <v>19</v>
      </c>
      <c r="AD712" s="249">
        <v>19</v>
      </c>
      <c r="AE712" s="284">
        <v>20</v>
      </c>
      <c r="AF712" s="284">
        <v>20</v>
      </c>
      <c r="AG712" s="284">
        <v>20</v>
      </c>
      <c r="AH712" s="284">
        <v>20</v>
      </c>
      <c r="AI712" s="284">
        <v>17</v>
      </c>
      <c r="AJ712" s="284">
        <v>16</v>
      </c>
      <c r="AK712" s="284">
        <v>16</v>
      </c>
      <c r="AL712" s="284">
        <v>14</v>
      </c>
      <c r="AM712" s="273">
        <v>16</v>
      </c>
      <c r="AN712" s="273">
        <v>14</v>
      </c>
      <c r="AO712" s="273">
        <v>13</v>
      </c>
      <c r="AP712" s="273">
        <v>15</v>
      </c>
      <c r="AQ712" s="273">
        <v>12</v>
      </c>
      <c r="AR712" s="273">
        <v>11</v>
      </c>
      <c r="AS712" s="273">
        <v>5</v>
      </c>
      <c r="AT712" s="273">
        <v>3</v>
      </c>
      <c r="AU712" s="273">
        <v>0</v>
      </c>
      <c r="AV712" s="273">
        <f ca="1">_xlfn.XLOOKUP(A712,TabCalc[Ticker],TabCalc[Up20])</f>
        <v>0</v>
      </c>
      <c r="AX712" s="86" t="str">
        <f t="shared" ca="1" si="58"/>
        <v>BLDP</v>
      </c>
      <c r="AY712">
        <f ca="1">_xlfn.XLOOKUP(A712,TabCalc[Ticker],TabCalc[Up150])</f>
        <v>0.625</v>
      </c>
    </row>
    <row r="713" spans="1:51" hidden="1">
      <c r="A713" s="86" t="str">
        <f t="shared" ca="1" si="59"/>
        <v>BMRA</v>
      </c>
      <c r="C713" s="672"/>
      <c r="D713" s="672"/>
      <c r="F713" s="252">
        <v>4.0323000000000005E-2</v>
      </c>
      <c r="G713" s="252">
        <v>-1.1628000000000001E-2</v>
      </c>
      <c r="H713" s="252">
        <v>-2.0588000000000002E-2</v>
      </c>
      <c r="I713" s="252">
        <v>-3.6000000000000004E-2</v>
      </c>
      <c r="J713" s="252">
        <v>-1.7467E-2</v>
      </c>
      <c r="K713" s="252">
        <v>-1.5556E-2</v>
      </c>
      <c r="L713" s="252">
        <v>9.1739999999999999E-3</v>
      </c>
      <c r="M713" s="252">
        <v>1.3392999999999999E-2</v>
      </c>
      <c r="N713" s="252">
        <v>-1.0460000000000001E-2</v>
      </c>
      <c r="O713" s="252">
        <v>-2.9288999999999999E-2</v>
      </c>
      <c r="P713" s="252">
        <v>2.1551999999999998E-2</v>
      </c>
      <c r="Q713" s="252">
        <v>-4.2194000000000002E-2</v>
      </c>
      <c r="R713" s="252">
        <v>2.7654999999999999E-2</v>
      </c>
      <c r="S713" s="252">
        <v>1.7825999999999998E-2</v>
      </c>
      <c r="T713" s="252">
        <v>-1.2821000000000001E-2</v>
      </c>
      <c r="U713" s="252">
        <v>9.2639999999999997E-3</v>
      </c>
      <c r="V713" s="252">
        <v>1.6066E-2</v>
      </c>
      <c r="W713" s="252">
        <v>2.0119999999999999E-3</v>
      </c>
      <c r="X713" s="252">
        <v>-1.5747999999999998E-2</v>
      </c>
      <c r="Y713" s="252">
        <v>3.6000000000000004E-2</v>
      </c>
      <c r="Z713" s="244">
        <f ca="1">[1]ExtEntry!$M12</f>
        <v>3.6000000000000004E-2</v>
      </c>
      <c r="AB713" s="249">
        <v>1</v>
      </c>
      <c r="AC713" s="249">
        <v>4</v>
      </c>
      <c r="AD713" s="249">
        <v>6</v>
      </c>
      <c r="AE713" s="284">
        <v>7</v>
      </c>
      <c r="AF713" s="284">
        <v>13</v>
      </c>
      <c r="AG713" s="284">
        <v>10</v>
      </c>
      <c r="AH713" s="284">
        <v>15</v>
      </c>
      <c r="AI713" s="284">
        <v>11</v>
      </c>
      <c r="AJ713" s="284">
        <v>1</v>
      </c>
      <c r="AK713" s="284">
        <v>2</v>
      </c>
      <c r="AL713" s="284">
        <v>1</v>
      </c>
      <c r="AM713" s="273">
        <v>2</v>
      </c>
      <c r="AN713" s="273">
        <v>3</v>
      </c>
      <c r="AO713" s="273">
        <v>1</v>
      </c>
      <c r="AP713" s="273">
        <v>1</v>
      </c>
      <c r="AQ713" s="273">
        <v>1</v>
      </c>
      <c r="AR713" s="273">
        <v>1</v>
      </c>
      <c r="AS713" s="273">
        <v>1</v>
      </c>
      <c r="AT713" s="273">
        <v>1</v>
      </c>
      <c r="AU713" s="273">
        <v>0</v>
      </c>
      <c r="AV713" s="273">
        <f ca="1">_xlfn.XLOOKUP(A713,TabCalc[Ticker],TabCalc[Up20])</f>
        <v>0</v>
      </c>
      <c r="AX713" s="86" t="str">
        <f t="shared" ca="1" si="58"/>
        <v>BMRA</v>
      </c>
      <c r="AY713">
        <f ca="1">_xlfn.XLOOKUP(A713,TabCalc[Ticker],TabCalc[Up150])</f>
        <v>0.4</v>
      </c>
    </row>
    <row r="714" spans="1:51" hidden="1">
      <c r="A714" s="86" t="str">
        <f t="shared" ca="1" si="59"/>
        <v>C</v>
      </c>
      <c r="C714" s="672"/>
      <c r="D714" s="672"/>
      <c r="F714" s="252">
        <v>7.0289999999999997E-3</v>
      </c>
      <c r="G714" s="252">
        <v>-6.6869999999999994E-3</v>
      </c>
      <c r="H714" s="252">
        <v>-3.2719999999999997E-3</v>
      </c>
      <c r="I714" s="252">
        <v>-3.6749999999999999E-3</v>
      </c>
      <c r="J714" s="252">
        <v>1.3239999999999999E-3</v>
      </c>
      <c r="K714" s="252">
        <v>1.3019000000000001E-2</v>
      </c>
      <c r="L714" s="252">
        <v>-1.6778999999999999E-2</v>
      </c>
      <c r="M714" s="252">
        <v>1.2291000000000002E-2</v>
      </c>
      <c r="N714" s="252">
        <v>1.5864E-2</v>
      </c>
      <c r="O714" s="252">
        <v>1.3245E-2</v>
      </c>
      <c r="P714" s="252">
        <v>1.1220000000000001E-2</v>
      </c>
      <c r="Q714" s="252">
        <v>-3.2819999999999998E-3</v>
      </c>
      <c r="R714" s="252">
        <v>4.8690000000000001E-3</v>
      </c>
      <c r="S714" s="252">
        <v>1.4536E-2</v>
      </c>
      <c r="T714" s="252">
        <v>3.4693000000000002E-2</v>
      </c>
      <c r="U714" s="252">
        <v>1.4804999999999999E-2</v>
      </c>
      <c r="V714" s="252">
        <v>9.6480000000000003E-3</v>
      </c>
      <c r="W714" s="252">
        <v>8.7220000000000006E-4</v>
      </c>
      <c r="X714" s="252">
        <v>1.5488999999999999E-2</v>
      </c>
      <c r="Y714" s="252">
        <v>5.9409999999999992E-3</v>
      </c>
      <c r="Z714" s="244">
        <f ca="1">[1]ExtEntry!$M13</f>
        <v>5.9409999999999992E-3</v>
      </c>
      <c r="AB714" s="249">
        <v>4</v>
      </c>
      <c r="AC714" s="249">
        <v>6</v>
      </c>
      <c r="AD714" s="249">
        <v>7</v>
      </c>
      <c r="AE714" s="284">
        <v>1</v>
      </c>
      <c r="AF714" s="284">
        <v>2</v>
      </c>
      <c r="AG714" s="284">
        <v>1</v>
      </c>
      <c r="AH714" s="284">
        <v>4</v>
      </c>
      <c r="AI714" s="284">
        <v>4</v>
      </c>
      <c r="AJ714" s="284">
        <v>5</v>
      </c>
      <c r="AK714" s="284">
        <v>7</v>
      </c>
      <c r="AL714" s="284">
        <v>4</v>
      </c>
      <c r="AM714" s="273">
        <v>6</v>
      </c>
      <c r="AN714" s="273">
        <v>5</v>
      </c>
      <c r="AO714" s="273">
        <v>4</v>
      </c>
      <c r="AP714" s="273">
        <v>3</v>
      </c>
      <c r="AQ714" s="273">
        <v>4</v>
      </c>
      <c r="AR714" s="273">
        <v>3</v>
      </c>
      <c r="AS714" s="273">
        <v>1</v>
      </c>
      <c r="AT714" s="273">
        <v>1</v>
      </c>
      <c r="AU714" s="273">
        <v>0</v>
      </c>
      <c r="AV714" s="273">
        <f ca="1">_xlfn.XLOOKUP(A714,TabCalc[Ticker],TabCalc[Up20])</f>
        <v>0</v>
      </c>
      <c r="AX714" s="86" t="str">
        <f t="shared" ca="1" si="58"/>
        <v>C</v>
      </c>
      <c r="AY714">
        <f ca="1">_xlfn.XLOOKUP(A714,TabCalc[Ticker],TabCalc[Up150])</f>
        <v>0</v>
      </c>
    </row>
    <row r="715" spans="1:51" hidden="1">
      <c r="A715" s="86" t="str">
        <f t="shared" ca="1" si="59"/>
        <v>CSCO</v>
      </c>
      <c r="C715" s="672"/>
      <c r="D715" s="672"/>
      <c r="F715" s="252">
        <v>-3.0420000000000004E-3</v>
      </c>
      <c r="G715" s="252">
        <v>-1.3107000000000001E-2</v>
      </c>
      <c r="H715" s="252">
        <v>-1.6189999999999998E-3</v>
      </c>
      <c r="I715" s="252">
        <v>8.012E-3</v>
      </c>
      <c r="J715" s="252">
        <v>-5.2710000000000005E-3</v>
      </c>
      <c r="K715" s="252">
        <v>1.1679E-2</v>
      </c>
      <c r="L715" s="252">
        <v>-2.7682000000000002E-2</v>
      </c>
      <c r="M715" s="252">
        <v>1.5575E-2</v>
      </c>
      <c r="N715" s="252">
        <v>-4.5859999999999998E-4</v>
      </c>
      <c r="O715" s="252">
        <v>-3.2759999999999998E-3</v>
      </c>
      <c r="P715" s="252">
        <v>1.1436999999999999E-2</v>
      </c>
      <c r="Q715" s="252">
        <v>-8.4469999999999996E-3</v>
      </c>
      <c r="R715" s="252">
        <v>1.1177999999999999E-2</v>
      </c>
      <c r="S715" s="252">
        <v>4.7479999999999996E-3</v>
      </c>
      <c r="T715" s="252">
        <v>1.1448E-2</v>
      </c>
      <c r="U715" s="252">
        <v>-2.251E-3</v>
      </c>
      <c r="V715" s="252">
        <v>2.7010000000000003E-3</v>
      </c>
      <c r="W715" s="252">
        <v>9.4470000000000005E-3</v>
      </c>
      <c r="X715" s="252">
        <v>9.3069999999999993E-3</v>
      </c>
      <c r="Y715" s="252">
        <v>-1.2212000000000001E-2</v>
      </c>
      <c r="Z715" s="244">
        <f ca="1">[1]ExtEntry!$M14</f>
        <v>-1.2212000000000001E-2</v>
      </c>
      <c r="AB715" s="249">
        <v>13</v>
      </c>
      <c r="AC715" s="249">
        <v>13</v>
      </c>
      <c r="AD715" s="249">
        <v>13</v>
      </c>
      <c r="AE715" s="284">
        <v>18</v>
      </c>
      <c r="AF715" s="284">
        <v>18</v>
      </c>
      <c r="AG715" s="284">
        <v>20</v>
      </c>
      <c r="AH715" s="284">
        <v>20</v>
      </c>
      <c r="AI715" s="284">
        <v>17</v>
      </c>
      <c r="AJ715" s="284">
        <v>10</v>
      </c>
      <c r="AK715" s="284">
        <v>9</v>
      </c>
      <c r="AL715" s="284">
        <v>8</v>
      </c>
      <c r="AM715" s="273">
        <v>10</v>
      </c>
      <c r="AN715" s="273">
        <v>17</v>
      </c>
      <c r="AO715" s="273">
        <v>17</v>
      </c>
      <c r="AP715" s="273">
        <v>20</v>
      </c>
      <c r="AQ715" s="273">
        <v>20</v>
      </c>
      <c r="AR715" s="273">
        <v>18</v>
      </c>
      <c r="AS715" s="273">
        <v>7</v>
      </c>
      <c r="AT715" s="273">
        <v>5</v>
      </c>
      <c r="AU715" s="273">
        <v>0</v>
      </c>
      <c r="AV715" s="273">
        <f ca="1">_xlfn.XLOOKUP(A715,TabCalc[Ticker],TabCalc[Up20])</f>
        <v>0</v>
      </c>
      <c r="AX715" s="86" t="str">
        <f t="shared" ca="1" si="58"/>
        <v>CSCO</v>
      </c>
      <c r="AY715">
        <f ca="1">_xlfn.XLOOKUP(A715,TabCalc[Ticker],TabCalc[Up150])</f>
        <v>0.33333333333333331</v>
      </c>
    </row>
    <row r="716" spans="1:51" hidden="1">
      <c r="A716" s="86" t="str">
        <f t="shared" ca="1" si="59"/>
        <v>CVS</v>
      </c>
      <c r="C716" s="672"/>
      <c r="D716" s="672"/>
      <c r="F716" s="252">
        <v>6.1479999999999998E-3</v>
      </c>
      <c r="G716" s="252">
        <v>2.2919999999999998E-3</v>
      </c>
      <c r="H716" s="252">
        <v>2.2880000000000001E-3</v>
      </c>
      <c r="I716" s="252">
        <v>-1.7289000000000002E-2</v>
      </c>
      <c r="J716" s="252">
        <v>-5.9940000000000002E-3</v>
      </c>
      <c r="K716" s="252">
        <v>-1.9501999999999999E-2</v>
      </c>
      <c r="L716" s="252">
        <v>-5.4210000000000005E-3</v>
      </c>
      <c r="M716" s="252">
        <v>2.2553999999999998E-2</v>
      </c>
      <c r="N716" s="252">
        <v>1.7714000000000001E-2</v>
      </c>
      <c r="O716" s="252">
        <v>1.7714000000000001E-2</v>
      </c>
      <c r="P716" s="252">
        <v>6.2610000000000001E-3</v>
      </c>
      <c r="Q716" s="252">
        <v>-7.7149999999999996E-3</v>
      </c>
      <c r="R716" s="252">
        <v>-1.8773999999999999E-2</v>
      </c>
      <c r="S716" s="252">
        <v>-7.6890000000000005E-3</v>
      </c>
      <c r="T716" s="252">
        <v>-3.2980999999999996E-2</v>
      </c>
      <c r="U716" s="252">
        <v>-1.9350000000000001E-3</v>
      </c>
      <c r="V716" s="252">
        <v>-1.4593E-2</v>
      </c>
      <c r="W716" s="252">
        <v>2.8355000000000002E-2</v>
      </c>
      <c r="X716" s="252">
        <v>9.5860000000000008E-3</v>
      </c>
      <c r="Y716" s="252">
        <v>2.3553000000000001E-2</v>
      </c>
      <c r="Z716" s="244">
        <f ca="1">[1]ExtEntry!$M15</f>
        <v>2.3553000000000001E-2</v>
      </c>
      <c r="AB716" s="249">
        <v>19</v>
      </c>
      <c r="AC716" s="249">
        <v>20</v>
      </c>
      <c r="AD716" s="249">
        <v>20</v>
      </c>
      <c r="AE716" s="284">
        <v>20</v>
      </c>
      <c r="AF716" s="284">
        <v>20</v>
      </c>
      <c r="AG716" s="284">
        <v>20</v>
      </c>
      <c r="AH716" s="284">
        <v>20</v>
      </c>
      <c r="AI716" s="284">
        <v>19</v>
      </c>
      <c r="AJ716" s="284">
        <v>18</v>
      </c>
      <c r="AK716" s="284">
        <v>16</v>
      </c>
      <c r="AL716" s="284">
        <v>14</v>
      </c>
      <c r="AM716" s="273">
        <v>18</v>
      </c>
      <c r="AN716" s="273">
        <v>14</v>
      </c>
      <c r="AO716" s="273">
        <v>13</v>
      </c>
      <c r="AP716" s="273">
        <v>9</v>
      </c>
      <c r="AQ716" s="273">
        <v>7</v>
      </c>
      <c r="AR716" s="273">
        <v>9</v>
      </c>
      <c r="AS716" s="273">
        <v>20</v>
      </c>
      <c r="AT716" s="273">
        <v>19</v>
      </c>
      <c r="AU716" s="273">
        <v>0</v>
      </c>
      <c r="AV716" s="273">
        <f ca="1">_xlfn.XLOOKUP(A716,TabCalc[Ticker],TabCalc[Up20])</f>
        <v>0</v>
      </c>
      <c r="AX716" s="86" t="str">
        <f t="shared" ca="1" si="58"/>
        <v>CVS</v>
      </c>
      <c r="AY716">
        <f ca="1">_xlfn.XLOOKUP(A716,TabCalc[Ticker],TabCalc[Up150])</f>
        <v>0.5714285714285714</v>
      </c>
    </row>
    <row r="717" spans="1:51" hidden="1">
      <c r="A717" s="86" t="str">
        <f t="shared" ca="1" si="59"/>
        <v>DDD</v>
      </c>
      <c r="C717" s="672"/>
      <c r="D717" s="672"/>
      <c r="F717" s="252">
        <v>-7.6339999999999993E-3</v>
      </c>
      <c r="G717" s="252">
        <v>-0.12884600000000002</v>
      </c>
      <c r="H717" s="252">
        <v>-1.1110999999999999E-2</v>
      </c>
      <c r="I717" s="252">
        <v>0</v>
      </c>
      <c r="J717" s="252">
        <v>0</v>
      </c>
      <c r="K717" s="252">
        <v>-1.6827000000000002E-2</v>
      </c>
      <c r="L717" s="252">
        <v>-5.0505000000000001E-2</v>
      </c>
      <c r="M717" s="252">
        <v>4.0106999999999997E-2</v>
      </c>
      <c r="N717" s="252">
        <v>7.4260000000000003E-3</v>
      </c>
      <c r="O717" s="252">
        <v>1.4851000000000001E-2</v>
      </c>
      <c r="P717" s="252">
        <v>1.9608E-2</v>
      </c>
      <c r="Q717" s="252">
        <v>-3.6058E-2</v>
      </c>
      <c r="R717" s="252">
        <v>2.5000000000000001E-2</v>
      </c>
      <c r="S717" s="252">
        <v>1.7156999999999999E-2</v>
      </c>
      <c r="T717" s="252">
        <v>7.8431000000000001E-2</v>
      </c>
      <c r="U717" s="252">
        <v>6.7869999999999996E-3</v>
      </c>
      <c r="V717" s="252">
        <v>-0.04</v>
      </c>
      <c r="W717" s="252">
        <v>-0.17136199999999999</v>
      </c>
      <c r="X717" s="252">
        <v>0</v>
      </c>
      <c r="Y717" s="252">
        <v>0.110169</v>
      </c>
      <c r="Z717" s="244">
        <f ca="1">[1]ExtEntry!$M16</f>
        <v>0.110169</v>
      </c>
      <c r="AB717" s="249">
        <v>13</v>
      </c>
      <c r="AC717" s="249">
        <v>19</v>
      </c>
      <c r="AD717" s="249">
        <v>16</v>
      </c>
      <c r="AE717" s="284">
        <v>20</v>
      </c>
      <c r="AF717" s="284">
        <v>19</v>
      </c>
      <c r="AG717" s="284">
        <v>20</v>
      </c>
      <c r="AH717" s="284">
        <v>20</v>
      </c>
      <c r="AI717" s="284">
        <v>19</v>
      </c>
      <c r="AJ717" s="284">
        <v>19</v>
      </c>
      <c r="AK717" s="284">
        <v>19</v>
      </c>
      <c r="AL717" s="284">
        <v>16</v>
      </c>
      <c r="AM717" s="273">
        <v>12</v>
      </c>
      <c r="AN717" s="273">
        <v>15</v>
      </c>
      <c r="AO717" s="273">
        <v>15</v>
      </c>
      <c r="AP717" s="273">
        <v>12</v>
      </c>
      <c r="AQ717" s="273">
        <v>14</v>
      </c>
      <c r="AR717" s="273">
        <v>12</v>
      </c>
      <c r="AS717" s="273">
        <v>6</v>
      </c>
      <c r="AT717" s="273">
        <v>5</v>
      </c>
      <c r="AU717" s="273">
        <v>0</v>
      </c>
      <c r="AV717" s="273">
        <f ca="1">_xlfn.XLOOKUP(A717,TabCalc[Ticker],TabCalc[Up20])</f>
        <v>0</v>
      </c>
      <c r="AX717" s="86" t="str">
        <f t="shared" ca="1" si="58"/>
        <v>DDD</v>
      </c>
      <c r="AY717">
        <f ca="1">_xlfn.XLOOKUP(A717,TabCalc[Ticker],TabCalc[Up150])</f>
        <v>0.6875</v>
      </c>
    </row>
    <row r="718" spans="1:51" hidden="1">
      <c r="A718" s="86" t="str">
        <f t="shared" ca="1" si="59"/>
        <v>DIS</v>
      </c>
      <c r="C718" s="672"/>
      <c r="D718" s="672"/>
      <c r="F718" s="252">
        <v>-1.1659999999999999E-3</v>
      </c>
      <c r="G718" s="252">
        <v>-1.0775999999999999E-2</v>
      </c>
      <c r="H718" s="252">
        <v>2.1719999999999999E-3</v>
      </c>
      <c r="I718" s="252">
        <v>-1.6819999999999998E-2</v>
      </c>
      <c r="J718" s="252">
        <v>5.5820000000000002E-3</v>
      </c>
      <c r="K718" s="252">
        <v>-9.221E-3</v>
      </c>
      <c r="L718" s="252">
        <v>-1.7197E-2</v>
      </c>
      <c r="M718" s="252">
        <v>1.704E-2</v>
      </c>
      <c r="N718" s="252">
        <v>5.1790000000000004E-3</v>
      </c>
      <c r="O718" s="252">
        <v>1.1620000000000001E-3</v>
      </c>
      <c r="P718" s="252">
        <v>1.0055000000000001E-2</v>
      </c>
      <c r="Q718" s="252">
        <v>1.8856999999999999E-2</v>
      </c>
      <c r="R718" s="252">
        <v>-1.6812000000000001E-2</v>
      </c>
      <c r="S718" s="252">
        <v>-1.049E-3</v>
      </c>
      <c r="T718" s="252">
        <v>8.5850000000000006E-3</v>
      </c>
      <c r="U718" s="252">
        <v>-7.2809999999999993E-3</v>
      </c>
      <c r="V718" s="252">
        <v>-2.2759999999999998E-3</v>
      </c>
      <c r="W718" s="252">
        <v>-8.6409999999999994E-3</v>
      </c>
      <c r="X718" s="252">
        <v>1.6913000000000001E-2</v>
      </c>
      <c r="Y718" s="252">
        <v>2.435E-2</v>
      </c>
      <c r="Z718" s="244">
        <f ca="1">[1]ExtEntry!$M17</f>
        <v>2.435E-2</v>
      </c>
      <c r="AB718" s="249">
        <v>20</v>
      </c>
      <c r="AC718" s="249">
        <v>20</v>
      </c>
      <c r="AD718" s="249">
        <v>19</v>
      </c>
      <c r="AE718" s="284">
        <v>17</v>
      </c>
      <c r="AF718" s="284">
        <v>20</v>
      </c>
      <c r="AG718" s="284">
        <v>17</v>
      </c>
      <c r="AH718" s="284">
        <v>18</v>
      </c>
      <c r="AI718" s="284">
        <v>15</v>
      </c>
      <c r="AJ718" s="284">
        <v>11</v>
      </c>
      <c r="AK718" s="284">
        <v>10</v>
      </c>
      <c r="AL718" s="284">
        <v>11</v>
      </c>
      <c r="AM718" s="273">
        <v>14</v>
      </c>
      <c r="AN718" s="273">
        <v>15</v>
      </c>
      <c r="AO718" s="273">
        <v>15</v>
      </c>
      <c r="AP718" s="273">
        <v>14</v>
      </c>
      <c r="AQ718" s="273">
        <v>11</v>
      </c>
      <c r="AR718" s="273">
        <v>10</v>
      </c>
      <c r="AS718" s="273">
        <v>16</v>
      </c>
      <c r="AT718" s="273">
        <v>20</v>
      </c>
      <c r="AU718" s="273">
        <v>0</v>
      </c>
      <c r="AV718" s="273">
        <f ca="1">_xlfn.XLOOKUP(A718,TabCalc[Ticker],TabCalc[Up20])</f>
        <v>0</v>
      </c>
      <c r="AX718" s="86" t="str">
        <f t="shared" ca="1" si="58"/>
        <v>DIS</v>
      </c>
      <c r="AY718">
        <f ca="1">_xlfn.XLOOKUP(A718,TabCalc[Ticker],TabCalc[Up150])</f>
        <v>0</v>
      </c>
    </row>
    <row r="719" spans="1:51" hidden="1">
      <c r="A719" s="86" t="str">
        <f t="shared" ca="1" si="59"/>
        <v>DSY</v>
      </c>
      <c r="C719" s="672"/>
      <c r="D719" s="672"/>
      <c r="F719" s="252">
        <v>-2.496E-3</v>
      </c>
      <c r="G719" s="252">
        <v>-3.0025E-2</v>
      </c>
      <c r="H719" s="252">
        <v>3.4389999999999998E-3</v>
      </c>
      <c r="I719" s="252">
        <v>-9.9050000000000006E-3</v>
      </c>
      <c r="J719" s="252">
        <v>-4.3139999999999997E-4</v>
      </c>
      <c r="K719" s="252">
        <v>8.6280000000000003E-3</v>
      </c>
      <c r="L719" s="252">
        <v>-2.5660000000000001E-3</v>
      </c>
      <c r="M719" s="252">
        <v>7.2899999999999996E-3</v>
      </c>
      <c r="N719" s="252">
        <v>7.9299999999999995E-3</v>
      </c>
      <c r="O719" s="252">
        <v>0</v>
      </c>
      <c r="P719" s="252">
        <v>-1.6559999999999999E-3</v>
      </c>
      <c r="Q719" s="252">
        <v>-1.0784E-2</v>
      </c>
      <c r="R719" s="252">
        <v>-1.8029E-2</v>
      </c>
      <c r="S719" s="252">
        <v>-4.2700000000000002E-4</v>
      </c>
      <c r="T719" s="252">
        <v>-4.2700000000000002E-4</v>
      </c>
      <c r="U719" s="252">
        <v>1.4951000000000001E-2</v>
      </c>
      <c r="V719" s="252">
        <v>8.4180000000000008E-4</v>
      </c>
      <c r="W719" s="252">
        <v>-6.8059999999999996E-3</v>
      </c>
      <c r="X719" s="252">
        <v>-1.4133E-2</v>
      </c>
      <c r="Y719" s="252">
        <v>4.7780000000000001E-3</v>
      </c>
      <c r="Z719" s="244">
        <f ca="1">[1]ExtEntry!$M18</f>
        <v>4.7780000000000001E-3</v>
      </c>
      <c r="AB719" s="249">
        <v>18</v>
      </c>
      <c r="AC719" s="249">
        <v>17</v>
      </c>
      <c r="AD719" s="249">
        <v>16</v>
      </c>
      <c r="AE719" s="284">
        <v>17</v>
      </c>
      <c r="AF719" s="284">
        <v>20</v>
      </c>
      <c r="AG719" s="284">
        <v>20</v>
      </c>
      <c r="AH719" s="284">
        <v>20</v>
      </c>
      <c r="AI719" s="284">
        <v>15</v>
      </c>
      <c r="AJ719" s="284">
        <v>15</v>
      </c>
      <c r="AK719" s="284">
        <v>16</v>
      </c>
      <c r="AL719" s="284">
        <v>16</v>
      </c>
      <c r="AM719" s="273">
        <v>12</v>
      </c>
      <c r="AN719" s="273">
        <v>16</v>
      </c>
      <c r="AO719" s="273">
        <v>14</v>
      </c>
      <c r="AP719" s="273">
        <v>17</v>
      </c>
      <c r="AQ719" s="273">
        <v>17</v>
      </c>
      <c r="AR719" s="273">
        <v>16</v>
      </c>
      <c r="AS719" s="273">
        <v>18</v>
      </c>
      <c r="AT719" s="273">
        <v>13</v>
      </c>
      <c r="AU719" s="273">
        <v>0</v>
      </c>
      <c r="AV719" s="273">
        <f ca="1">_xlfn.XLOOKUP(A719,TabCalc[Ticker],TabCalc[Up20])</f>
        <v>0</v>
      </c>
      <c r="AX719" s="86" t="str">
        <f t="shared" ca="1" si="58"/>
        <v>DSY</v>
      </c>
      <c r="AY719">
        <f ca="1">_xlfn.XLOOKUP(A719,TabCalc[Ticker],TabCalc[Up150])</f>
        <v>0.75</v>
      </c>
    </row>
    <row r="720" spans="1:51" hidden="1">
      <c r="A720" s="86" t="str">
        <f t="shared" ca="1" si="59"/>
        <v>DVA</v>
      </c>
      <c r="C720" s="672"/>
      <c r="D720" s="672"/>
      <c r="F720" s="252">
        <v>9.9190000000000007E-3</v>
      </c>
      <c r="G720" s="252">
        <v>5.4469999999999996E-3</v>
      </c>
      <c r="H720" s="252">
        <v>1.477E-2</v>
      </c>
      <c r="I720" s="252">
        <v>-1.2109000000000002E-2</v>
      </c>
      <c r="J720" s="252">
        <v>-6.0540000000000004E-3</v>
      </c>
      <c r="K720" s="252">
        <v>-1.2054E-2</v>
      </c>
      <c r="L720" s="252">
        <v>-3.7330000000000002E-3</v>
      </c>
      <c r="M720" s="252">
        <v>4.9154999999999997E-2</v>
      </c>
      <c r="N720" s="252">
        <v>-9.0629999999999999E-3</v>
      </c>
      <c r="O720" s="252">
        <v>-1.0463999999999999E-2</v>
      </c>
      <c r="P720" s="252">
        <v>-3.4970000000000001E-3</v>
      </c>
      <c r="Q720" s="252">
        <v>6.058E-3</v>
      </c>
      <c r="R720" s="252">
        <v>-1.5100000000000001E-3</v>
      </c>
      <c r="S720" s="252">
        <v>6.3770000000000007E-3</v>
      </c>
      <c r="T720" s="252">
        <v>-7.803E-3</v>
      </c>
      <c r="U720" s="252">
        <v>-8.0339999999999995E-3</v>
      </c>
      <c r="V720" s="252">
        <v>9.3789999999999998E-4</v>
      </c>
      <c r="W720" s="252">
        <v>-5.8950000000000001E-3</v>
      </c>
      <c r="X720" s="252">
        <v>1.7228E-2</v>
      </c>
      <c r="Y720" s="252">
        <v>1.4029E-2</v>
      </c>
      <c r="Z720" s="244">
        <f ca="1">[1]ExtEntry!$M19</f>
        <v>1.4029E-2</v>
      </c>
      <c r="AB720" s="249">
        <v>1</v>
      </c>
      <c r="AC720" s="249">
        <v>2</v>
      </c>
      <c r="AD720" s="249">
        <v>15</v>
      </c>
      <c r="AE720" s="284">
        <v>18</v>
      </c>
      <c r="AF720" s="284">
        <v>20</v>
      </c>
      <c r="AG720" s="284">
        <v>20</v>
      </c>
      <c r="AH720" s="284">
        <v>20</v>
      </c>
      <c r="AI720" s="284">
        <v>17</v>
      </c>
      <c r="AJ720" s="284">
        <v>12</v>
      </c>
      <c r="AK720" s="284">
        <v>13</v>
      </c>
      <c r="AL720" s="284">
        <v>11</v>
      </c>
      <c r="AM720" s="273">
        <v>5</v>
      </c>
      <c r="AN720" s="273">
        <v>5</v>
      </c>
      <c r="AO720" s="273">
        <v>3</v>
      </c>
      <c r="AP720" s="273">
        <v>3</v>
      </c>
      <c r="AQ720" s="273">
        <v>1</v>
      </c>
      <c r="AR720" s="273">
        <v>1</v>
      </c>
      <c r="AS720" s="273">
        <v>1</v>
      </c>
      <c r="AT720" s="273">
        <v>1</v>
      </c>
      <c r="AU720" s="273">
        <v>0</v>
      </c>
      <c r="AV720" s="273">
        <f ca="1">_xlfn.XLOOKUP(A720,TabCalc[Ticker],TabCalc[Up20])</f>
        <v>0</v>
      </c>
      <c r="AX720" s="86" t="str">
        <f t="shared" ca="1" si="58"/>
        <v>DVA</v>
      </c>
      <c r="AY720">
        <f ca="1">_xlfn.XLOOKUP(A720,TabCalc[Ticker],TabCalc[Up150])</f>
        <v>0</v>
      </c>
    </row>
    <row r="721" spans="1:51" hidden="1">
      <c r="A721" s="86" t="str">
        <f t="shared" ca="1" si="59"/>
        <v>DXC</v>
      </c>
      <c r="C721" s="672"/>
      <c r="D721" s="672"/>
      <c r="F721" s="252">
        <v>1.9941E-2</v>
      </c>
      <c r="G721" s="252">
        <v>-5.4310000000000001E-3</v>
      </c>
      <c r="H721" s="252">
        <v>-3.4091000000000003E-2</v>
      </c>
      <c r="I721" s="252">
        <v>-3.0780999999999999E-2</v>
      </c>
      <c r="J721" s="252">
        <v>-1.9261999999999998E-2</v>
      </c>
      <c r="K721" s="252">
        <v>-9.0019999999999996E-3</v>
      </c>
      <c r="L721" s="252">
        <v>-6.672E-3</v>
      </c>
      <c r="M721" s="252">
        <v>4.2657999999999995E-2</v>
      </c>
      <c r="N721" s="252">
        <v>5.3600000000000002E-3</v>
      </c>
      <c r="O721" s="252">
        <v>3.8279999999999998E-3</v>
      </c>
      <c r="P721" s="252">
        <v>9.5350000000000001E-3</v>
      </c>
      <c r="Q721" s="252">
        <v>1.8182E-2</v>
      </c>
      <c r="R721" s="252">
        <v>6.3239999999999998E-3</v>
      </c>
      <c r="S721" s="252">
        <v>8.8500000000000002E-3</v>
      </c>
      <c r="T721" s="252">
        <v>1.0324E-2</v>
      </c>
      <c r="U721" s="252">
        <v>1.7846999999999998E-2</v>
      </c>
      <c r="V721" s="252">
        <v>1.0014E-2</v>
      </c>
      <c r="W721" s="252">
        <v>4.1085999999999998E-2</v>
      </c>
      <c r="X721" s="252">
        <v>5.3190000000000008E-3</v>
      </c>
      <c r="Y721" s="252">
        <v>7.9369999999999996E-3</v>
      </c>
      <c r="Z721" s="244">
        <f ca="1">[1]ExtEntry!$M20</f>
        <v>7.9369999999999996E-3</v>
      </c>
      <c r="AB721" s="249">
        <v>18</v>
      </c>
      <c r="AC721" s="249">
        <v>16</v>
      </c>
      <c r="AD721" s="249">
        <v>12</v>
      </c>
      <c r="AE721" s="284">
        <v>20</v>
      </c>
      <c r="AF721" s="284">
        <v>20</v>
      </c>
      <c r="AG721" s="284">
        <v>18</v>
      </c>
      <c r="AH721" s="284">
        <v>17</v>
      </c>
      <c r="AI721" s="284">
        <v>16</v>
      </c>
      <c r="AJ721" s="284">
        <v>16</v>
      </c>
      <c r="AK721" s="284">
        <v>17</v>
      </c>
      <c r="AL721" s="284">
        <v>16</v>
      </c>
      <c r="AM721" s="273">
        <v>20</v>
      </c>
      <c r="AN721" s="273">
        <v>17</v>
      </c>
      <c r="AO721" s="273">
        <v>10</v>
      </c>
      <c r="AP721" s="273">
        <v>8</v>
      </c>
      <c r="AQ721" s="273">
        <v>10</v>
      </c>
      <c r="AR721" s="273">
        <v>12</v>
      </c>
      <c r="AS721" s="273">
        <v>9</v>
      </c>
      <c r="AT721" s="273">
        <v>9</v>
      </c>
      <c r="AU721" s="273" t="s">
        <v>2946</v>
      </c>
      <c r="AV721" s="273" t="str">
        <f ca="1">_xlfn.XLOOKUP(A721,TabCalc[Ticker],TabCalc[Up20])</f>
        <v>/89/%</v>
      </c>
      <c r="AX721" s="86" t="str">
        <f t="shared" ca="1" si="58"/>
        <v>DXC</v>
      </c>
      <c r="AY721" t="str">
        <f ca="1">_xlfn.XLOOKUP(A721,TabCalc[Ticker],TabCalc[Up150])</f>
        <v>58/41/38%</v>
      </c>
    </row>
    <row r="722" spans="1:51" hidden="1">
      <c r="A722" s="86" t="str">
        <f t="shared" ca="1" si="59"/>
        <v>EOAN</v>
      </c>
      <c r="C722" s="672"/>
      <c r="D722" s="672"/>
      <c r="F722" s="252">
        <v>1.9047999999999999E-2</v>
      </c>
      <c r="G722" s="252">
        <v>1.869E-3</v>
      </c>
      <c r="H722" s="252">
        <v>1.555E-3</v>
      </c>
      <c r="I722" s="252">
        <v>1.3139999999999998E-3</v>
      </c>
      <c r="J722" s="252">
        <v>-7.1709999999999994E-3</v>
      </c>
      <c r="K722" s="252">
        <v>-2.6079999999999996E-3</v>
      </c>
      <c r="L722" s="252">
        <v>6.5359999999999993E-3</v>
      </c>
      <c r="M722" s="252">
        <v>9.0969999999999992E-3</v>
      </c>
      <c r="N722" s="252">
        <v>4.8760000000000001E-3</v>
      </c>
      <c r="O722" s="252">
        <v>-9.3819999999999997E-3</v>
      </c>
      <c r="P722" s="252">
        <v>9.7980000000000007E-4</v>
      </c>
      <c r="Q722" s="252">
        <v>-6.8520000000000005E-3</v>
      </c>
      <c r="R722" s="252">
        <v>4.2709999999999996E-3</v>
      </c>
      <c r="S722" s="252">
        <v>2.9767999999999999E-2</v>
      </c>
      <c r="T722" s="252">
        <v>3.7619E-2</v>
      </c>
      <c r="U722" s="252">
        <v>-1.7023999999999997E-2</v>
      </c>
      <c r="V722" s="252">
        <v>-9.9419999999999994E-3</v>
      </c>
      <c r="W722" s="252">
        <v>4.1879999999999999E-3</v>
      </c>
      <c r="X722" s="252">
        <v>-2.8860000000000001E-3</v>
      </c>
      <c r="Y722" s="252">
        <v>-3.3119000000000003E-2</v>
      </c>
      <c r="Z722" s="244">
        <f ca="1">[1]ExtEntry!$M21</f>
        <v>-3.3119000000000003E-2</v>
      </c>
      <c r="AB722" s="249">
        <v>2</v>
      </c>
      <c r="AC722" s="249">
        <v>1</v>
      </c>
      <c r="AD722" s="249">
        <v>1</v>
      </c>
      <c r="AE722" s="284">
        <v>1</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0</v>
      </c>
      <c r="AV722" s="273">
        <f ca="1">_xlfn.XLOOKUP(A722,TabCalc[Ticker],TabCalc[Up20])</f>
        <v>0</v>
      </c>
      <c r="AX722" s="86" t="str">
        <f t="shared" ca="1" si="58"/>
        <v>EOAN</v>
      </c>
      <c r="AY722">
        <f ca="1">_xlfn.XLOOKUP(A722,TabCalc[Ticker],TabCalc[Up150])</f>
        <v>0.4</v>
      </c>
    </row>
    <row r="723" spans="1:51" hidden="1">
      <c r="A723" s="86" t="str">
        <f t="shared" ca="1" si="59"/>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4</v>
      </c>
      <c r="AC723" s="249">
        <v>4</v>
      </c>
      <c r="AD723" s="249">
        <v>1</v>
      </c>
      <c r="AE723" s="284">
        <v>2</v>
      </c>
      <c r="AF723" s="284">
        <v>9</v>
      </c>
      <c r="AG723" s="284">
        <v>6</v>
      </c>
      <c r="AH723" s="284">
        <v>10</v>
      </c>
      <c r="AI723" s="284">
        <v>3</v>
      </c>
      <c r="AJ723" s="284">
        <v>1</v>
      </c>
      <c r="AK723" s="284">
        <v>2</v>
      </c>
      <c r="AL723" s="284">
        <v>1</v>
      </c>
      <c r="AM723" s="273">
        <v>1</v>
      </c>
      <c r="AN723" s="273">
        <v>1</v>
      </c>
      <c r="AO723" s="273">
        <v>1</v>
      </c>
      <c r="AP723" s="273">
        <v>1</v>
      </c>
      <c r="AQ723" s="273">
        <v>1</v>
      </c>
      <c r="AR723" s="273">
        <v>2</v>
      </c>
      <c r="AS723" s="273">
        <v>1</v>
      </c>
      <c r="AT723" s="273">
        <v>1</v>
      </c>
      <c r="AU723" s="273">
        <v>0</v>
      </c>
      <c r="AV723" s="273">
        <f ca="1">_xlfn.XLOOKUP(A723,TabCalc[Ticker],TabCalc[Up20])</f>
        <v>0</v>
      </c>
      <c r="AX723" s="86" t="str">
        <f t="shared" ref="AX723:AX786" ca="1" si="60">A723</f>
        <v>EPIX</v>
      </c>
      <c r="AY723">
        <f ca="1">_xlfn.XLOOKUP(A723,TabCalc[Ticker],TabCalc[Up150])</f>
        <v>0</v>
      </c>
    </row>
    <row r="724" spans="1:51" hidden="1">
      <c r="A724" s="86" t="str">
        <f t="shared" ca="1" si="59"/>
        <v>GM</v>
      </c>
      <c r="C724" s="672"/>
      <c r="D724" s="672"/>
      <c r="F724" s="252">
        <v>2.8563000000000002E-2</v>
      </c>
      <c r="G724" s="252">
        <v>2.1809999999999998E-3</v>
      </c>
      <c r="H724" s="252">
        <v>2.6438000000000003E-2</v>
      </c>
      <c r="I724" s="252">
        <v>-1.9057000000000001E-2</v>
      </c>
      <c r="J724" s="252">
        <v>4.4179999999999995E-4</v>
      </c>
      <c r="K724" s="252">
        <v>1.7444000000000001E-2</v>
      </c>
      <c r="L724" s="252">
        <v>-2.5200000000000001E-3</v>
      </c>
      <c r="M724" s="252">
        <v>3.2187E-2</v>
      </c>
      <c r="N724" s="252">
        <v>4.5339999999999998E-3</v>
      </c>
      <c r="O724" s="252">
        <v>4.1219999999999999E-4</v>
      </c>
      <c r="P724" s="252">
        <v>9.7509999999999993E-3</v>
      </c>
      <c r="Q724" s="252">
        <v>8.9090000000000003E-4</v>
      </c>
      <c r="R724" s="252">
        <v>8.9790000000000009E-3</v>
      </c>
      <c r="S724" s="252">
        <v>8.7559999999999999E-3</v>
      </c>
      <c r="T724" s="252">
        <v>1.3983000000000001E-2</v>
      </c>
      <c r="U724" s="252">
        <v>1.8276000000000001E-2</v>
      </c>
      <c r="V724" s="252">
        <v>1.1911E-2</v>
      </c>
      <c r="W724" s="252">
        <v>1.3868999999999999E-2</v>
      </c>
      <c r="X724" s="252">
        <v>4.7240000000000004E-2</v>
      </c>
      <c r="Y724" s="252">
        <v>5.5690000000000004E-4</v>
      </c>
      <c r="Z724" s="244">
        <f ca="1">[1]ExtEntry!$M23</f>
        <v>5.5690000000000004E-4</v>
      </c>
      <c r="AB724" s="249">
        <v>11</v>
      </c>
      <c r="AC724" s="249">
        <v>13</v>
      </c>
      <c r="AD724" s="249">
        <v>13</v>
      </c>
      <c r="AE724" s="284">
        <v>19</v>
      </c>
      <c r="AF724" s="284">
        <v>20</v>
      </c>
      <c r="AG724" s="284">
        <v>20</v>
      </c>
      <c r="AH724" s="284">
        <v>20</v>
      </c>
      <c r="AI724" s="284">
        <v>19</v>
      </c>
      <c r="AJ724" s="284">
        <v>16</v>
      </c>
      <c r="AK724" s="284">
        <v>15</v>
      </c>
      <c r="AL724" s="284">
        <v>14</v>
      </c>
      <c r="AM724" s="273">
        <v>13</v>
      </c>
      <c r="AN724" s="273">
        <v>12</v>
      </c>
      <c r="AO724" s="273">
        <v>11</v>
      </c>
      <c r="AP724" s="273">
        <v>10</v>
      </c>
      <c r="AQ724" s="273">
        <v>8</v>
      </c>
      <c r="AR724" s="273">
        <v>7</v>
      </c>
      <c r="AS724" s="273">
        <v>1</v>
      </c>
      <c r="AT724" s="273">
        <v>1</v>
      </c>
      <c r="AU724" s="273">
        <v>0</v>
      </c>
      <c r="AV724" s="273">
        <f ca="1">_xlfn.XLOOKUP(A724,TabCalc[Ticker],TabCalc[Up20])</f>
        <v>0</v>
      </c>
      <c r="AX724" s="86" t="str">
        <f t="shared" ca="1" si="60"/>
        <v>GM</v>
      </c>
      <c r="AY724">
        <f ca="1">_xlfn.XLOOKUP(A724,TabCalc[Ticker],TabCalc[Up150])</f>
        <v>0.22222222222222221</v>
      </c>
    </row>
    <row r="725" spans="1:51" hidden="1">
      <c r="A725" s="86" t="str">
        <f t="shared" ca="1" si="59"/>
        <v>HPE</v>
      </c>
      <c r="C725" s="672"/>
      <c r="D725" s="672"/>
      <c r="F725" s="252">
        <v>5.9419999999999994E-3</v>
      </c>
      <c r="G725" s="252">
        <v>-1.1176999999999999E-2</v>
      </c>
      <c r="H725" s="252">
        <v>0</v>
      </c>
      <c r="I725" s="252">
        <v>-4.3610000000000003E-3</v>
      </c>
      <c r="J725" s="252">
        <v>-1.5073000000000001E-2</v>
      </c>
      <c r="K725" s="252">
        <v>-7.8949999999999992E-3</v>
      </c>
      <c r="L725" s="252">
        <v>-2.5436999999999998E-2</v>
      </c>
      <c r="M725" s="252">
        <v>3.0379999999999997E-2</v>
      </c>
      <c r="N725" s="252">
        <v>7.7249999999999992E-3</v>
      </c>
      <c r="O725" s="252">
        <v>7.9590000000000008E-3</v>
      </c>
      <c r="P725" s="252">
        <v>1.5792E-2</v>
      </c>
      <c r="Q725" s="252">
        <v>2.2859999999999997E-4</v>
      </c>
      <c r="R725" s="252">
        <v>-6.8369999999999998E-4</v>
      </c>
      <c r="S725" s="252">
        <v>2.7369999999999998E-3</v>
      </c>
      <c r="T725" s="252">
        <v>1.5966999999999999E-2</v>
      </c>
      <c r="U725" s="252">
        <v>2.7628E-2</v>
      </c>
      <c r="V725" s="252">
        <v>1.8559000000000003E-2</v>
      </c>
      <c r="W725" s="252">
        <v>2.7033000000000001E-2</v>
      </c>
      <c r="X725" s="252">
        <v>2.0186000000000003E-2</v>
      </c>
      <c r="Y725" s="252">
        <v>-2.8504000000000002E-2</v>
      </c>
      <c r="Z725" s="244">
        <f ca="1">[1]ExtEntry!$M24</f>
        <v>-2.8504000000000002E-2</v>
      </c>
      <c r="AB725" s="249">
        <v>18</v>
      </c>
      <c r="AC725" s="249">
        <v>19</v>
      </c>
      <c r="AD725" s="249">
        <v>18</v>
      </c>
      <c r="AE725" s="284">
        <v>20</v>
      </c>
      <c r="AF725" s="284">
        <v>20</v>
      </c>
      <c r="AG725" s="284">
        <v>20</v>
      </c>
      <c r="AH725" s="284">
        <v>20</v>
      </c>
      <c r="AI725" s="284">
        <v>17</v>
      </c>
      <c r="AJ725" s="284">
        <v>17</v>
      </c>
      <c r="AK725" s="284">
        <v>16</v>
      </c>
      <c r="AL725" s="284">
        <v>14</v>
      </c>
      <c r="AM725" s="273">
        <v>12</v>
      </c>
      <c r="AN725" s="273">
        <v>11</v>
      </c>
      <c r="AO725" s="273">
        <v>10</v>
      </c>
      <c r="AP725" s="273">
        <v>10</v>
      </c>
      <c r="AQ725" s="273">
        <v>8</v>
      </c>
      <c r="AR725" s="273">
        <v>7</v>
      </c>
      <c r="AS725" s="273">
        <v>9</v>
      </c>
      <c r="AT725" s="273">
        <v>7</v>
      </c>
      <c r="AU725" s="273">
        <v>0</v>
      </c>
      <c r="AV725" s="273">
        <f ca="1">_xlfn.XLOOKUP(A725,TabCalc[Ticker],TabCalc[Up20])</f>
        <v>0</v>
      </c>
      <c r="AX725" s="86" t="str">
        <f t="shared" ca="1" si="60"/>
        <v>HPE</v>
      </c>
      <c r="AY725">
        <f ca="1">_xlfn.XLOOKUP(A725,TabCalc[Ticker],TabCalc[Up150])</f>
        <v>0.27272727272727271</v>
      </c>
    </row>
    <row r="726" spans="1:51" hidden="1">
      <c r="A726" s="86" t="str">
        <f t="shared" ca="1" si="59"/>
        <v>HPQ</v>
      </c>
      <c r="C726" s="672"/>
      <c r="D726" s="672"/>
      <c r="F726" s="252">
        <v>2.6985000000000002E-2</v>
      </c>
      <c r="G726" s="252">
        <v>-1.7266999999999998E-2</v>
      </c>
      <c r="H726" s="252">
        <v>1.72E-3</v>
      </c>
      <c r="I726" s="252">
        <v>-1.8695E-2</v>
      </c>
      <c r="J726" s="252">
        <v>-6.9959999999999996E-3</v>
      </c>
      <c r="K726" s="252">
        <v>-7.4860000000000005E-3</v>
      </c>
      <c r="L726" s="252">
        <v>-6.2309999999999996E-3</v>
      </c>
      <c r="M726" s="252">
        <v>6.6562999999999997E-2</v>
      </c>
      <c r="N726" s="252">
        <v>-2.0354000000000001E-2</v>
      </c>
      <c r="O726" s="252">
        <v>-1.3774999999999999E-2</v>
      </c>
      <c r="P726" s="252">
        <v>1.8766000000000001E-2</v>
      </c>
      <c r="Q726" s="252">
        <v>4.7089999999999996E-3</v>
      </c>
      <c r="R726" s="252">
        <v>2.911E-2</v>
      </c>
      <c r="S726" s="252">
        <v>7.9520000000000007E-3</v>
      </c>
      <c r="T726" s="252">
        <v>1.789E-3</v>
      </c>
      <c r="U726" s="252">
        <v>1.8189999999999998E-2</v>
      </c>
      <c r="V726" s="252">
        <v>-7.7220000000000001E-4</v>
      </c>
      <c r="W726" s="252">
        <v>9.7729999999999987E-3</v>
      </c>
      <c r="X726" s="252">
        <v>4.7279999999999996E-3</v>
      </c>
      <c r="Y726" s="252">
        <v>8.5350000000000009E-3</v>
      </c>
      <c r="Z726" s="244">
        <f ca="1">[1]ExtEntry!$M25</f>
        <v>8.5350000000000009E-3</v>
      </c>
      <c r="AB726" s="249">
        <v>1</v>
      </c>
      <c r="AC726" s="249">
        <v>4</v>
      </c>
      <c r="AD726" s="249">
        <v>20</v>
      </c>
      <c r="AE726" s="284">
        <v>19</v>
      </c>
      <c r="AF726" s="284">
        <v>19</v>
      </c>
      <c r="AG726" s="284">
        <v>18</v>
      </c>
      <c r="AH726" s="284">
        <v>17</v>
      </c>
      <c r="AI726" s="284">
        <v>17</v>
      </c>
      <c r="AJ726" s="284">
        <v>11</v>
      </c>
      <c r="AK726" s="284">
        <v>12</v>
      </c>
      <c r="AL726" s="284">
        <v>13</v>
      </c>
      <c r="AM726" s="273">
        <v>14</v>
      </c>
      <c r="AN726" s="273">
        <v>14</v>
      </c>
      <c r="AO726" s="273">
        <v>13</v>
      </c>
      <c r="AP726" s="273">
        <v>13</v>
      </c>
      <c r="AQ726" s="273">
        <v>15</v>
      </c>
      <c r="AR726" s="273">
        <v>14</v>
      </c>
      <c r="AS726" s="273">
        <v>12</v>
      </c>
      <c r="AT726" s="273">
        <v>14</v>
      </c>
      <c r="AU726" s="273">
        <v>0</v>
      </c>
      <c r="AV726" s="273">
        <f ca="1">_xlfn.XLOOKUP(A726,TabCalc[Ticker],TabCalc[Up20])</f>
        <v>0</v>
      </c>
      <c r="AX726" s="86" t="str">
        <f t="shared" ca="1" si="60"/>
        <v>HPQ</v>
      </c>
      <c r="AY726">
        <f ca="1">_xlfn.XLOOKUP(A726,TabCalc[Ticker],TabCalc[Up150])</f>
        <v>0.8571428571428571</v>
      </c>
    </row>
    <row r="727" spans="1:51" hidden="1">
      <c r="A727" s="86" t="str">
        <f t="shared" ca="1" si="59"/>
        <v>IAG</v>
      </c>
      <c r="C727" s="672"/>
      <c r="D727" s="672"/>
      <c r="F727" s="252">
        <v>6.1519999999999995E-3</v>
      </c>
      <c r="G727" s="252">
        <v>-2.6105E-2</v>
      </c>
      <c r="H727" s="252">
        <v>-0.115673</v>
      </c>
      <c r="I727" s="252">
        <v>-2.0969999999999999E-2</v>
      </c>
      <c r="J727" s="252">
        <v>-2.454E-3</v>
      </c>
      <c r="K727" s="252">
        <v>1.6966999999999999E-2</v>
      </c>
      <c r="L727" s="252">
        <v>1.2712000000000001E-2</v>
      </c>
      <c r="M727" s="252">
        <v>-8.1069999999999996E-3</v>
      </c>
      <c r="N727" s="252">
        <v>2.0449999999999999E-2</v>
      </c>
      <c r="O727" s="252">
        <v>-6.2629999999999995E-3</v>
      </c>
      <c r="P727" s="252">
        <v>-1.008E-3</v>
      </c>
      <c r="Q727" s="252">
        <v>-7.0650000000000001E-3</v>
      </c>
      <c r="R727" s="252">
        <v>-1.0672999999999998E-2</v>
      </c>
      <c r="S727" s="252">
        <v>7.4489999999999999E-3</v>
      </c>
      <c r="T727" s="252">
        <v>4.1099999999999999E-3</v>
      </c>
      <c r="U727" s="252">
        <v>-1.5093000000000001E-2</v>
      </c>
      <c r="V727" s="252">
        <v>1.818E-3</v>
      </c>
      <c r="W727" s="252">
        <v>-8.6960000000000006E-3</v>
      </c>
      <c r="X727" s="252">
        <v>-5.1600000000000005E-3</v>
      </c>
      <c r="Y727" s="252">
        <v>3.1120000000000002E-2</v>
      </c>
      <c r="Z727" s="244">
        <f ca="1">[1]ExtEntry!$M26</f>
        <v>3.1120000000000002E-2</v>
      </c>
      <c r="AB727" s="249">
        <v>20</v>
      </c>
      <c r="AC727" s="249">
        <v>19</v>
      </c>
      <c r="AD727" s="249">
        <v>17</v>
      </c>
      <c r="AE727" s="284">
        <v>15</v>
      </c>
      <c r="AF727" s="284">
        <v>12</v>
      </c>
      <c r="AG727" s="284">
        <v>12</v>
      </c>
      <c r="AH727" s="284">
        <v>15</v>
      </c>
      <c r="AI727" s="284">
        <v>14</v>
      </c>
      <c r="AJ727" s="284">
        <v>11</v>
      </c>
      <c r="AK727" s="284">
        <v>12</v>
      </c>
      <c r="AL727" s="284">
        <v>10</v>
      </c>
      <c r="AM727" s="273">
        <v>5</v>
      </c>
      <c r="AN727" s="273">
        <v>12</v>
      </c>
      <c r="AO727" s="273">
        <v>12</v>
      </c>
      <c r="AP727" s="273">
        <v>14</v>
      </c>
      <c r="AQ727" s="273">
        <v>20</v>
      </c>
      <c r="AR727" s="273">
        <v>19</v>
      </c>
      <c r="AS727" s="273">
        <v>18</v>
      </c>
      <c r="AT727" s="273">
        <v>20</v>
      </c>
      <c r="AU727" s="273">
        <v>0</v>
      </c>
      <c r="AV727" s="273">
        <f ca="1">_xlfn.XLOOKUP(A727,TabCalc[Ticker],TabCalc[Up20])</f>
        <v>0</v>
      </c>
      <c r="AX727" s="86" t="str">
        <f t="shared" ca="1" si="60"/>
        <v>IAG</v>
      </c>
      <c r="AY727">
        <f ca="1">_xlfn.XLOOKUP(A727,TabCalc[Ticker],TabCalc[Up150])</f>
        <v>0.52380952380952384</v>
      </c>
    </row>
    <row r="728" spans="1:51" hidden="1">
      <c r="A728" s="86" t="str">
        <f t="shared" ca="1" si="59"/>
        <v>KR</v>
      </c>
      <c r="C728" s="672"/>
      <c r="D728" s="672"/>
      <c r="F728" s="252">
        <v>-9.5669999999999991E-3</v>
      </c>
      <c r="G728" s="252">
        <v>3.9589999999999998E-3</v>
      </c>
      <c r="H728" s="252">
        <v>2.3254E-2</v>
      </c>
      <c r="I728" s="252">
        <v>1.6687E-2</v>
      </c>
      <c r="J728" s="252">
        <v>1.9743E-2</v>
      </c>
      <c r="K728" s="252">
        <v>2.5230000000000001E-3</v>
      </c>
      <c r="L728" s="252">
        <v>-1.9285E-2</v>
      </c>
      <c r="M728" s="252">
        <v>6.9799999999999992E-3</v>
      </c>
      <c r="N728" s="252">
        <v>1.8291999999999999E-2</v>
      </c>
      <c r="O728" s="252">
        <v>1.3303000000000001E-2</v>
      </c>
      <c r="P728" s="252">
        <v>3.7299999999999998E-3</v>
      </c>
      <c r="Q728" s="252">
        <v>9.1409999999999998E-3</v>
      </c>
      <c r="R728" s="252">
        <v>-7.7720000000000003E-3</v>
      </c>
      <c r="S728" s="252">
        <v>-3.1330000000000004E-3</v>
      </c>
      <c r="T728" s="252">
        <v>-1.2083999999999999E-2</v>
      </c>
      <c r="U728" s="252">
        <v>-5.3624999999999999E-2</v>
      </c>
      <c r="V728" s="252">
        <v>-6.8100000000000001E-3</v>
      </c>
      <c r="W728" s="252">
        <v>-7.463E-3</v>
      </c>
      <c r="X728" s="252">
        <v>-2.6391000000000001E-2</v>
      </c>
      <c r="Y728" s="252">
        <v>1.5921000000000001E-2</v>
      </c>
      <c r="Z728" s="244">
        <f ca="1">[1]ExtEntry!$M27</f>
        <v>1.5921000000000001E-2</v>
      </c>
      <c r="AB728" s="249">
        <v>1</v>
      </c>
      <c r="AC728" s="249">
        <v>20</v>
      </c>
      <c r="AD728" s="249">
        <v>20</v>
      </c>
      <c r="AE728" s="284">
        <v>20</v>
      </c>
      <c r="AF728" s="284">
        <v>20</v>
      </c>
      <c r="AG728" s="284">
        <v>19</v>
      </c>
      <c r="AH728" s="284">
        <v>20</v>
      </c>
      <c r="AI728" s="284">
        <v>19</v>
      </c>
      <c r="AJ728" s="284">
        <v>15</v>
      </c>
      <c r="AK728" s="284">
        <v>14</v>
      </c>
      <c r="AL728" s="284">
        <v>15</v>
      </c>
      <c r="AM728" s="273">
        <v>12</v>
      </c>
      <c r="AN728" s="273">
        <v>13</v>
      </c>
      <c r="AO728" s="273">
        <v>15</v>
      </c>
      <c r="AP728" s="273">
        <v>9</v>
      </c>
      <c r="AQ728" s="273">
        <v>8</v>
      </c>
      <c r="AR728" s="273">
        <v>6</v>
      </c>
      <c r="AS728" s="273">
        <v>5</v>
      </c>
      <c r="AT728" s="273">
        <v>4</v>
      </c>
      <c r="AU728" s="273">
        <v>0</v>
      </c>
      <c r="AV728" s="273">
        <f ca="1">_xlfn.XLOOKUP(A728,TabCalc[Ticker],TabCalc[Up20])</f>
        <v>0</v>
      </c>
      <c r="AX728" s="86" t="str">
        <f t="shared" ca="1" si="60"/>
        <v>KR</v>
      </c>
      <c r="AY728">
        <f ca="1">_xlfn.XLOOKUP(A728,TabCalc[Ticker],TabCalc[Up150])</f>
        <v>0.33333333333333331</v>
      </c>
    </row>
    <row r="729" spans="1:51" hidden="1">
      <c r="A729" s="86" t="str">
        <f t="shared" ca="1" si="59"/>
        <v>LNSR</v>
      </c>
      <c r="C729" s="672"/>
      <c r="D729" s="672"/>
      <c r="F729" s="252">
        <v>2.9605000000000003E-2</v>
      </c>
      <c r="G729" s="252">
        <v>-7.1085999999999996E-2</v>
      </c>
      <c r="H729" s="252">
        <v>-7.0804000000000006E-2</v>
      </c>
      <c r="I729" s="252">
        <v>-1.3658999999999999E-2</v>
      </c>
      <c r="J729" s="252">
        <v>1.1155999999999999E-2</v>
      </c>
      <c r="K729" s="252">
        <v>1.2036E-2</v>
      </c>
      <c r="L729" s="252">
        <v>-1.6931999999999999E-2</v>
      </c>
      <c r="M729" s="252">
        <v>2.2165000000000001E-2</v>
      </c>
      <c r="N729" s="252">
        <v>2.3952000000000001E-2</v>
      </c>
      <c r="O729" s="252">
        <v>3.2933999999999998E-2</v>
      </c>
      <c r="P729" s="252">
        <v>-1.6425000000000002E-2</v>
      </c>
      <c r="Q729" s="252">
        <v>2.2102E-2</v>
      </c>
      <c r="R729" s="252">
        <v>6.8289999999999991E-3</v>
      </c>
      <c r="S729" s="252">
        <v>-1.2016000000000001E-2</v>
      </c>
      <c r="T729" s="252">
        <v>2.1422E-2</v>
      </c>
      <c r="U729" s="252">
        <v>1.2393000000000001E-2</v>
      </c>
      <c r="V729" s="252">
        <v>-1.6680999999999998E-2</v>
      </c>
      <c r="W729" s="252">
        <v>4.4679999999999997E-3</v>
      </c>
      <c r="X729" s="252">
        <v>2.3029000000000001E-2</v>
      </c>
      <c r="Y729" s="252">
        <v>-4.3290000000000004E-3</v>
      </c>
      <c r="Z729" s="244">
        <f ca="1">[1]ExtEntry!$M28</f>
        <v>-4.3290000000000004E-3</v>
      </c>
      <c r="AB729" s="249">
        <v>1</v>
      </c>
      <c r="AC729" s="249">
        <v>2</v>
      </c>
      <c r="AD729" s="249">
        <v>4</v>
      </c>
      <c r="AE729" s="284">
        <v>9</v>
      </c>
      <c r="AF729" s="284">
        <v>11</v>
      </c>
      <c r="AG729" s="284">
        <v>12</v>
      </c>
      <c r="AH729" s="284">
        <v>12</v>
      </c>
      <c r="AI729" s="284">
        <v>11</v>
      </c>
      <c r="AJ729" s="284">
        <v>8</v>
      </c>
      <c r="AK729" s="284">
        <v>9</v>
      </c>
      <c r="AL729" s="284">
        <v>9</v>
      </c>
      <c r="AM729" s="273">
        <v>8</v>
      </c>
      <c r="AN729" s="273">
        <v>8</v>
      </c>
      <c r="AO729" s="273">
        <v>8</v>
      </c>
      <c r="AP729" s="273">
        <v>7</v>
      </c>
      <c r="AQ729" s="273">
        <v>11</v>
      </c>
      <c r="AR729" s="273">
        <v>11</v>
      </c>
      <c r="AS729" s="273">
        <v>10</v>
      </c>
      <c r="AT729" s="273">
        <v>9</v>
      </c>
      <c r="AU729" s="273">
        <v>0</v>
      </c>
      <c r="AV729" s="273">
        <f ca="1">_xlfn.XLOOKUP(A729,TabCalc[Ticker],TabCalc[Up20])</f>
        <v>0</v>
      </c>
      <c r="AX729" s="86" t="str">
        <f t="shared" ca="1" si="60"/>
        <v>LNSR</v>
      </c>
      <c r="AY729">
        <f ca="1">_xlfn.XLOOKUP(A729,TabCalc[Ticker],TabCalc[Up150])</f>
        <v>0</v>
      </c>
    </row>
    <row r="730" spans="1:51" hidden="1">
      <c r="A730" s="86" t="str">
        <f t="shared" ca="1" si="59"/>
        <v>LUMN</v>
      </c>
      <c r="C730" s="672"/>
      <c r="D730" s="672"/>
      <c r="F730" s="252">
        <v>2.9885999999999999E-2</v>
      </c>
      <c r="G730" s="252">
        <v>-3.6830000000000001E-3</v>
      </c>
      <c r="H730" s="252">
        <v>-4.1589999999999995E-2</v>
      </c>
      <c r="I730" s="252">
        <v>-1.5394000000000001E-2</v>
      </c>
      <c r="J730" s="252">
        <v>-5.4591000000000001E-2</v>
      </c>
      <c r="K730" s="252">
        <v>-1.3779999999999999E-2</v>
      </c>
      <c r="L730" s="252">
        <v>-1.6198000000000001E-2</v>
      </c>
      <c r="M730" s="252">
        <v>3.1417E-2</v>
      </c>
      <c r="N730" s="252">
        <v>1.4999999999999999E-2</v>
      </c>
      <c r="O730" s="252">
        <v>1.1875E-2</v>
      </c>
      <c r="P730" s="252">
        <v>1.8540000000000002E-3</v>
      </c>
      <c r="Q730" s="252">
        <v>1.1714E-2</v>
      </c>
      <c r="R730" s="252">
        <v>0.10192999999999999</v>
      </c>
      <c r="S730" s="252">
        <v>-5.4699999999999996E-4</v>
      </c>
      <c r="T730" s="252">
        <v>4.6498999999999999E-2</v>
      </c>
      <c r="U730" s="252">
        <v>-5.6416000000000001E-2</v>
      </c>
      <c r="V730" s="252">
        <v>-5.9226000000000001E-2</v>
      </c>
      <c r="W730" s="252">
        <v>1.804E-3</v>
      </c>
      <c r="X730" s="252">
        <v>2.2941E-2</v>
      </c>
      <c r="Y730" s="252">
        <v>-4.6029999999999995E-3</v>
      </c>
      <c r="Z730" s="244">
        <f ca="1">[1]ExtEntry!$M29</f>
        <v>-4.6029999999999995E-3</v>
      </c>
      <c r="AB730" s="249">
        <v>20</v>
      </c>
      <c r="AC730" s="249">
        <v>18</v>
      </c>
      <c r="AD730" s="249">
        <v>17</v>
      </c>
      <c r="AE730" s="284">
        <v>16</v>
      </c>
      <c r="AF730" s="284">
        <v>15</v>
      </c>
      <c r="AG730" s="284">
        <v>17</v>
      </c>
      <c r="AH730" s="284">
        <v>20</v>
      </c>
      <c r="AI730" s="284">
        <v>19</v>
      </c>
      <c r="AJ730" s="284">
        <v>11</v>
      </c>
      <c r="AK730" s="284">
        <v>10</v>
      </c>
      <c r="AL730" s="284">
        <v>8</v>
      </c>
      <c r="AM730" s="273">
        <v>14</v>
      </c>
      <c r="AN730" s="273">
        <v>16</v>
      </c>
      <c r="AO730" s="273">
        <v>11</v>
      </c>
      <c r="AP730" s="273">
        <v>6</v>
      </c>
      <c r="AQ730" s="273">
        <v>4</v>
      </c>
      <c r="AR730" s="273">
        <v>2</v>
      </c>
      <c r="AS730" s="273">
        <v>1</v>
      </c>
      <c r="AT730" s="273">
        <v>1</v>
      </c>
      <c r="AU730" s="273">
        <v>0</v>
      </c>
      <c r="AV730" s="273">
        <f ca="1">_xlfn.XLOOKUP(A730,TabCalc[Ticker],TabCalc[Up20])</f>
        <v>0</v>
      </c>
      <c r="AX730" s="86" t="str">
        <f t="shared" ca="1" si="60"/>
        <v>LUMN</v>
      </c>
      <c r="AY730">
        <f ca="1">_xlfn.XLOOKUP(A730,TabCalc[Ticker],TabCalc[Up150])</f>
        <v>0.625</v>
      </c>
    </row>
    <row r="731" spans="1:51" hidden="1">
      <c r="A731" s="86" t="str">
        <f t="shared" ca="1" si="59"/>
        <v>MRNA</v>
      </c>
      <c r="C731" s="672"/>
      <c r="D731" s="672"/>
      <c r="F731" s="252">
        <v>-8.0000000000000002E-3</v>
      </c>
      <c r="G731" s="252">
        <v>2.3132E-2</v>
      </c>
      <c r="H731" s="252">
        <v>8.0149999999999996E-3</v>
      </c>
      <c r="I731" s="252">
        <v>-7.6119999999999998E-3</v>
      </c>
      <c r="J731" s="252">
        <v>6.4619999999999999E-3</v>
      </c>
      <c r="K731" s="252">
        <v>-2.5682E-2</v>
      </c>
      <c r="L731" s="252">
        <v>-5.7485999999999995E-2</v>
      </c>
      <c r="M731" s="252">
        <v>5.076E-2</v>
      </c>
      <c r="N731" s="252">
        <v>7.0709999999999992E-3</v>
      </c>
      <c r="O731" s="252">
        <v>1.0505E-2</v>
      </c>
      <c r="P731" s="252">
        <v>3.8783999999999999E-2</v>
      </c>
      <c r="Q731" s="252">
        <v>-5.9660999999999999E-2</v>
      </c>
      <c r="R731" s="252">
        <v>-3.725E-3</v>
      </c>
      <c r="S731" s="252">
        <v>2.0577999999999999E-2</v>
      </c>
      <c r="T731" s="252">
        <v>4.6176000000000002E-2</v>
      </c>
      <c r="U731" s="252">
        <v>2.4424000000000001E-2</v>
      </c>
      <c r="V731" s="252">
        <v>8.6701E-2</v>
      </c>
      <c r="W731" s="252">
        <v>1.2978E-2</v>
      </c>
      <c r="X731" s="252">
        <v>2.7975E-2</v>
      </c>
      <c r="Y731" s="252">
        <v>2.0668000000000002E-2</v>
      </c>
      <c r="Z731" s="244">
        <f ca="1">[1]ExtEntry!$M30</f>
        <v>2.0668000000000002E-2</v>
      </c>
      <c r="AB731" s="249">
        <v>20</v>
      </c>
      <c r="AC731" s="249">
        <v>20</v>
      </c>
      <c r="AD731" s="249">
        <v>19</v>
      </c>
      <c r="AE731" s="284">
        <v>17</v>
      </c>
      <c r="AF731" s="284">
        <v>20</v>
      </c>
      <c r="AG731" s="284">
        <v>20</v>
      </c>
      <c r="AH731" s="284">
        <v>20</v>
      </c>
      <c r="AI731" s="284">
        <v>20</v>
      </c>
      <c r="AJ731" s="284">
        <v>18</v>
      </c>
      <c r="AK731" s="284">
        <v>18</v>
      </c>
      <c r="AL731" s="284">
        <v>15</v>
      </c>
      <c r="AM731" s="273">
        <v>15</v>
      </c>
      <c r="AN731" s="273">
        <v>14</v>
      </c>
      <c r="AO731" s="273">
        <v>18</v>
      </c>
      <c r="AP731" s="273">
        <v>19</v>
      </c>
      <c r="AQ731" s="273">
        <v>18</v>
      </c>
      <c r="AR731" s="273">
        <v>16</v>
      </c>
      <c r="AS731" s="273">
        <v>9</v>
      </c>
      <c r="AT731" s="273">
        <v>18</v>
      </c>
      <c r="AU731" s="273">
        <v>0</v>
      </c>
      <c r="AV731" s="273">
        <f ca="1">_xlfn.XLOOKUP(A731,TabCalc[Ticker],TabCalc[Up20])</f>
        <v>0</v>
      </c>
      <c r="AX731" s="86" t="str">
        <f t="shared" ca="1" si="60"/>
        <v>MRNA</v>
      </c>
      <c r="AY731">
        <f ca="1">_xlfn.XLOOKUP(A731,TabCalc[Ticker],TabCalc[Up150])</f>
        <v>0.44444444444444442</v>
      </c>
    </row>
    <row r="732" spans="1:51" hidden="1">
      <c r="A732" s="86" t="str">
        <f t="shared" ca="1" si="59"/>
        <v>MSFT</v>
      </c>
      <c r="C732" s="672"/>
      <c r="D732" s="672"/>
      <c r="F732" s="252">
        <v>-1.3939999999999999E-2</v>
      </c>
      <c r="G732" s="252">
        <v>-1.9737000000000001E-2</v>
      </c>
      <c r="H732" s="252">
        <v>1.0660000000000001E-3</v>
      </c>
      <c r="I732" s="252">
        <v>1.3690000000000001E-2</v>
      </c>
      <c r="J732" s="252">
        <v>-2.6996000000000003E-2</v>
      </c>
      <c r="K732" s="252">
        <v>-1.4581E-2</v>
      </c>
      <c r="L732" s="252">
        <v>-1.3783E-2</v>
      </c>
      <c r="M732" s="252">
        <v>-7.8380000000000012E-3</v>
      </c>
      <c r="N732" s="252">
        <v>1.9351E-2</v>
      </c>
      <c r="O732" s="252">
        <v>1.7840999999999999E-2</v>
      </c>
      <c r="P732" s="252">
        <v>1.3223E-2</v>
      </c>
      <c r="Q732" s="252">
        <v>-6.4429999999999999E-3</v>
      </c>
      <c r="R732" s="252">
        <v>6.2250000000000005E-3</v>
      </c>
      <c r="S732" s="252">
        <v>-1.3030999999999999E-2</v>
      </c>
      <c r="T732" s="252">
        <v>-2.5041000000000001E-2</v>
      </c>
      <c r="U732" s="252">
        <v>1.4549999999999999E-3</v>
      </c>
      <c r="V732" s="252">
        <v>4.8249999999999994E-3</v>
      </c>
      <c r="W732" s="252">
        <v>-1.66E-4</v>
      </c>
      <c r="X732" s="252">
        <v>-2.7836E-2</v>
      </c>
      <c r="Y732" s="252">
        <v>1.026E-2</v>
      </c>
      <c r="Z732" s="244">
        <f ca="1">[1]ExtEntry!$M31</f>
        <v>1.026E-2</v>
      </c>
      <c r="AB732" s="249">
        <v>18</v>
      </c>
      <c r="AC732" s="249">
        <v>17</v>
      </c>
      <c r="AD732" s="249">
        <v>10</v>
      </c>
      <c r="AE732" s="284">
        <v>10</v>
      </c>
      <c r="AF732" s="284">
        <v>5</v>
      </c>
      <c r="AG732" s="284">
        <v>5</v>
      </c>
      <c r="AH732" s="284">
        <v>7</v>
      </c>
      <c r="AI732" s="284">
        <v>14</v>
      </c>
      <c r="AJ732" s="284">
        <v>2</v>
      </c>
      <c r="AK732" s="284">
        <v>2</v>
      </c>
      <c r="AL732" s="284">
        <v>1</v>
      </c>
      <c r="AM732" s="273">
        <v>5</v>
      </c>
      <c r="AN732" s="273">
        <v>9</v>
      </c>
      <c r="AO732" s="273">
        <v>3</v>
      </c>
      <c r="AP732" s="273">
        <v>7</v>
      </c>
      <c r="AQ732" s="273">
        <v>15</v>
      </c>
      <c r="AR732" s="273">
        <v>15</v>
      </c>
      <c r="AS732" s="273">
        <v>20</v>
      </c>
      <c r="AT732" s="273">
        <v>19</v>
      </c>
      <c r="AU732" s="273">
        <v>0</v>
      </c>
      <c r="AV732" s="273">
        <f ca="1">_xlfn.XLOOKUP(A732,TabCalc[Ticker],TabCalc[Up20])</f>
        <v>0</v>
      </c>
      <c r="AX732" s="86" t="str">
        <f t="shared" ca="1" si="60"/>
        <v>MSFT</v>
      </c>
      <c r="AY732">
        <f ca="1">_xlfn.XLOOKUP(A732,TabCalc[Ticker],TabCalc[Up150])</f>
        <v>0.33333333333333331</v>
      </c>
    </row>
    <row r="733" spans="1:51" hidden="1">
      <c r="A733" s="86" t="str">
        <f t="shared" ca="1" si="59"/>
        <v>NEE</v>
      </c>
      <c r="C733" s="672"/>
      <c r="D733" s="672"/>
      <c r="F733" s="252">
        <v>5.5089999999999991E-3</v>
      </c>
      <c r="G733" s="252">
        <v>3.0439999999999998E-3</v>
      </c>
      <c r="H733" s="252">
        <v>2.0853999999999998E-2</v>
      </c>
      <c r="I733" s="252">
        <v>-1.6669999999999999E-3</v>
      </c>
      <c r="J733" s="252">
        <v>-1.2244999999999999E-2</v>
      </c>
      <c r="K733" s="252">
        <v>8.2699999999999994E-4</v>
      </c>
      <c r="L733" s="252">
        <v>4.8649999999999995E-3</v>
      </c>
      <c r="M733" s="252">
        <v>-8.9990000000000001E-3</v>
      </c>
      <c r="N733" s="252">
        <v>6.8960000000000002E-3</v>
      </c>
      <c r="O733" s="252">
        <v>8.369999999999999E-3</v>
      </c>
      <c r="P733" s="252">
        <v>8.3000000000000001E-3</v>
      </c>
      <c r="Q733" s="252">
        <v>-1.4718E-2</v>
      </c>
      <c r="R733" s="252">
        <v>-4.6069999999999998E-4</v>
      </c>
      <c r="S733" s="252">
        <v>1.5960999999999999E-2</v>
      </c>
      <c r="T733" s="252">
        <v>4.6110000000000005E-3</v>
      </c>
      <c r="U733" s="252">
        <v>-1.6774999999999998E-2</v>
      </c>
      <c r="V733" s="252">
        <v>-3.418E-3</v>
      </c>
      <c r="W733" s="252">
        <v>-2.7309999999999999E-3</v>
      </c>
      <c r="X733" s="252">
        <v>2.0593E-2</v>
      </c>
      <c r="Y733" s="252">
        <v>-6.1519999999999999E-4</v>
      </c>
      <c r="Z733" s="244">
        <f ca="1">[1]ExtEntry!$M32</f>
        <v>-6.1519999999999999E-4</v>
      </c>
      <c r="AB733" s="249">
        <v>17</v>
      </c>
      <c r="AC733" s="249">
        <v>15</v>
      </c>
      <c r="AD733" s="249">
        <v>13</v>
      </c>
      <c r="AE733" s="284">
        <v>8</v>
      </c>
      <c r="AF733" s="284">
        <v>11</v>
      </c>
      <c r="AG733" s="284">
        <v>8</v>
      </c>
      <c r="AH733" s="284">
        <v>14</v>
      </c>
      <c r="AI733" s="284">
        <v>11</v>
      </c>
      <c r="AJ733" s="284">
        <v>3</v>
      </c>
      <c r="AK733" s="284">
        <v>2</v>
      </c>
      <c r="AL733" s="284">
        <v>1</v>
      </c>
      <c r="AM733" s="273">
        <v>1</v>
      </c>
      <c r="AN733" s="273">
        <v>4</v>
      </c>
      <c r="AO733" s="273">
        <v>2</v>
      </c>
      <c r="AP733" s="273">
        <v>7</v>
      </c>
      <c r="AQ733" s="273">
        <v>4</v>
      </c>
      <c r="AR733" s="273">
        <v>8</v>
      </c>
      <c r="AS733" s="273">
        <v>1</v>
      </c>
      <c r="AT733" s="273">
        <v>1</v>
      </c>
      <c r="AU733" s="273">
        <v>0</v>
      </c>
      <c r="AV733" s="273">
        <f ca="1">_xlfn.XLOOKUP(A733,TabCalc[Ticker],TabCalc[Up20])</f>
        <v>0</v>
      </c>
      <c r="AX733" s="86" t="str">
        <f t="shared" ca="1" si="60"/>
        <v>NEE</v>
      </c>
      <c r="AY733">
        <f ca="1">_xlfn.XLOOKUP(A733,TabCalc[Ticker],TabCalc[Up150])</f>
        <v>0</v>
      </c>
    </row>
    <row r="734" spans="1:51" hidden="1">
      <c r="A734" s="86" t="str">
        <f t="shared" ca="1" si="59"/>
        <v>NEM</v>
      </c>
      <c r="C734" s="672"/>
      <c r="D734" s="672"/>
      <c r="F734" s="252">
        <v>3.4473999999999998E-2</v>
      </c>
      <c r="G734" s="252">
        <v>1.2063999999999998E-2</v>
      </c>
      <c r="H734" s="252">
        <v>9.9360000000000004E-3</v>
      </c>
      <c r="I734" s="252">
        <v>-2.1400000000000002E-2</v>
      </c>
      <c r="J734" s="252">
        <v>-5.5120000000000004E-3</v>
      </c>
      <c r="K734" s="252">
        <v>1.149E-2</v>
      </c>
      <c r="L734" s="252">
        <v>-5.3023000000000001E-2</v>
      </c>
      <c r="M734" s="252">
        <v>1.9755999999999999E-2</v>
      </c>
      <c r="N734" s="252">
        <v>5.1500000000000004E-2</v>
      </c>
      <c r="O734" s="252">
        <v>5.2312999999999998E-2</v>
      </c>
      <c r="P734" s="252">
        <v>2.32E-3</v>
      </c>
      <c r="Q734" s="252">
        <v>1.3998E-2</v>
      </c>
      <c r="R734" s="252">
        <v>-1.4973E-2</v>
      </c>
      <c r="S734" s="252">
        <v>7.7370000000000008E-3</v>
      </c>
      <c r="T734" s="252">
        <v>-8.9519999999999999E-3</v>
      </c>
      <c r="U734" s="252">
        <v>1.0095E-2</v>
      </c>
      <c r="V734" s="252">
        <v>-1.0582000000000001E-2</v>
      </c>
      <c r="W734" s="252">
        <v>4.0898999999999998E-2</v>
      </c>
      <c r="X734" s="252">
        <v>3.454E-3</v>
      </c>
      <c r="Y734" s="252">
        <v>5.3284000000000005E-2</v>
      </c>
      <c r="Z734" s="244">
        <f ca="1">[1]ExtEntry!$M33</f>
        <v>5.3284000000000005E-2</v>
      </c>
      <c r="AB734" s="249">
        <v>16</v>
      </c>
      <c r="AC734" s="249">
        <v>18</v>
      </c>
      <c r="AD734" s="249">
        <v>14</v>
      </c>
      <c r="AE734" s="284">
        <v>12</v>
      </c>
      <c r="AF734" s="284">
        <v>20</v>
      </c>
      <c r="AG734" s="284">
        <v>20</v>
      </c>
      <c r="AH734" s="284">
        <v>20</v>
      </c>
      <c r="AI734" s="284">
        <v>20</v>
      </c>
      <c r="AJ734" s="284">
        <v>19</v>
      </c>
      <c r="AK734" s="284">
        <v>18</v>
      </c>
      <c r="AL734" s="284">
        <v>16</v>
      </c>
      <c r="AM734" s="273">
        <v>15</v>
      </c>
      <c r="AN734" s="273">
        <v>14</v>
      </c>
      <c r="AO734" s="273">
        <v>20</v>
      </c>
      <c r="AP734" s="273">
        <v>19</v>
      </c>
      <c r="AQ734" s="273">
        <v>20</v>
      </c>
      <c r="AR734" s="273">
        <v>20</v>
      </c>
      <c r="AS734" s="273">
        <v>20</v>
      </c>
      <c r="AT734" s="273">
        <v>20</v>
      </c>
      <c r="AU734" s="273" t="s">
        <v>2967</v>
      </c>
      <c r="AV734" s="273" t="str">
        <f ca="1">_xlfn.XLOOKUP(A734,TabCalc[Ticker],TabCalc[Up20])</f>
        <v>/100/80%</v>
      </c>
      <c r="AX734" s="86" t="str">
        <f t="shared" ca="1" si="60"/>
        <v>NEM</v>
      </c>
      <c r="AY734" t="str">
        <f ca="1">_xlfn.XLOOKUP(A734,TabCalc[Ticker],TabCalc[Up150])</f>
        <v>100/57/55%</v>
      </c>
    </row>
    <row r="735" spans="1:51" hidden="1">
      <c r="A735" s="86" t="str">
        <f t="shared" ca="1" si="59"/>
        <v>NFLX</v>
      </c>
      <c r="C735" s="672"/>
      <c r="D735" s="672"/>
      <c r="F735" s="252">
        <v>5.032E-3</v>
      </c>
      <c r="G735" s="252">
        <v>-3.869E-3</v>
      </c>
      <c r="H735" s="252">
        <v>2.0330000000000001E-3</v>
      </c>
      <c r="I735" s="252">
        <v>-3.644E-2</v>
      </c>
      <c r="J735" s="252">
        <v>3.4455E-2</v>
      </c>
      <c r="K735" s="252">
        <v>-3.7776999999999998E-2</v>
      </c>
      <c r="L735" s="252">
        <v>-3.3793000000000004E-2</v>
      </c>
      <c r="M735" s="252">
        <v>-5.3E-3</v>
      </c>
      <c r="N735" s="252">
        <v>1.6475E-2</v>
      </c>
      <c r="O735" s="252">
        <v>1.6667000000000001E-2</v>
      </c>
      <c r="P735" s="252">
        <v>1.3472999999999999E-2</v>
      </c>
      <c r="Q735" s="252">
        <v>1.1573E-2</v>
      </c>
      <c r="R735" s="252">
        <v>2.1719999999999999E-3</v>
      </c>
      <c r="S735" s="252">
        <v>-6.2186000000000005E-2</v>
      </c>
      <c r="T735" s="252">
        <v>-4.9291000000000001E-2</v>
      </c>
      <c r="U735" s="252">
        <v>-1.5774999999999997E-2</v>
      </c>
      <c r="V735" s="252">
        <v>-2.887E-2</v>
      </c>
      <c r="W735" s="252">
        <v>-7.8519999999999996E-3</v>
      </c>
      <c r="X735" s="252">
        <v>-4.1361000000000002E-2</v>
      </c>
      <c r="Y735" s="252">
        <v>1.4884999999999999E-2</v>
      </c>
      <c r="Z735" s="244">
        <f ca="1">[1]ExtEntry!$M34</f>
        <v>1.4884999999999999E-2</v>
      </c>
      <c r="AB735" s="249">
        <v>20</v>
      </c>
      <c r="AC735" s="249">
        <v>20</v>
      </c>
      <c r="AD735" s="249">
        <v>19</v>
      </c>
      <c r="AE735" s="284">
        <v>20</v>
      </c>
      <c r="AF735" s="284">
        <v>20</v>
      </c>
      <c r="AG735" s="284">
        <v>20</v>
      </c>
      <c r="AH735" s="284">
        <v>20</v>
      </c>
      <c r="AI735" s="284">
        <v>19</v>
      </c>
      <c r="AJ735" s="284">
        <v>16</v>
      </c>
      <c r="AK735" s="284">
        <v>15</v>
      </c>
      <c r="AL735" s="284">
        <v>14</v>
      </c>
      <c r="AM735" s="273">
        <v>17</v>
      </c>
      <c r="AN735" s="273">
        <v>20</v>
      </c>
      <c r="AO735" s="273">
        <v>20</v>
      </c>
      <c r="AP735" s="273">
        <v>19</v>
      </c>
      <c r="AQ735" s="273">
        <v>19</v>
      </c>
      <c r="AR735" s="273">
        <v>19</v>
      </c>
      <c r="AS735" s="273">
        <v>20</v>
      </c>
      <c r="AT735" s="273">
        <v>20</v>
      </c>
      <c r="AU735" s="273">
        <v>0</v>
      </c>
      <c r="AV735" s="273">
        <f ca="1">_xlfn.XLOOKUP(A735,TabCalc[Ticker],TabCalc[Up20])</f>
        <v>0</v>
      </c>
      <c r="AX735" s="86" t="str">
        <f t="shared" ca="1" si="60"/>
        <v>NFLX</v>
      </c>
      <c r="AY735">
        <f ca="1">_xlfn.XLOOKUP(A735,TabCalc[Ticker],TabCalc[Up150])</f>
        <v>0</v>
      </c>
    </row>
    <row r="736" spans="1:51" hidden="1">
      <c r="A736" s="86" t="str">
        <f t="shared" ca="1" si="59"/>
        <v>NOTE</v>
      </c>
      <c r="C736" s="672"/>
      <c r="D736" s="672"/>
      <c r="F736" s="252">
        <v>-0.10781700000000001</v>
      </c>
      <c r="G736" s="252">
        <v>-0.10410899999999999</v>
      </c>
      <c r="H736" s="252">
        <v>1.6667000000000001E-2</v>
      </c>
      <c r="I736" s="252">
        <v>3.9529999999999999E-3</v>
      </c>
      <c r="J736" s="252">
        <v>-5.8823999999999994E-2</v>
      </c>
      <c r="K736" s="252">
        <v>-4.9107000000000005E-2</v>
      </c>
      <c r="L736" s="252">
        <v>-3.1925000000000002E-2</v>
      </c>
      <c r="M736" s="252">
        <v>2.7362999999999998E-2</v>
      </c>
      <c r="N736" s="252">
        <v>9.3689999999999989E-3</v>
      </c>
      <c r="O736" s="252">
        <v>3.1531999999999998E-2</v>
      </c>
      <c r="P736" s="252">
        <v>2.2026E-2</v>
      </c>
      <c r="Q736" s="252">
        <v>-5.9573999999999995E-2</v>
      </c>
      <c r="R736" s="252">
        <v>-7.9908999999999994E-2</v>
      </c>
      <c r="S736" s="252">
        <v>-5.4187000000000006E-2</v>
      </c>
      <c r="T736" s="252">
        <v>-9.8519999999999996E-3</v>
      </c>
      <c r="U736" s="252">
        <v>-9.9500000000000005E-3</v>
      </c>
      <c r="V736" s="252">
        <v>-5.7142999999999999E-2</v>
      </c>
      <c r="W736" s="252">
        <v>-2.6740000000000002E-3</v>
      </c>
      <c r="X736" s="252">
        <v>-2.6316000000000003E-2</v>
      </c>
      <c r="Y736" s="252">
        <v>0</v>
      </c>
      <c r="Z736" s="244">
        <f ca="1">[1]ExtEntry!$M35</f>
        <v>0</v>
      </c>
      <c r="AB736" s="249">
        <v>19</v>
      </c>
      <c r="AC736" s="249">
        <v>19</v>
      </c>
      <c r="AD736" s="249">
        <v>17</v>
      </c>
      <c r="AE736" s="284">
        <v>7</v>
      </c>
      <c r="AF736" s="284">
        <v>8</v>
      </c>
      <c r="AG736" s="284">
        <v>6</v>
      </c>
      <c r="AH736" s="284">
        <v>8</v>
      </c>
      <c r="AI736" s="284">
        <v>7</v>
      </c>
      <c r="AJ736" s="284">
        <v>1</v>
      </c>
      <c r="AK736" s="284">
        <v>1</v>
      </c>
      <c r="AL736" s="284">
        <v>1</v>
      </c>
      <c r="AM736" s="273">
        <v>1</v>
      </c>
      <c r="AN736" s="273">
        <v>3</v>
      </c>
      <c r="AO736" s="273">
        <v>3</v>
      </c>
      <c r="AP736" s="273">
        <v>5</v>
      </c>
      <c r="AQ736" s="273">
        <v>6</v>
      </c>
      <c r="AR736" s="273">
        <v>6</v>
      </c>
      <c r="AS736" s="273">
        <v>1</v>
      </c>
      <c r="AT736" s="273">
        <v>1</v>
      </c>
      <c r="AU736" s="273">
        <v>0</v>
      </c>
      <c r="AV736" s="273">
        <f ca="1">_xlfn.XLOOKUP(A736,TabCalc[Ticker],TabCalc[Up20])</f>
        <v>0</v>
      </c>
      <c r="AX736" s="86" t="str">
        <f t="shared" ca="1" si="60"/>
        <v>NOTE</v>
      </c>
      <c r="AY736">
        <f ca="1">_xlfn.XLOOKUP(A736,TabCalc[Ticker],TabCalc[Up150])</f>
        <v>0.27272727272727271</v>
      </c>
    </row>
    <row r="737" spans="1:51" hidden="1">
      <c r="A737" s="86" t="str">
        <f t="shared" ca="1" si="59"/>
        <v>PAAS</v>
      </c>
      <c r="C737" s="672"/>
      <c r="D737" s="672"/>
      <c r="F737" s="252">
        <v>1.7169E-2</v>
      </c>
      <c r="G737" s="252">
        <v>-7.4029999999999994E-4</v>
      </c>
      <c r="H737" s="252">
        <v>2.6305000000000002E-2</v>
      </c>
      <c r="I737" s="252">
        <v>-1.3828E-2</v>
      </c>
      <c r="J737" s="252">
        <v>1.8186999999999998E-2</v>
      </c>
      <c r="K737" s="252">
        <v>1.1032E-2</v>
      </c>
      <c r="L737" s="252">
        <v>-6.1971999999999999E-2</v>
      </c>
      <c r="M737" s="252">
        <v>1.261E-2</v>
      </c>
      <c r="N737" s="252">
        <v>7.0271E-2</v>
      </c>
      <c r="O737" s="252">
        <v>7.7741000000000005E-2</v>
      </c>
      <c r="P737" s="252">
        <v>7.2083000000000008E-2</v>
      </c>
      <c r="Q737" s="252">
        <v>1.1714E-2</v>
      </c>
      <c r="R737" s="252">
        <v>-2.7126999999999998E-2</v>
      </c>
      <c r="S737" s="252">
        <v>4.7939999999999997E-3</v>
      </c>
      <c r="T737" s="252">
        <v>-9.3650000000000001E-3</v>
      </c>
      <c r="U737" s="252">
        <v>-3.0739999999999999E-3</v>
      </c>
      <c r="V737" s="252">
        <v>4.2989999999999999E-3</v>
      </c>
      <c r="W737" s="252">
        <v>0.105527</v>
      </c>
      <c r="X737" s="252">
        <v>4.9580000000000006E-3</v>
      </c>
      <c r="Y737" s="252">
        <v>3.4525E-2</v>
      </c>
      <c r="Z737" s="244">
        <f ca="1">[1]ExtEntry!$M36</f>
        <v>3.4525E-2</v>
      </c>
      <c r="AB737" s="249">
        <v>9</v>
      </c>
      <c r="AC737" s="249">
        <v>8</v>
      </c>
      <c r="AD737" s="249">
        <v>6</v>
      </c>
      <c r="AE737" s="284">
        <v>1</v>
      </c>
      <c r="AF737" s="284">
        <v>2</v>
      </c>
      <c r="AG737" s="284">
        <v>5</v>
      </c>
      <c r="AH737" s="284">
        <v>7</v>
      </c>
      <c r="AI737" s="284">
        <v>7</v>
      </c>
      <c r="AJ737" s="284">
        <v>2</v>
      </c>
      <c r="AK737" s="284">
        <v>3</v>
      </c>
      <c r="AL737" s="284">
        <v>2</v>
      </c>
      <c r="AM737" s="273">
        <v>5</v>
      </c>
      <c r="AN737" s="273">
        <v>7</v>
      </c>
      <c r="AO737" s="273">
        <v>5</v>
      </c>
      <c r="AP737" s="273">
        <v>1</v>
      </c>
      <c r="AQ737" s="273">
        <v>2</v>
      </c>
      <c r="AR737" s="273">
        <v>4</v>
      </c>
      <c r="AS737" s="273">
        <v>1</v>
      </c>
      <c r="AT737" s="273">
        <v>1</v>
      </c>
      <c r="AU737" s="273">
        <v>0</v>
      </c>
      <c r="AV737" s="273">
        <f ca="1">_xlfn.XLOOKUP(A737,TabCalc[Ticker],TabCalc[Up20])</f>
        <v>0</v>
      </c>
      <c r="AX737" s="86" t="str">
        <f t="shared" ca="1" si="60"/>
        <v>PAAS</v>
      </c>
      <c r="AY737">
        <f ca="1">_xlfn.XLOOKUP(A737,TabCalc[Ticker],TabCalc[Up150])</f>
        <v>0.5</v>
      </c>
    </row>
    <row r="738" spans="1:51" hidden="1">
      <c r="A738" s="86" t="str">
        <f t="shared" ca="1" si="59"/>
        <v>PROF</v>
      </c>
      <c r="C738" s="672"/>
      <c r="D738" s="672"/>
      <c r="F738" s="252">
        <v>-5.0929999999999994E-3</v>
      </c>
      <c r="G738" s="252">
        <v>0</v>
      </c>
      <c r="H738" s="252">
        <v>1.2821000000000001E-2</v>
      </c>
      <c r="I738" s="252">
        <v>7.8739999999999991E-2</v>
      </c>
      <c r="J738" s="252">
        <v>-3.5603999999999997E-2</v>
      </c>
      <c r="K738" s="252">
        <v>-3.8523000000000002E-2</v>
      </c>
      <c r="L738" s="252">
        <v>-2.9654E-2</v>
      </c>
      <c r="M738" s="252">
        <v>4.2550000000000001E-3</v>
      </c>
      <c r="N738" s="252">
        <v>-5.385E-3</v>
      </c>
      <c r="O738" s="252">
        <v>-6.1539999999999997E-3</v>
      </c>
      <c r="P738" s="252">
        <v>2.1671999999999997E-2</v>
      </c>
      <c r="Q738" s="252">
        <v>-2.9620999999999998E-2</v>
      </c>
      <c r="R738" s="252">
        <v>-3.4268E-2</v>
      </c>
      <c r="S738" s="252">
        <v>3.0327000000000003E-2</v>
      </c>
      <c r="T738" s="252">
        <v>0.101357</v>
      </c>
      <c r="U738" s="252">
        <v>-2.8549999999999999E-3</v>
      </c>
      <c r="V738" s="252">
        <v>-2.2221999999999999E-2</v>
      </c>
      <c r="W738" s="252">
        <v>3.3923000000000002E-2</v>
      </c>
      <c r="X738" s="252">
        <v>9.7629999999999991E-3</v>
      </c>
      <c r="Y738" s="252">
        <v>2.6242999999999999E-2</v>
      </c>
      <c r="Z738" s="244">
        <f ca="1">[1]ExtEntry!$M37</f>
        <v>2.6242999999999999E-2</v>
      </c>
      <c r="AB738" s="249">
        <v>19</v>
      </c>
      <c r="AC738" s="249">
        <v>20</v>
      </c>
      <c r="AD738" s="249">
        <v>19</v>
      </c>
      <c r="AE738" s="284">
        <v>20</v>
      </c>
      <c r="AF738" s="284">
        <v>20</v>
      </c>
      <c r="AG738" s="284">
        <v>20</v>
      </c>
      <c r="AH738" s="284">
        <v>19</v>
      </c>
      <c r="AI738" s="284">
        <v>18</v>
      </c>
      <c r="AJ738" s="284">
        <v>15</v>
      </c>
      <c r="AK738" s="284">
        <v>14</v>
      </c>
      <c r="AL738" s="284">
        <v>13</v>
      </c>
      <c r="AM738" s="273">
        <v>15</v>
      </c>
      <c r="AN738" s="273">
        <v>15</v>
      </c>
      <c r="AO738" s="273">
        <v>8</v>
      </c>
      <c r="AP738" s="273">
        <v>6</v>
      </c>
      <c r="AQ738" s="273">
        <v>3</v>
      </c>
      <c r="AR738" s="273">
        <v>4</v>
      </c>
      <c r="AS738" s="273">
        <v>1</v>
      </c>
      <c r="AT738" s="273">
        <v>1</v>
      </c>
      <c r="AU738" s="273">
        <v>0</v>
      </c>
      <c r="AV738" s="273">
        <f ca="1">_xlfn.XLOOKUP(A738,TabCalc[Ticker],TabCalc[Up20])</f>
        <v>0</v>
      </c>
      <c r="AX738" s="86" t="str">
        <f t="shared" ca="1" si="60"/>
        <v>PROF</v>
      </c>
      <c r="AY738">
        <f ca="1">_xlfn.XLOOKUP(A738,TabCalc[Ticker],TabCalc[Up150])</f>
        <v>0.46153846153846156</v>
      </c>
    </row>
    <row r="739" spans="1:51" hidden="1">
      <c r="A739" s="86" t="str">
        <f t="shared" ca="1" si="59"/>
        <v>POET</v>
      </c>
      <c r="C739" s="672"/>
      <c r="D739" s="672"/>
      <c r="F739" s="252">
        <v>1.4286E-2</v>
      </c>
      <c r="G739" s="252">
        <v>-0.11433299999999999</v>
      </c>
      <c r="H739" s="252">
        <v>9.3799999999999994E-3</v>
      </c>
      <c r="I739" s="252">
        <v>-6.3829999999999998E-2</v>
      </c>
      <c r="J739" s="252">
        <v>2.8777E-2</v>
      </c>
      <c r="K739" s="252">
        <v>-2.4615000000000001E-2</v>
      </c>
      <c r="L739" s="252">
        <v>-5.8819999999999992E-3</v>
      </c>
      <c r="M739" s="252">
        <v>1.9047999999999999E-2</v>
      </c>
      <c r="N739" s="252">
        <v>2.0343E-2</v>
      </c>
      <c r="O739" s="252">
        <v>3.6402999999999998E-2</v>
      </c>
      <c r="P739" s="252">
        <v>2.2727000000000001E-2</v>
      </c>
      <c r="Q739" s="252">
        <v>-4.1413999999999999E-2</v>
      </c>
      <c r="R739" s="252">
        <v>9.7609999999999988E-3</v>
      </c>
      <c r="S739" s="252">
        <v>0.148397</v>
      </c>
      <c r="T739" s="252">
        <v>0.284188</v>
      </c>
      <c r="U739" s="252">
        <v>7.9035000000000008E-2</v>
      </c>
      <c r="V739" s="252">
        <v>-5.0235000000000002E-2</v>
      </c>
      <c r="W739" s="252">
        <v>9.8716000000000012E-2</v>
      </c>
      <c r="X739" s="252">
        <v>3.6232E-2</v>
      </c>
      <c r="Y739" s="252">
        <v>9.7900000000000001E-3</v>
      </c>
      <c r="Z739" s="244">
        <f ca="1">[1]ExtEntry!$M38</f>
        <v>9.7900000000000001E-3</v>
      </c>
      <c r="AB739" s="249">
        <v>15</v>
      </c>
      <c r="AC739" s="249">
        <v>15</v>
      </c>
      <c r="AD739" s="249">
        <v>20</v>
      </c>
      <c r="AE739" s="284">
        <v>17</v>
      </c>
      <c r="AF739" s="284">
        <v>20</v>
      </c>
      <c r="AG739" s="284">
        <v>19</v>
      </c>
      <c r="AH739" s="284">
        <v>20</v>
      </c>
      <c r="AI739" s="284">
        <v>16</v>
      </c>
      <c r="AJ739" s="284">
        <v>1</v>
      </c>
      <c r="AK739" s="284">
        <v>2</v>
      </c>
      <c r="AL739" s="284">
        <v>3</v>
      </c>
      <c r="AM739" s="273">
        <v>3</v>
      </c>
      <c r="AN739" s="273">
        <v>3</v>
      </c>
      <c r="AO739" s="273">
        <v>4</v>
      </c>
      <c r="AP739" s="273">
        <v>3</v>
      </c>
      <c r="AQ739" s="273">
        <v>3</v>
      </c>
      <c r="AR739" s="273">
        <v>1</v>
      </c>
      <c r="AS739" s="273">
        <v>1</v>
      </c>
      <c r="AT739" s="273">
        <v>1</v>
      </c>
      <c r="AU739" s="273" t="s">
        <v>2948</v>
      </c>
      <c r="AV739" s="273" t="str">
        <f ca="1">_xlfn.XLOOKUP(A739,TabCalc[Ticker],TabCalc[Up20])</f>
        <v>/67/%</v>
      </c>
      <c r="AX739" s="86" t="str">
        <f t="shared" ca="1" si="60"/>
        <v>POET</v>
      </c>
      <c r="AY739" t="str">
        <f ca="1">_xlfn.XLOOKUP(A739,TabCalc[Ticker],TabCalc[Up150])</f>
        <v>31/42/43%</v>
      </c>
    </row>
    <row r="740" spans="1:51" hidden="1">
      <c r="A740" s="86" t="str">
        <f t="shared" ca="1" si="59"/>
        <v>PW</v>
      </c>
      <c r="C740" s="672"/>
      <c r="D740" s="672"/>
      <c r="F740" s="252">
        <v>7.4570999999999998E-2</v>
      </c>
      <c r="G740" s="252">
        <v>-2.0537E-2</v>
      </c>
      <c r="H740" s="252">
        <v>-3.2115999999999999E-2</v>
      </c>
      <c r="I740" s="252">
        <v>0.141152</v>
      </c>
      <c r="J740" s="252">
        <v>-9.6059000000000005E-2</v>
      </c>
      <c r="K740" s="252">
        <v>-3.2069E-2</v>
      </c>
      <c r="L740" s="252">
        <v>-1.4595E-2</v>
      </c>
      <c r="M740" s="252">
        <v>0.122278</v>
      </c>
      <c r="N740" s="252">
        <v>0.19443100000000002</v>
      </c>
      <c r="O740" s="252">
        <v>0.18879000000000001</v>
      </c>
      <c r="P740" s="252">
        <v>-0.16203900000000002</v>
      </c>
      <c r="Q740" s="252">
        <v>-1.7013E-2</v>
      </c>
      <c r="R740" s="252">
        <v>0.12048199999999999</v>
      </c>
      <c r="S740" s="252">
        <v>-3.0333000000000002E-2</v>
      </c>
      <c r="T740" s="252">
        <v>3.3333000000000002E-2</v>
      </c>
      <c r="U740" s="252">
        <v>2.129E-2</v>
      </c>
      <c r="V740" s="252">
        <v>-1.2277E-2</v>
      </c>
      <c r="W740" s="252">
        <v>1.4157999999999999E-2</v>
      </c>
      <c r="X740" s="252">
        <v>-2.8570999999999999E-2</v>
      </c>
      <c r="Y740" s="252">
        <v>-3.5686000000000002E-2</v>
      </c>
      <c r="Z740" s="244">
        <f ca="1">[1]ExtEntry!$M39</f>
        <v>-3.5686000000000002E-2</v>
      </c>
      <c r="AB740" s="249">
        <v>1</v>
      </c>
      <c r="AC740" s="249">
        <v>2</v>
      </c>
      <c r="AD740" s="249">
        <v>3</v>
      </c>
      <c r="AE740" s="284">
        <v>1</v>
      </c>
      <c r="AF740" s="284">
        <v>1</v>
      </c>
      <c r="AG740" s="284">
        <v>2</v>
      </c>
      <c r="AH740" s="284">
        <v>2</v>
      </c>
      <c r="AI740" s="284">
        <v>1</v>
      </c>
      <c r="AJ740" s="284">
        <v>1</v>
      </c>
      <c r="AK740" s="284">
        <v>2</v>
      </c>
      <c r="AL740" s="284">
        <v>3</v>
      </c>
      <c r="AM740" s="273">
        <v>4</v>
      </c>
      <c r="AN740" s="273">
        <v>8</v>
      </c>
      <c r="AO740" s="273">
        <v>7</v>
      </c>
      <c r="AP740" s="273">
        <v>5</v>
      </c>
      <c r="AQ740" s="273">
        <v>5</v>
      </c>
      <c r="AR740" s="273">
        <v>4</v>
      </c>
      <c r="AS740" s="273">
        <v>13</v>
      </c>
      <c r="AT740" s="273">
        <v>16</v>
      </c>
      <c r="AU740" s="273">
        <v>0</v>
      </c>
      <c r="AV740" s="273">
        <f ca="1">_xlfn.XLOOKUP(A740,TabCalc[Ticker],TabCalc[Up20])</f>
        <v>0</v>
      </c>
      <c r="AX740" s="86" t="str">
        <f t="shared" ca="1" si="60"/>
        <v>PW</v>
      </c>
      <c r="AY740">
        <f ca="1">_xlfn.XLOOKUP(A740,TabCalc[Ticker],TabCalc[Up150])</f>
        <v>0.35294117647058826</v>
      </c>
    </row>
    <row r="741" spans="1:51" hidden="1">
      <c r="A741" s="86" t="str">
        <f t="shared" ca="1" si="59"/>
        <v>RIGL</v>
      </c>
      <c r="C741" s="672"/>
      <c r="D741" s="672"/>
      <c r="F741" s="252">
        <v>0.33368599999999998</v>
      </c>
      <c r="G741" s="252">
        <v>-4.0290999999999993E-2</v>
      </c>
      <c r="H741" s="252">
        <v>-2.2425E-2</v>
      </c>
      <c r="I741" s="252">
        <v>5.1655E-2</v>
      </c>
      <c r="J741" s="252">
        <v>8.727399999999999E-2</v>
      </c>
      <c r="K741" s="252">
        <v>-8.6974999999999997E-2</v>
      </c>
      <c r="L741" s="252">
        <v>7.4256000000000003E-2</v>
      </c>
      <c r="M741" s="252">
        <v>6.5578999999999998E-2</v>
      </c>
      <c r="N741" s="252">
        <v>3.3898000000000005E-2</v>
      </c>
      <c r="O741" s="252">
        <v>2.8249E-2</v>
      </c>
      <c r="P741" s="252">
        <v>-9.2230000000000003E-3</v>
      </c>
      <c r="Q741" s="252">
        <v>-5.2287999999999994E-2</v>
      </c>
      <c r="R741" s="252">
        <v>-6.0515999999999993E-2</v>
      </c>
      <c r="S741" s="252">
        <v>2.6796E-2</v>
      </c>
      <c r="T741" s="252">
        <v>6.3048999999999994E-2</v>
      </c>
      <c r="U741" s="252">
        <v>1.271E-3</v>
      </c>
      <c r="V741" s="252">
        <v>3.2503000000000004E-2</v>
      </c>
      <c r="W741" s="252">
        <v>-8.5249999999999996E-3</v>
      </c>
      <c r="X741" s="252">
        <v>-2.6223E-2</v>
      </c>
      <c r="Y741" s="252">
        <v>2.0135999999999998E-2</v>
      </c>
      <c r="Z741" s="244">
        <f ca="1">[1]ExtEntry!$M40</f>
        <v>2.0135999999999998E-2</v>
      </c>
      <c r="AB741" s="249">
        <v>2</v>
      </c>
      <c r="AC741" s="249">
        <v>1</v>
      </c>
      <c r="AD741" s="249">
        <v>3</v>
      </c>
      <c r="AE741" s="284">
        <v>1</v>
      </c>
      <c r="AF741" s="284">
        <v>2</v>
      </c>
      <c r="AG741" s="284">
        <v>3</v>
      </c>
      <c r="AH741" s="284">
        <v>2</v>
      </c>
      <c r="AI741" s="284">
        <v>3</v>
      </c>
      <c r="AJ741" s="284">
        <v>5</v>
      </c>
      <c r="AK741" s="284">
        <v>7</v>
      </c>
      <c r="AL741" s="284">
        <v>7</v>
      </c>
      <c r="AM741" s="273">
        <v>9</v>
      </c>
      <c r="AN741" s="273">
        <v>10</v>
      </c>
      <c r="AO741" s="273">
        <v>6</v>
      </c>
      <c r="AP741" s="273">
        <v>9</v>
      </c>
      <c r="AQ741" s="273">
        <v>11</v>
      </c>
      <c r="AR741" s="273">
        <v>16</v>
      </c>
      <c r="AS741" s="273">
        <v>9</v>
      </c>
      <c r="AT741" s="273">
        <v>12</v>
      </c>
      <c r="AU741" s="273">
        <v>0</v>
      </c>
      <c r="AV741" s="273">
        <f ca="1">_xlfn.XLOOKUP(A741,TabCalc[Ticker],TabCalc[Up20])</f>
        <v>0</v>
      </c>
      <c r="AX741" s="86" t="str">
        <f t="shared" ca="1" si="60"/>
        <v>RIGL</v>
      </c>
      <c r="AY741">
        <f ca="1">_xlfn.XLOOKUP(A741,TabCalc[Ticker],TabCalc[Up150])</f>
        <v>0.47058823529411764</v>
      </c>
    </row>
    <row r="742" spans="1:51" hidden="1">
      <c r="A742" s="86" t="str">
        <f t="shared" ca="1" si="59"/>
        <v>RWE</v>
      </c>
      <c r="C742" s="672"/>
      <c r="D742" s="672"/>
      <c r="F742" s="252">
        <v>6.3770000000000007E-3</v>
      </c>
      <c r="G742" s="252">
        <v>1.1969E-2</v>
      </c>
      <c r="H742" s="252">
        <v>-4.1770000000000002E-3</v>
      </c>
      <c r="I742" s="252">
        <v>-3.0790000000000001E-3</v>
      </c>
      <c r="J742" s="252">
        <v>-8.7309999999999992E-3</v>
      </c>
      <c r="K742" s="252">
        <v>-2.1042999999999999E-2</v>
      </c>
      <c r="L742" s="252">
        <v>2.3701E-2</v>
      </c>
      <c r="M742" s="252">
        <v>-1.2035000000000001E-2</v>
      </c>
      <c r="N742" s="252">
        <v>1.7704999999999999E-2</v>
      </c>
      <c r="O742" s="252">
        <v>-1.6718999999999998E-2</v>
      </c>
      <c r="P742" s="252">
        <v>4.5960000000000003E-3</v>
      </c>
      <c r="Q742" s="252">
        <v>-8.234E-3</v>
      </c>
      <c r="R742" s="252">
        <v>0</v>
      </c>
      <c r="S742" s="252">
        <v>1.8707000000000001E-2</v>
      </c>
      <c r="T742" s="252">
        <v>6.0049999999999999E-3</v>
      </c>
      <c r="U742" s="252">
        <v>-2.2959999999999999E-3</v>
      </c>
      <c r="V742" s="252">
        <v>-1.0599000000000001E-2</v>
      </c>
      <c r="W742" s="252">
        <v>1.2044999999999998E-2</v>
      </c>
      <c r="X742" s="252">
        <v>-1.3780000000000001E-3</v>
      </c>
      <c r="Y742" s="252">
        <v>-4.5989999999999998E-3</v>
      </c>
      <c r="Z742" s="244">
        <f ca="1">[1]ExtEntry!$M41</f>
        <v>-4.5989999999999998E-3</v>
      </c>
      <c r="AB742" s="249">
        <v>18</v>
      </c>
      <c r="AC742" s="249">
        <v>20</v>
      </c>
      <c r="AD742" s="249">
        <v>20</v>
      </c>
      <c r="AE742" s="284">
        <v>20</v>
      </c>
      <c r="AF742" s="284">
        <v>20</v>
      </c>
      <c r="AG742" s="284">
        <v>19</v>
      </c>
      <c r="AH742" s="284">
        <v>18</v>
      </c>
      <c r="AI742" s="284">
        <v>20</v>
      </c>
      <c r="AJ742" s="284">
        <v>16</v>
      </c>
      <c r="AK742" s="284">
        <v>15</v>
      </c>
      <c r="AL742" s="284">
        <v>14</v>
      </c>
      <c r="AM742" s="273">
        <v>13</v>
      </c>
      <c r="AN742" s="273">
        <v>14</v>
      </c>
      <c r="AO742" s="273">
        <v>14</v>
      </c>
      <c r="AP742" s="273">
        <v>17</v>
      </c>
      <c r="AQ742" s="273">
        <v>9</v>
      </c>
      <c r="AR742" s="273">
        <v>7</v>
      </c>
      <c r="AS742" s="273">
        <v>9</v>
      </c>
      <c r="AT742" s="273">
        <v>7</v>
      </c>
      <c r="AU742" s="273">
        <v>0</v>
      </c>
      <c r="AV742" s="273">
        <f ca="1">_xlfn.XLOOKUP(A742,TabCalc[Ticker],TabCalc[Up20])</f>
        <v>0</v>
      </c>
      <c r="AX742" s="86" t="str">
        <f t="shared" ca="1" si="60"/>
        <v>RWE</v>
      </c>
      <c r="AY742">
        <f ca="1">_xlfn.XLOOKUP(A742,TabCalc[Ticker],TabCalc[Up150])</f>
        <v>0.66666666666666663</v>
      </c>
    </row>
    <row r="743" spans="1:51" hidden="1">
      <c r="A743" s="86" t="str">
        <f t="shared" ca="1" si="59"/>
        <v>SAP</v>
      </c>
      <c r="C743" s="672"/>
      <c r="D743" s="672"/>
      <c r="F743" s="252">
        <v>8.405000000000001E-3</v>
      </c>
      <c r="G743" s="252">
        <v>-4.3868999999999998E-2</v>
      </c>
      <c r="H743" s="252">
        <v>-1.0553E-2</v>
      </c>
      <c r="I743" s="252">
        <v>-3.2094999999999999E-2</v>
      </c>
      <c r="J743" s="252">
        <v>0</v>
      </c>
      <c r="K743" s="252">
        <v>7.3050000000000003E-4</v>
      </c>
      <c r="L743" s="252">
        <v>5.3530000000000001E-3</v>
      </c>
      <c r="M743" s="252">
        <v>-7.744E-3</v>
      </c>
      <c r="N743" s="252">
        <v>9.0310000000000008E-3</v>
      </c>
      <c r="O743" s="252">
        <v>1.451E-3</v>
      </c>
      <c r="P743" s="252">
        <v>7.4879999999999999E-3</v>
      </c>
      <c r="Q743" s="252">
        <v>1.678E-3</v>
      </c>
      <c r="R743" s="252">
        <v>-5.0260000000000001E-3</v>
      </c>
      <c r="S743" s="252">
        <v>-2.8870000000000002E-3</v>
      </c>
      <c r="T743" s="252">
        <v>-6.4949999999999999E-3</v>
      </c>
      <c r="U743" s="252">
        <v>1.7676000000000001E-2</v>
      </c>
      <c r="V743" s="252">
        <v>1.4751E-2</v>
      </c>
      <c r="W743" s="252">
        <v>-4.7600000000000002E-4</v>
      </c>
      <c r="X743" s="252">
        <v>4.5240000000000002E-3</v>
      </c>
      <c r="Y743" s="252">
        <v>-7.8220000000000008E-3</v>
      </c>
      <c r="Z743" s="244">
        <f ca="1">[1]ExtEntry!$M42</f>
        <v>-7.8220000000000008E-3</v>
      </c>
      <c r="AB743" s="249">
        <v>20</v>
      </c>
      <c r="AC743" s="249">
        <v>20</v>
      </c>
      <c r="AD743" s="249">
        <v>19</v>
      </c>
      <c r="AE743" s="284">
        <v>15</v>
      </c>
      <c r="AF743" s="284">
        <v>20</v>
      </c>
      <c r="AG743" s="284">
        <v>20</v>
      </c>
      <c r="AH743" s="284">
        <v>20</v>
      </c>
      <c r="AI743" s="284">
        <v>17</v>
      </c>
      <c r="AJ743" s="284">
        <v>14</v>
      </c>
      <c r="AK743" s="284">
        <v>13</v>
      </c>
      <c r="AL743" s="284">
        <v>9</v>
      </c>
      <c r="AM743" s="273">
        <v>11</v>
      </c>
      <c r="AN743" s="273">
        <v>6</v>
      </c>
      <c r="AO743" s="273">
        <v>11</v>
      </c>
      <c r="AP743" s="273">
        <v>5</v>
      </c>
      <c r="AQ743" s="273">
        <v>1</v>
      </c>
      <c r="AR743" s="273">
        <v>2</v>
      </c>
      <c r="AS743" s="273">
        <v>3</v>
      </c>
      <c r="AT743" s="273">
        <v>3</v>
      </c>
      <c r="AU743" s="273">
        <v>0</v>
      </c>
      <c r="AV743" s="273">
        <f ca="1">_xlfn.XLOOKUP(A743,TabCalc[Ticker],TabCalc[Up20])</f>
        <v>0</v>
      </c>
      <c r="AX743" s="86" t="str">
        <f t="shared" ca="1" si="60"/>
        <v>SAP</v>
      </c>
      <c r="AY743">
        <f ca="1">_xlfn.XLOOKUP(A743,TabCalc[Ticker],TabCalc[Up150])</f>
        <v>0.18181818181818182</v>
      </c>
    </row>
    <row r="744" spans="1:51" hidden="1">
      <c r="A744" s="86" t="str">
        <f t="shared" ca="1" si="59"/>
        <v>SHECY</v>
      </c>
      <c r="C744" s="672"/>
      <c r="D744" s="672"/>
      <c r="F744" s="252">
        <v>-2.0089999999999999E-3</v>
      </c>
      <c r="G744" s="252">
        <v>-2.6846000000000002E-2</v>
      </c>
      <c r="H744" s="252">
        <v>1.5906E-2</v>
      </c>
      <c r="I744" s="252">
        <v>1.2838E-2</v>
      </c>
      <c r="J744" s="252">
        <v>-2.3841999999999999E-2</v>
      </c>
      <c r="K744" s="252">
        <v>-8.0600000000000012E-3</v>
      </c>
      <c r="L744" s="252">
        <v>-3.3403999999999996E-2</v>
      </c>
      <c r="M744" s="252">
        <v>5.3518999999999997E-2</v>
      </c>
      <c r="N744" s="252">
        <v>2.4220999999999999E-2</v>
      </c>
      <c r="O744" s="252">
        <v>2.4220999999999999E-2</v>
      </c>
      <c r="P744" s="252">
        <v>1.0135E-2</v>
      </c>
      <c r="Q744" s="252">
        <v>-1.338E-3</v>
      </c>
      <c r="R744" s="252">
        <v>1.7305000000000001E-2</v>
      </c>
      <c r="S744" s="252">
        <v>-1.6227000000000002E-2</v>
      </c>
      <c r="T744" s="252">
        <v>-5.2769999999999996E-3</v>
      </c>
      <c r="U744" s="252">
        <v>3.2493000000000001E-2</v>
      </c>
      <c r="V744" s="252">
        <v>-2.5640000000000003E-3</v>
      </c>
      <c r="W744" s="252">
        <v>-3.4529999999999999E-3</v>
      </c>
      <c r="X744" s="252">
        <v>1.5101999999999999E-2</v>
      </c>
      <c r="Y744" s="252">
        <v>-3.5575999999999997E-2</v>
      </c>
      <c r="Z744" s="244">
        <f ca="1">[1]ExtEntry!$M43</f>
        <v>-3.5575999999999997E-2</v>
      </c>
      <c r="AB744" s="249">
        <v>20</v>
      </c>
      <c r="AC744" s="249">
        <v>20</v>
      </c>
      <c r="AD744" s="249">
        <v>19</v>
      </c>
      <c r="AE744" s="284">
        <v>20</v>
      </c>
      <c r="AF744" s="284">
        <v>20</v>
      </c>
      <c r="AG744" s="284">
        <v>20</v>
      </c>
      <c r="AH744" s="284">
        <v>20</v>
      </c>
      <c r="AI744" s="284">
        <v>17</v>
      </c>
      <c r="AJ744" s="284">
        <v>16</v>
      </c>
      <c r="AK744" s="284">
        <v>15</v>
      </c>
      <c r="AL744" s="284">
        <v>14</v>
      </c>
      <c r="AM744" s="273">
        <v>14</v>
      </c>
      <c r="AN744" s="273">
        <v>13</v>
      </c>
      <c r="AO744" s="273">
        <v>13</v>
      </c>
      <c r="AP744" s="273">
        <v>9</v>
      </c>
      <c r="AQ744" s="273">
        <v>8</v>
      </c>
      <c r="AR744" s="273">
        <v>8</v>
      </c>
      <c r="AS744" s="273">
        <v>6</v>
      </c>
      <c r="AT744" s="273">
        <v>5</v>
      </c>
      <c r="AU744" s="273">
        <v>0</v>
      </c>
      <c r="AV744" s="273">
        <f ca="1">_xlfn.XLOOKUP(A744,TabCalc[Ticker],TabCalc[Up20])</f>
        <v>0</v>
      </c>
      <c r="AX744" s="86" t="str">
        <f t="shared" ca="1" si="60"/>
        <v>SHECY</v>
      </c>
      <c r="AY744">
        <f ca="1">_xlfn.XLOOKUP(A744,TabCalc[Ticker],TabCalc[Up150])</f>
        <v>0.2</v>
      </c>
    </row>
    <row r="745" spans="1:51" hidden="1">
      <c r="A745" s="86" t="str">
        <f t="shared" ca="1" si="59"/>
        <v>SSYS</v>
      </c>
      <c r="C745" s="672"/>
      <c r="D745" s="672"/>
      <c r="F745" s="252">
        <v>-2.026E-3</v>
      </c>
      <c r="G745" s="252">
        <v>-3.9593999999999997E-2</v>
      </c>
      <c r="H745" s="252">
        <v>0</v>
      </c>
      <c r="I745" s="252">
        <v>-4.0728999999999994E-2</v>
      </c>
      <c r="J745" s="252">
        <v>-3.5170000000000002E-3</v>
      </c>
      <c r="K745" s="252">
        <v>-5.8819999999999992E-3</v>
      </c>
      <c r="L745" s="252">
        <v>-2.0261999999999999E-2</v>
      </c>
      <c r="M745" s="252">
        <v>4.2682999999999999E-2</v>
      </c>
      <c r="N745" s="252">
        <v>7.0260000000000001E-3</v>
      </c>
      <c r="O745" s="252">
        <v>1.171E-2</v>
      </c>
      <c r="P745" s="252">
        <v>1.7361000000000001E-2</v>
      </c>
      <c r="Q745" s="252">
        <v>-7.9640000000000006E-3</v>
      </c>
      <c r="R745" s="252">
        <v>1.3905000000000001E-2</v>
      </c>
      <c r="S745" s="252">
        <v>-2.2859999999999998E-3</v>
      </c>
      <c r="T745" s="252">
        <v>2.6286E-2</v>
      </c>
      <c r="U745" s="252">
        <v>1.6704E-2</v>
      </c>
      <c r="V745" s="252">
        <v>-1.3086E-2</v>
      </c>
      <c r="W745" s="252">
        <v>1.7562999999999999E-2</v>
      </c>
      <c r="X745" s="252">
        <v>1.1982999999999999E-2</v>
      </c>
      <c r="Y745" s="252">
        <v>1.6146000000000001E-2</v>
      </c>
      <c r="Z745" s="244">
        <f ca="1">[1]ExtEntry!$M44</f>
        <v>1.6146000000000001E-2</v>
      </c>
      <c r="AB745" s="249">
        <v>1</v>
      </c>
      <c r="AC745" s="249">
        <v>7</v>
      </c>
      <c r="AD745" s="249">
        <v>18</v>
      </c>
      <c r="AE745" s="284">
        <v>20</v>
      </c>
      <c r="AF745" s="284">
        <v>20</v>
      </c>
      <c r="AG745" s="284">
        <v>19</v>
      </c>
      <c r="AH745" s="284">
        <v>20</v>
      </c>
      <c r="AI745" s="284">
        <v>20</v>
      </c>
      <c r="AJ745" s="284">
        <v>15</v>
      </c>
      <c r="AK745" s="284">
        <v>14</v>
      </c>
      <c r="AL745" s="284">
        <v>12</v>
      </c>
      <c r="AM745" s="273">
        <v>13</v>
      </c>
      <c r="AN745" s="273">
        <v>12</v>
      </c>
      <c r="AO745" s="273">
        <v>7</v>
      </c>
      <c r="AP745" s="273">
        <v>5</v>
      </c>
      <c r="AQ745" s="273">
        <v>4</v>
      </c>
      <c r="AR745" s="273">
        <v>3</v>
      </c>
      <c r="AS745" s="273">
        <v>4</v>
      </c>
      <c r="AT745" s="273">
        <v>3</v>
      </c>
      <c r="AU745" s="273">
        <v>0</v>
      </c>
      <c r="AV745" s="273">
        <f ca="1">_xlfn.XLOOKUP(A745,TabCalc[Ticker],TabCalc[Up20])</f>
        <v>0</v>
      </c>
      <c r="AX745" s="86" t="str">
        <f t="shared" ca="1" si="60"/>
        <v>SSYS</v>
      </c>
      <c r="AY745">
        <f ca="1">_xlfn.XLOOKUP(A745,TabCalc[Ticker],TabCalc[Up150])</f>
        <v>0</v>
      </c>
    </row>
    <row r="746" spans="1:51" hidden="1">
      <c r="A746" s="86" t="str">
        <f t="shared" ca="1" si="59"/>
        <v>TSLA</v>
      </c>
      <c r="C746" s="672"/>
      <c r="D746" s="672"/>
      <c r="F746" s="252">
        <v>4.0511999999999999E-2</v>
      </c>
      <c r="G746" s="252">
        <v>-3.6921000000000002E-2</v>
      </c>
      <c r="H746" s="252">
        <v>-3.5612999999999999E-2</v>
      </c>
      <c r="I746" s="252">
        <v>5.8709999999999995E-3</v>
      </c>
      <c r="J746" s="252">
        <v>-1.8756999999999999E-2</v>
      </c>
      <c r="K746" s="252">
        <v>2.1429999999999999E-3</v>
      </c>
      <c r="L746" s="252">
        <v>-1.1991E-2</v>
      </c>
      <c r="M746" s="252">
        <v>7.7419999999999998E-3</v>
      </c>
      <c r="N746" s="252">
        <v>9.6089999999999995E-3</v>
      </c>
      <c r="O746" s="252">
        <v>1.712E-2</v>
      </c>
      <c r="P746" s="252">
        <v>8.4159999999999999E-3</v>
      </c>
      <c r="Q746" s="252">
        <v>-4.0220000000000004E-3</v>
      </c>
      <c r="R746" s="252">
        <v>-2.1390000000000003E-3</v>
      </c>
      <c r="S746" s="252">
        <v>3.0997E-2</v>
      </c>
      <c r="T746" s="252">
        <v>4.0770000000000001E-2</v>
      </c>
      <c r="U746" s="252">
        <v>7.4319999999999994E-3</v>
      </c>
      <c r="V746" s="252">
        <v>1.034E-3</v>
      </c>
      <c r="W746" s="252">
        <v>2.3022000000000001E-2</v>
      </c>
      <c r="X746" s="252">
        <v>1.4053E-2</v>
      </c>
      <c r="Y746" s="252">
        <v>-1.0154000000000002E-2</v>
      </c>
      <c r="Z746" s="244">
        <f ca="1">[1]ExtEntry!$M45</f>
        <v>-1.0154000000000002E-2</v>
      </c>
      <c r="AB746" s="249">
        <v>17</v>
      </c>
      <c r="AC746" s="249">
        <v>18</v>
      </c>
      <c r="AD746" s="249">
        <v>20</v>
      </c>
      <c r="AE746" s="284">
        <v>20</v>
      </c>
      <c r="AF746" s="284">
        <v>20</v>
      </c>
      <c r="AG746" s="284">
        <v>19</v>
      </c>
      <c r="AH746" s="284">
        <v>18</v>
      </c>
      <c r="AI746" s="284">
        <v>20</v>
      </c>
      <c r="AJ746" s="284">
        <v>10</v>
      </c>
      <c r="AK746" s="284">
        <v>11</v>
      </c>
      <c r="AL746" s="284">
        <v>9</v>
      </c>
      <c r="AM746" s="273">
        <v>10</v>
      </c>
      <c r="AN746" s="273">
        <v>7</v>
      </c>
      <c r="AO746" s="273">
        <v>7</v>
      </c>
      <c r="AP746" s="273">
        <v>4</v>
      </c>
      <c r="AQ746" s="273">
        <v>8</v>
      </c>
      <c r="AR746" s="273">
        <v>5</v>
      </c>
      <c r="AS746" s="273">
        <v>2</v>
      </c>
      <c r="AT746" s="273">
        <v>1</v>
      </c>
      <c r="AU746" s="273">
        <v>0</v>
      </c>
      <c r="AV746" s="273">
        <f ca="1">_xlfn.XLOOKUP(A746,TabCalc[Ticker],TabCalc[Up20])</f>
        <v>0</v>
      </c>
      <c r="AX746" s="86" t="str">
        <f t="shared" ca="1" si="60"/>
        <v>TSLA</v>
      </c>
      <c r="AY746">
        <f ca="1">_xlfn.XLOOKUP(A746,TabCalc[Ticker],TabCalc[Up150])</f>
        <v>0.83333333333333337</v>
      </c>
    </row>
    <row r="747" spans="1:51" hidden="1">
      <c r="A747" s="86" t="str">
        <f t="shared" ca="1" si="59"/>
        <v>TSM</v>
      </c>
      <c r="C747" s="672"/>
      <c r="D747" s="672"/>
      <c r="F747" s="252">
        <v>-3.4009999999999997E-4</v>
      </c>
      <c r="G747" s="252">
        <v>-1.4336999999999999E-2</v>
      </c>
      <c r="H747" s="252">
        <v>-1.172E-2</v>
      </c>
      <c r="I747" s="252">
        <v>9.4610000000000007E-3</v>
      </c>
      <c r="J747" s="252">
        <v>-1.4184E-2</v>
      </c>
      <c r="K747" s="252">
        <v>5.6849999999999999E-3</v>
      </c>
      <c r="L747" s="252">
        <v>-8.2159999999999993E-3</v>
      </c>
      <c r="M747" s="252">
        <v>-3.0990000000000002E-3</v>
      </c>
      <c r="N747" s="252">
        <v>2.4729999999999999E-2</v>
      </c>
      <c r="O747" s="252">
        <v>1.8600000000000002E-2</v>
      </c>
      <c r="P747" s="252">
        <v>5.3109999999999997E-3</v>
      </c>
      <c r="Q747" s="252">
        <v>-3.9789999999999999E-3</v>
      </c>
      <c r="R747" s="252">
        <v>1.6112000000000001E-2</v>
      </c>
      <c r="S747" s="252">
        <v>5.7860000000000003E-3</v>
      </c>
      <c r="T747" s="252">
        <v>1.1639999999999999E-2</v>
      </c>
      <c r="U747" s="252">
        <v>-1.0390999999999999E-2</v>
      </c>
      <c r="V747" s="252">
        <v>5.9740000000000001E-3</v>
      </c>
      <c r="W747" s="252">
        <v>2.5840000000000004E-3</v>
      </c>
      <c r="X747" s="252">
        <v>2.2181000000000003E-2</v>
      </c>
      <c r="Y747" s="252">
        <v>-1.4296999999999999E-2</v>
      </c>
      <c r="Z747" s="244">
        <f ca="1">[1]ExtEntry!$M46</f>
        <v>-1.4296999999999999E-2</v>
      </c>
      <c r="AB747" s="249">
        <v>20</v>
      </c>
      <c r="AC747" s="249">
        <v>20</v>
      </c>
      <c r="AD747" s="249">
        <v>19</v>
      </c>
      <c r="AE747" s="284">
        <v>18</v>
      </c>
      <c r="AF747" s="284">
        <v>16</v>
      </c>
      <c r="AG747" s="284">
        <v>11</v>
      </c>
      <c r="AH747" s="284">
        <v>12</v>
      </c>
      <c r="AI747" s="284">
        <v>14</v>
      </c>
      <c r="AJ747" s="284">
        <v>1</v>
      </c>
      <c r="AK747" s="284">
        <v>1</v>
      </c>
      <c r="AL747" s="284">
        <v>1</v>
      </c>
      <c r="AM747" s="273">
        <v>2</v>
      </c>
      <c r="AN747" s="273">
        <v>4</v>
      </c>
      <c r="AO747" s="273">
        <v>4</v>
      </c>
      <c r="AP747" s="273">
        <v>4</v>
      </c>
      <c r="AQ747" s="273">
        <v>3</v>
      </c>
      <c r="AR747" s="273">
        <v>5</v>
      </c>
      <c r="AS747" s="273">
        <v>1</v>
      </c>
      <c r="AT747" s="273">
        <v>1</v>
      </c>
      <c r="AU747" s="273" t="s">
        <v>2959</v>
      </c>
      <c r="AV747" s="273" t="str">
        <f ca="1">_xlfn.XLOOKUP(A747,TabCalc[Ticker],TabCalc[Up20])</f>
        <v>/33/%</v>
      </c>
      <c r="AX747" s="86" t="str">
        <f t="shared" ca="1" si="60"/>
        <v>TSM</v>
      </c>
      <c r="AY747" t="str">
        <f ca="1">_xlfn.XLOOKUP(A747,TabCalc[Ticker],TabCalc[Up150])</f>
        <v>50/53/44%</v>
      </c>
    </row>
    <row r="748" spans="1:51" hidden="1">
      <c r="A748" s="86" t="str">
        <f t="shared" ca="1" si="59"/>
        <v>UN0</v>
      </c>
      <c r="C748" s="672"/>
      <c r="D748" s="672"/>
      <c r="F748" s="252">
        <v>-3.3779999999999999E-3</v>
      </c>
      <c r="G748" s="252">
        <v>-5.2541999999999998E-2</v>
      </c>
      <c r="H748" s="252">
        <v>1.9678000000000001E-2</v>
      </c>
      <c r="I748" s="252">
        <v>-1.7449999999999998E-3</v>
      </c>
      <c r="J748" s="252">
        <v>-2.9557000000000003E-2</v>
      </c>
      <c r="K748" s="252">
        <v>-6.5680000000000009E-3</v>
      </c>
      <c r="L748" s="252">
        <v>1.3423000000000001E-2</v>
      </c>
      <c r="M748" s="252">
        <v>6.711E-3</v>
      </c>
      <c r="N748" s="252">
        <v>3.9063000000000001E-2</v>
      </c>
      <c r="O748" s="252">
        <v>2.5564E-2</v>
      </c>
      <c r="P748" s="252">
        <v>5.8650000000000004E-3</v>
      </c>
      <c r="Q748" s="252">
        <v>-1.4580000000000001E-3</v>
      </c>
      <c r="R748" s="252">
        <v>-2.1898000000000001E-2</v>
      </c>
      <c r="S748" s="252">
        <v>4.4779999999999993E-3</v>
      </c>
      <c r="T748" s="252">
        <v>4.4779999999999993E-3</v>
      </c>
      <c r="U748" s="252">
        <v>1.3372999999999999E-2</v>
      </c>
      <c r="V748" s="252">
        <v>2.9499999999999999E-3</v>
      </c>
      <c r="W748" s="252">
        <v>5.5556000000000001E-2</v>
      </c>
      <c r="X748" s="252">
        <v>-5.2290000000000001E-3</v>
      </c>
      <c r="Y748" s="252">
        <v>-7.8840000000000004E-3</v>
      </c>
      <c r="Z748" s="244">
        <f ca="1">[1]ExtEntry!$M47</f>
        <v>-7.8840000000000004E-3</v>
      </c>
      <c r="AB748" s="249">
        <v>1</v>
      </c>
      <c r="AC748" s="249">
        <v>2</v>
      </c>
      <c r="AD748" s="249">
        <v>1</v>
      </c>
      <c r="AE748" s="284">
        <v>3</v>
      </c>
      <c r="AF748" s="284">
        <v>6</v>
      </c>
      <c r="AG748" s="284">
        <v>10</v>
      </c>
      <c r="AH748" s="284">
        <v>9</v>
      </c>
      <c r="AI748" s="284">
        <v>9</v>
      </c>
      <c r="AJ748" s="284">
        <v>2</v>
      </c>
      <c r="AK748" s="284">
        <v>4</v>
      </c>
      <c r="AL748" s="284">
        <v>4</v>
      </c>
      <c r="AM748" s="273">
        <v>2</v>
      </c>
      <c r="AN748" s="273">
        <v>1</v>
      </c>
      <c r="AO748" s="273">
        <v>1</v>
      </c>
      <c r="AP748" s="273">
        <v>2</v>
      </c>
      <c r="AQ748" s="273">
        <v>1</v>
      </c>
      <c r="AR748" s="273">
        <v>9</v>
      </c>
      <c r="AS748" s="273">
        <v>6</v>
      </c>
      <c r="AT748" s="273">
        <v>1</v>
      </c>
      <c r="AU748" s="273" t="s">
        <v>2942</v>
      </c>
      <c r="AV748" s="273" t="str">
        <f ca="1">_xlfn.XLOOKUP(A748,TabCalc[Ticker],TabCalc[Up20])</f>
        <v>//56%</v>
      </c>
      <c r="AX748" s="86" t="str">
        <f t="shared" ca="1" si="60"/>
        <v>UN0</v>
      </c>
      <c r="AY748" t="str">
        <f ca="1">_xlfn.XLOOKUP(A748,TabCalc[Ticker],TabCalc[Up150])</f>
        <v>25/36/42%</v>
      </c>
    </row>
    <row r="749" spans="1:51" hidden="1">
      <c r="A749" s="86" t="str">
        <f t="shared" ca="1" si="59"/>
        <v>UNIT</v>
      </c>
      <c r="C749" s="672"/>
      <c r="D749" s="672"/>
      <c r="F749" s="252">
        <v>6.666699999999999E-2</v>
      </c>
      <c r="G749" s="252">
        <v>-2.5781000000000002E-2</v>
      </c>
      <c r="H749" s="252">
        <v>4.8722000000000001E-2</v>
      </c>
      <c r="I749" s="252">
        <v>4.0597000000000001E-2</v>
      </c>
      <c r="J749" s="252">
        <v>-2.2258E-2</v>
      </c>
      <c r="K749" s="252">
        <v>-3.8211000000000002E-2</v>
      </c>
      <c r="L749" s="252">
        <v>8.3890000000000006E-3</v>
      </c>
      <c r="M749" s="252">
        <v>2.8157000000000001E-2</v>
      </c>
      <c r="N749" s="252">
        <v>2.4760000000000001E-2</v>
      </c>
      <c r="O749" s="252">
        <v>7.9869999999999993E-3</v>
      </c>
      <c r="P749" s="252">
        <v>9.5090000000000001E-3</v>
      </c>
      <c r="Q749" s="252">
        <v>7.8490000000000001E-3</v>
      </c>
      <c r="R749" s="252">
        <v>2.8771000000000001E-2</v>
      </c>
      <c r="S749" s="252">
        <v>8.3079999999999994E-3</v>
      </c>
      <c r="T749" s="252">
        <v>6.0419999999999996E-3</v>
      </c>
      <c r="U749" s="252">
        <v>6.757E-3</v>
      </c>
      <c r="V749" s="252">
        <v>-2.7397000000000001E-2</v>
      </c>
      <c r="W749" s="252">
        <v>-8.461999999999999E-3</v>
      </c>
      <c r="X749" s="252">
        <v>4.3277000000000003E-2</v>
      </c>
      <c r="Y749" s="252">
        <v>7.2592999999999991E-2</v>
      </c>
      <c r="Z749" s="244">
        <f ca="1">[1]ExtEntry!$M48</f>
        <v>7.2592999999999991E-2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s">
        <v>2951</v>
      </c>
      <c r="AV749" s="273" t="str">
        <f ca="1">_xlfn.XLOOKUP(A749,TabCalc[Ticker],TabCalc[Up20])</f>
        <v>/100/%</v>
      </c>
      <c r="AX749" s="86" t="str">
        <f t="shared" ca="1" si="60"/>
        <v>UNIT</v>
      </c>
      <c r="AY749" t="str">
        <f ca="1">_xlfn.XLOOKUP(A749,TabCalc[Ticker],TabCalc[Up150])</f>
        <v>100/33/49%</v>
      </c>
    </row>
    <row r="750" spans="1:51" hidden="1">
      <c r="A750" s="86" t="str">
        <f t="shared" ca="1" si="59"/>
        <v>VLVLY</v>
      </c>
      <c r="C750" s="672"/>
      <c r="D750" s="672"/>
      <c r="F750" s="252">
        <v>2.8359000000000002E-2</v>
      </c>
      <c r="G750" s="252">
        <v>-7.9979999999999999E-3</v>
      </c>
      <c r="H750" s="252">
        <v>5.372E-3</v>
      </c>
      <c r="I750" s="252">
        <v>-1.1632E-2</v>
      </c>
      <c r="J750" s="252">
        <v>-3.6209999999999997E-4</v>
      </c>
      <c r="K750" s="252">
        <v>1.4306000000000001E-2</v>
      </c>
      <c r="L750" s="252">
        <v>-2.1011000000000002E-2</v>
      </c>
      <c r="M750" s="252">
        <v>3.4369000000000004E-2</v>
      </c>
      <c r="N750" s="252">
        <v>5.3969999999999999E-3</v>
      </c>
      <c r="O750" s="252">
        <v>5.7369999999999999E-3</v>
      </c>
      <c r="P750" s="252">
        <v>5.3690000000000005E-3</v>
      </c>
      <c r="Q750" s="252">
        <v>-1.6689999999999999E-4</v>
      </c>
      <c r="R750" s="252">
        <v>3.0130000000000001E-3</v>
      </c>
      <c r="S750" s="252">
        <v>-9.6760000000000006E-3</v>
      </c>
      <c r="T750" s="252">
        <v>-2.6690000000000004E-3</v>
      </c>
      <c r="U750" s="252">
        <v>2.3954E-2</v>
      </c>
      <c r="V750" s="252">
        <v>2.946E-2</v>
      </c>
      <c r="W750" s="252">
        <v>-1.6168000000000002E-2</v>
      </c>
      <c r="X750" s="252">
        <v>1.5215000000000001E-2</v>
      </c>
      <c r="Y750" s="252">
        <v>2.1842999999999998E-2</v>
      </c>
      <c r="Z750" s="244">
        <f ca="1">[1]ExtEntry!$M49</f>
        <v>2.1842999999999998E-2</v>
      </c>
      <c r="AB750" s="249">
        <v>12</v>
      </c>
      <c r="AC750" s="249">
        <v>14</v>
      </c>
      <c r="AD750" s="249">
        <v>12</v>
      </c>
      <c r="AE750" s="284">
        <v>2</v>
      </c>
      <c r="AF750" s="284">
        <v>8</v>
      </c>
      <c r="AG750" s="284">
        <v>3</v>
      </c>
      <c r="AH750" s="284">
        <v>11</v>
      </c>
      <c r="AI750" s="284">
        <v>1</v>
      </c>
      <c r="AJ750" s="284">
        <v>1</v>
      </c>
      <c r="AK750" s="284">
        <v>1</v>
      </c>
      <c r="AL750" s="284">
        <v>1</v>
      </c>
      <c r="AM750" s="273">
        <v>2</v>
      </c>
      <c r="AN750" s="273">
        <v>1</v>
      </c>
      <c r="AO750" s="273">
        <v>6</v>
      </c>
      <c r="AP750" s="273">
        <v>4</v>
      </c>
      <c r="AQ750" s="273">
        <v>1</v>
      </c>
      <c r="AR750" s="273">
        <v>1</v>
      </c>
      <c r="AS750" s="273">
        <v>2</v>
      </c>
      <c r="AT750" s="273">
        <v>2</v>
      </c>
      <c r="AU750" s="273">
        <v>0</v>
      </c>
      <c r="AV750" s="273">
        <f ca="1">_xlfn.XLOOKUP(A750,TabCalc[Ticker],TabCalc[Up20])</f>
        <v>0</v>
      </c>
      <c r="AX750" s="86" t="str">
        <f t="shared" ca="1" si="60"/>
        <v>VLVLY</v>
      </c>
      <c r="AY750">
        <f ca="1">_xlfn.XLOOKUP(A750,TabCalc[Ticker],TabCalc[Up150])</f>
        <v>0</v>
      </c>
    </row>
    <row r="751" spans="1:51" hidden="1">
      <c r="A751" s="86" t="str">
        <f t="shared" ca="1" si="59"/>
        <v>VONN</v>
      </c>
      <c r="C751" s="672"/>
      <c r="D751" s="672"/>
      <c r="F751" s="252">
        <v>-5.0509999999999999E-3</v>
      </c>
      <c r="G751" s="252">
        <v>-1.5227999999999998E-2</v>
      </c>
      <c r="H751" s="252">
        <v>1.7180000000000001E-3</v>
      </c>
      <c r="I751" s="252">
        <v>-3.3219999999999999E-3</v>
      </c>
      <c r="J751" s="252">
        <v>-1.701E-3</v>
      </c>
      <c r="K751" s="252">
        <v>6.803E-3</v>
      </c>
      <c r="L751" s="252">
        <v>1.0135E-2</v>
      </c>
      <c r="M751" s="252">
        <v>-5.0170000000000006E-3</v>
      </c>
      <c r="N751" s="252">
        <v>8.4030000000000007E-3</v>
      </c>
      <c r="O751" s="252">
        <v>0.01</v>
      </c>
      <c r="P751" s="252">
        <v>1.65E-3</v>
      </c>
      <c r="Q751" s="252">
        <v>3.2950000000000002E-3</v>
      </c>
      <c r="R751" s="252">
        <v>3.2840000000000005E-3</v>
      </c>
      <c r="S751" s="252">
        <v>-1.3092999999999999E-2</v>
      </c>
      <c r="T751" s="252">
        <v>-9.8200000000000006E-3</v>
      </c>
      <c r="U751" s="252">
        <v>9.9170000000000005E-3</v>
      </c>
      <c r="V751" s="252">
        <v>1.6370000000000002E-3</v>
      </c>
      <c r="W751" s="252">
        <v>0</v>
      </c>
      <c r="X751" s="252">
        <v>-8.1569999999999993E-3</v>
      </c>
      <c r="Y751" s="252">
        <v>4.934E-3</v>
      </c>
      <c r="Z751" s="244">
        <f ca="1">[1]ExtEntry!$M50</f>
        <v>4.934E-3</v>
      </c>
      <c r="AB751" s="249">
        <v>17</v>
      </c>
      <c r="AC751" s="249">
        <v>20</v>
      </c>
      <c r="AD751" s="249">
        <v>19</v>
      </c>
      <c r="AE751" s="284">
        <v>12</v>
      </c>
      <c r="AF751" s="284">
        <v>17</v>
      </c>
      <c r="AG751" s="284">
        <v>13</v>
      </c>
      <c r="AH751" s="284">
        <v>10</v>
      </c>
      <c r="AI751" s="284">
        <v>11</v>
      </c>
      <c r="AJ751" s="284">
        <v>8</v>
      </c>
      <c r="AK751" s="284">
        <v>5</v>
      </c>
      <c r="AL751" s="284">
        <v>5</v>
      </c>
      <c r="AM751" s="273">
        <v>4</v>
      </c>
      <c r="AN751" s="273">
        <v>3</v>
      </c>
      <c r="AO751" s="273">
        <v>10</v>
      </c>
      <c r="AP751" s="273">
        <v>8</v>
      </c>
      <c r="AQ751" s="273">
        <v>2</v>
      </c>
      <c r="AR751" s="273">
        <v>1</v>
      </c>
      <c r="AS751" s="273">
        <v>1</v>
      </c>
      <c r="AT751" s="273">
        <v>6</v>
      </c>
      <c r="AU751" s="273">
        <v>0</v>
      </c>
      <c r="AV751" s="273">
        <f ca="1">_xlfn.XLOOKUP(A751,TabCalc[Ticker],TabCalc[Up20])</f>
        <v>0</v>
      </c>
      <c r="AX751" s="86" t="str">
        <f t="shared" ca="1" si="60"/>
        <v>VONN</v>
      </c>
      <c r="AY751">
        <f ca="1">_xlfn.XLOOKUP(A751,TabCalc[Ticker],TabCalc[Up150])</f>
        <v>0.1875</v>
      </c>
    </row>
    <row r="752" spans="1:51" hidden="1">
      <c r="A752" s="86" t="str">
        <f t="shared" ca="1" si="59"/>
        <v>VTRS</v>
      </c>
      <c r="C752" s="672"/>
      <c r="D752" s="672"/>
      <c r="F752" s="252">
        <v>2.4786000000000002E-2</v>
      </c>
      <c r="G752" s="252">
        <v>-5.1628E-2</v>
      </c>
      <c r="H752" s="252">
        <v>-3.4620000000000002E-3</v>
      </c>
      <c r="I752" s="252">
        <v>-1.7415E-2</v>
      </c>
      <c r="J752" s="252">
        <v>4.6899999999999997E-3</v>
      </c>
      <c r="K752" s="252">
        <v>-1.5406E-2</v>
      </c>
      <c r="L752" s="252">
        <v>-2.2467000000000001E-2</v>
      </c>
      <c r="M752" s="252">
        <v>2.6006000000000001E-2</v>
      </c>
      <c r="N752" s="252">
        <v>9.4699999999999993E-3</v>
      </c>
      <c r="O752" s="252">
        <v>7.5760000000000003E-3</v>
      </c>
      <c r="P752" s="252">
        <v>4.6990000000000001E-3</v>
      </c>
      <c r="Q752" s="252">
        <v>5.1449999999999994E-3</v>
      </c>
      <c r="R752" s="252">
        <v>1.4019999999999998E-3</v>
      </c>
      <c r="S752" s="252">
        <v>1.4939000000000001E-2</v>
      </c>
      <c r="T752" s="252">
        <v>1.2137999999999999E-2</v>
      </c>
      <c r="U752" s="252">
        <v>-9.6860000000000002E-3</v>
      </c>
      <c r="V752" s="252">
        <v>1.5799000000000001E-2</v>
      </c>
      <c r="W752" s="252">
        <v>1.3075000000000002E-2</v>
      </c>
      <c r="X752" s="252">
        <v>3.6639999999999999E-2</v>
      </c>
      <c r="Y752" s="252">
        <v>-8.6209999999999998E-4</v>
      </c>
      <c r="Z752" s="244">
        <f ca="1">[1]ExtEntry!$M51</f>
        <v>-8.6209999999999998E-4</v>
      </c>
      <c r="AB752" s="249">
        <v>1</v>
      </c>
      <c r="AC752" s="249">
        <v>12</v>
      </c>
      <c r="AD752" s="249">
        <v>15</v>
      </c>
      <c r="AE752" s="284">
        <v>2</v>
      </c>
      <c r="AF752" s="284">
        <v>3</v>
      </c>
      <c r="AG752" s="284">
        <v>4</v>
      </c>
      <c r="AH752" s="284">
        <v>15</v>
      </c>
      <c r="AI752" s="284">
        <v>6</v>
      </c>
      <c r="AJ752" s="284">
        <v>4</v>
      </c>
      <c r="AK752" s="284">
        <v>5</v>
      </c>
      <c r="AL752" s="284">
        <v>4</v>
      </c>
      <c r="AM752" s="273">
        <v>2</v>
      </c>
      <c r="AN752" s="273">
        <v>4</v>
      </c>
      <c r="AO752" s="273">
        <v>1</v>
      </c>
      <c r="AP752" s="273">
        <v>2</v>
      </c>
      <c r="AQ752" s="273">
        <v>5</v>
      </c>
      <c r="AR752" s="273">
        <v>1</v>
      </c>
      <c r="AS752" s="273">
        <v>1</v>
      </c>
      <c r="AT752" s="273">
        <v>1</v>
      </c>
      <c r="AU752" s="273">
        <v>0</v>
      </c>
      <c r="AV752" s="273">
        <f ca="1">_xlfn.XLOOKUP(A752,TabCalc[Ticker],TabCalc[Up20])</f>
        <v>0</v>
      </c>
      <c r="AX752" s="86" t="str">
        <f t="shared" ca="1" si="60"/>
        <v>VTRS</v>
      </c>
      <c r="AY752">
        <f ca="1">_xlfn.XLOOKUP(A752,TabCalc[Ticker],TabCalc[Up150])</f>
        <v>0.69565217391304346</v>
      </c>
    </row>
    <row r="753" spans="1:51" hidden="1">
      <c r="A753" s="86" t="str">
        <f t="shared" ca="1" si="59"/>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0</v>
      </c>
      <c r="AV753" s="273">
        <f ca="1">_xlfn.XLOOKUP(A753,TabCalc[Ticker],TabCalc[Up20])</f>
        <v>0</v>
      </c>
      <c r="AX753" s="86" t="str">
        <f t="shared" ca="1" si="60"/>
        <v>WBA</v>
      </c>
      <c r="AY753">
        <f ca="1">_xlfn.XLOOKUP(A753,TabCalc[Ticker],TabCalc[Up150])</f>
        <v>0</v>
      </c>
    </row>
    <row r="754" spans="1:51" hidden="1">
      <c r="A754" s="86" t="str">
        <f t="shared" ca="1" si="59"/>
        <v>XOM</v>
      </c>
      <c r="C754" s="672"/>
      <c r="D754" s="672"/>
      <c r="F754" s="252">
        <v>-3.7669999999999999E-3</v>
      </c>
      <c r="G754" s="252">
        <v>1.0644000000000001E-2</v>
      </c>
      <c r="H754" s="252">
        <v>2.5239999999999999E-2</v>
      </c>
      <c r="I754" s="252">
        <v>1.2907999999999999E-2</v>
      </c>
      <c r="J754" s="252">
        <v>1.1472E-2</v>
      </c>
      <c r="K754" s="252">
        <v>-1.2182E-2</v>
      </c>
      <c r="L754" s="252">
        <v>-3.6640000000000002E-3</v>
      </c>
      <c r="M754" s="252">
        <v>7.691000000000001E-4</v>
      </c>
      <c r="N754" s="252">
        <v>7.7800000000000005E-3</v>
      </c>
      <c r="O754" s="252">
        <v>2.271E-3</v>
      </c>
      <c r="P754" s="252">
        <v>1.0456E-2</v>
      </c>
      <c r="Q754" s="252">
        <v>1.1818E-2</v>
      </c>
      <c r="R754" s="252">
        <v>-1.0246E-2</v>
      </c>
      <c r="S754" s="252">
        <v>1.3265000000000001E-2</v>
      </c>
      <c r="T754" s="252">
        <v>2.1191000000000002E-2</v>
      </c>
      <c r="U754" s="252">
        <v>-3.1409999999999997E-3</v>
      </c>
      <c r="V754" s="252">
        <v>-5.293E-3</v>
      </c>
      <c r="W754" s="252">
        <v>2.8755000000000003E-2</v>
      </c>
      <c r="X754" s="252">
        <v>1.0782E-2</v>
      </c>
      <c r="Y754" s="252">
        <v>8.3649999999999987E-5</v>
      </c>
      <c r="Z754" s="244">
        <f ca="1">[1]ExtEntry!$M53</f>
        <v>8.3649999999999987E-5</v>
      </c>
      <c r="AB754" s="249">
        <v>11</v>
      </c>
      <c r="AC754" s="249">
        <v>5</v>
      </c>
      <c r="AD754" s="249">
        <v>1</v>
      </c>
      <c r="AE754" s="284">
        <v>1</v>
      </c>
      <c r="AF754" s="284">
        <v>2</v>
      </c>
      <c r="AG754" s="284">
        <v>3</v>
      </c>
      <c r="AH754" s="284">
        <v>5</v>
      </c>
      <c r="AI754" s="284">
        <v>5</v>
      </c>
      <c r="AJ754" s="284">
        <v>9</v>
      </c>
      <c r="AK754" s="284">
        <v>13</v>
      </c>
      <c r="AL754" s="284">
        <v>7</v>
      </c>
      <c r="AM754" s="273">
        <v>5</v>
      </c>
      <c r="AN754" s="273">
        <v>11</v>
      </c>
      <c r="AO754" s="273">
        <v>8</v>
      </c>
      <c r="AP754" s="273">
        <v>3</v>
      </c>
      <c r="AQ754" s="273">
        <v>5</v>
      </c>
      <c r="AR754" s="273">
        <v>11</v>
      </c>
      <c r="AS754" s="273">
        <v>1</v>
      </c>
      <c r="AT754" s="273">
        <v>1</v>
      </c>
      <c r="AU754" s="273">
        <v>0</v>
      </c>
      <c r="AV754" s="273">
        <f ca="1">_xlfn.XLOOKUP(A754,TabCalc[Ticker],TabCalc[Up20])</f>
        <v>0</v>
      </c>
      <c r="AX754" s="86" t="str">
        <f t="shared" ca="1" si="60"/>
        <v>XOM</v>
      </c>
      <c r="AY754">
        <f ca="1">_xlfn.XLOOKUP(A754,TabCalc[Ticker],TabCalc[Up150])</f>
        <v>0</v>
      </c>
    </row>
    <row r="755" spans="1:51" hidden="1">
      <c r="A755" s="86" t="str">
        <f t="shared" ca="1" si="59"/>
        <v>XPER</v>
      </c>
      <c r="C755" s="672"/>
      <c r="D755" s="672"/>
      <c r="F755" s="252">
        <v>5.8085000000000005E-2</v>
      </c>
      <c r="G755" s="252">
        <v>2.2254999999999997E-2</v>
      </c>
      <c r="H755" s="252">
        <v>-3.952E-2</v>
      </c>
      <c r="I755" s="252">
        <v>-1.746E-2</v>
      </c>
      <c r="J755" s="252">
        <v>-2.349E-2</v>
      </c>
      <c r="K755" s="252">
        <v>-2.2336999999999999E-2</v>
      </c>
      <c r="L755" s="252">
        <v>-2.2162999999999999E-2</v>
      </c>
      <c r="M755" s="252">
        <v>4.2278999999999997E-2</v>
      </c>
      <c r="N755" s="252">
        <v>8.7569999999999998E-4</v>
      </c>
      <c r="O755" s="252">
        <v>5.254E-3</v>
      </c>
      <c r="P755" s="252">
        <v>8.711E-3</v>
      </c>
      <c r="Q755" s="252">
        <v>-1.2073E-2</v>
      </c>
      <c r="R755" s="252">
        <v>2.8069999999999998E-2</v>
      </c>
      <c r="S755" s="252">
        <v>-1.712E-3</v>
      </c>
      <c r="T755" s="252">
        <v>2.7397000000000001E-2</v>
      </c>
      <c r="U755" s="252">
        <v>-1.6667000000000001E-2</v>
      </c>
      <c r="V755" s="252">
        <v>2.5554E-2</v>
      </c>
      <c r="W755" s="252">
        <v>1.4026E-2</v>
      </c>
      <c r="X755" s="252">
        <v>1.626E-2</v>
      </c>
      <c r="Y755" s="252">
        <v>-1.44E-2</v>
      </c>
      <c r="Z755" s="244">
        <f ca="1">[1]ExtEntry!$M54</f>
        <v>-1.44E-2</v>
      </c>
      <c r="AB755" s="249">
        <v>3</v>
      </c>
      <c r="AC755" s="249">
        <v>1</v>
      </c>
      <c r="AD755" s="249">
        <v>15</v>
      </c>
      <c r="AE755" s="284">
        <v>20</v>
      </c>
      <c r="AF755" s="284">
        <v>20</v>
      </c>
      <c r="AG755" s="284">
        <v>20</v>
      </c>
      <c r="AH755" s="284">
        <v>20</v>
      </c>
      <c r="AI755" s="284">
        <v>19</v>
      </c>
      <c r="AJ755" s="284">
        <v>17</v>
      </c>
      <c r="AK755" s="284">
        <v>16</v>
      </c>
      <c r="AL755" s="284">
        <v>15</v>
      </c>
      <c r="AM755" s="273">
        <v>16</v>
      </c>
      <c r="AN755" s="273">
        <v>12</v>
      </c>
      <c r="AO755" s="273">
        <v>12</v>
      </c>
      <c r="AP755" s="273">
        <v>10</v>
      </c>
      <c r="AQ755" s="273">
        <v>10</v>
      </c>
      <c r="AR755" s="273">
        <v>8</v>
      </c>
      <c r="AS755" s="273">
        <v>7</v>
      </c>
      <c r="AT755" s="273">
        <v>5</v>
      </c>
      <c r="AU755" s="273">
        <v>0</v>
      </c>
      <c r="AV755" s="273">
        <f ca="1">_xlfn.XLOOKUP(A755,TabCalc[Ticker],TabCalc[Up20])</f>
        <v>0</v>
      </c>
      <c r="AX755" s="86" t="str">
        <f t="shared" ca="1" si="60"/>
        <v>XPER</v>
      </c>
      <c r="AY755">
        <f ca="1">_xlfn.XLOOKUP(A755,TabCalc[Ticker],TabCalc[Up150])</f>
        <v>0.6</v>
      </c>
    </row>
    <row r="756" spans="1:51" hidden="1">
      <c r="A756" s="86" t="str">
        <f t="shared" ca="1" si="59"/>
        <v>MVEALDNE</v>
      </c>
      <c r="C756" s="672"/>
      <c r="D756" s="672"/>
      <c r="F756" s="252">
        <v>2.5380000000000003E-3</v>
      </c>
      <c r="G756" s="252">
        <v>-1.0126999999999999E-2</v>
      </c>
      <c r="H756" s="252">
        <v>-2.5580000000000004E-3</v>
      </c>
      <c r="I756" s="252">
        <v>-7.4999999999999997E-2</v>
      </c>
      <c r="J756" s="252">
        <v>-1.4705999999999999E-2</v>
      </c>
      <c r="K756" s="252">
        <v>1.1765000000000001E-2</v>
      </c>
      <c r="L756" s="252">
        <v>-2.9069999999999999E-2</v>
      </c>
      <c r="M756" s="252">
        <v>-1.7964000000000001E-2</v>
      </c>
      <c r="N756" s="252">
        <v>-3.0030000000000001E-2</v>
      </c>
      <c r="O756" s="252">
        <v>-4.0247999999999999E-2</v>
      </c>
      <c r="P756" s="252">
        <v>-2.5805999999999999E-2</v>
      </c>
      <c r="Q756" s="252">
        <v>2.3178999999999998E-2</v>
      </c>
      <c r="R756" s="252">
        <v>3.2360000000000002E-3</v>
      </c>
      <c r="S756" s="252">
        <v>1.2903E-2</v>
      </c>
      <c r="T756" s="252">
        <v>9.6769999999999998E-3</v>
      </c>
      <c r="U756" s="252">
        <v>-9.5849999999999998E-3</v>
      </c>
      <c r="V756" s="252">
        <v>0</v>
      </c>
      <c r="W756" s="252">
        <v>0</v>
      </c>
      <c r="X756" s="252">
        <v>1.3559000000000002E-2</v>
      </c>
      <c r="Y756" s="252">
        <v>-8.0267999999999992E-2</v>
      </c>
      <c r="Z756" s="244">
        <f ca="1">[1]ExtEntry!$M55</f>
        <v>-8.0267999999999992E-2</v>
      </c>
      <c r="AB756" s="249">
        <v>19</v>
      </c>
      <c r="AC756" s="249">
        <v>20</v>
      </c>
      <c r="AD756" s="249">
        <v>20</v>
      </c>
      <c r="AE756" s="284">
        <v>20</v>
      </c>
      <c r="AF756" s="284">
        <v>19</v>
      </c>
      <c r="AG756" s="284">
        <v>18</v>
      </c>
      <c r="AH756" s="284">
        <v>19</v>
      </c>
      <c r="AI756" s="284">
        <v>20</v>
      </c>
      <c r="AJ756" s="284">
        <v>20</v>
      </c>
      <c r="AK756" s="284">
        <v>20</v>
      </c>
      <c r="AL756" s="284">
        <v>20</v>
      </c>
      <c r="AM756" s="273">
        <v>19</v>
      </c>
      <c r="AN756" s="273">
        <v>17</v>
      </c>
      <c r="AO756" s="273">
        <v>16</v>
      </c>
      <c r="AP756" s="273">
        <v>16</v>
      </c>
      <c r="AQ756" s="273">
        <v>16</v>
      </c>
      <c r="AR756" s="273">
        <v>15</v>
      </c>
      <c r="AS756" s="273">
        <v>20</v>
      </c>
      <c r="AT756" s="273">
        <v>19</v>
      </c>
      <c r="AU756" s="273">
        <v>0</v>
      </c>
      <c r="AV756" s="273">
        <f ca="1">_xlfn.XLOOKUP(A756,TabCalc[Ticker],TabCalc[Up20])</f>
        <v>0</v>
      </c>
      <c r="AX756" s="86" t="str">
        <f t="shared" ca="1" si="60"/>
        <v>MVEALDNE</v>
      </c>
      <c r="AY756">
        <f ca="1">_xlfn.XLOOKUP(A756,TabCalc[Ticker],TabCalc[Up150])</f>
        <v>0.33333333333333331</v>
      </c>
    </row>
    <row r="757" spans="1:51" hidden="1">
      <c r="A757" s="86" t="str">
        <f t="shared" ca="1" si="59"/>
        <v>MVEDDD</v>
      </c>
      <c r="C757" s="672"/>
      <c r="D757" s="672"/>
      <c r="F757" s="252">
        <v>-7.6339999999999993E-3</v>
      </c>
      <c r="G757" s="252">
        <v>-0.12884600000000002</v>
      </c>
      <c r="H757" s="252">
        <v>-1.1110999999999999E-2</v>
      </c>
      <c r="I757" s="252">
        <v>0</v>
      </c>
      <c r="J757" s="252">
        <v>0</v>
      </c>
      <c r="K757" s="252">
        <v>-1.6827000000000002E-2</v>
      </c>
      <c r="L757" s="252">
        <v>-5.0505000000000001E-2</v>
      </c>
      <c r="M757" s="252">
        <v>4.0106999999999997E-2</v>
      </c>
      <c r="N757" s="252">
        <v>7.4260000000000003E-3</v>
      </c>
      <c r="O757" s="252">
        <v>1.4851000000000001E-2</v>
      </c>
      <c r="P757" s="252">
        <v>1.9608E-2</v>
      </c>
      <c r="Q757" s="252">
        <v>-3.6058E-2</v>
      </c>
      <c r="R757" s="252">
        <v>2.5000000000000001E-2</v>
      </c>
      <c r="S757" s="252">
        <v>1.7156999999999999E-2</v>
      </c>
      <c r="T757" s="252">
        <v>7.8431000000000001E-2</v>
      </c>
      <c r="U757" s="252">
        <v>6.7869999999999996E-3</v>
      </c>
      <c r="V757" s="252">
        <v>-0.04</v>
      </c>
      <c r="W757" s="252">
        <v>-0.17136199999999999</v>
      </c>
      <c r="X757" s="252">
        <v>0</v>
      </c>
      <c r="Y757" s="252">
        <v>0.110169</v>
      </c>
      <c r="Z757" s="244">
        <f ca="1">[1]ExtEntry!$M56</f>
        <v>0.110169</v>
      </c>
      <c r="AB757" s="249">
        <v>19</v>
      </c>
      <c r="AC757" s="249">
        <v>20</v>
      </c>
      <c r="AD757" s="249">
        <v>20</v>
      </c>
      <c r="AE757" s="284">
        <v>20</v>
      </c>
      <c r="AF757" s="284">
        <v>20</v>
      </c>
      <c r="AG757" s="284">
        <v>20</v>
      </c>
      <c r="AH757" s="284">
        <v>20</v>
      </c>
      <c r="AI757" s="284">
        <v>19</v>
      </c>
      <c r="AJ757" s="284">
        <v>18</v>
      </c>
      <c r="AK757" s="284">
        <v>16</v>
      </c>
      <c r="AL757" s="284">
        <v>14</v>
      </c>
      <c r="AM757" s="273">
        <v>18</v>
      </c>
      <c r="AN757" s="273">
        <v>14</v>
      </c>
      <c r="AO757" s="273">
        <v>13</v>
      </c>
      <c r="AP757" s="273">
        <v>9</v>
      </c>
      <c r="AQ757" s="273">
        <v>7</v>
      </c>
      <c r="AR757" s="273">
        <v>9</v>
      </c>
      <c r="AS757" s="273">
        <v>20</v>
      </c>
      <c r="AT757" s="273">
        <v>19</v>
      </c>
      <c r="AU757" s="273">
        <v>0</v>
      </c>
      <c r="AV757" s="273">
        <f ca="1">_xlfn.XLOOKUP(A757,TabCalc[Ticker],TabCalc[Up20])</f>
        <v>0</v>
      </c>
      <c r="AX757" s="86" t="str">
        <f t="shared" ca="1" si="60"/>
        <v>MVEDDD</v>
      </c>
      <c r="AY757">
        <f ca="1">_xlfn.XLOOKUP(A757,TabCalc[Ticker],TabCalc[Up150])</f>
        <v>0.6875</v>
      </c>
    </row>
    <row r="758" spans="1:51" hidden="1">
      <c r="A758" s="86" t="str">
        <f t="shared" ca="1" si="59"/>
        <v>MVEDSY</v>
      </c>
      <c r="C758" s="672"/>
      <c r="D758" s="672"/>
      <c r="F758" s="252">
        <v>-2.496E-3</v>
      </c>
      <c r="G758" s="252">
        <v>-3.0025E-2</v>
      </c>
      <c r="H758" s="252">
        <v>3.4389999999999998E-3</v>
      </c>
      <c r="I758" s="252">
        <v>-9.9050000000000006E-3</v>
      </c>
      <c r="J758" s="252">
        <v>-4.3139999999999997E-4</v>
      </c>
      <c r="K758" s="252">
        <v>8.6280000000000003E-3</v>
      </c>
      <c r="L758" s="252">
        <v>-2.5660000000000001E-3</v>
      </c>
      <c r="M758" s="252">
        <v>7.2899999999999996E-3</v>
      </c>
      <c r="N758" s="252">
        <v>7.9299999999999995E-3</v>
      </c>
      <c r="O758" s="252">
        <v>0</v>
      </c>
      <c r="P758" s="252">
        <v>-1.6559999999999999E-3</v>
      </c>
      <c r="Q758" s="252">
        <v>-1.0784E-2</v>
      </c>
      <c r="R758" s="252">
        <v>-1.8029E-2</v>
      </c>
      <c r="S758" s="252">
        <v>-4.2700000000000002E-4</v>
      </c>
      <c r="T758" s="252">
        <v>-4.2700000000000002E-4</v>
      </c>
      <c r="U758" s="252">
        <v>1.4951000000000001E-2</v>
      </c>
      <c r="V758" s="252">
        <v>8.4180000000000008E-4</v>
      </c>
      <c r="W758" s="252">
        <v>-6.8059999999999996E-3</v>
      </c>
      <c r="X758" s="252">
        <v>-1.4133E-2</v>
      </c>
      <c r="Y758" s="252">
        <v>4.7780000000000001E-3</v>
      </c>
      <c r="Z758" s="244">
        <f ca="1">[1]ExtEntry!$M57</f>
        <v>4.7780000000000001E-3</v>
      </c>
      <c r="AB758" s="249">
        <v>19</v>
      </c>
      <c r="AC758" s="249">
        <v>20</v>
      </c>
      <c r="AD758" s="249">
        <v>19</v>
      </c>
      <c r="AE758" s="284">
        <v>17</v>
      </c>
      <c r="AF758" s="284">
        <v>20</v>
      </c>
      <c r="AG758" s="284">
        <v>17</v>
      </c>
      <c r="AH758" s="284">
        <v>18</v>
      </c>
      <c r="AI758" s="284">
        <v>15</v>
      </c>
      <c r="AJ758" s="284">
        <v>11</v>
      </c>
      <c r="AK758" s="284">
        <v>10</v>
      </c>
      <c r="AL758" s="284">
        <v>11</v>
      </c>
      <c r="AM758" s="273">
        <v>14</v>
      </c>
      <c r="AN758" s="273">
        <v>15</v>
      </c>
      <c r="AO758" s="273">
        <v>15</v>
      </c>
      <c r="AP758" s="273">
        <v>14</v>
      </c>
      <c r="AQ758" s="273">
        <v>11</v>
      </c>
      <c r="AR758" s="273">
        <v>10</v>
      </c>
      <c r="AS758" s="273">
        <v>16</v>
      </c>
      <c r="AT758" s="273">
        <v>20</v>
      </c>
      <c r="AU758" s="273">
        <v>0</v>
      </c>
      <c r="AV758" s="273">
        <f ca="1">_xlfn.XLOOKUP(A758,TabCalc[Ticker],TabCalc[Up20])</f>
        <v>0</v>
      </c>
      <c r="AX758" s="86" t="str">
        <f t="shared" ca="1" si="60"/>
        <v>MVEDSY</v>
      </c>
      <c r="AY758">
        <f ca="1">_xlfn.XLOOKUP(A758,TabCalc[Ticker],TabCalc[Up150])</f>
        <v>0.75</v>
      </c>
    </row>
    <row r="759" spans="1:51" hidden="1">
      <c r="A759" s="86" t="str">
        <f t="shared" ca="1" si="59"/>
        <v>MVEEOAN</v>
      </c>
      <c r="C759" s="672"/>
      <c r="D759" s="672"/>
      <c r="F759" s="252">
        <v>1.9047999999999999E-2</v>
      </c>
      <c r="G759" s="252">
        <v>1.869E-3</v>
      </c>
      <c r="H759" s="252">
        <v>1.555E-3</v>
      </c>
      <c r="I759" s="252">
        <v>1.3139999999999998E-3</v>
      </c>
      <c r="J759" s="252">
        <v>-7.1709999999999994E-3</v>
      </c>
      <c r="K759" s="252">
        <v>-2.6079999999999996E-3</v>
      </c>
      <c r="L759" s="252">
        <v>6.5359999999999993E-3</v>
      </c>
      <c r="M759" s="252">
        <v>9.0969999999999992E-3</v>
      </c>
      <c r="N759" s="252">
        <v>4.8760000000000001E-3</v>
      </c>
      <c r="O759" s="252">
        <v>-9.3819999999999997E-3</v>
      </c>
      <c r="P759" s="252">
        <v>9.7980000000000007E-4</v>
      </c>
      <c r="Q759" s="252">
        <v>-6.8520000000000005E-3</v>
      </c>
      <c r="R759" s="252">
        <v>4.2709999999999996E-3</v>
      </c>
      <c r="S759" s="252">
        <v>2.9767999999999999E-2</v>
      </c>
      <c r="T759" s="252">
        <v>3.7619E-2</v>
      </c>
      <c r="U759" s="252">
        <v>-1.7023999999999997E-2</v>
      </c>
      <c r="V759" s="252">
        <v>-9.9419999999999994E-3</v>
      </c>
      <c r="W759" s="252">
        <v>4.1879999999999999E-3</v>
      </c>
      <c r="X759" s="252">
        <v>-2.8860000000000001E-3</v>
      </c>
      <c r="Y759" s="252">
        <v>-3.3119000000000003E-2</v>
      </c>
      <c r="Z759" s="244">
        <f ca="1">[1]ExtEntry!$M58</f>
        <v>-3.3119000000000003E-2</v>
      </c>
      <c r="AB759" s="249">
        <v>18</v>
      </c>
      <c r="AC759" s="249">
        <v>16</v>
      </c>
      <c r="AD759" s="249">
        <v>12</v>
      </c>
      <c r="AE759" s="284">
        <v>20</v>
      </c>
      <c r="AF759" s="284">
        <v>20</v>
      </c>
      <c r="AG759" s="284">
        <v>18</v>
      </c>
      <c r="AH759" s="284">
        <v>17</v>
      </c>
      <c r="AI759" s="284">
        <v>16</v>
      </c>
      <c r="AJ759" s="284">
        <v>16</v>
      </c>
      <c r="AK759" s="284">
        <v>17</v>
      </c>
      <c r="AL759" s="284">
        <v>16</v>
      </c>
      <c r="AM759" s="273">
        <v>20</v>
      </c>
      <c r="AN759" s="273">
        <v>17</v>
      </c>
      <c r="AO759" s="273">
        <v>10</v>
      </c>
      <c r="AP759" s="273">
        <v>8</v>
      </c>
      <c r="AQ759" s="273">
        <v>10</v>
      </c>
      <c r="AR759" s="273">
        <v>12</v>
      </c>
      <c r="AS759" s="273">
        <v>9</v>
      </c>
      <c r="AT759" s="273">
        <v>9</v>
      </c>
      <c r="AU759" s="273">
        <v>0</v>
      </c>
      <c r="AV759" s="273">
        <f ca="1">_xlfn.XLOOKUP(A759,TabCalc[Ticker],TabCalc[Up20])</f>
        <v>0</v>
      </c>
      <c r="AX759" s="86" t="str">
        <f t="shared" ca="1" si="60"/>
        <v>MVEEOAN</v>
      </c>
      <c r="AY759">
        <f ca="1">_xlfn.XLOOKUP(A759,TabCalc[Ticker],TabCalc[Up150])</f>
        <v>0.25</v>
      </c>
    </row>
    <row r="760" spans="1:51" hidden="1">
      <c r="A760" s="86" t="str">
        <f t="shared" ca="1" si="59"/>
        <v>MVEENI</v>
      </c>
      <c r="C760" s="672"/>
      <c r="D760" s="672"/>
      <c r="F760" s="252">
        <v>3.6459999999999999E-3</v>
      </c>
      <c r="G760" s="252">
        <v>-1.253E-3</v>
      </c>
      <c r="H760" s="252">
        <v>-1.003E-3</v>
      </c>
      <c r="I760" s="252">
        <v>9.722E-4</v>
      </c>
      <c r="J760" s="252">
        <v>1.8370000000000001E-3</v>
      </c>
      <c r="K760" s="252">
        <v>-6.8589999999999996E-3</v>
      </c>
      <c r="L760" s="252">
        <v>4.8089999999999999E-3</v>
      </c>
      <c r="M760" s="252">
        <v>-1.2273000000000001E-2</v>
      </c>
      <c r="N760" s="252">
        <v>1.9515000000000001E-2</v>
      </c>
      <c r="O760" s="252">
        <v>-3.503E-3</v>
      </c>
      <c r="P760" s="252">
        <v>1.268E-2</v>
      </c>
      <c r="Q760" s="252">
        <v>2.8510000000000002E-3</v>
      </c>
      <c r="R760" s="252">
        <v>6.1810000000000001E-4</v>
      </c>
      <c r="S760" s="252">
        <v>7.4129999999999995E-3</v>
      </c>
      <c r="T760" s="252">
        <v>1.0130999999999999E-2</v>
      </c>
      <c r="U760" s="252">
        <v>-1.2229999999999999E-4</v>
      </c>
      <c r="V760" s="252">
        <v>-1.5167999999999999E-2</v>
      </c>
      <c r="W760" s="252">
        <v>2.4889999999999999E-3</v>
      </c>
      <c r="X760" s="252">
        <v>-5.836E-3</v>
      </c>
      <c r="Y760" s="252">
        <v>-6.8689999999999992E-3</v>
      </c>
      <c r="Z760" s="244">
        <f ca="1">[1]ExtEntry!$M59</f>
        <v>-6.8689999999999992E-3</v>
      </c>
      <c r="AB760" s="249">
        <v>1</v>
      </c>
      <c r="AC760" s="249">
        <v>2</v>
      </c>
      <c r="AD760" s="249">
        <v>4</v>
      </c>
      <c r="AE760" s="284">
        <v>1</v>
      </c>
      <c r="AF760" s="284">
        <v>2</v>
      </c>
      <c r="AG760" s="284">
        <v>3</v>
      </c>
      <c r="AH760" s="284">
        <v>3</v>
      </c>
      <c r="AI760" s="284">
        <v>5</v>
      </c>
      <c r="AJ760" s="284">
        <v>6</v>
      </c>
      <c r="AK760" s="284">
        <v>11</v>
      </c>
      <c r="AL760" s="284">
        <v>5</v>
      </c>
      <c r="AM760" s="273">
        <v>5</v>
      </c>
      <c r="AN760" s="273">
        <v>5</v>
      </c>
      <c r="AO760" s="273">
        <v>3</v>
      </c>
      <c r="AP760" s="273">
        <v>3</v>
      </c>
      <c r="AQ760" s="273">
        <v>4</v>
      </c>
      <c r="AR760" s="273">
        <v>11</v>
      </c>
      <c r="AS760" s="273">
        <v>11</v>
      </c>
      <c r="AT760" s="273">
        <v>14</v>
      </c>
      <c r="AU760" s="273">
        <v>0</v>
      </c>
      <c r="AV760" s="273">
        <f ca="1">_xlfn.XLOOKUP(A760,TabCalc[Ticker],TabCalc[Up20])</f>
        <v>0</v>
      </c>
      <c r="AX760" s="86" t="str">
        <f t="shared" ca="1" si="60"/>
        <v>MVEENI</v>
      </c>
      <c r="AY760">
        <f ca="1">_xlfn.XLOOKUP(A760,TabCalc[Ticker],TabCalc[Up150])</f>
        <v>0.5</v>
      </c>
    </row>
    <row r="761" spans="1:51" hidden="1">
      <c r="A761" s="86" t="str">
        <f t="shared" ca="1" si="59"/>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2</v>
      </c>
      <c r="AC761" s="249">
        <v>1</v>
      </c>
      <c r="AD761" s="249">
        <v>1</v>
      </c>
      <c r="AE761" s="284">
        <v>1</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0</v>
      </c>
      <c r="AV761" s="273">
        <f ca="1">_xlfn.XLOOKUP(A761,TabCalc[Ticker],TabCalc[Up20])</f>
        <v>0</v>
      </c>
      <c r="AX761" s="86" t="str">
        <f t="shared" ca="1" si="60"/>
        <v>MVEEPIX</v>
      </c>
      <c r="AY761">
        <f ca="1">_xlfn.XLOOKUP(A761,TabCalc[Ticker],TabCalc[Up150])</f>
        <v>0</v>
      </c>
    </row>
    <row r="762" spans="1:51" hidden="1">
      <c r="A762" s="86" t="str">
        <f t="shared" ca="1" si="59"/>
        <v>MVEGLE</v>
      </c>
      <c r="C762" s="672"/>
      <c r="D762" s="672"/>
      <c r="F762" s="252">
        <v>1.0989999999999999E-3</v>
      </c>
      <c r="G762" s="252">
        <v>2.1230000000000002E-2</v>
      </c>
      <c r="H762" s="252">
        <v>-2.0788999999999998E-2</v>
      </c>
      <c r="I762" s="252">
        <v>-1.9945999999999998E-2</v>
      </c>
      <c r="J762" s="252">
        <v>-5.3119999999999999E-3</v>
      </c>
      <c r="K762" s="252">
        <v>6.0200000000000002E-3</v>
      </c>
      <c r="L762" s="252">
        <v>1.056E-2</v>
      </c>
      <c r="M762" s="252">
        <v>-1.5325999999999999E-2</v>
      </c>
      <c r="N762" s="252">
        <v>2.0583000000000001E-2</v>
      </c>
      <c r="O762" s="252">
        <v>6.7229999999999998E-3</v>
      </c>
      <c r="P762" s="252">
        <v>6.6780000000000008E-4</v>
      </c>
      <c r="Q762" s="252">
        <v>-3.6700000000000001E-3</v>
      </c>
      <c r="R762" s="252">
        <v>2.2438E-2</v>
      </c>
      <c r="S762" s="252">
        <v>-6.8779999999999996E-3</v>
      </c>
      <c r="T762" s="252">
        <v>-8.8439999999999994E-3</v>
      </c>
      <c r="U762" s="252">
        <v>3.2715999999999995E-2</v>
      </c>
      <c r="V762" s="252">
        <v>-1.536E-2</v>
      </c>
      <c r="W762" s="252">
        <v>4.4710000000000001E-3</v>
      </c>
      <c r="X762" s="252">
        <v>9.221E-3</v>
      </c>
      <c r="Y762" s="252">
        <v>1.3863E-2</v>
      </c>
      <c r="Z762" s="244">
        <f ca="1">[1]ExtEntry!$M61</f>
        <v>1.3863E-2</v>
      </c>
      <c r="AB762" s="249">
        <v>4</v>
      </c>
      <c r="AC762" s="249">
        <v>2</v>
      </c>
      <c r="AD762" s="249">
        <v>5</v>
      </c>
      <c r="AE762" s="284">
        <v>1</v>
      </c>
      <c r="AF762" s="284">
        <v>3</v>
      </c>
      <c r="AG762" s="284">
        <v>2</v>
      </c>
      <c r="AH762" s="284">
        <v>2</v>
      </c>
      <c r="AI762" s="284">
        <v>4</v>
      </c>
      <c r="AJ762" s="284">
        <v>1</v>
      </c>
      <c r="AK762" s="284">
        <v>1</v>
      </c>
      <c r="AL762" s="284">
        <v>1</v>
      </c>
      <c r="AM762" s="273">
        <v>3</v>
      </c>
      <c r="AN762" s="273">
        <v>1</v>
      </c>
      <c r="AO762" s="273">
        <v>2</v>
      </c>
      <c r="AP762" s="273">
        <v>3</v>
      </c>
      <c r="AQ762" s="273">
        <v>1</v>
      </c>
      <c r="AR762" s="273">
        <v>2</v>
      </c>
      <c r="AS762" s="273">
        <v>1</v>
      </c>
      <c r="AT762" s="273">
        <v>1</v>
      </c>
      <c r="AU762" s="273" t="s">
        <v>2940</v>
      </c>
      <c r="AV762" s="273" t="str">
        <f ca="1">_xlfn.XLOOKUP(A762,TabCalc[Ticker],TabCalc[Up20])</f>
        <v>/25/%</v>
      </c>
      <c r="AX762" s="86" t="str">
        <f t="shared" ca="1" si="60"/>
        <v>MVEGLE</v>
      </c>
      <c r="AY762" t="str">
        <f ca="1">_xlfn.XLOOKUP(A762,TabCalc[Ticker],TabCalc[Up150])</f>
        <v>32/33/40%</v>
      </c>
    </row>
    <row r="763" spans="1:51" hidden="1">
      <c r="A763" s="86" t="str">
        <f t="shared" ca="1" si="59"/>
        <v>MVEORA</v>
      </c>
      <c r="C763" s="672"/>
      <c r="D763" s="672"/>
      <c r="F763" s="252">
        <v>0</v>
      </c>
      <c r="G763" s="252">
        <v>1.6404999999999999E-2</v>
      </c>
      <c r="H763" s="252">
        <v>1.6141000000000003E-2</v>
      </c>
      <c r="I763" s="252">
        <v>-2.1632999999999999E-2</v>
      </c>
      <c r="J763" s="252">
        <v>-1.9341000000000001E-2</v>
      </c>
      <c r="K763" s="252">
        <v>-1.2894000000000001E-2</v>
      </c>
      <c r="L763" s="252">
        <v>-8.7080000000000005E-3</v>
      </c>
      <c r="M763" s="252">
        <v>2.0863999999999997E-2</v>
      </c>
      <c r="N763" s="252">
        <v>7.1530000000000005E-3</v>
      </c>
      <c r="O763" s="252">
        <v>1.4199999999999998E-3</v>
      </c>
      <c r="P763" s="252">
        <v>6.3829999999999998E-3</v>
      </c>
      <c r="Q763" s="252">
        <v>-3.1709999999999998E-3</v>
      </c>
      <c r="R763" s="252">
        <v>1.6251000000000002E-2</v>
      </c>
      <c r="S763" s="252">
        <v>-3.5540000000000002E-4</v>
      </c>
      <c r="T763" s="252">
        <v>1.0660000000000001E-3</v>
      </c>
      <c r="U763" s="252">
        <v>-3.9050000000000001E-3</v>
      </c>
      <c r="V763" s="252">
        <v>-2.0670000000000001E-2</v>
      </c>
      <c r="W763" s="252">
        <v>3.6470000000000003E-4</v>
      </c>
      <c r="X763" s="252">
        <v>-3.6459999999999999E-3</v>
      </c>
      <c r="Y763" s="252">
        <v>5.1229999999999999E-3</v>
      </c>
      <c r="Z763" s="244">
        <f ca="1">[1]ExtEntry!$M62</f>
        <v>5.1229999999999999E-3</v>
      </c>
      <c r="AB763" s="249">
        <v>13</v>
      </c>
      <c r="AC763" s="249">
        <v>9</v>
      </c>
      <c r="AD763" s="249">
        <v>2</v>
      </c>
      <c r="AE763" s="284">
        <v>9</v>
      </c>
      <c r="AF763" s="284">
        <v>18</v>
      </c>
      <c r="AG763" s="284">
        <v>16</v>
      </c>
      <c r="AH763" s="284">
        <v>20</v>
      </c>
      <c r="AI763" s="284">
        <v>10</v>
      </c>
      <c r="AJ763" s="284">
        <v>6</v>
      </c>
      <c r="AK763" s="284">
        <v>5</v>
      </c>
      <c r="AL763" s="284">
        <v>1</v>
      </c>
      <c r="AM763" s="273">
        <v>4</v>
      </c>
      <c r="AN763" s="273">
        <v>7</v>
      </c>
      <c r="AO763" s="273">
        <v>8</v>
      </c>
      <c r="AP763" s="273">
        <v>5</v>
      </c>
      <c r="AQ763" s="273">
        <v>9</v>
      </c>
      <c r="AR763" s="273">
        <v>16</v>
      </c>
      <c r="AS763" s="273">
        <v>16</v>
      </c>
      <c r="AT763" s="273">
        <v>19</v>
      </c>
      <c r="AU763" s="273">
        <v>0</v>
      </c>
      <c r="AV763" s="273">
        <f ca="1">_xlfn.XLOOKUP(A763,TabCalc[Ticker],TabCalc[Up20])</f>
        <v>0</v>
      </c>
      <c r="AX763" s="86" t="str">
        <f t="shared" ca="1" si="60"/>
        <v>MVEORA</v>
      </c>
      <c r="AY763">
        <f ca="1">_xlfn.XLOOKUP(A763,TabCalc[Ticker],TabCalc[Up150])</f>
        <v>0.5714285714285714</v>
      </c>
    </row>
    <row r="764" spans="1:51" hidden="1">
      <c r="A764" s="86" t="str">
        <f t="shared" ca="1" si="59"/>
        <v>MVERWE</v>
      </c>
      <c r="C764" s="672"/>
      <c r="D764" s="672"/>
      <c r="F764" s="252">
        <v>6.3770000000000007E-3</v>
      </c>
      <c r="G764" s="252">
        <v>1.1969E-2</v>
      </c>
      <c r="H764" s="252">
        <v>-4.1770000000000002E-3</v>
      </c>
      <c r="I764" s="252">
        <v>-3.0790000000000001E-3</v>
      </c>
      <c r="J764" s="252">
        <v>-8.7309999999999992E-3</v>
      </c>
      <c r="K764" s="252">
        <v>-2.1042999999999999E-2</v>
      </c>
      <c r="L764" s="252">
        <v>2.3701E-2</v>
      </c>
      <c r="M764" s="252">
        <v>-1.2035000000000001E-2</v>
      </c>
      <c r="N764" s="252">
        <v>1.7704999999999999E-2</v>
      </c>
      <c r="O764" s="252">
        <v>-1.6718999999999998E-2</v>
      </c>
      <c r="P764" s="252">
        <v>4.5960000000000003E-3</v>
      </c>
      <c r="Q764" s="252">
        <v>-8.234E-3</v>
      </c>
      <c r="R764" s="252">
        <v>0</v>
      </c>
      <c r="S764" s="252">
        <v>1.8707000000000001E-2</v>
      </c>
      <c r="T764" s="252">
        <v>6.0049999999999999E-3</v>
      </c>
      <c r="U764" s="252">
        <v>-2.2959999999999999E-3</v>
      </c>
      <c r="V764" s="252">
        <v>-1.0599000000000001E-2</v>
      </c>
      <c r="W764" s="252">
        <v>1.2044999999999998E-2</v>
      </c>
      <c r="X764" s="252">
        <v>-1.3780000000000001E-3</v>
      </c>
      <c r="Y764" s="252">
        <v>-4.5989999999999998E-3</v>
      </c>
      <c r="Z764" s="244">
        <f ca="1">[1]ExtEntry!$M63</f>
        <v>-4.5989999999999998E-3</v>
      </c>
      <c r="AB764" s="249">
        <v>2</v>
      </c>
      <c r="AC764" s="249">
        <v>1</v>
      </c>
      <c r="AD764" s="249">
        <v>3</v>
      </c>
      <c r="AE764" s="284">
        <v>1</v>
      </c>
      <c r="AF764" s="284">
        <v>2</v>
      </c>
      <c r="AG764" s="284">
        <v>3</v>
      </c>
      <c r="AH764" s="284">
        <v>2</v>
      </c>
      <c r="AI764" s="284">
        <v>3</v>
      </c>
      <c r="AJ764" s="284">
        <v>5</v>
      </c>
      <c r="AK764" s="284">
        <v>7</v>
      </c>
      <c r="AL764" s="284">
        <v>7</v>
      </c>
      <c r="AM764" s="273">
        <v>9</v>
      </c>
      <c r="AN764" s="273">
        <v>10</v>
      </c>
      <c r="AO764" s="273">
        <v>6</v>
      </c>
      <c r="AP764" s="273">
        <v>9</v>
      </c>
      <c r="AQ764" s="273">
        <v>11</v>
      </c>
      <c r="AR764" s="273">
        <v>16</v>
      </c>
      <c r="AS764" s="273">
        <v>9</v>
      </c>
      <c r="AT764" s="273">
        <v>12</v>
      </c>
      <c r="AU764" s="273">
        <v>0</v>
      </c>
      <c r="AV764" s="273">
        <f ca="1">_xlfn.XLOOKUP(A764,TabCalc[Ticker],TabCalc[Up20])</f>
        <v>0</v>
      </c>
      <c r="AX764" s="86" t="str">
        <f t="shared" ca="1" si="60"/>
        <v>MVERWE</v>
      </c>
      <c r="AY764">
        <f ca="1">_xlfn.XLOOKUP(A764,TabCalc[Ticker],TabCalc[Up150])</f>
        <v>0.66666666666666663</v>
      </c>
    </row>
    <row r="765" spans="1:51" hidden="1">
      <c r="A765" s="86" t="str">
        <f t="shared" ca="1" si="59"/>
        <v>MVESAP</v>
      </c>
      <c r="C765" s="672"/>
      <c r="D765" s="672"/>
      <c r="F765" s="252">
        <v>8.405000000000001E-3</v>
      </c>
      <c r="G765" s="252">
        <v>-4.3868999999999998E-2</v>
      </c>
      <c r="H765" s="252">
        <v>-1.0553E-2</v>
      </c>
      <c r="I765" s="252">
        <v>-3.2094999999999999E-2</v>
      </c>
      <c r="J765" s="252">
        <v>0</v>
      </c>
      <c r="K765" s="252">
        <v>7.3050000000000003E-4</v>
      </c>
      <c r="L765" s="252">
        <v>5.3530000000000001E-3</v>
      </c>
      <c r="M765" s="252">
        <v>-7.744E-3</v>
      </c>
      <c r="N765" s="252">
        <v>9.0310000000000008E-3</v>
      </c>
      <c r="O765" s="252">
        <v>1.451E-3</v>
      </c>
      <c r="P765" s="252">
        <v>7.4879999999999999E-3</v>
      </c>
      <c r="Q765" s="252">
        <v>1.678E-3</v>
      </c>
      <c r="R765" s="252">
        <v>-5.0260000000000001E-3</v>
      </c>
      <c r="S765" s="252">
        <v>-2.8870000000000002E-3</v>
      </c>
      <c r="T765" s="252">
        <v>-6.4949999999999999E-3</v>
      </c>
      <c r="U765" s="252">
        <v>1.7676000000000001E-2</v>
      </c>
      <c r="V765" s="252">
        <v>1.4751E-2</v>
      </c>
      <c r="W765" s="252">
        <v>-4.7600000000000002E-4</v>
      </c>
      <c r="X765" s="252">
        <v>4.5240000000000002E-3</v>
      </c>
      <c r="Y765" s="252">
        <v>-7.8220000000000008E-3</v>
      </c>
      <c r="Z765" s="244">
        <f ca="1">[1]ExtEntry!$M64</f>
        <v>-7.8220000000000008E-3</v>
      </c>
      <c r="AB765" s="249">
        <v>18</v>
      </c>
      <c r="AC765" s="249">
        <v>20</v>
      </c>
      <c r="AD765" s="249">
        <v>20</v>
      </c>
      <c r="AE765" s="284">
        <v>20</v>
      </c>
      <c r="AF765" s="284">
        <v>20</v>
      </c>
      <c r="AG765" s="284">
        <v>19</v>
      </c>
      <c r="AH765" s="284">
        <v>18</v>
      </c>
      <c r="AI765" s="284">
        <v>20</v>
      </c>
      <c r="AJ765" s="284">
        <v>16</v>
      </c>
      <c r="AK765" s="284">
        <v>15</v>
      </c>
      <c r="AL765" s="284">
        <v>14</v>
      </c>
      <c r="AM765" s="273">
        <v>13</v>
      </c>
      <c r="AN765" s="273">
        <v>14</v>
      </c>
      <c r="AO765" s="273">
        <v>14</v>
      </c>
      <c r="AP765" s="273">
        <v>17</v>
      </c>
      <c r="AQ765" s="273">
        <v>9</v>
      </c>
      <c r="AR765" s="273">
        <v>7</v>
      </c>
      <c r="AS765" s="273">
        <v>9</v>
      </c>
      <c r="AT765" s="273">
        <v>7</v>
      </c>
      <c r="AU765" s="273" t="s">
        <v>2942</v>
      </c>
      <c r="AV765" s="273" t="str">
        <f ca="1">_xlfn.XLOOKUP(A765,TabCalc[Ticker],TabCalc[Up20])</f>
        <v>//56%</v>
      </c>
      <c r="AX765" s="86" t="str">
        <f t="shared" ca="1" si="60"/>
        <v>MVESAP</v>
      </c>
      <c r="AY765" t="str">
        <f ca="1">_xlfn.XLOOKUP(A765,TabCalc[Ticker],TabCalc[Up150])</f>
        <v>50/27/35%</v>
      </c>
    </row>
    <row r="766" spans="1:51" hidden="1">
      <c r="A766" s="86" t="str">
        <f t="shared" ca="1" si="59"/>
        <v>MVEUN0</v>
      </c>
      <c r="C766" s="672"/>
      <c r="D766" s="672"/>
      <c r="F766" s="252">
        <v>-3.3779999999999999E-3</v>
      </c>
      <c r="G766" s="252">
        <v>-5.2541999999999998E-2</v>
      </c>
      <c r="H766" s="252">
        <v>1.9678000000000001E-2</v>
      </c>
      <c r="I766" s="252">
        <v>-1.7449999999999998E-3</v>
      </c>
      <c r="J766" s="252">
        <v>-2.9557000000000003E-2</v>
      </c>
      <c r="K766" s="252">
        <v>-6.5680000000000009E-3</v>
      </c>
      <c r="L766" s="252">
        <v>1.3423000000000001E-2</v>
      </c>
      <c r="M766" s="252">
        <v>6.711E-3</v>
      </c>
      <c r="N766" s="252">
        <v>3.9063000000000001E-2</v>
      </c>
      <c r="O766" s="252">
        <v>2.5564E-2</v>
      </c>
      <c r="P766" s="252">
        <v>5.8650000000000004E-3</v>
      </c>
      <c r="Q766" s="252">
        <v>-1.4580000000000001E-3</v>
      </c>
      <c r="R766" s="252">
        <v>-2.1898000000000001E-2</v>
      </c>
      <c r="S766" s="252">
        <v>4.4779999999999993E-3</v>
      </c>
      <c r="T766" s="252">
        <v>4.4779999999999993E-3</v>
      </c>
      <c r="U766" s="252">
        <v>1.3372999999999999E-2</v>
      </c>
      <c r="V766" s="252">
        <v>2.9499999999999999E-3</v>
      </c>
      <c r="W766" s="252">
        <v>5.5556000000000001E-2</v>
      </c>
      <c r="X766" s="252">
        <v>-5.2290000000000001E-3</v>
      </c>
      <c r="Y766" s="252">
        <v>-7.8840000000000004E-3</v>
      </c>
      <c r="Z766" s="244">
        <f ca="1">[1]ExtEntry!$M65</f>
        <v>-7.8840000000000004E-3</v>
      </c>
      <c r="AB766" s="249">
        <v>20</v>
      </c>
      <c r="AC766" s="249">
        <v>20</v>
      </c>
      <c r="AD766" s="249">
        <v>19</v>
      </c>
      <c r="AE766" s="284">
        <v>18</v>
      </c>
      <c r="AF766" s="284">
        <v>16</v>
      </c>
      <c r="AG766" s="284">
        <v>11</v>
      </c>
      <c r="AH766" s="284">
        <v>12</v>
      </c>
      <c r="AI766" s="284">
        <v>14</v>
      </c>
      <c r="AJ766" s="284">
        <v>1</v>
      </c>
      <c r="AK766" s="284">
        <v>1</v>
      </c>
      <c r="AL766" s="284">
        <v>1</v>
      </c>
      <c r="AM766" s="273">
        <v>2</v>
      </c>
      <c r="AN766" s="273">
        <v>4</v>
      </c>
      <c r="AO766" s="273">
        <v>4</v>
      </c>
      <c r="AP766" s="273">
        <v>4</v>
      </c>
      <c r="AQ766" s="273">
        <v>3</v>
      </c>
      <c r="AR766" s="273">
        <v>5</v>
      </c>
      <c r="AS766" s="273">
        <v>1</v>
      </c>
      <c r="AT766" s="273">
        <v>1</v>
      </c>
      <c r="AU766" s="273">
        <v>0</v>
      </c>
      <c r="AV766" s="273">
        <f ca="1">_xlfn.XLOOKUP(A766,TabCalc[Ticker],TabCalc[Up20])</f>
        <v>0</v>
      </c>
      <c r="AX766" s="86" t="str">
        <f t="shared" ca="1" si="60"/>
        <v>MVEUN0</v>
      </c>
      <c r="AY766">
        <f ca="1">_xlfn.XLOOKUP(A766,TabCalc[Ticker],TabCalc[Up150])</f>
        <v>0.42857142857142855</v>
      </c>
    </row>
    <row r="767" spans="1:51" hidden="1">
      <c r="A767" s="86" t="str">
        <f t="shared" ca="1" si="59"/>
        <v>SAFAAPL</v>
      </c>
      <c r="C767" s="672"/>
      <c r="D767" s="672"/>
      <c r="F767" s="252">
        <v>3.703E-4</v>
      </c>
      <c r="G767" s="252">
        <v>1.333E-3</v>
      </c>
      <c r="H767" s="252">
        <v>-6.5719999999999997E-3</v>
      </c>
      <c r="I767" s="252">
        <v>-1.9780000000000002E-3</v>
      </c>
      <c r="J767" s="252">
        <v>-7.4779999999999999E-5</v>
      </c>
      <c r="K767" s="252">
        <v>9.6839999999999999E-3</v>
      </c>
      <c r="L767" s="252">
        <v>-6.2560000000000003E-3</v>
      </c>
      <c r="M767" s="252">
        <v>2.1745999999999998E-2</v>
      </c>
      <c r="N767" s="252">
        <v>3.9350000000000001E-3</v>
      </c>
      <c r="O767" s="252">
        <v>2.0939999999999999E-3</v>
      </c>
      <c r="P767" s="252">
        <v>4.6839999999999998E-3</v>
      </c>
      <c r="Q767" s="252">
        <v>7.0650000000000001E-3</v>
      </c>
      <c r="R767" s="252">
        <v>1.0085E-2</v>
      </c>
      <c r="S767" s="252">
        <v>3.075E-3</v>
      </c>
      <c r="T767" s="252">
        <v>-7.1279999999999998E-3</v>
      </c>
      <c r="U767" s="252">
        <v>-1.4218E-2</v>
      </c>
      <c r="V767" s="252">
        <v>-6.8400000000000006E-3</v>
      </c>
      <c r="W767" s="252">
        <v>-1.116E-3</v>
      </c>
      <c r="X767" s="252">
        <v>5.7720000000000002E-3</v>
      </c>
      <c r="Y767" s="252">
        <v>-2.6900000000000001E-3</v>
      </c>
      <c r="Z767" s="244">
        <f ca="1">[1]ExtEntry!$M66</f>
        <v>-2.6900000000000001E-3</v>
      </c>
      <c r="AB767" s="249">
        <v>2</v>
      </c>
      <c r="AC767" s="249">
        <v>2</v>
      </c>
      <c r="AD767" s="249">
        <v>7</v>
      </c>
      <c r="AE767" s="284">
        <v>1</v>
      </c>
      <c r="AF767" s="284">
        <v>9</v>
      </c>
      <c r="AG767" s="284">
        <v>5</v>
      </c>
      <c r="AH767" s="284">
        <v>11</v>
      </c>
      <c r="AI767" s="284">
        <v>2</v>
      </c>
      <c r="AJ767" s="284">
        <v>1</v>
      </c>
      <c r="AK767" s="284">
        <v>2</v>
      </c>
      <c r="AL767" s="284">
        <v>1</v>
      </c>
      <c r="AM767" s="273">
        <v>1</v>
      </c>
      <c r="AN767" s="273">
        <v>1</v>
      </c>
      <c r="AO767" s="273">
        <v>1</v>
      </c>
      <c r="AP767" s="273">
        <v>3</v>
      </c>
      <c r="AQ767" s="273">
        <v>5</v>
      </c>
      <c r="AR767" s="273">
        <v>7</v>
      </c>
      <c r="AS767" s="273">
        <v>9</v>
      </c>
      <c r="AT767" s="273">
        <v>7</v>
      </c>
      <c r="AU767" s="273">
        <v>0</v>
      </c>
      <c r="AV767" s="273">
        <f ca="1">_xlfn.XLOOKUP(A767,TabCalc[Ticker],TabCalc[Up20])</f>
        <v>0</v>
      </c>
      <c r="AX767" s="86" t="str">
        <f t="shared" ca="1" si="60"/>
        <v>SAFAAPL</v>
      </c>
      <c r="AY767">
        <f ca="1">_xlfn.XLOOKUP(A767,TabCalc[Ticker],TabCalc[Up150])</f>
        <v>0</v>
      </c>
    </row>
    <row r="768" spans="1:51" hidden="1">
      <c r="A768" s="86" t="str">
        <f t="shared" ca="1" si="59"/>
        <v>SAFAMZN</v>
      </c>
      <c r="C768" s="672"/>
      <c r="D768" s="672"/>
      <c r="F768" s="252">
        <v>3.5299999999999997E-3</v>
      </c>
      <c r="G768" s="252">
        <v>-2.5554E-2</v>
      </c>
      <c r="H768" s="252">
        <v>6.2539999999999991E-3</v>
      </c>
      <c r="I768" s="252">
        <v>-1.2163999999999999E-2</v>
      </c>
      <c r="J768" s="252">
        <v>-4.4317000000000002E-2</v>
      </c>
      <c r="K768" s="252">
        <v>-6.1470000000000006E-3</v>
      </c>
      <c r="L768" s="252">
        <v>-1.7243999999999999E-2</v>
      </c>
      <c r="M768" s="252">
        <v>1.8859000000000001E-2</v>
      </c>
      <c r="N768" s="252">
        <v>2.6120000000000001E-4</v>
      </c>
      <c r="O768" s="252">
        <v>-2.2209999999999999E-3</v>
      </c>
      <c r="P768" s="252">
        <v>1.7717E-2</v>
      </c>
      <c r="Q768" s="252">
        <v>7.718E-3</v>
      </c>
      <c r="R768" s="252">
        <v>1.774E-3</v>
      </c>
      <c r="S768" s="252">
        <v>-1.1688E-2</v>
      </c>
      <c r="T768" s="252">
        <v>-8.7019999999999997E-3</v>
      </c>
      <c r="U768" s="252">
        <v>-2.1703E-2</v>
      </c>
      <c r="V768" s="252">
        <v>1.833E-3</v>
      </c>
      <c r="W768" s="252">
        <v>3.6449999999999998E-3</v>
      </c>
      <c r="X768" s="252">
        <v>1.6936E-2</v>
      </c>
      <c r="Y768" s="252">
        <v>-6.4720000000000003E-3</v>
      </c>
      <c r="Z768" s="244">
        <f ca="1">[1]ExtEntry!$M67</f>
        <v>-6.4720000000000003E-3</v>
      </c>
      <c r="AB768" s="249">
        <v>1</v>
      </c>
      <c r="AC768" s="249">
        <v>3</v>
      </c>
      <c r="AD768" s="249">
        <v>3</v>
      </c>
      <c r="AE768" s="284">
        <v>5</v>
      </c>
      <c r="AF768" s="284">
        <v>10</v>
      </c>
      <c r="AG768" s="284">
        <v>12</v>
      </c>
      <c r="AH768" s="284">
        <v>14</v>
      </c>
      <c r="AI768" s="284">
        <v>12</v>
      </c>
      <c r="AJ768" s="284">
        <v>6</v>
      </c>
      <c r="AK768" s="284">
        <v>8</v>
      </c>
      <c r="AL768" s="284">
        <v>6</v>
      </c>
      <c r="AM768" s="273">
        <v>5</v>
      </c>
      <c r="AN768" s="273">
        <v>7</v>
      </c>
      <c r="AO768" s="273">
        <v>9</v>
      </c>
      <c r="AP768" s="273">
        <v>9</v>
      </c>
      <c r="AQ768" s="273">
        <v>14</v>
      </c>
      <c r="AR768" s="273">
        <v>12</v>
      </c>
      <c r="AS768" s="273">
        <v>14</v>
      </c>
      <c r="AT768" s="273">
        <v>10</v>
      </c>
      <c r="AU768" s="273">
        <v>0</v>
      </c>
      <c r="AV768" s="273">
        <f ca="1">_xlfn.XLOOKUP(A768,TabCalc[Ticker],TabCalc[Up20])</f>
        <v>0</v>
      </c>
      <c r="AX768" s="86" t="str">
        <f t="shared" ca="1" si="60"/>
        <v>SAFAMZN</v>
      </c>
      <c r="AY768">
        <f ca="1">_xlfn.XLOOKUP(A768,TabCalc[Ticker],TabCalc[Up150])</f>
        <v>0.33333333333333331</v>
      </c>
    </row>
    <row r="769" spans="1:51" hidden="1">
      <c r="A769" s="86" t="str">
        <f t="shared" ref="A769:A797" ca="1" si="61">A70</f>
        <v>SAFASML</v>
      </c>
      <c r="C769" s="672"/>
      <c r="D769" s="672"/>
      <c r="F769" s="252">
        <v>-1.2418E-2</v>
      </c>
      <c r="G769" s="252">
        <v>-1.2463999999999999E-2</v>
      </c>
      <c r="H769" s="252">
        <v>-2.7365E-2</v>
      </c>
      <c r="I769" s="252">
        <v>-8.3949999999999997E-3</v>
      </c>
      <c r="J769" s="252">
        <v>-7.1630000000000001E-3</v>
      </c>
      <c r="K769" s="252">
        <v>2.4260999999999998E-2</v>
      </c>
      <c r="L769" s="252">
        <v>3.6089999999999998E-3</v>
      </c>
      <c r="M769" s="252">
        <v>-6.2711000000000003E-2</v>
      </c>
      <c r="N769" s="252">
        <v>5.6957000000000008E-2</v>
      </c>
      <c r="O769" s="252">
        <v>-1.3306999999999999E-2</v>
      </c>
      <c r="P769" s="252">
        <v>6.9099999999999995E-3</v>
      </c>
      <c r="Q769" s="252">
        <v>2.5790999999999998E-2</v>
      </c>
      <c r="R769" s="252">
        <v>1.3381000000000001E-2</v>
      </c>
      <c r="S769" s="252">
        <v>1.8314999999999998E-2</v>
      </c>
      <c r="T769" s="252">
        <v>2.5876E-2</v>
      </c>
      <c r="U769" s="252">
        <v>-6.332E-3</v>
      </c>
      <c r="V769" s="252">
        <v>-5.9540000000000001E-3</v>
      </c>
      <c r="W769" s="252">
        <v>-1.0693999999999999E-2</v>
      </c>
      <c r="X769" s="252">
        <v>-7.241E-3</v>
      </c>
      <c r="Y769" s="252">
        <v>-5.391E-3</v>
      </c>
      <c r="Z769" s="244">
        <f ca="1">[1]ExtEntry!$M68</f>
        <v>-5.391E-3</v>
      </c>
      <c r="AB769" s="249">
        <v>5</v>
      </c>
      <c r="AC769" s="249">
        <v>7</v>
      </c>
      <c r="AD769" s="249">
        <v>14</v>
      </c>
      <c r="AE769" s="284">
        <v>13</v>
      </c>
      <c r="AF769" s="284">
        <v>18</v>
      </c>
      <c r="AG769" s="284">
        <v>11</v>
      </c>
      <c r="AH769" s="284">
        <v>9</v>
      </c>
      <c r="AI769" s="284">
        <v>20</v>
      </c>
      <c r="AJ769" s="284">
        <v>3</v>
      </c>
      <c r="AK769" s="284">
        <v>8</v>
      </c>
      <c r="AL769" s="284">
        <v>7</v>
      </c>
      <c r="AM769" s="273">
        <v>2</v>
      </c>
      <c r="AN769" s="273">
        <v>1</v>
      </c>
      <c r="AO769" s="273">
        <v>1</v>
      </c>
      <c r="AP769" s="273">
        <v>1</v>
      </c>
      <c r="AQ769" s="273">
        <v>2</v>
      </c>
      <c r="AR769" s="273">
        <v>4</v>
      </c>
      <c r="AS769" s="273">
        <v>4</v>
      </c>
      <c r="AT769" s="273">
        <v>6</v>
      </c>
      <c r="AU769" s="273">
        <v>0</v>
      </c>
      <c r="AV769" s="273">
        <f ca="1">_xlfn.XLOOKUP(A769,TabCalc[Ticker],TabCalc[Up20])</f>
        <v>0</v>
      </c>
      <c r="AX769" s="86" t="str">
        <f t="shared" ca="1" si="60"/>
        <v>SAFASML</v>
      </c>
      <c r="AY769">
        <f ca="1">_xlfn.XLOOKUP(A769,TabCalc[Ticker],TabCalc[Up150])</f>
        <v>0.1111111111111111</v>
      </c>
    </row>
    <row r="770" spans="1:51" hidden="1">
      <c r="A770" s="86" t="str">
        <f t="shared" ca="1" si="61"/>
        <v>SAFDDD</v>
      </c>
      <c r="C770" s="672"/>
      <c r="D770" s="672"/>
      <c r="F770" s="252">
        <v>-7.6339999999999993E-3</v>
      </c>
      <c r="G770" s="252">
        <v>-0.12884600000000002</v>
      </c>
      <c r="H770" s="252">
        <v>-1.1110999999999999E-2</v>
      </c>
      <c r="I770" s="252">
        <v>0</v>
      </c>
      <c r="J770" s="252">
        <v>0</v>
      </c>
      <c r="K770" s="252">
        <v>-1.6827000000000002E-2</v>
      </c>
      <c r="L770" s="252">
        <v>-5.0505000000000001E-2</v>
      </c>
      <c r="M770" s="252">
        <v>4.0106999999999997E-2</v>
      </c>
      <c r="N770" s="252">
        <v>7.4260000000000003E-3</v>
      </c>
      <c r="O770" s="252">
        <v>1.4851000000000001E-2</v>
      </c>
      <c r="P770" s="252">
        <v>1.9608E-2</v>
      </c>
      <c r="Q770" s="252">
        <v>-3.6058E-2</v>
      </c>
      <c r="R770" s="252">
        <v>2.5000000000000001E-2</v>
      </c>
      <c r="S770" s="252">
        <v>1.7156999999999999E-2</v>
      </c>
      <c r="T770" s="252">
        <v>7.8431000000000001E-2</v>
      </c>
      <c r="U770" s="252">
        <v>6.7869999999999996E-3</v>
      </c>
      <c r="V770" s="252">
        <v>-0.04</v>
      </c>
      <c r="W770" s="252">
        <v>-0.17136199999999999</v>
      </c>
      <c r="X770" s="252">
        <v>0</v>
      </c>
      <c r="Y770" s="252">
        <v>0.110169</v>
      </c>
      <c r="Z770" s="244">
        <f ca="1">[1]ExtEntry!$M69</f>
        <v>0.110169</v>
      </c>
      <c r="AB770" s="249">
        <v>19</v>
      </c>
      <c r="AC770" s="249">
        <v>20</v>
      </c>
      <c r="AD770" s="249">
        <v>20</v>
      </c>
      <c r="AE770" s="284">
        <v>20</v>
      </c>
      <c r="AF770" s="284">
        <v>20</v>
      </c>
      <c r="AG770" s="284">
        <v>20</v>
      </c>
      <c r="AH770" s="284">
        <v>20</v>
      </c>
      <c r="AI770" s="284">
        <v>19</v>
      </c>
      <c r="AJ770" s="284">
        <v>18</v>
      </c>
      <c r="AK770" s="284">
        <v>16</v>
      </c>
      <c r="AL770" s="284">
        <v>14</v>
      </c>
      <c r="AM770" s="273">
        <v>18</v>
      </c>
      <c r="AN770" s="273">
        <v>14</v>
      </c>
      <c r="AO770" s="273">
        <v>13</v>
      </c>
      <c r="AP770" s="273">
        <v>9</v>
      </c>
      <c r="AQ770" s="273">
        <v>7</v>
      </c>
      <c r="AR770" s="273">
        <v>9</v>
      </c>
      <c r="AS770" s="273">
        <v>20</v>
      </c>
      <c r="AT770" s="273">
        <v>19</v>
      </c>
      <c r="AU770" s="273">
        <v>0</v>
      </c>
      <c r="AV770" s="273">
        <f ca="1">_xlfn.XLOOKUP(A770,TabCalc[Ticker],TabCalc[Up20])</f>
        <v>0</v>
      </c>
      <c r="AX770" s="86" t="str">
        <f t="shared" ca="1" si="60"/>
        <v>SAFDDD</v>
      </c>
      <c r="AY770">
        <f ca="1">_xlfn.XLOOKUP(A770,TabCalc[Ticker],TabCalc[Up150])</f>
        <v>0.42105263157894735</v>
      </c>
    </row>
    <row r="771" spans="1:51" hidden="1">
      <c r="A771" s="86" t="str">
        <f t="shared" ca="1" si="61"/>
        <v>SAFDIS</v>
      </c>
      <c r="C771" s="672"/>
      <c r="D771" s="672"/>
      <c r="F771" s="252">
        <v>-1.1659999999999999E-3</v>
      </c>
      <c r="G771" s="252">
        <v>-1.0775999999999999E-2</v>
      </c>
      <c r="H771" s="252">
        <v>2.1719999999999999E-3</v>
      </c>
      <c r="I771" s="252">
        <v>-1.6819999999999998E-2</v>
      </c>
      <c r="J771" s="252">
        <v>5.5820000000000002E-3</v>
      </c>
      <c r="K771" s="252">
        <v>-9.221E-3</v>
      </c>
      <c r="L771" s="252">
        <v>-1.7197E-2</v>
      </c>
      <c r="M771" s="252">
        <v>1.704E-2</v>
      </c>
      <c r="N771" s="252">
        <v>5.1790000000000004E-3</v>
      </c>
      <c r="O771" s="252">
        <v>1.1620000000000001E-3</v>
      </c>
      <c r="P771" s="252">
        <v>1.0055000000000001E-2</v>
      </c>
      <c r="Q771" s="252">
        <v>1.8856999999999999E-2</v>
      </c>
      <c r="R771" s="252">
        <v>-1.6812000000000001E-2</v>
      </c>
      <c r="S771" s="252">
        <v>-1.049E-3</v>
      </c>
      <c r="T771" s="252">
        <v>8.5850000000000006E-3</v>
      </c>
      <c r="U771" s="252">
        <v>-7.2809999999999993E-3</v>
      </c>
      <c r="V771" s="252">
        <v>-2.2759999999999998E-3</v>
      </c>
      <c r="W771" s="252">
        <v>-8.6409999999999994E-3</v>
      </c>
      <c r="X771" s="252">
        <v>1.6913000000000001E-2</v>
      </c>
      <c r="Y771" s="252">
        <v>2.435E-2</v>
      </c>
      <c r="Z771" s="244">
        <f ca="1">[1]ExtEntry!$M70</f>
        <v>2.435E-2</v>
      </c>
      <c r="AB771" s="249">
        <v>13</v>
      </c>
      <c r="AC771" s="249">
        <v>19</v>
      </c>
      <c r="AD771" s="249">
        <v>16</v>
      </c>
      <c r="AE771" s="284">
        <v>20</v>
      </c>
      <c r="AF771" s="284">
        <v>19</v>
      </c>
      <c r="AG771" s="284">
        <v>20</v>
      </c>
      <c r="AH771" s="284">
        <v>20</v>
      </c>
      <c r="AI771" s="284">
        <v>19</v>
      </c>
      <c r="AJ771" s="284">
        <v>19</v>
      </c>
      <c r="AK771" s="284">
        <v>19</v>
      </c>
      <c r="AL771" s="284">
        <v>16</v>
      </c>
      <c r="AM771" s="273">
        <v>12</v>
      </c>
      <c r="AN771" s="273">
        <v>15</v>
      </c>
      <c r="AO771" s="273">
        <v>15</v>
      </c>
      <c r="AP771" s="273">
        <v>12</v>
      </c>
      <c r="AQ771" s="273">
        <v>14</v>
      </c>
      <c r="AR771" s="273">
        <v>12</v>
      </c>
      <c r="AS771" s="273">
        <v>6</v>
      </c>
      <c r="AT771" s="273">
        <v>5</v>
      </c>
      <c r="AU771" s="273">
        <v>0</v>
      </c>
      <c r="AV771" s="273">
        <f ca="1">_xlfn.XLOOKUP(A771,TabCalc[Ticker],TabCalc[Up20])</f>
        <v>0</v>
      </c>
      <c r="AX771" s="86" t="str">
        <f t="shared" ca="1" si="60"/>
        <v>SAFDIS</v>
      </c>
      <c r="AY771">
        <f ca="1">_xlfn.XLOOKUP(A771,TabCalc[Ticker],TabCalc[Up150])</f>
        <v>0</v>
      </c>
    </row>
    <row r="772" spans="1:51" hidden="1">
      <c r="A772" s="86" t="str">
        <f t="shared" ca="1" si="61"/>
        <v>SAFGM</v>
      </c>
      <c r="C772" s="672"/>
      <c r="D772" s="672"/>
      <c r="F772" s="252">
        <v>2.8563000000000002E-2</v>
      </c>
      <c r="G772" s="252">
        <v>2.1809999999999998E-3</v>
      </c>
      <c r="H772" s="252">
        <v>2.6438000000000003E-2</v>
      </c>
      <c r="I772" s="252">
        <v>-1.9057000000000001E-2</v>
      </c>
      <c r="J772" s="252">
        <v>4.4179999999999995E-4</v>
      </c>
      <c r="K772" s="252">
        <v>1.7444000000000001E-2</v>
      </c>
      <c r="L772" s="252">
        <v>-2.5200000000000001E-3</v>
      </c>
      <c r="M772" s="252">
        <v>3.2187E-2</v>
      </c>
      <c r="N772" s="252">
        <v>4.5339999999999998E-3</v>
      </c>
      <c r="O772" s="252">
        <v>4.1219999999999999E-4</v>
      </c>
      <c r="P772" s="252">
        <v>9.7509999999999993E-3</v>
      </c>
      <c r="Q772" s="252">
        <v>8.9090000000000003E-4</v>
      </c>
      <c r="R772" s="252">
        <v>8.9790000000000009E-3</v>
      </c>
      <c r="S772" s="252">
        <v>8.7559999999999999E-3</v>
      </c>
      <c r="T772" s="252">
        <v>1.3983000000000001E-2</v>
      </c>
      <c r="U772" s="252">
        <v>1.8276000000000001E-2</v>
      </c>
      <c r="V772" s="252">
        <v>1.1911E-2</v>
      </c>
      <c r="W772" s="252">
        <v>1.3868999999999999E-2</v>
      </c>
      <c r="X772" s="252">
        <v>4.7240000000000004E-2</v>
      </c>
      <c r="Y772" s="252">
        <v>5.5690000000000004E-4</v>
      </c>
      <c r="Z772" s="244">
        <f ca="1">[1]ExtEntry!$M71</f>
        <v>5.5690000000000004E-4</v>
      </c>
      <c r="AB772" s="249">
        <v>4</v>
      </c>
      <c r="AC772" s="249">
        <v>4</v>
      </c>
      <c r="AD772" s="249">
        <v>1</v>
      </c>
      <c r="AE772" s="284">
        <v>2</v>
      </c>
      <c r="AF772" s="284">
        <v>9</v>
      </c>
      <c r="AG772" s="284">
        <v>6</v>
      </c>
      <c r="AH772" s="284">
        <v>10</v>
      </c>
      <c r="AI772" s="284">
        <v>3</v>
      </c>
      <c r="AJ772" s="284">
        <v>1</v>
      </c>
      <c r="AK772" s="284">
        <v>2</v>
      </c>
      <c r="AL772" s="284">
        <v>1</v>
      </c>
      <c r="AM772" s="273">
        <v>1</v>
      </c>
      <c r="AN772" s="273">
        <v>1</v>
      </c>
      <c r="AO772" s="273">
        <v>1</v>
      </c>
      <c r="AP772" s="273">
        <v>1</v>
      </c>
      <c r="AQ772" s="273">
        <v>1</v>
      </c>
      <c r="AR772" s="273">
        <v>2</v>
      </c>
      <c r="AS772" s="273">
        <v>1</v>
      </c>
      <c r="AT772" s="273">
        <v>1</v>
      </c>
      <c r="AU772" s="273">
        <v>0.55555555555555558</v>
      </c>
      <c r="AV772" s="273">
        <f ca="1">_xlfn.XLOOKUP(A772,TabCalc[Ticker],TabCalc[Up20])</f>
        <v>0.55555555555555558</v>
      </c>
      <c r="AX772" s="86" t="str">
        <f t="shared" ca="1" si="60"/>
        <v>SAFGM</v>
      </c>
      <c r="AY772">
        <f ca="1">_xlfn.XLOOKUP(A772,TabCalc[Ticker],TabCalc[Up150])</f>
        <v>0.44776119402985076</v>
      </c>
    </row>
    <row r="773" spans="1:51" hidden="1">
      <c r="A773" s="86" t="str">
        <f t="shared" ca="1" si="61"/>
        <v>SAFIAG</v>
      </c>
      <c r="C773" s="672"/>
      <c r="D773" s="672"/>
      <c r="F773" s="252">
        <v>6.1519999999999995E-3</v>
      </c>
      <c r="G773" s="252">
        <v>-2.6105E-2</v>
      </c>
      <c r="H773" s="252">
        <v>-0.115673</v>
      </c>
      <c r="I773" s="252">
        <v>-2.0969999999999999E-2</v>
      </c>
      <c r="J773" s="252">
        <v>-2.454E-3</v>
      </c>
      <c r="K773" s="252">
        <v>1.6966999999999999E-2</v>
      </c>
      <c r="L773" s="252">
        <v>1.2712000000000001E-2</v>
      </c>
      <c r="M773" s="252">
        <v>-8.1069999999999996E-3</v>
      </c>
      <c r="N773" s="252">
        <v>2.0449999999999999E-2</v>
      </c>
      <c r="O773" s="252">
        <v>-6.2629999999999995E-3</v>
      </c>
      <c r="P773" s="252">
        <v>-1.008E-3</v>
      </c>
      <c r="Q773" s="252">
        <v>-7.0650000000000001E-3</v>
      </c>
      <c r="R773" s="252">
        <v>-1.0672999999999998E-2</v>
      </c>
      <c r="S773" s="252">
        <v>7.4489999999999999E-3</v>
      </c>
      <c r="T773" s="252">
        <v>4.1099999999999999E-3</v>
      </c>
      <c r="U773" s="252">
        <v>-1.5093000000000001E-2</v>
      </c>
      <c r="V773" s="252">
        <v>1.818E-3</v>
      </c>
      <c r="W773" s="252">
        <v>-8.6960000000000006E-3</v>
      </c>
      <c r="X773" s="252">
        <v>-5.1600000000000005E-3</v>
      </c>
      <c r="Y773" s="252">
        <v>3.1120000000000002E-2</v>
      </c>
      <c r="Z773" s="244">
        <f ca="1">[1]ExtEntry!$M72</f>
        <v>3.1120000000000002E-2</v>
      </c>
      <c r="AB773" s="249">
        <v>1</v>
      </c>
      <c r="AC773" s="249">
        <v>4</v>
      </c>
      <c r="AD773" s="249">
        <v>20</v>
      </c>
      <c r="AE773" s="284">
        <v>19</v>
      </c>
      <c r="AF773" s="284">
        <v>19</v>
      </c>
      <c r="AG773" s="284">
        <v>18</v>
      </c>
      <c r="AH773" s="284">
        <v>17</v>
      </c>
      <c r="AI773" s="284">
        <v>17</v>
      </c>
      <c r="AJ773" s="284">
        <v>11</v>
      </c>
      <c r="AK773" s="284">
        <v>12</v>
      </c>
      <c r="AL773" s="284">
        <v>13</v>
      </c>
      <c r="AM773" s="273">
        <v>14</v>
      </c>
      <c r="AN773" s="273">
        <v>14</v>
      </c>
      <c r="AO773" s="273">
        <v>13</v>
      </c>
      <c r="AP773" s="273">
        <v>13</v>
      </c>
      <c r="AQ773" s="273">
        <v>15</v>
      </c>
      <c r="AR773" s="273">
        <v>14</v>
      </c>
      <c r="AS773" s="273">
        <v>12</v>
      </c>
      <c r="AT773" s="273">
        <v>14</v>
      </c>
      <c r="AU773" s="273">
        <v>0.42857142857142855</v>
      </c>
      <c r="AV773" s="273">
        <f ca="1">_xlfn.XLOOKUP(A773,TabCalc[Ticker],TabCalc[Up20])</f>
        <v>0.42857142857142855</v>
      </c>
      <c r="AX773" s="86" t="str">
        <f t="shared" ca="1" si="60"/>
        <v>SAFIAG</v>
      </c>
      <c r="AY773">
        <f ca="1">_xlfn.XLOOKUP(A773,TabCalc[Ticker],TabCalc[Up150])</f>
        <v>0.52830188679245282</v>
      </c>
    </row>
    <row r="774" spans="1:51" hidden="1">
      <c r="A774" s="86" t="str">
        <f t="shared" ca="1" si="61"/>
        <v>SAFMRNA</v>
      </c>
      <c r="C774" s="672"/>
      <c r="D774" s="672"/>
      <c r="F774" s="252">
        <v>-8.0000000000000002E-3</v>
      </c>
      <c r="G774" s="252">
        <v>2.3132E-2</v>
      </c>
      <c r="H774" s="252">
        <v>8.0149999999999996E-3</v>
      </c>
      <c r="I774" s="252">
        <v>-7.6119999999999998E-3</v>
      </c>
      <c r="J774" s="252">
        <v>6.4619999999999999E-3</v>
      </c>
      <c r="K774" s="252">
        <v>-2.5682E-2</v>
      </c>
      <c r="L774" s="252">
        <v>-5.7485999999999995E-2</v>
      </c>
      <c r="M774" s="252">
        <v>5.076E-2</v>
      </c>
      <c r="N774" s="252">
        <v>7.0709999999999992E-3</v>
      </c>
      <c r="O774" s="252">
        <v>1.0505E-2</v>
      </c>
      <c r="P774" s="252">
        <v>3.8783999999999999E-2</v>
      </c>
      <c r="Q774" s="252">
        <v>-5.9660999999999999E-2</v>
      </c>
      <c r="R774" s="252">
        <v>-3.725E-3</v>
      </c>
      <c r="S774" s="252">
        <v>2.0577999999999999E-2</v>
      </c>
      <c r="T774" s="252">
        <v>4.6176000000000002E-2</v>
      </c>
      <c r="U774" s="252">
        <v>2.4424000000000001E-2</v>
      </c>
      <c r="V774" s="252">
        <v>8.6701E-2</v>
      </c>
      <c r="W774" s="252">
        <v>1.2978E-2</v>
      </c>
      <c r="X774" s="252">
        <v>2.7975E-2</v>
      </c>
      <c r="Y774" s="252">
        <v>2.0668000000000002E-2</v>
      </c>
      <c r="Z774" s="244">
        <f ca="1">[1]ExtEntry!$M73</f>
        <v>2.0668000000000002E-2</v>
      </c>
      <c r="AB774" s="249">
        <v>20</v>
      </c>
      <c r="AC774" s="249">
        <v>18</v>
      </c>
      <c r="AD774" s="249">
        <v>17</v>
      </c>
      <c r="AE774" s="284">
        <v>16</v>
      </c>
      <c r="AF774" s="284">
        <v>15</v>
      </c>
      <c r="AG774" s="284">
        <v>17</v>
      </c>
      <c r="AH774" s="284">
        <v>20</v>
      </c>
      <c r="AI774" s="284">
        <v>19</v>
      </c>
      <c r="AJ774" s="284">
        <v>11</v>
      </c>
      <c r="AK774" s="284">
        <v>10</v>
      </c>
      <c r="AL774" s="284">
        <v>8</v>
      </c>
      <c r="AM774" s="273">
        <v>14</v>
      </c>
      <c r="AN774" s="273">
        <v>16</v>
      </c>
      <c r="AO774" s="273">
        <v>11</v>
      </c>
      <c r="AP774" s="273">
        <v>6</v>
      </c>
      <c r="AQ774" s="273">
        <v>4</v>
      </c>
      <c r="AR774" s="273">
        <v>2</v>
      </c>
      <c r="AS774" s="273">
        <v>1</v>
      </c>
      <c r="AT774" s="273">
        <v>1</v>
      </c>
      <c r="AU774" s="273">
        <v>0</v>
      </c>
      <c r="AV774" s="273">
        <f ca="1">_xlfn.XLOOKUP(A774,TabCalc[Ticker],TabCalc[Up20])</f>
        <v>0</v>
      </c>
      <c r="AX774" s="86" t="str">
        <f t="shared" ca="1" si="60"/>
        <v>SAFMRNA</v>
      </c>
      <c r="AY774">
        <f ca="1">_xlfn.XLOOKUP(A774,TabCalc[Ticker],TabCalc[Up150])</f>
        <v>0</v>
      </c>
    </row>
    <row r="775" spans="1:51" hidden="1">
      <c r="A775" s="86" t="str">
        <f t="shared" ca="1" si="61"/>
        <v>BLNK</v>
      </c>
      <c r="C775" s="672"/>
      <c r="D775" s="672"/>
      <c r="F775" s="252">
        <v>0.10810800000000001</v>
      </c>
      <c r="G775" s="252">
        <v>-8.2317000000000001E-2</v>
      </c>
      <c r="H775" s="252">
        <v>5.2914000000000003E-2</v>
      </c>
      <c r="I775" s="252">
        <v>-3.4247E-2</v>
      </c>
      <c r="J775" s="252">
        <v>7.143E-3</v>
      </c>
      <c r="K775" s="252">
        <v>-3.1914999999999999E-2</v>
      </c>
      <c r="L775" s="252">
        <v>-1.1029000000000001E-2</v>
      </c>
      <c r="M775" s="252">
        <v>-2.6515E-2</v>
      </c>
      <c r="N775" s="252">
        <v>1.1811E-2</v>
      </c>
      <c r="O775" s="252">
        <v>7.8739999999999991E-3</v>
      </c>
      <c r="P775" s="252">
        <v>2.3438000000000001E-2</v>
      </c>
      <c r="Q775" s="252">
        <v>-1.9084E-2</v>
      </c>
      <c r="R775" s="252">
        <v>3.9680000000000002E-3</v>
      </c>
      <c r="S775" s="252">
        <v>-3.9680000000000002E-3</v>
      </c>
      <c r="T775" s="252">
        <v>7.1429000000000006E-2</v>
      </c>
      <c r="U775" s="252">
        <v>4.0740999999999999E-2</v>
      </c>
      <c r="V775" s="252">
        <v>-0.15493000000000001</v>
      </c>
      <c r="W775" s="252">
        <v>-7.7272999999999994E-2</v>
      </c>
      <c r="X775" s="252">
        <v>-6.0895999999999999E-2</v>
      </c>
      <c r="Y775" s="252">
        <v>-6.1454000000000002E-2</v>
      </c>
      <c r="Z775" s="244">
        <f ca="1">[1]ExtEntry!$M74</f>
        <v>-6.1454000000000002E-2</v>
      </c>
      <c r="AB775" s="249">
        <v>18</v>
      </c>
      <c r="AC775" s="249">
        <v>19</v>
      </c>
      <c r="AD775" s="249">
        <v>18</v>
      </c>
      <c r="AE775" s="284">
        <v>20</v>
      </c>
      <c r="AF775" s="284">
        <v>19</v>
      </c>
      <c r="AG775" s="284">
        <v>20</v>
      </c>
      <c r="AH775" s="284">
        <v>20</v>
      </c>
      <c r="AI775" s="284">
        <v>20</v>
      </c>
      <c r="AJ775" s="284">
        <v>19</v>
      </c>
      <c r="AK775" s="284">
        <v>20</v>
      </c>
      <c r="AL775" s="284">
        <v>17</v>
      </c>
      <c r="AM775" s="273">
        <v>17</v>
      </c>
      <c r="AN775" s="273">
        <v>20</v>
      </c>
      <c r="AO775" s="273">
        <v>20</v>
      </c>
      <c r="AP775" s="273">
        <v>12</v>
      </c>
      <c r="AQ775" s="273">
        <v>10</v>
      </c>
      <c r="AR775" s="273">
        <v>20</v>
      </c>
      <c r="AS775" s="273">
        <v>20</v>
      </c>
      <c r="AT775" s="273">
        <v>20</v>
      </c>
      <c r="AU775" s="273" t="s">
        <v>2953</v>
      </c>
      <c r="AV775" s="273" t="str">
        <f ca="1">_xlfn.XLOOKUP(A775,TabCalc[Ticker],TabCalc[Up20])</f>
        <v>/29/94%</v>
      </c>
      <c r="AX775" s="86" t="str">
        <f t="shared" ca="1" si="60"/>
        <v>BLNK</v>
      </c>
      <c r="AY775" t="str">
        <f ca="1">_xlfn.XLOOKUP(A775,TabCalc[Ticker],TabCalc[Up150])</f>
        <v>52/43/42%</v>
      </c>
    </row>
    <row r="776" spans="1:51" hidden="1">
      <c r="A776" s="86" t="str">
        <f t="shared" ca="1" si="61"/>
        <v>ENI</v>
      </c>
      <c r="C776" s="672"/>
      <c r="D776" s="672"/>
      <c r="F776" s="252">
        <v>3.6459999999999999E-3</v>
      </c>
      <c r="G776" s="252">
        <v>-1.253E-3</v>
      </c>
      <c r="H776" s="252">
        <v>-1.003E-3</v>
      </c>
      <c r="I776" s="252">
        <v>9.722E-4</v>
      </c>
      <c r="J776" s="252">
        <v>1.8370000000000001E-3</v>
      </c>
      <c r="K776" s="252">
        <v>-6.8589999999999996E-3</v>
      </c>
      <c r="L776" s="252">
        <v>4.8089999999999999E-3</v>
      </c>
      <c r="M776" s="252">
        <v>-1.2273000000000001E-2</v>
      </c>
      <c r="N776" s="252">
        <v>1.9515000000000001E-2</v>
      </c>
      <c r="O776" s="252">
        <v>-3.503E-3</v>
      </c>
      <c r="P776" s="252">
        <v>1.268E-2</v>
      </c>
      <c r="Q776" s="252">
        <v>2.8510000000000002E-3</v>
      </c>
      <c r="R776" s="252">
        <v>6.1810000000000001E-4</v>
      </c>
      <c r="S776" s="252">
        <v>7.4129999999999995E-3</v>
      </c>
      <c r="T776" s="252">
        <v>1.0130999999999999E-2</v>
      </c>
      <c r="U776" s="252">
        <v>-1.2229999999999999E-4</v>
      </c>
      <c r="V776" s="252">
        <v>-1.5167999999999999E-2</v>
      </c>
      <c r="W776" s="252">
        <v>2.4889999999999999E-3</v>
      </c>
      <c r="X776" s="252">
        <v>-5.836E-3</v>
      </c>
      <c r="Y776" s="252">
        <v>-6.8689999999999992E-3</v>
      </c>
      <c r="Z776" s="244">
        <f ca="1">[1]ExtEntry!$M75</f>
        <v>-6.8689999999999992E-3</v>
      </c>
      <c r="AB776" s="249">
        <v>1</v>
      </c>
      <c r="AC776" s="249">
        <v>2</v>
      </c>
      <c r="AD776" s="249">
        <v>4</v>
      </c>
      <c r="AE776" s="284">
        <v>1</v>
      </c>
      <c r="AF776" s="284">
        <v>2</v>
      </c>
      <c r="AG776" s="284">
        <v>3</v>
      </c>
      <c r="AH776" s="284">
        <v>3</v>
      </c>
      <c r="AI776" s="284">
        <v>5</v>
      </c>
      <c r="AJ776" s="284">
        <v>6</v>
      </c>
      <c r="AK776" s="284">
        <v>11</v>
      </c>
      <c r="AL776" s="284">
        <v>5</v>
      </c>
      <c r="AM776" s="273">
        <v>5</v>
      </c>
      <c r="AN776" s="273">
        <v>5</v>
      </c>
      <c r="AO776" s="273">
        <v>3</v>
      </c>
      <c r="AP776" s="273">
        <v>3</v>
      </c>
      <c r="AQ776" s="273">
        <v>4</v>
      </c>
      <c r="AR776" s="273">
        <v>11</v>
      </c>
      <c r="AS776" s="273">
        <v>11</v>
      </c>
      <c r="AT776" s="273">
        <v>14</v>
      </c>
      <c r="AU776" s="273">
        <v>0</v>
      </c>
      <c r="AV776" s="273">
        <f ca="1">_xlfn.XLOOKUP(A776,TabCalc[Ticker],TabCalc[Up20])</f>
        <v>0</v>
      </c>
      <c r="AX776" s="86" t="str">
        <f t="shared" ca="1" si="60"/>
        <v>ENI</v>
      </c>
      <c r="AY776">
        <f ca="1">_xlfn.XLOOKUP(A776,TabCalc[Ticker],TabCalc[Up150])</f>
        <v>0.5</v>
      </c>
    </row>
    <row r="777" spans="1:51" hidden="1">
      <c r="A777" s="86" t="str">
        <f t="shared" ca="1" si="61"/>
        <v>EZJ</v>
      </c>
      <c r="C777" s="672"/>
      <c r="D777" s="672"/>
      <c r="F777" s="252">
        <v>7.9120000000000006E-3</v>
      </c>
      <c r="G777" s="252">
        <v>-1.1568E-2</v>
      </c>
      <c r="H777" s="252">
        <v>-1.4838E-2</v>
      </c>
      <c r="I777" s="252">
        <v>-1.6351999999999998E-2</v>
      </c>
      <c r="J777" s="252">
        <v>-4.3880000000000004E-3</v>
      </c>
      <c r="K777" s="252">
        <v>1.3822000000000001E-2</v>
      </c>
      <c r="L777" s="252">
        <v>-8.8729999999999989E-3</v>
      </c>
      <c r="M777" s="252">
        <v>1.2664E-2</v>
      </c>
      <c r="N777" s="252">
        <v>2.0926E-2</v>
      </c>
      <c r="O777" s="252">
        <v>4.1410000000000006E-3</v>
      </c>
      <c r="P777" s="252">
        <v>2.9691000000000002E-2</v>
      </c>
      <c r="Q777" s="252">
        <v>-1.1814E-2</v>
      </c>
      <c r="R777" s="252">
        <v>-1.8240000000000001E-3</v>
      </c>
      <c r="S777" s="252">
        <v>-7.5110000000000003E-3</v>
      </c>
      <c r="T777" s="252">
        <v>-1.4413E-2</v>
      </c>
      <c r="U777" s="252">
        <v>7.6210000000000002E-3</v>
      </c>
      <c r="V777" s="252">
        <v>1.0219999999999999E-3</v>
      </c>
      <c r="W777" s="252">
        <v>-1.3000000000000001E-2</v>
      </c>
      <c r="X777" s="252">
        <v>-3.9719999999999998E-3</v>
      </c>
      <c r="Y777" s="252">
        <v>1.8262E-2</v>
      </c>
      <c r="Z777" s="244">
        <f ca="1">[1]ExtEntry!$M76</f>
        <v>1.8262E-2</v>
      </c>
      <c r="AB777" s="249">
        <v>9</v>
      </c>
      <c r="AC777" s="249">
        <v>16</v>
      </c>
      <c r="AD777" s="249">
        <v>18</v>
      </c>
      <c r="AE777" s="284">
        <v>19</v>
      </c>
      <c r="AF777" s="284">
        <v>20</v>
      </c>
      <c r="AG777" s="284">
        <v>19</v>
      </c>
      <c r="AH777" s="284">
        <v>19</v>
      </c>
      <c r="AI777" s="284">
        <v>17</v>
      </c>
      <c r="AJ777" s="284">
        <v>8</v>
      </c>
      <c r="AK777" s="284">
        <v>6</v>
      </c>
      <c r="AL777" s="284">
        <v>1</v>
      </c>
      <c r="AM777" s="273">
        <v>2</v>
      </c>
      <c r="AN777" s="273">
        <v>4</v>
      </c>
      <c r="AO777" s="273">
        <v>4</v>
      </c>
      <c r="AP777" s="273">
        <v>7</v>
      </c>
      <c r="AQ777" s="273">
        <v>4</v>
      </c>
      <c r="AR777" s="273">
        <v>4</v>
      </c>
      <c r="AS777" s="273">
        <v>14</v>
      </c>
      <c r="AT777" s="273">
        <v>14</v>
      </c>
      <c r="AU777" s="273">
        <v>0</v>
      </c>
      <c r="AV777" s="273">
        <f ca="1">_xlfn.XLOOKUP(A777,TabCalc[Ticker],TabCalc[Up20])</f>
        <v>0</v>
      </c>
      <c r="AX777" s="86" t="str">
        <f t="shared" ca="1" si="60"/>
        <v>EZJ</v>
      </c>
      <c r="AY777">
        <f ca="1">_xlfn.XLOOKUP(A777,TabCalc[Ticker],TabCalc[Up150])</f>
        <v>0.25</v>
      </c>
    </row>
    <row r="778" spans="1:51" hidden="1">
      <c r="A778" s="86" t="str">
        <f t="shared" ca="1" si="61"/>
        <v>F</v>
      </c>
      <c r="C778" s="672"/>
      <c r="D778" s="672"/>
      <c r="F778" s="252">
        <v>2.6974000000000001E-2</v>
      </c>
      <c r="G778" s="252">
        <v>3.4780000000000002E-3</v>
      </c>
      <c r="H778" s="252">
        <v>1.8119E-2</v>
      </c>
      <c r="I778" s="252">
        <v>-6.4010000000000004E-3</v>
      </c>
      <c r="J778" s="252">
        <v>1.0869999999999999E-2</v>
      </c>
      <c r="K778" s="252">
        <v>-1.92E-3</v>
      </c>
      <c r="L778" s="252">
        <v>-2.9457000000000001E-2</v>
      </c>
      <c r="M778" s="252">
        <v>3.6664000000000002E-2</v>
      </c>
      <c r="N778" s="252">
        <v>4.9350000000000002E-3</v>
      </c>
      <c r="O778" s="252">
        <v>1.5190000000000002E-3</v>
      </c>
      <c r="P778" s="252">
        <v>4.5490000000000001E-3</v>
      </c>
      <c r="Q778" s="252">
        <v>-2.6359999999999999E-3</v>
      </c>
      <c r="R778" s="252">
        <v>-1.5205E-2</v>
      </c>
      <c r="S778" s="252">
        <v>2.3150000000000002E-3</v>
      </c>
      <c r="T778" s="252">
        <v>1.1188E-2</v>
      </c>
      <c r="U778" s="252">
        <v>-7.6389999999999997E-4</v>
      </c>
      <c r="V778" s="252">
        <v>-8.371E-3</v>
      </c>
      <c r="W778" s="252">
        <v>1.903E-3</v>
      </c>
      <c r="X778" s="252">
        <v>2.4847000000000001E-2</v>
      </c>
      <c r="Y778" s="252">
        <v>1.6032999999999999E-2</v>
      </c>
      <c r="Z778" s="244">
        <f ca="1">[1]ExtEntry!$M77</f>
        <v>1.6032999999999999E-2</v>
      </c>
      <c r="AB778" s="249">
        <v>3</v>
      </c>
      <c r="AC778" s="249">
        <v>3</v>
      </c>
      <c r="AD778" s="249">
        <v>3</v>
      </c>
      <c r="AE778" s="284">
        <v>4</v>
      </c>
      <c r="AF778" s="284">
        <v>9</v>
      </c>
      <c r="AG778" s="284">
        <v>10</v>
      </c>
      <c r="AH778" s="284">
        <v>13</v>
      </c>
      <c r="AI778" s="284">
        <v>11</v>
      </c>
      <c r="AJ778" s="284">
        <v>2</v>
      </c>
      <c r="AK778" s="284">
        <v>6</v>
      </c>
      <c r="AL778" s="284">
        <v>2</v>
      </c>
      <c r="AM778" s="273">
        <v>3</v>
      </c>
      <c r="AN778" s="273">
        <v>15</v>
      </c>
      <c r="AO778" s="273">
        <v>15</v>
      </c>
      <c r="AP778" s="273">
        <v>12</v>
      </c>
      <c r="AQ778" s="273">
        <v>12</v>
      </c>
      <c r="AR778" s="273">
        <v>13</v>
      </c>
      <c r="AS778" s="273">
        <v>7</v>
      </c>
      <c r="AT778" s="273">
        <v>1</v>
      </c>
      <c r="AU778" s="273">
        <v>0.25</v>
      </c>
      <c r="AV778" s="273">
        <f ca="1">_xlfn.XLOOKUP(A778,TabCalc[Ticker],TabCalc[Up20])</f>
        <v>0.25</v>
      </c>
      <c r="AX778" s="86" t="str">
        <f t="shared" ca="1" si="60"/>
        <v>F</v>
      </c>
      <c r="AY778">
        <f ca="1">_xlfn.XLOOKUP(A778,TabCalc[Ticker],TabCalc[Up150])</f>
        <v>0.56521739130434778</v>
      </c>
    </row>
    <row r="779" spans="1:51" hidden="1">
      <c r="A779" s="86" t="str">
        <f t="shared" ca="1" si="61"/>
        <v>GLE</v>
      </c>
      <c r="C779" s="672"/>
      <c r="D779" s="672"/>
      <c r="F779" s="252">
        <v>1.0989999999999999E-3</v>
      </c>
      <c r="G779" s="252">
        <v>2.1230000000000002E-2</v>
      </c>
      <c r="H779" s="252">
        <v>-2.0788999999999998E-2</v>
      </c>
      <c r="I779" s="252">
        <v>-1.9945999999999998E-2</v>
      </c>
      <c r="J779" s="252">
        <v>-5.3119999999999999E-3</v>
      </c>
      <c r="K779" s="252">
        <v>6.0200000000000002E-3</v>
      </c>
      <c r="L779" s="252">
        <v>1.056E-2</v>
      </c>
      <c r="M779" s="252">
        <v>-1.5325999999999999E-2</v>
      </c>
      <c r="N779" s="252">
        <v>2.0583000000000001E-2</v>
      </c>
      <c r="O779" s="252">
        <v>6.7229999999999998E-3</v>
      </c>
      <c r="P779" s="252">
        <v>6.6780000000000008E-4</v>
      </c>
      <c r="Q779" s="252">
        <v>-3.6700000000000001E-3</v>
      </c>
      <c r="R779" s="252">
        <v>2.2438E-2</v>
      </c>
      <c r="S779" s="252">
        <v>-6.8779999999999996E-3</v>
      </c>
      <c r="T779" s="252">
        <v>-8.8439999999999994E-3</v>
      </c>
      <c r="U779" s="252">
        <v>3.2715999999999995E-2</v>
      </c>
      <c r="V779" s="252">
        <v>-1.536E-2</v>
      </c>
      <c r="W779" s="252">
        <v>4.4710000000000001E-3</v>
      </c>
      <c r="X779" s="252">
        <v>9.221E-3</v>
      </c>
      <c r="Y779" s="252">
        <v>1.3863E-2</v>
      </c>
      <c r="Z779" s="244">
        <f ca="1">[1]ExtEntry!$M78</f>
        <v>1.3863E-2</v>
      </c>
      <c r="AB779" s="249">
        <v>4</v>
      </c>
      <c r="AC779" s="249">
        <v>2</v>
      </c>
      <c r="AD779" s="249">
        <v>5</v>
      </c>
      <c r="AE779" s="284">
        <v>1</v>
      </c>
      <c r="AF779" s="284">
        <v>3</v>
      </c>
      <c r="AG779" s="284">
        <v>2</v>
      </c>
      <c r="AH779" s="284">
        <v>2</v>
      </c>
      <c r="AI779" s="284">
        <v>4</v>
      </c>
      <c r="AJ779" s="284">
        <v>1</v>
      </c>
      <c r="AK779" s="284">
        <v>1</v>
      </c>
      <c r="AL779" s="284">
        <v>1</v>
      </c>
      <c r="AM779" s="273">
        <v>3</v>
      </c>
      <c r="AN779" s="273">
        <v>1</v>
      </c>
      <c r="AO779" s="273">
        <v>2</v>
      </c>
      <c r="AP779" s="273">
        <v>3</v>
      </c>
      <c r="AQ779" s="273">
        <v>1</v>
      </c>
      <c r="AR779" s="273">
        <v>2</v>
      </c>
      <c r="AS779" s="273">
        <v>1</v>
      </c>
      <c r="AT779" s="273">
        <v>1</v>
      </c>
      <c r="AU779" s="273">
        <v>0.38095238095238093</v>
      </c>
      <c r="AV779" s="273">
        <f ca="1">_xlfn.XLOOKUP(A779,TabCalc[Ticker],TabCalc[Up20])</f>
        <v>0.38095238095238093</v>
      </c>
      <c r="AX779" s="86" t="str">
        <f t="shared" ca="1" si="60"/>
        <v>GLE</v>
      </c>
      <c r="AY779">
        <f ca="1">_xlfn.XLOOKUP(A779,TabCalc[Ticker],TabCalc[Up150])</f>
        <v>0.49668874172185429</v>
      </c>
    </row>
    <row r="780" spans="1:51" hidden="1">
      <c r="A780" s="86" t="str">
        <f t="shared" ca="1" si="61"/>
        <v>GNRC</v>
      </c>
      <c r="C780" s="672"/>
      <c r="D780" s="672"/>
      <c r="F780" s="252">
        <v>1.6539999999999999E-2</v>
      </c>
      <c r="G780" s="252">
        <v>-3.5493999999999998E-2</v>
      </c>
      <c r="H780" s="252">
        <v>5.3969999999999999E-3</v>
      </c>
      <c r="I780" s="252">
        <v>-2.2764000000000003E-2</v>
      </c>
      <c r="J780" s="252">
        <v>1.3878E-2</v>
      </c>
      <c r="K780" s="252">
        <v>3.1095999999999999E-2</v>
      </c>
      <c r="L780" s="252">
        <v>-3.7349E-2</v>
      </c>
      <c r="M780" s="252">
        <v>4.9279999999999997E-2</v>
      </c>
      <c r="N780" s="252">
        <v>9.8279999999999999E-3</v>
      </c>
      <c r="O780" s="252">
        <v>1.885E-3</v>
      </c>
      <c r="P780" s="252">
        <v>1.8881999999999999E-2</v>
      </c>
      <c r="Q780" s="252">
        <v>-1.913E-3</v>
      </c>
      <c r="R780" s="252">
        <v>4.0610999999999994E-2</v>
      </c>
      <c r="S780" s="252">
        <v>2.2782E-2</v>
      </c>
      <c r="T780" s="252">
        <v>2.5078999999999997E-2</v>
      </c>
      <c r="U780" s="252">
        <v>3.2983999999999999E-2</v>
      </c>
      <c r="V780" s="252">
        <v>-5.6969999999999998E-3</v>
      </c>
      <c r="W780" s="252">
        <v>-1.3212999999999999E-2</v>
      </c>
      <c r="X780" s="252">
        <v>4.0660000000000002E-2</v>
      </c>
      <c r="Y780" s="252">
        <v>6.9640000000000006E-3</v>
      </c>
      <c r="Z780" s="244">
        <f ca="1">[1]ExtEntry!$M79</f>
        <v>6.9640000000000006E-3</v>
      </c>
      <c r="AB780" s="249">
        <v>19</v>
      </c>
      <c r="AC780" s="249">
        <v>20</v>
      </c>
      <c r="AD780" s="249">
        <v>19</v>
      </c>
      <c r="AE780" s="284">
        <v>20</v>
      </c>
      <c r="AF780" s="284">
        <v>20</v>
      </c>
      <c r="AG780" s="284">
        <v>19</v>
      </c>
      <c r="AH780" s="284">
        <v>20</v>
      </c>
      <c r="AI780" s="284">
        <v>17</v>
      </c>
      <c r="AJ780" s="284">
        <v>16</v>
      </c>
      <c r="AK780" s="284">
        <v>16</v>
      </c>
      <c r="AL780" s="284">
        <v>13</v>
      </c>
      <c r="AM780" s="273">
        <v>13</v>
      </c>
      <c r="AN780" s="273">
        <v>9</v>
      </c>
      <c r="AO780" s="273">
        <v>7</v>
      </c>
      <c r="AP780" s="273">
        <v>5</v>
      </c>
      <c r="AQ780" s="273">
        <v>4</v>
      </c>
      <c r="AR780" s="273">
        <v>4</v>
      </c>
      <c r="AS780" s="273">
        <v>4</v>
      </c>
      <c r="AT780" s="273">
        <v>1</v>
      </c>
      <c r="AU780" s="273">
        <v>0</v>
      </c>
      <c r="AV780" s="273">
        <f ca="1">_xlfn.XLOOKUP(A780,TabCalc[Ticker],TabCalc[Up20])</f>
        <v>0</v>
      </c>
      <c r="AX780" s="86" t="str">
        <f t="shared" ca="1" si="60"/>
        <v>GNRC</v>
      </c>
      <c r="AY780">
        <f ca="1">_xlfn.XLOOKUP(A780,TabCalc[Ticker],TabCalc[Up150])</f>
        <v>0.53846153846153844</v>
      </c>
    </row>
    <row r="781" spans="1:51" hidden="1">
      <c r="A781" s="86" t="str">
        <f t="shared" ca="1" si="61"/>
        <v>GS</v>
      </c>
      <c r="C781" s="672"/>
      <c r="D781" s="672"/>
      <c r="F781" s="252">
        <v>2.8830000000000001E-3</v>
      </c>
      <c r="G781" s="252">
        <v>-7.2119999999999997E-3</v>
      </c>
      <c r="H781" s="252">
        <v>-2.8249999999999998E-3</v>
      </c>
      <c r="I781" s="252">
        <v>-1.8647E-2</v>
      </c>
      <c r="J781" s="252">
        <v>1.7280000000000002E-3</v>
      </c>
      <c r="K781" s="252">
        <v>5.9130000000000007E-3</v>
      </c>
      <c r="L781" s="252">
        <v>-1.0088999999999999E-2</v>
      </c>
      <c r="M781" s="252">
        <v>4.7949999999999998E-3</v>
      </c>
      <c r="N781" s="252">
        <v>1.6920000000000001E-2</v>
      </c>
      <c r="O781" s="252">
        <v>1.6864000000000001E-2</v>
      </c>
      <c r="P781" s="252">
        <v>1.1856E-2</v>
      </c>
      <c r="Q781" s="252">
        <v>-1.5427999999999999E-2</v>
      </c>
      <c r="R781" s="252">
        <v>9.6360000000000005E-3</v>
      </c>
      <c r="S781" s="252">
        <v>1.1120000000000001E-2</v>
      </c>
      <c r="T781" s="252">
        <v>2.6312000000000002E-2</v>
      </c>
      <c r="U781" s="252">
        <v>-4.7809999999999998E-5</v>
      </c>
      <c r="V781" s="252">
        <v>1.9849000000000002E-2</v>
      </c>
      <c r="W781" s="252">
        <v>1.3480000000000001E-2</v>
      </c>
      <c r="X781" s="252">
        <v>1.4511000000000001E-2</v>
      </c>
      <c r="Y781" s="252">
        <v>2.4403000000000001E-2</v>
      </c>
      <c r="Z781" s="244">
        <f ca="1">[1]ExtEntry!$M80</f>
        <v>2.4403000000000001E-2</v>
      </c>
      <c r="AB781" s="249">
        <v>1</v>
      </c>
      <c r="AC781" s="249">
        <v>7</v>
      </c>
      <c r="AD781" s="249">
        <v>8</v>
      </c>
      <c r="AE781" s="284">
        <v>4</v>
      </c>
      <c r="AF781" s="284">
        <v>11</v>
      </c>
      <c r="AG781" s="284">
        <v>10</v>
      </c>
      <c r="AH781" s="284">
        <v>11</v>
      </c>
      <c r="AI781" s="284">
        <v>12</v>
      </c>
      <c r="AJ781" s="284">
        <v>1</v>
      </c>
      <c r="AK781" s="284">
        <v>2</v>
      </c>
      <c r="AL781" s="284">
        <v>1</v>
      </c>
      <c r="AM781" s="273">
        <v>4</v>
      </c>
      <c r="AN781" s="273">
        <v>4</v>
      </c>
      <c r="AO781" s="273">
        <v>2</v>
      </c>
      <c r="AP781" s="273">
        <v>1</v>
      </c>
      <c r="AQ781" s="273">
        <v>2</v>
      </c>
      <c r="AR781" s="273">
        <v>1</v>
      </c>
      <c r="AS781" s="273">
        <v>1</v>
      </c>
      <c r="AT781" s="273">
        <v>1</v>
      </c>
      <c r="AU781" s="273">
        <v>0.5714285714285714</v>
      </c>
      <c r="AV781" s="273">
        <f ca="1">_xlfn.XLOOKUP(A781,TabCalc[Ticker],TabCalc[Up20])</f>
        <v>0.5714285714285714</v>
      </c>
      <c r="AX781" s="86" t="str">
        <f t="shared" ca="1" si="60"/>
        <v>GS</v>
      </c>
      <c r="AY781">
        <f ca="1">_xlfn.XLOOKUP(A781,TabCalc[Ticker],TabCalc[Up150])</f>
        <v>0.59602649006622521</v>
      </c>
    </row>
    <row r="782" spans="1:51" hidden="1">
      <c r="A782" s="86" t="str">
        <f t="shared" ca="1" si="61"/>
        <v>LAZR</v>
      </c>
      <c r="C782" s="672"/>
      <c r="D782" s="672"/>
      <c r="F782" s="252">
        <v>-8.1480999999999998E-2</v>
      </c>
      <c r="G782" s="252">
        <v>-4.1694000000000002E-2</v>
      </c>
      <c r="H782" s="252">
        <v>8.2608999999999988E-2</v>
      </c>
      <c r="I782" s="252">
        <v>-4.7169999999999997E-2</v>
      </c>
      <c r="J782" s="252">
        <v>-4.5515E-2</v>
      </c>
      <c r="K782" s="252">
        <v>2.2745999999999999E-2</v>
      </c>
      <c r="L782" s="252">
        <v>2.0213999999999999E-2</v>
      </c>
      <c r="M782" s="252">
        <v>-2.8511000000000002E-2</v>
      </c>
      <c r="N782" s="252">
        <v>3.7279E-2</v>
      </c>
      <c r="O782" s="252">
        <v>2.4225E-2</v>
      </c>
      <c r="P782" s="252">
        <v>0.110662</v>
      </c>
      <c r="Q782" s="252">
        <v>-2.7916E-2</v>
      </c>
      <c r="R782" s="252">
        <v>-3.9650999999999999E-2</v>
      </c>
      <c r="S782" s="252">
        <v>1.4660000000000001E-3</v>
      </c>
      <c r="T782" s="252">
        <v>7.3034000000000002E-2</v>
      </c>
      <c r="U782" s="252">
        <v>0.23571600000000001</v>
      </c>
      <c r="V782" s="252">
        <v>-9.7476000000000007E-2</v>
      </c>
      <c r="W782" s="252">
        <v>1.1953E-2</v>
      </c>
      <c r="X782" s="252">
        <v>1.6997999999999999E-2</v>
      </c>
      <c r="Y782" s="252">
        <v>0.10612500000000001</v>
      </c>
      <c r="Z782" s="244">
        <f ca="1">[1]ExtEntry!$M81</f>
        <v>0.10612500000000001</v>
      </c>
      <c r="AB782" s="249">
        <v>20</v>
      </c>
      <c r="AC782" s="249">
        <v>20</v>
      </c>
      <c r="AD782" s="249">
        <v>18</v>
      </c>
      <c r="AE782" s="284">
        <v>20</v>
      </c>
      <c r="AF782" s="284">
        <v>20</v>
      </c>
      <c r="AG782" s="284">
        <v>19</v>
      </c>
      <c r="AH782" s="284">
        <v>18</v>
      </c>
      <c r="AI782" s="284">
        <v>19</v>
      </c>
      <c r="AJ782" s="284">
        <v>20</v>
      </c>
      <c r="AK782" s="284">
        <v>20</v>
      </c>
      <c r="AL782" s="284">
        <v>15</v>
      </c>
      <c r="AM782" s="273">
        <v>16</v>
      </c>
      <c r="AN782" s="273">
        <v>19</v>
      </c>
      <c r="AO782" s="273">
        <v>19</v>
      </c>
      <c r="AP782" s="273">
        <v>14</v>
      </c>
      <c r="AQ782" s="273">
        <v>8</v>
      </c>
      <c r="AR782" s="273">
        <v>9</v>
      </c>
      <c r="AS782" s="273">
        <v>13</v>
      </c>
      <c r="AT782" s="273">
        <v>15</v>
      </c>
      <c r="AU782" s="273">
        <v>0</v>
      </c>
      <c r="AV782" s="273">
        <f ca="1">_xlfn.XLOOKUP(A782,TabCalc[Ticker],TabCalc[Up20])</f>
        <v>0</v>
      </c>
      <c r="AX782" s="86" t="str">
        <f t="shared" ca="1" si="60"/>
        <v>LAZR</v>
      </c>
      <c r="AY782">
        <f ca="1">_xlfn.XLOOKUP(A782,TabCalc[Ticker],TabCalc[Up150])</f>
        <v>0.30434782608695654</v>
      </c>
    </row>
    <row r="783" spans="1:51" hidden="1">
      <c r="A783" s="86" t="str">
        <f t="shared" ca="1" si="61"/>
        <v>LUV</v>
      </c>
      <c r="C783" s="672"/>
      <c r="D783" s="672"/>
      <c r="F783" s="252">
        <v>6.5554000000000001E-2</v>
      </c>
      <c r="G783" s="252">
        <v>-5.3759999999999997E-3</v>
      </c>
      <c r="H783" s="252">
        <v>2.7134000000000002E-2</v>
      </c>
      <c r="I783" s="252">
        <v>-6.2050000000000004E-3</v>
      </c>
      <c r="J783" s="252">
        <v>3.454E-3</v>
      </c>
      <c r="K783" s="252">
        <v>-4.3800000000000002E-3</v>
      </c>
      <c r="L783" s="252">
        <v>-1.5976999999999998E-2</v>
      </c>
      <c r="M783" s="252">
        <v>5.3562000000000005E-2</v>
      </c>
      <c r="N783" s="252">
        <v>2.2409999999999999E-2</v>
      </c>
      <c r="O783" s="252">
        <v>2.0518000000000002E-2</v>
      </c>
      <c r="P783" s="252">
        <v>-6.7029999999999998E-3</v>
      </c>
      <c r="Q783" s="252">
        <v>2.1549999999999998E-3</v>
      </c>
      <c r="R783" s="252">
        <v>1.9413E-2</v>
      </c>
      <c r="S783" s="252">
        <v>3.1050000000000001E-3</v>
      </c>
      <c r="T783" s="252">
        <v>7.1970000000000003E-3</v>
      </c>
      <c r="U783" s="252">
        <v>5.4650000000000002E-3</v>
      </c>
      <c r="V783" s="252">
        <v>5.6409000000000001E-2</v>
      </c>
      <c r="W783" s="252">
        <v>1.1989000000000001E-2</v>
      </c>
      <c r="X783" s="252">
        <v>4.3906000000000001E-2</v>
      </c>
      <c r="Y783" s="252">
        <v>2.2846999999999999E-2</v>
      </c>
      <c r="Z783" s="244">
        <f ca="1">[1]ExtEntry!$M82</f>
        <v>2.2846999999999999E-2</v>
      </c>
      <c r="AB783" s="249">
        <v>17</v>
      </c>
      <c r="AC783" s="249">
        <v>17</v>
      </c>
      <c r="AD783" s="249">
        <v>9</v>
      </c>
      <c r="AE783" s="284">
        <v>9</v>
      </c>
      <c r="AF783" s="284">
        <v>13</v>
      </c>
      <c r="AG783" s="284">
        <v>14</v>
      </c>
      <c r="AH783" s="284">
        <v>17</v>
      </c>
      <c r="AI783" s="284">
        <v>8</v>
      </c>
      <c r="AJ783" s="284">
        <v>1</v>
      </c>
      <c r="AK783" s="284">
        <v>2</v>
      </c>
      <c r="AL783" s="284">
        <v>3</v>
      </c>
      <c r="AM783" s="273">
        <v>3</v>
      </c>
      <c r="AN783" s="273">
        <v>1</v>
      </c>
      <c r="AO783" s="273">
        <v>1</v>
      </c>
      <c r="AP783" s="273">
        <v>1</v>
      </c>
      <c r="AQ783" s="273">
        <v>1</v>
      </c>
      <c r="AR783" s="273">
        <v>1</v>
      </c>
      <c r="AS783" s="273">
        <v>1</v>
      </c>
      <c r="AT783" s="273">
        <v>1</v>
      </c>
      <c r="AU783" s="273" t="s">
        <v>2938</v>
      </c>
      <c r="AV783" s="273" t="str">
        <f ca="1">_xlfn.XLOOKUP(A783,TabCalc[Ticker],TabCalc[Up20])</f>
        <v>/50/%</v>
      </c>
      <c r="AX783" s="86" t="str">
        <f t="shared" ca="1" si="60"/>
        <v>LUV</v>
      </c>
      <c r="AY783" t="str">
        <f ca="1">_xlfn.XLOOKUP(A783,TabCalc[Ticker],TabCalc[Up150])</f>
        <v>40/49/43%</v>
      </c>
    </row>
    <row r="784" spans="1:51" hidden="1">
      <c r="A784" s="86" t="str">
        <f t="shared" ca="1" si="61"/>
        <v>MA</v>
      </c>
      <c r="C784" s="672"/>
      <c r="D784" s="672"/>
      <c r="F784" s="252">
        <v>1.8270000000000001E-3</v>
      </c>
      <c r="G784" s="252">
        <v>-1.771E-3</v>
      </c>
      <c r="H784" s="252">
        <v>-3.5790000000000001E-3</v>
      </c>
      <c r="I784" s="252">
        <v>-1.7712000000000002E-2</v>
      </c>
      <c r="J784" s="252">
        <v>-1.8161E-2</v>
      </c>
      <c r="K784" s="252">
        <v>-2.8379999999999998E-3</v>
      </c>
      <c r="L784" s="252">
        <v>1.0086999999999999E-2</v>
      </c>
      <c r="M784" s="252">
        <v>2.5194999999999999E-2</v>
      </c>
      <c r="N784" s="252">
        <v>1.812E-3</v>
      </c>
      <c r="O784" s="252">
        <v>-2.8179999999999998E-3</v>
      </c>
      <c r="P784" s="252">
        <v>9.4510000000000011E-3</v>
      </c>
      <c r="Q784" s="252">
        <v>-3.715E-3</v>
      </c>
      <c r="R784" s="252">
        <v>2.5369999999999998E-3</v>
      </c>
      <c r="S784" s="252">
        <v>7.4919999999999995E-3</v>
      </c>
      <c r="T784" s="252">
        <v>1.6064999999999999E-2</v>
      </c>
      <c r="U784" s="252">
        <v>-2.0163E-2</v>
      </c>
      <c r="V784" s="252">
        <v>5.5320000000000005E-3</v>
      </c>
      <c r="W784" s="252">
        <v>-1.9430000000000001E-3</v>
      </c>
      <c r="X784" s="252">
        <v>2.3999999999999998E-3</v>
      </c>
      <c r="Y784" s="252">
        <v>4.5856000000000001E-2</v>
      </c>
      <c r="Z784" s="244">
        <f ca="1">[1]ExtEntry!$M83</f>
        <v>4.5856000000000001E-2</v>
      </c>
      <c r="AB784" s="249">
        <v>17</v>
      </c>
      <c r="AC784" s="249">
        <v>19</v>
      </c>
      <c r="AD784" s="249">
        <v>19</v>
      </c>
      <c r="AE784" s="284">
        <v>20</v>
      </c>
      <c r="AF784" s="284">
        <v>20</v>
      </c>
      <c r="AG784" s="284">
        <v>20</v>
      </c>
      <c r="AH784" s="284">
        <v>18</v>
      </c>
      <c r="AI784" s="284">
        <v>17</v>
      </c>
      <c r="AJ784" s="284">
        <v>15</v>
      </c>
      <c r="AK784" s="284">
        <v>16</v>
      </c>
      <c r="AL784" s="284">
        <v>13</v>
      </c>
      <c r="AM784" s="273">
        <v>13</v>
      </c>
      <c r="AN784" s="273">
        <v>15</v>
      </c>
      <c r="AO784" s="273">
        <v>11</v>
      </c>
      <c r="AP784" s="273">
        <v>4</v>
      </c>
      <c r="AQ784" s="273">
        <v>16</v>
      </c>
      <c r="AR784" s="273">
        <v>14</v>
      </c>
      <c r="AS784" s="273">
        <v>17</v>
      </c>
      <c r="AT784" s="273">
        <v>17</v>
      </c>
      <c r="AU784" s="273">
        <v>0</v>
      </c>
      <c r="AV784" s="273">
        <f ca="1">_xlfn.XLOOKUP(A784,TabCalc[Ticker],TabCalc[Up20])</f>
        <v>0</v>
      </c>
      <c r="AX784" s="86" t="str">
        <f t="shared" ca="1" si="60"/>
        <v>MA</v>
      </c>
      <c r="AY784">
        <f ca="1">_xlfn.XLOOKUP(A784,TabCalc[Ticker],TabCalc[Up150])</f>
        <v>0.25</v>
      </c>
    </row>
    <row r="785" spans="1:70" hidden="1">
      <c r="A785" s="86" t="str">
        <f t="shared" ca="1" si="61"/>
        <v>NVAX</v>
      </c>
      <c r="C785" s="672"/>
      <c r="D785" s="672"/>
      <c r="F785" s="252">
        <v>2.3968E-2</v>
      </c>
      <c r="G785" s="252">
        <v>1.3129999999999999E-3</v>
      </c>
      <c r="H785" s="252">
        <v>-2.3847E-2</v>
      </c>
      <c r="I785" s="252">
        <v>-1.2747999999999999E-2</v>
      </c>
      <c r="J785" s="252">
        <v>-3.3824E-2</v>
      </c>
      <c r="K785" s="252">
        <v>-2.6636000000000003E-2</v>
      </c>
      <c r="L785" s="252">
        <v>-1.6562E-2</v>
      </c>
      <c r="M785" s="252">
        <v>4.0997000000000006E-2</v>
      </c>
      <c r="N785" s="252">
        <v>2.7652999999999997E-2</v>
      </c>
      <c r="O785" s="252">
        <v>3.8864000000000003E-2</v>
      </c>
      <c r="P785" s="252">
        <v>1.4388000000000001E-2</v>
      </c>
      <c r="Q785" s="252">
        <v>-3.9007E-2</v>
      </c>
      <c r="R785" s="252">
        <v>-1.2706E-2</v>
      </c>
      <c r="S785" s="252">
        <v>2.6469999999999997E-2</v>
      </c>
      <c r="T785" s="252">
        <v>3.6364E-2</v>
      </c>
      <c r="U785" s="252">
        <v>-2.1930000000000001E-3</v>
      </c>
      <c r="V785" s="252">
        <v>7.2890000000000003E-3</v>
      </c>
      <c r="W785" s="252">
        <v>2.9499999999999999E-3</v>
      </c>
      <c r="X785" s="252">
        <v>1.2012E-2</v>
      </c>
      <c r="Y785" s="252">
        <v>-7.4180000000000001E-3</v>
      </c>
      <c r="Z785" s="244">
        <f ca="1">[1]ExtEntry!$M84</f>
        <v>-7.4180000000000001E-3</v>
      </c>
      <c r="AB785" s="249">
        <v>19</v>
      </c>
      <c r="AC785" s="249">
        <v>18</v>
      </c>
      <c r="AD785" s="249">
        <v>20</v>
      </c>
      <c r="AE785" s="284">
        <v>20</v>
      </c>
      <c r="AF785" s="284">
        <v>20</v>
      </c>
      <c r="AG785" s="284">
        <v>20</v>
      </c>
      <c r="AH785" s="284">
        <v>20</v>
      </c>
      <c r="AI785" s="284">
        <v>18</v>
      </c>
      <c r="AJ785" s="284">
        <v>16</v>
      </c>
      <c r="AK785" s="284">
        <v>15</v>
      </c>
      <c r="AL785" s="284">
        <v>13</v>
      </c>
      <c r="AM785" s="273">
        <v>16</v>
      </c>
      <c r="AN785" s="273">
        <v>16</v>
      </c>
      <c r="AO785" s="273">
        <v>15</v>
      </c>
      <c r="AP785" s="273">
        <v>13</v>
      </c>
      <c r="AQ785" s="273">
        <v>13</v>
      </c>
      <c r="AR785" s="273">
        <v>10</v>
      </c>
      <c r="AS785" s="273">
        <v>13</v>
      </c>
      <c r="AT785" s="273">
        <v>15</v>
      </c>
      <c r="AU785" s="273">
        <v>0</v>
      </c>
      <c r="AV785" s="273">
        <f ca="1">_xlfn.XLOOKUP(A785,TabCalc[Ticker],TabCalc[Up20])</f>
        <v>0</v>
      </c>
      <c r="AX785" s="86" t="str">
        <f t="shared" ca="1" si="60"/>
        <v>NVAX</v>
      </c>
      <c r="AY785">
        <f ca="1">_xlfn.XLOOKUP(A785,TabCalc[Ticker],TabCalc[Up150])</f>
        <v>0</v>
      </c>
    </row>
    <row r="786" spans="1:70" hidden="1">
      <c r="A786" s="86" t="str">
        <f t="shared" ca="1" si="61"/>
        <v>NVS</v>
      </c>
      <c r="C786" s="672"/>
      <c r="D786" s="672"/>
      <c r="F786" s="252">
        <v>3.9199999999999999E-3</v>
      </c>
      <c r="G786" s="252">
        <v>9.6020000000000012E-3</v>
      </c>
      <c r="H786" s="252">
        <v>-9.4810000000000001E-4</v>
      </c>
      <c r="I786" s="252">
        <v>-4.9280000000000001E-3</v>
      </c>
      <c r="J786" s="252">
        <v>-2.7137999999999999E-2</v>
      </c>
      <c r="K786" s="252">
        <v>-9.1400000000000006E-3</v>
      </c>
      <c r="L786" s="252">
        <v>-2.0855000000000002E-2</v>
      </c>
      <c r="M786" s="252">
        <v>2.5651E-2</v>
      </c>
      <c r="N786" s="252">
        <v>2.0730000000000002E-3</v>
      </c>
      <c r="O786" s="252">
        <v>1.382E-3</v>
      </c>
      <c r="P786" s="252">
        <v>-3.0669999999999997E-4</v>
      </c>
      <c r="Q786" s="252">
        <v>-7.8220000000000008E-3</v>
      </c>
      <c r="R786" s="252">
        <v>2.5897E-2</v>
      </c>
      <c r="S786" s="252">
        <v>1.3078000000000001E-2</v>
      </c>
      <c r="T786" s="252">
        <v>1.0886E-2</v>
      </c>
      <c r="U786" s="252">
        <v>-3.6640000000000002E-3</v>
      </c>
      <c r="V786" s="252">
        <v>-1.2839999999999998E-3</v>
      </c>
      <c r="W786" s="252">
        <v>1.2367999999999999E-2</v>
      </c>
      <c r="X786" s="252">
        <v>1.374E-3</v>
      </c>
      <c r="Y786" s="252">
        <v>8.9180000000000006E-3</v>
      </c>
      <c r="Z786" s="244">
        <f ca="1">[1]ExtEntry!$M85</f>
        <v>8.9180000000000006E-3</v>
      </c>
      <c r="AB786" s="249">
        <v>17</v>
      </c>
      <c r="AC786" s="249">
        <v>16</v>
      </c>
      <c r="AD786" s="249">
        <v>16</v>
      </c>
      <c r="AE786" s="284">
        <v>7</v>
      </c>
      <c r="AF786" s="284">
        <v>14</v>
      </c>
      <c r="AG786" s="284">
        <v>14</v>
      </c>
      <c r="AH786" s="284">
        <v>18</v>
      </c>
      <c r="AI786" s="284">
        <v>12</v>
      </c>
      <c r="AJ786" s="284">
        <v>8</v>
      </c>
      <c r="AK786" s="284">
        <v>8</v>
      </c>
      <c r="AL786" s="284">
        <v>8</v>
      </c>
      <c r="AM786" s="273">
        <v>9</v>
      </c>
      <c r="AN786" s="273">
        <v>1</v>
      </c>
      <c r="AO786" s="273">
        <v>1</v>
      </c>
      <c r="AP786" s="273">
        <v>2</v>
      </c>
      <c r="AQ786" s="273">
        <v>3</v>
      </c>
      <c r="AR786" s="273">
        <v>5</v>
      </c>
      <c r="AS786" s="273">
        <v>6</v>
      </c>
      <c r="AT786" s="273">
        <v>8</v>
      </c>
      <c r="AU786" s="273">
        <v>0</v>
      </c>
      <c r="AV786" s="273">
        <f ca="1">_xlfn.XLOOKUP(A786,TabCalc[Ticker],TabCalc[Up20])</f>
        <v>0</v>
      </c>
      <c r="AX786" s="86" t="str">
        <f t="shared" ca="1" si="60"/>
        <v>NVS</v>
      </c>
      <c r="AY786">
        <f ca="1">_xlfn.XLOOKUP(A786,TabCalc[Ticker],TabCalc[Up150])</f>
        <v>0</v>
      </c>
    </row>
    <row r="787" spans="1:70" hidden="1">
      <c r="A787" s="86" t="str">
        <f t="shared" ca="1" si="61"/>
        <v>ORA</v>
      </c>
      <c r="C787" s="672"/>
      <c r="D787" s="672"/>
      <c r="F787" s="252">
        <v>0</v>
      </c>
      <c r="G787" s="252">
        <v>1.6404999999999999E-2</v>
      </c>
      <c r="H787" s="252">
        <v>1.6141000000000003E-2</v>
      </c>
      <c r="I787" s="252">
        <v>-2.1632999999999999E-2</v>
      </c>
      <c r="J787" s="252">
        <v>-1.9341000000000001E-2</v>
      </c>
      <c r="K787" s="252">
        <v>-1.2894000000000001E-2</v>
      </c>
      <c r="L787" s="252">
        <v>-8.7080000000000005E-3</v>
      </c>
      <c r="M787" s="252">
        <v>2.0863999999999997E-2</v>
      </c>
      <c r="N787" s="252">
        <v>7.1530000000000005E-3</v>
      </c>
      <c r="O787" s="252">
        <v>1.4199999999999998E-3</v>
      </c>
      <c r="P787" s="252">
        <v>6.3829999999999998E-3</v>
      </c>
      <c r="Q787" s="252">
        <v>-3.1709999999999998E-3</v>
      </c>
      <c r="R787" s="252">
        <v>1.6251000000000002E-2</v>
      </c>
      <c r="S787" s="252">
        <v>-3.5540000000000002E-4</v>
      </c>
      <c r="T787" s="252">
        <v>1.0660000000000001E-3</v>
      </c>
      <c r="U787" s="252">
        <v>-3.9050000000000001E-3</v>
      </c>
      <c r="V787" s="252">
        <v>-2.0670000000000001E-2</v>
      </c>
      <c r="W787" s="252">
        <v>3.6470000000000003E-4</v>
      </c>
      <c r="X787" s="252">
        <v>-3.6459999999999999E-3</v>
      </c>
      <c r="Y787" s="252">
        <v>5.1229999999999999E-3</v>
      </c>
      <c r="Z787" s="244">
        <f ca="1">[1]ExtEntry!$M86</f>
        <v>5.1229999999999999E-3</v>
      </c>
      <c r="AB787" s="249">
        <v>13</v>
      </c>
      <c r="AC787" s="249">
        <v>9</v>
      </c>
      <c r="AD787" s="249">
        <v>2</v>
      </c>
      <c r="AE787" s="284">
        <v>9</v>
      </c>
      <c r="AF787" s="284">
        <v>18</v>
      </c>
      <c r="AG787" s="284">
        <v>16</v>
      </c>
      <c r="AH787" s="284">
        <v>20</v>
      </c>
      <c r="AI787" s="284">
        <v>10</v>
      </c>
      <c r="AJ787" s="284">
        <v>6</v>
      </c>
      <c r="AK787" s="284">
        <v>5</v>
      </c>
      <c r="AL787" s="284">
        <v>1</v>
      </c>
      <c r="AM787" s="273">
        <v>4</v>
      </c>
      <c r="AN787" s="273">
        <v>7</v>
      </c>
      <c r="AO787" s="273">
        <v>8</v>
      </c>
      <c r="AP787" s="273">
        <v>5</v>
      </c>
      <c r="AQ787" s="273">
        <v>9</v>
      </c>
      <c r="AR787" s="273">
        <v>16</v>
      </c>
      <c r="AS787" s="273">
        <v>16</v>
      </c>
      <c r="AT787" s="273">
        <v>19</v>
      </c>
      <c r="AU787" s="273">
        <v>0</v>
      </c>
      <c r="AV787" s="273">
        <f ca="1">_xlfn.XLOOKUP(A787,TabCalc[Ticker],TabCalc[Up20])</f>
        <v>0</v>
      </c>
      <c r="AX787" s="86" t="str">
        <f t="shared" ref="AX787:AX850" ca="1" si="62">A787</f>
        <v>ORA</v>
      </c>
      <c r="AY787">
        <f ca="1">_xlfn.XLOOKUP(A787,TabCalc[Ticker],TabCalc[Up150])</f>
        <v>0.2</v>
      </c>
      <c r="BQ787" t="s">
        <v>189</v>
      </c>
      <c r="BR787" t="s">
        <v>178</v>
      </c>
    </row>
    <row r="788" spans="1:70" hidden="1">
      <c r="A788" s="86" t="str">
        <f t="shared" ca="1" si="61"/>
        <v>OXY</v>
      </c>
      <c r="C788" s="672"/>
      <c r="D788" s="672"/>
      <c r="F788" s="252">
        <v>-7.6100000000000004E-3</v>
      </c>
      <c r="G788" s="252">
        <v>1.3082E-2</v>
      </c>
      <c r="H788" s="252">
        <v>2.2067E-2</v>
      </c>
      <c r="I788" s="252">
        <v>1.7849E-2</v>
      </c>
      <c r="J788" s="252">
        <v>1.9789000000000001E-2</v>
      </c>
      <c r="K788" s="252">
        <v>-2.4340999999999998E-2</v>
      </c>
      <c r="L788" s="252">
        <v>-2.895E-3</v>
      </c>
      <c r="M788" s="252">
        <v>2.9120000000000001E-3</v>
      </c>
      <c r="N788" s="252">
        <v>5.4330000000000003E-3</v>
      </c>
      <c r="O788" s="252">
        <v>1.2070000000000001E-4</v>
      </c>
      <c r="P788" s="252">
        <v>1.3761000000000001E-2</v>
      </c>
      <c r="Q788" s="252">
        <v>1.7025999999999999E-2</v>
      </c>
      <c r="R788" s="252">
        <v>-8.8570000000000003E-3</v>
      </c>
      <c r="S788" s="252">
        <v>9.1710000000000003E-3</v>
      </c>
      <c r="T788" s="252">
        <v>1.1791000000000001E-2</v>
      </c>
      <c r="U788" s="252">
        <v>5.1830000000000001E-3</v>
      </c>
      <c r="V788" s="252">
        <v>-5.6249999999999998E-3</v>
      </c>
      <c r="W788" s="252">
        <v>8.5830000000000004E-3</v>
      </c>
      <c r="X788" s="252">
        <v>1.0650999999999999E-2</v>
      </c>
      <c r="Y788" s="252">
        <v>-1.3173999999999998E-2</v>
      </c>
      <c r="Z788" s="244">
        <f ca="1">[1]ExtEntry!$M87</f>
        <v>-1.3173999999999998E-2</v>
      </c>
      <c r="AB788" s="249">
        <v>20</v>
      </c>
      <c r="AC788" s="249">
        <v>18</v>
      </c>
      <c r="AD788" s="249">
        <v>11</v>
      </c>
      <c r="AE788" s="284">
        <v>3</v>
      </c>
      <c r="AF788" s="284">
        <v>4</v>
      </c>
      <c r="AG788" s="284">
        <v>10</v>
      </c>
      <c r="AH788" s="284">
        <v>10</v>
      </c>
      <c r="AI788" s="284">
        <v>9</v>
      </c>
      <c r="AJ788" s="284">
        <v>8</v>
      </c>
      <c r="AK788" s="284">
        <v>10</v>
      </c>
      <c r="AL788" s="284">
        <v>6</v>
      </c>
      <c r="AM788" s="273">
        <v>3</v>
      </c>
      <c r="AN788" s="273">
        <v>8</v>
      </c>
      <c r="AO788" s="273">
        <v>6</v>
      </c>
      <c r="AP788" s="273">
        <v>5</v>
      </c>
      <c r="AQ788" s="273">
        <v>3</v>
      </c>
      <c r="AR788" s="273">
        <v>6</v>
      </c>
      <c r="AS788" s="273">
        <v>10</v>
      </c>
      <c r="AT788" s="273">
        <v>10</v>
      </c>
      <c r="AU788" s="273">
        <v>0</v>
      </c>
      <c r="AV788" s="273">
        <f ca="1">_xlfn.XLOOKUP(A788,TabCalc[Ticker],TabCalc[Up20])</f>
        <v>0</v>
      </c>
      <c r="AX788" s="86" t="str">
        <f t="shared" ca="1" si="62"/>
        <v>OXY</v>
      </c>
      <c r="AY788">
        <f ca="1">_xlfn.XLOOKUP(A788,TabCalc[Ticker],TabCalc[Up150])</f>
        <v>0.54545454545454541</v>
      </c>
      <c r="BQ788" t="s">
        <v>190</v>
      </c>
      <c r="BR788" t="s">
        <v>2186</v>
      </c>
    </row>
    <row r="789" spans="1:70" ht="24" hidden="1" customHeight="1">
      <c r="A789" s="86" t="str">
        <f t="shared" ca="1" si="61"/>
        <v>PFE</v>
      </c>
      <c r="C789" s="672"/>
      <c r="D789" s="672"/>
      <c r="F789" s="252">
        <v>1.3786E-2</v>
      </c>
      <c r="G789" s="252">
        <v>1.0768E-2</v>
      </c>
      <c r="H789" s="252">
        <v>-1.843E-3</v>
      </c>
      <c r="I789" s="252">
        <v>-2.7335999999999999E-2</v>
      </c>
      <c r="J789" s="252">
        <v>1.4753E-2</v>
      </c>
      <c r="K789" s="252">
        <v>-1.7092E-2</v>
      </c>
      <c r="L789" s="252">
        <v>-1.9494000000000001E-2</v>
      </c>
      <c r="M789" s="252">
        <v>2.7049E-2</v>
      </c>
      <c r="N789" s="252">
        <v>-5.8319999999999997E-4</v>
      </c>
      <c r="O789" s="252">
        <v>-3.8879999999999996E-4</v>
      </c>
      <c r="P789" s="252">
        <v>0</v>
      </c>
      <c r="Q789" s="252">
        <v>-1.4569E-2</v>
      </c>
      <c r="R789" s="252">
        <v>-4.1549999999999998E-3</v>
      </c>
      <c r="S789" s="252">
        <v>2.1272000000000003E-2</v>
      </c>
      <c r="T789" s="252">
        <v>1.8409999999999999E-2</v>
      </c>
      <c r="U789" s="252">
        <v>1.5640000000000001E-3</v>
      </c>
      <c r="V789" s="252">
        <v>1.2451E-2</v>
      </c>
      <c r="W789" s="252">
        <v>-7.5670000000000008E-3</v>
      </c>
      <c r="X789" s="252">
        <v>1.7568E-2</v>
      </c>
      <c r="Y789" s="252">
        <v>1.1640000000000001E-3</v>
      </c>
      <c r="Z789" s="244">
        <f ca="1">[1]ExtEntry!$M88</f>
        <v>1.1640000000000001E-3</v>
      </c>
      <c r="AB789" s="249">
        <v>13</v>
      </c>
      <c r="AC789" s="249">
        <v>4</v>
      </c>
      <c r="AD789" s="249">
        <v>16</v>
      </c>
      <c r="AE789" s="284">
        <v>2</v>
      </c>
      <c r="AF789" s="284">
        <v>1</v>
      </c>
      <c r="AG789" s="284">
        <v>3</v>
      </c>
      <c r="AH789" s="284">
        <v>15</v>
      </c>
      <c r="AI789" s="284">
        <v>3</v>
      </c>
      <c r="AJ789" s="284">
        <v>1</v>
      </c>
      <c r="AK789" s="284">
        <v>1</v>
      </c>
      <c r="AL789" s="284">
        <v>1</v>
      </c>
      <c r="AM789" s="273">
        <v>5</v>
      </c>
      <c r="AN789" s="273">
        <v>6</v>
      </c>
      <c r="AO789" s="273">
        <v>4</v>
      </c>
      <c r="AP789" s="273">
        <v>5</v>
      </c>
      <c r="AQ789" s="273">
        <v>6</v>
      </c>
      <c r="AR789" s="273">
        <v>1</v>
      </c>
      <c r="AS789" s="273">
        <v>8</v>
      </c>
      <c r="AT789" s="273">
        <v>2</v>
      </c>
      <c r="AU789" s="273">
        <v>0</v>
      </c>
      <c r="AV789" s="273">
        <f ca="1">_xlfn.XLOOKUP(A789,TabCalc[Ticker],TabCalc[Up20])</f>
        <v>0</v>
      </c>
      <c r="AX789" s="86" t="str">
        <f t="shared" ca="1" si="62"/>
        <v>PFE</v>
      </c>
      <c r="AY789">
        <f ca="1">_xlfn.XLOOKUP(A789,TabCalc[Ticker],TabCalc[Up150])</f>
        <v>0.41666666666666669</v>
      </c>
      <c r="BQ789" t="s">
        <v>139</v>
      </c>
      <c r="BR789" t="s">
        <v>2187</v>
      </c>
    </row>
    <row r="790" spans="1:70" hidden="1">
      <c r="A790" s="86" t="str">
        <f t="shared" ca="1" si="61"/>
        <v>RIG</v>
      </c>
      <c r="C790" s="672"/>
      <c r="D790" s="672"/>
      <c r="F790" s="252">
        <v>-1.2820000000000002E-3</v>
      </c>
      <c r="G790" s="252">
        <v>6.4099999999999999E-3</v>
      </c>
      <c r="H790" s="252">
        <v>1.5384999999999999E-2</v>
      </c>
      <c r="I790" s="252">
        <v>0</v>
      </c>
      <c r="J790" s="252">
        <v>1.2255E-2</v>
      </c>
      <c r="K790" s="252">
        <v>-8.4749999999999999E-3</v>
      </c>
      <c r="L790" s="252">
        <v>-5.1220000000000002E-2</v>
      </c>
      <c r="M790" s="252">
        <v>1.1535999999999999E-2</v>
      </c>
      <c r="N790" s="252">
        <v>5.679E-2</v>
      </c>
      <c r="O790" s="252">
        <v>6.1727999999999998E-2</v>
      </c>
      <c r="P790" s="252">
        <v>2.0930000000000001E-2</v>
      </c>
      <c r="Q790" s="252">
        <v>8.6169999999999997E-3</v>
      </c>
      <c r="R790" s="252">
        <v>-9.195E-3</v>
      </c>
      <c r="S790" s="252">
        <v>3.2482999999999998E-2</v>
      </c>
      <c r="T790" s="252">
        <v>3.1322999999999997E-2</v>
      </c>
      <c r="U790" s="252">
        <v>4.4940000000000006E-3</v>
      </c>
      <c r="V790" s="252">
        <v>2.2570000000000003E-3</v>
      </c>
      <c r="W790" s="252">
        <v>2.027E-2</v>
      </c>
      <c r="X790" s="252">
        <v>-3.4831000000000001E-2</v>
      </c>
      <c r="Y790" s="252">
        <v>-3.4879999999999998E-3</v>
      </c>
      <c r="Z790" s="244">
        <f ca="1">[1]ExtEntry!$M89</f>
        <v>-3.4879999999999998E-3</v>
      </c>
      <c r="AB790" s="249">
        <v>3</v>
      </c>
      <c r="AC790" s="249">
        <v>1</v>
      </c>
      <c r="AD790" s="249">
        <v>1</v>
      </c>
      <c r="AE790" s="284">
        <v>1</v>
      </c>
      <c r="AF790" s="284">
        <v>1</v>
      </c>
      <c r="AG790" s="284">
        <v>2</v>
      </c>
      <c r="AH790" s="284">
        <v>10</v>
      </c>
      <c r="AI790" s="284">
        <v>12</v>
      </c>
      <c r="AJ790" s="284">
        <v>1</v>
      </c>
      <c r="AK790" s="284">
        <v>1</v>
      </c>
      <c r="AL790" s="284">
        <v>1</v>
      </c>
      <c r="AM790" s="273">
        <v>1</v>
      </c>
      <c r="AN790" s="273">
        <v>3</v>
      </c>
      <c r="AO790" s="273">
        <v>1</v>
      </c>
      <c r="AP790" s="273">
        <v>3</v>
      </c>
      <c r="AQ790" s="273">
        <v>1</v>
      </c>
      <c r="AR790" s="273">
        <v>5</v>
      </c>
      <c r="AS790" s="273">
        <v>1</v>
      </c>
      <c r="AT790" s="273">
        <v>10</v>
      </c>
      <c r="AU790" s="273">
        <v>0</v>
      </c>
      <c r="AV790" s="273">
        <f ca="1">_xlfn.XLOOKUP(A790,TabCalc[Ticker],TabCalc[Up20])</f>
        <v>0</v>
      </c>
      <c r="AX790" s="86" t="str">
        <f t="shared" ca="1" si="62"/>
        <v>RIG</v>
      </c>
      <c r="AY790">
        <f ca="1">_xlfn.XLOOKUP(A790,TabCalc[Ticker],TabCalc[Up150])</f>
        <v>0</v>
      </c>
      <c r="BQ790" t="s">
        <v>191</v>
      </c>
      <c r="BR790" t="s">
        <v>1878</v>
      </c>
    </row>
    <row r="791" spans="1:70" hidden="1">
      <c r="A791" s="86" t="str">
        <f t="shared" ca="1" si="61"/>
        <v>RRC</v>
      </c>
      <c r="F791" s="252">
        <v>1.3500000000000001E-3</v>
      </c>
      <c r="G791" s="252">
        <v>-7.0140000000000003E-3</v>
      </c>
      <c r="H791" s="252">
        <v>1.9057999999999999E-2</v>
      </c>
      <c r="I791" s="252">
        <v>5.5230000000000001E-3</v>
      </c>
      <c r="J791" s="252">
        <v>2.3067000000000001E-2</v>
      </c>
      <c r="K791" s="252">
        <v>1.1529999999999999E-3</v>
      </c>
      <c r="L791" s="252">
        <v>-1.5641000000000002E-2</v>
      </c>
      <c r="M791" s="252">
        <v>3.9280000000000001E-3</v>
      </c>
      <c r="N791" s="252">
        <v>2.3743E-2</v>
      </c>
      <c r="O791" s="252">
        <v>1.746E-2</v>
      </c>
      <c r="P791" s="252">
        <v>2.6781000000000003E-2</v>
      </c>
      <c r="Q791" s="252">
        <v>-5.3180000000000007E-3</v>
      </c>
      <c r="R791" s="252">
        <v>-2.9419000000000001E-2</v>
      </c>
      <c r="S791" s="252">
        <v>2.6004999999999997E-2</v>
      </c>
      <c r="T791" s="252">
        <v>4.7807000000000002E-2</v>
      </c>
      <c r="U791" s="252">
        <v>8.0219999999999996E-3</v>
      </c>
      <c r="V791" s="252">
        <v>-2.016E-3</v>
      </c>
      <c r="W791" s="252">
        <v>9.2889999999999986E-3</v>
      </c>
      <c r="X791" s="252">
        <v>-6.6600000000000001E-3</v>
      </c>
      <c r="Y791" s="252">
        <v>-2.6549E-2</v>
      </c>
      <c r="Z791" s="244">
        <f ca="1">[1]ExtEntry!$M90</f>
        <v>-2.6549E-2</v>
      </c>
      <c r="AB791" s="249">
        <v>10</v>
      </c>
      <c r="AC791" s="249">
        <v>13</v>
      </c>
      <c r="AD791" s="249">
        <v>5</v>
      </c>
      <c r="AE791" s="284">
        <v>2</v>
      </c>
      <c r="AF791" s="284">
        <v>1</v>
      </c>
      <c r="AG791" s="284">
        <v>1</v>
      </c>
      <c r="AH791" s="284">
        <v>3</v>
      </c>
      <c r="AI791" s="284">
        <v>4</v>
      </c>
      <c r="AJ791" s="284">
        <v>4</v>
      </c>
      <c r="AK791" s="284">
        <v>5</v>
      </c>
      <c r="AL791" s="284">
        <v>1</v>
      </c>
      <c r="AM791" s="273">
        <v>2</v>
      </c>
      <c r="AN791" s="273">
        <v>10</v>
      </c>
      <c r="AO791" s="273">
        <v>4</v>
      </c>
      <c r="AP791" s="273">
        <v>1</v>
      </c>
      <c r="AQ791" s="273">
        <v>1</v>
      </c>
      <c r="AR791" s="273">
        <v>3</v>
      </c>
      <c r="AS791" s="273">
        <v>15</v>
      </c>
      <c r="AT791" s="273">
        <v>17</v>
      </c>
      <c r="AU791" s="273">
        <v>0.5</v>
      </c>
      <c r="AV791" s="273">
        <f ca="1">_xlfn.XLOOKUP(A791,TabCalc[Ticker],TabCalc[Up20])</f>
        <v>0.5</v>
      </c>
      <c r="AX791" s="86" t="str">
        <f t="shared" ca="1" si="62"/>
        <v>RRC</v>
      </c>
      <c r="AY791">
        <f ca="1">_xlfn.XLOOKUP(A791,TabCalc[Ticker],TabCalc[Up150])</f>
        <v>0.54128440366972475</v>
      </c>
      <c r="BQ791" t="s">
        <v>192</v>
      </c>
      <c r="BR791" t="s">
        <v>2188</v>
      </c>
    </row>
    <row r="792" spans="1:70" hidden="1">
      <c r="A792" s="86" t="str">
        <f t="shared" ca="1" si="61"/>
        <v>XYZ</v>
      </c>
      <c r="F792" s="244">
        <v>1.4742E-2</v>
      </c>
      <c r="G792" s="244">
        <v>-3.2722000000000001E-2</v>
      </c>
      <c r="H792" s="244">
        <v>-7.6272000000000006E-2</v>
      </c>
      <c r="I792" s="244">
        <v>-2.9453999999999998E-2</v>
      </c>
      <c r="J792" s="244">
        <v>-2.1225999999999998E-2</v>
      </c>
      <c r="K792" s="244">
        <v>-2.516E-3</v>
      </c>
      <c r="L792" s="244">
        <v>1.9032E-2</v>
      </c>
      <c r="M792" s="244">
        <v>1.8559999999999998E-3</v>
      </c>
      <c r="N792" s="244">
        <v>3.3443000000000001E-2</v>
      </c>
      <c r="O792" s="244">
        <v>2.1038999999999999E-2</v>
      </c>
      <c r="P792" s="244">
        <v>2.6757E-2</v>
      </c>
      <c r="Q792" s="244">
        <v>-6.1380000000000002E-3</v>
      </c>
      <c r="R792" s="244">
        <v>-6.7365999999999995E-2</v>
      </c>
      <c r="S792" s="244">
        <v>2.8822E-2</v>
      </c>
      <c r="T792" s="244">
        <v>1.6635999999999998E-2</v>
      </c>
      <c r="U792" s="244">
        <v>-1.145E-3</v>
      </c>
      <c r="V792" s="244">
        <v>-1.7849E-2</v>
      </c>
      <c r="W792" s="244">
        <v>1.1316999999999999E-2</v>
      </c>
      <c r="X792" s="244">
        <v>2.7772999999999999E-2</v>
      </c>
      <c r="Y792" s="244">
        <v>4.8980000000000004E-3</v>
      </c>
      <c r="Z792" s="244">
        <f ca="1">[1]ExtEntry!$M91</f>
        <v>4.8980000000000004E-3</v>
      </c>
      <c r="AB792" s="249">
        <v>19</v>
      </c>
      <c r="AC792" s="249">
        <v>20</v>
      </c>
      <c r="AD792" s="249">
        <v>20</v>
      </c>
      <c r="AE792" s="284">
        <v>20</v>
      </c>
      <c r="AF792" s="284">
        <v>20</v>
      </c>
      <c r="AG792" s="284">
        <v>20</v>
      </c>
      <c r="AH792" s="284">
        <v>17</v>
      </c>
      <c r="AI792" s="284">
        <v>17</v>
      </c>
      <c r="AJ792" s="284">
        <v>14</v>
      </c>
      <c r="AK792" s="284">
        <v>15</v>
      </c>
      <c r="AL792" s="284">
        <v>12</v>
      </c>
      <c r="AM792" s="273">
        <v>12</v>
      </c>
      <c r="AN792" s="273">
        <v>18</v>
      </c>
      <c r="AO792" s="273">
        <v>16</v>
      </c>
      <c r="AP792" s="273">
        <v>16</v>
      </c>
      <c r="AQ792" s="273">
        <v>16</v>
      </c>
      <c r="AR792" s="273">
        <v>15</v>
      </c>
      <c r="AS792" s="273">
        <v>13</v>
      </c>
      <c r="AT792" s="273">
        <v>9</v>
      </c>
      <c r="AU792" s="273">
        <v>0</v>
      </c>
      <c r="AV792" s="273">
        <f ca="1">_xlfn.XLOOKUP(A792,TabCalc[Ticker],TabCalc[Up20])</f>
        <v>0</v>
      </c>
      <c r="AX792" s="86" t="str">
        <f t="shared" ca="1" si="62"/>
        <v>XYZ</v>
      </c>
      <c r="AY792">
        <f ca="1">_xlfn.XLOOKUP(A792,TabCalc[Ticker],TabCalc[Up150])</f>
        <v>0.30769230769230771</v>
      </c>
      <c r="BQ792" t="s">
        <v>2189</v>
      </c>
      <c r="BR792" t="s">
        <v>1821</v>
      </c>
    </row>
    <row r="793" spans="1:70">
      <c r="A793" s="86" t="str">
        <f t="shared" ca="1" si="61"/>
        <v>THC</v>
      </c>
      <c r="F793" s="252">
        <v>4.2839999999999996E-3</v>
      </c>
      <c r="G793" s="252">
        <v>-1.3373999999999999E-2</v>
      </c>
      <c r="H793" s="252">
        <v>3.2079999999999999E-3</v>
      </c>
      <c r="I793" s="252">
        <v>-1.9068000000000002E-2</v>
      </c>
      <c r="J793" s="252">
        <v>3.1190000000000002E-3</v>
      </c>
      <c r="K793" s="252">
        <v>3.0049999999999999E-3</v>
      </c>
      <c r="L793" s="252">
        <v>-3.0682000000000001E-2</v>
      </c>
      <c r="M793" s="252">
        <v>4.1139999999999996E-2</v>
      </c>
      <c r="N793" s="252">
        <v>9.3840000000000004E-4</v>
      </c>
      <c r="O793" s="252">
        <v>-4.7610000000000005E-3</v>
      </c>
      <c r="P793" s="252">
        <v>-2.6679999999999998E-3</v>
      </c>
      <c r="Q793" s="252">
        <v>7.977999999999999E-3</v>
      </c>
      <c r="R793" s="252">
        <v>-2.5330000000000001E-3</v>
      </c>
      <c r="S793" s="252">
        <v>-3.6770000000000001E-3</v>
      </c>
      <c r="T793" s="252">
        <v>-1.6291E-2</v>
      </c>
      <c r="U793" s="252">
        <v>4.7549999999999997E-3</v>
      </c>
      <c r="V793" s="252">
        <v>-1.0088E-2</v>
      </c>
      <c r="W793" s="252">
        <v>-2.3313999999999998E-2</v>
      </c>
      <c r="X793" s="252">
        <v>-2.2425999999999998E-2</v>
      </c>
      <c r="Y793" s="252">
        <v>6.3299999999999999E-4</v>
      </c>
      <c r="Z793" s="244">
        <f ca="1">[1]ExtEntry!$M92</f>
        <v>6.3299999999999999E-4</v>
      </c>
      <c r="AB793" s="249">
        <v>4</v>
      </c>
      <c r="AC793" s="249">
        <v>7</v>
      </c>
      <c r="AD793" s="249">
        <v>10</v>
      </c>
      <c r="AE793" s="284">
        <v>19</v>
      </c>
      <c r="AF793" s="284">
        <v>18</v>
      </c>
      <c r="AG793" s="284">
        <v>18</v>
      </c>
      <c r="AH793" s="284">
        <v>20</v>
      </c>
      <c r="AI793" s="284">
        <v>16</v>
      </c>
      <c r="AJ793" s="284">
        <v>1</v>
      </c>
      <c r="AK793" s="284">
        <v>2</v>
      </c>
      <c r="AL793" s="284">
        <v>3</v>
      </c>
      <c r="AM793" s="273">
        <v>2</v>
      </c>
      <c r="AN793" s="273">
        <v>6</v>
      </c>
      <c r="AO793" s="273">
        <v>7</v>
      </c>
      <c r="AP793" s="273">
        <v>8</v>
      </c>
      <c r="AQ793" s="273">
        <v>8</v>
      </c>
      <c r="AR793" s="273">
        <v>9</v>
      </c>
      <c r="AS793" s="273">
        <v>15</v>
      </c>
      <c r="AT793" s="273">
        <v>15</v>
      </c>
      <c r="AU793" s="273">
        <v>0</v>
      </c>
      <c r="AV793" s="273">
        <f ca="1">_xlfn.XLOOKUP(A793,TabCalc[Ticker],TabCalc[Up20])</f>
        <v>0</v>
      </c>
      <c r="AX793" s="86" t="str">
        <f t="shared" ca="1" si="62"/>
        <v>THC</v>
      </c>
      <c r="AY793">
        <f ca="1">_xlfn.XLOOKUP(A793,TabCalc[Ticker],TabCalc[Up150])</f>
        <v>0</v>
      </c>
      <c r="BQ793" t="s">
        <v>194</v>
      </c>
      <c r="BR793" t="s">
        <v>701</v>
      </c>
    </row>
    <row r="794" spans="1:70">
      <c r="A794" s="86" t="str">
        <f t="shared" ca="1" si="61"/>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0</v>
      </c>
      <c r="AV794" s="273">
        <f ca="1">_xlfn.XLOOKUP(A794,TabCalc[Ticker],TabCalc[Up20])</f>
        <v>0</v>
      </c>
      <c r="AX794" s="86" t="str">
        <f t="shared" ca="1" si="62"/>
        <v>X</v>
      </c>
      <c r="AY794">
        <f ca="1">_xlfn.XLOOKUP(A794,TabCalc[Ticker],TabCalc[Up150])</f>
        <v>0</v>
      </c>
      <c r="BQ794" t="s">
        <v>2191</v>
      </c>
      <c r="BR794" t="s">
        <v>2190</v>
      </c>
    </row>
    <row r="795" spans="1:70">
      <c r="A795" s="86" t="str">
        <f t="shared" ca="1" si="61"/>
        <v>LOCK</v>
      </c>
      <c r="F795" s="244">
        <v>-8.2679999999999993E-3</v>
      </c>
      <c r="G795" s="244">
        <v>-1.1245E-2</v>
      </c>
      <c r="H795" s="244">
        <v>-2.5490000000000001E-3</v>
      </c>
      <c r="I795" s="244">
        <v>-2.0967E-2</v>
      </c>
      <c r="J795" s="244">
        <v>9.8969999999999995E-3</v>
      </c>
      <c r="K795" s="244">
        <v>6.7010000000000004E-3</v>
      </c>
      <c r="L795" s="244">
        <v>1.4336999999999999E-2</v>
      </c>
      <c r="M795" s="244">
        <v>-4.3009000000000006E-2</v>
      </c>
      <c r="N795" s="244">
        <v>1.1573999999999999E-2</v>
      </c>
      <c r="O795" s="244">
        <v>1.823E-3</v>
      </c>
      <c r="P795" s="244">
        <v>-1.1119999999999999E-3</v>
      </c>
      <c r="Q795" s="244">
        <v>-1.1130000000000001E-3</v>
      </c>
      <c r="R795" s="244">
        <v>1.2865E-2</v>
      </c>
      <c r="S795" s="244">
        <v>-4.8999999999999998E-3</v>
      </c>
      <c r="T795" s="244">
        <v>-4.8999999999999998E-3</v>
      </c>
      <c r="U795" s="244">
        <v>6.2309999999999996E-3</v>
      </c>
      <c r="V795" s="244">
        <v>3.1960000000000001E-3</v>
      </c>
      <c r="W795" s="244">
        <v>1.0888999999999999E-2</v>
      </c>
      <c r="X795" s="244">
        <v>2.3499999999999997E-3</v>
      </c>
      <c r="Y795" s="244">
        <v>8.9880000000000012E-3</v>
      </c>
      <c r="Z795" s="244">
        <f ca="1">[1]ExtEntry!$M94</f>
        <v>8.9880000000000012E-3</v>
      </c>
      <c r="AB795" s="249">
        <v>16</v>
      </c>
      <c r="AC795" s="249">
        <v>19</v>
      </c>
      <c r="AD795" s="249">
        <v>19</v>
      </c>
      <c r="AE795" s="284">
        <v>20</v>
      </c>
      <c r="AF795" s="284">
        <v>20</v>
      </c>
      <c r="AG795" s="284">
        <v>20</v>
      </c>
      <c r="AH795" s="284">
        <v>18</v>
      </c>
      <c r="AI795" s="284">
        <v>20</v>
      </c>
      <c r="AJ795" s="284">
        <v>17</v>
      </c>
      <c r="AK795" s="284">
        <v>16</v>
      </c>
      <c r="AL795" s="284">
        <v>16</v>
      </c>
      <c r="AM795" s="273">
        <v>17</v>
      </c>
      <c r="AN795" s="273">
        <v>12</v>
      </c>
      <c r="AO795" s="273">
        <v>12</v>
      </c>
      <c r="AP795" s="273">
        <v>11</v>
      </c>
      <c r="AQ795" s="273">
        <v>9</v>
      </c>
      <c r="AR795" s="273">
        <v>8</v>
      </c>
      <c r="AS795" s="273">
        <v>4</v>
      </c>
      <c r="AT795" s="273">
        <v>3</v>
      </c>
      <c r="AU795" s="273" t="s">
        <v>2961</v>
      </c>
      <c r="AV795" s="273" t="str">
        <f ca="1">_xlfn.XLOOKUP(A795,TabCalc[Ticker],TabCalc[Up20])</f>
        <v>/67/45%</v>
      </c>
      <c r="AX795" s="86" t="str">
        <f t="shared" ca="1" si="62"/>
        <v>LOCK</v>
      </c>
      <c r="AY795" t="str">
        <f ca="1">_xlfn.XLOOKUP(A795,TabCalc[Ticker],TabCalc[Up150])</f>
        <v>25/31/29%</v>
      </c>
      <c r="BQ795" t="s">
        <v>2192</v>
      </c>
      <c r="BR795" t="s">
        <v>2193</v>
      </c>
    </row>
    <row r="796" spans="1:70">
      <c r="A796" s="86" t="str">
        <f t="shared" ca="1" si="61"/>
        <v>JBASML</v>
      </c>
      <c r="F796" s="244">
        <v>-1.2418E-2</v>
      </c>
      <c r="G796" s="244">
        <v>-1.2463999999999999E-2</v>
      </c>
      <c r="H796" s="244">
        <v>-2.7365E-2</v>
      </c>
      <c r="I796" s="244">
        <v>-8.3949999999999997E-3</v>
      </c>
      <c r="J796" s="244">
        <v>-7.1630000000000001E-3</v>
      </c>
      <c r="K796" s="244">
        <v>2.4260999999999998E-2</v>
      </c>
      <c r="L796" s="244">
        <v>3.6089999999999998E-3</v>
      </c>
      <c r="M796" s="1076">
        <v>-6.2711000000000003E-2</v>
      </c>
      <c r="N796" s="244">
        <v>5.6957000000000008E-2</v>
      </c>
      <c r="O796" s="244">
        <v>-1.3306999999999999E-2</v>
      </c>
      <c r="P796" s="244">
        <v>6.9099999999999995E-3</v>
      </c>
      <c r="Q796" s="244">
        <v>2.5790999999999998E-2</v>
      </c>
      <c r="R796" s="244">
        <v>1.3381000000000001E-2</v>
      </c>
      <c r="S796" s="244">
        <v>1.8314999999999998E-2</v>
      </c>
      <c r="T796" s="244">
        <v>2.5876E-2</v>
      </c>
      <c r="U796" s="244">
        <v>-6.332E-3</v>
      </c>
      <c r="V796" s="244">
        <v>-5.9540000000000001E-3</v>
      </c>
      <c r="W796" s="244">
        <v>-1.0693999999999999E-2</v>
      </c>
      <c r="X796" s="1415">
        <v>-7.241E-3</v>
      </c>
      <c r="Y796" s="244">
        <v>-5.391E-3</v>
      </c>
      <c r="Z796" s="244">
        <f ca="1">[1]ExtEntry!$M95</f>
        <v>-5.391E-3</v>
      </c>
      <c r="AB796" s="249">
        <v>5</v>
      </c>
      <c r="AC796" s="249">
        <v>7</v>
      </c>
      <c r="AD796" s="249">
        <v>14</v>
      </c>
      <c r="AE796" s="284">
        <v>13</v>
      </c>
      <c r="AF796" s="284">
        <v>18</v>
      </c>
      <c r="AG796" s="284">
        <v>11</v>
      </c>
      <c r="AH796" s="284">
        <v>9</v>
      </c>
      <c r="AI796" s="284">
        <v>20</v>
      </c>
      <c r="AJ796" s="284">
        <v>3</v>
      </c>
      <c r="AK796" s="284">
        <v>8</v>
      </c>
      <c r="AL796" s="284">
        <v>7</v>
      </c>
      <c r="AM796" s="273">
        <v>2</v>
      </c>
      <c r="AN796" s="273">
        <v>1</v>
      </c>
      <c r="AO796" s="273">
        <v>1</v>
      </c>
      <c r="AP796" s="273">
        <v>1</v>
      </c>
      <c r="AQ796" s="273">
        <v>2</v>
      </c>
      <c r="AR796" s="273">
        <v>4</v>
      </c>
      <c r="AS796" s="273">
        <v>4</v>
      </c>
      <c r="AT796" s="273">
        <v>6</v>
      </c>
      <c r="AU796" s="273">
        <v>0</v>
      </c>
      <c r="AV796" s="273">
        <f ca="1">_xlfn.XLOOKUP(A796,TabCalc[Ticker],TabCalc[Up20])</f>
        <v>0</v>
      </c>
      <c r="AX796" s="86" t="str">
        <f t="shared" ca="1" si="62"/>
        <v>JBASML</v>
      </c>
      <c r="AY796">
        <f ca="1">_xlfn.XLOOKUP(A796,TabCalc[Ticker],TabCalc[Up150])</f>
        <v>0.53846153846153844</v>
      </c>
    </row>
    <row r="797" spans="1:70">
      <c r="A797" s="86" t="str">
        <f t="shared" ca="1" si="61"/>
        <v>JBEOAN</v>
      </c>
      <c r="F797" s="244">
        <v>1.9047999999999999E-2</v>
      </c>
      <c r="G797" s="244">
        <v>1.869E-3</v>
      </c>
      <c r="H797" s="244">
        <v>1.555E-3</v>
      </c>
      <c r="I797" s="244">
        <v>1.3139999999999998E-3</v>
      </c>
      <c r="J797" s="244">
        <v>-7.1709999999999994E-3</v>
      </c>
      <c r="K797" s="244">
        <v>-2.6079999999999996E-3</v>
      </c>
      <c r="L797" s="244">
        <v>6.5359999999999993E-3</v>
      </c>
      <c r="M797" s="244">
        <v>9.0969999999999992E-3</v>
      </c>
      <c r="N797" s="244">
        <v>4.8760000000000001E-3</v>
      </c>
      <c r="O797" s="244">
        <v>-9.3819999999999997E-3</v>
      </c>
      <c r="P797" s="244">
        <v>9.7980000000000007E-4</v>
      </c>
      <c r="Q797" s="244">
        <v>-6.8520000000000005E-3</v>
      </c>
      <c r="R797" s="244">
        <v>4.2709999999999996E-3</v>
      </c>
      <c r="S797" s="244">
        <v>2.9767999999999999E-2</v>
      </c>
      <c r="T797" s="244">
        <v>3.7619E-2</v>
      </c>
      <c r="U797" s="244">
        <v>-1.7023999999999997E-2</v>
      </c>
      <c r="V797" s="244">
        <v>-9.9419999999999994E-3</v>
      </c>
      <c r="W797" s="244">
        <v>4.1879999999999999E-3</v>
      </c>
      <c r="X797" s="244">
        <v>-2.8860000000000001E-3</v>
      </c>
      <c r="Y797" s="244">
        <v>-3.3119000000000003E-2</v>
      </c>
      <c r="Z797" s="244">
        <f ca="1">[1]ExtEntry!$M96</f>
        <v>-3.3119000000000003E-2</v>
      </c>
      <c r="AB797" s="249">
        <v>18</v>
      </c>
      <c r="AC797" s="249">
        <v>16</v>
      </c>
      <c r="AD797" s="249">
        <v>12</v>
      </c>
      <c r="AE797" s="284">
        <v>20</v>
      </c>
      <c r="AF797" s="284">
        <v>20</v>
      </c>
      <c r="AG797" s="284">
        <v>18</v>
      </c>
      <c r="AH797" s="284">
        <v>17</v>
      </c>
      <c r="AI797" s="284">
        <v>16</v>
      </c>
      <c r="AJ797" s="284">
        <v>16</v>
      </c>
      <c r="AK797" s="284">
        <v>17</v>
      </c>
      <c r="AL797" s="284">
        <v>16</v>
      </c>
      <c r="AM797" s="273">
        <v>20</v>
      </c>
      <c r="AN797" s="273">
        <v>17</v>
      </c>
      <c r="AO797" s="273">
        <v>10</v>
      </c>
      <c r="AP797" s="273">
        <v>8</v>
      </c>
      <c r="AQ797" s="273">
        <v>10</v>
      </c>
      <c r="AR797" s="273">
        <v>12</v>
      </c>
      <c r="AS797" s="273">
        <v>9</v>
      </c>
      <c r="AT797" s="273">
        <v>9</v>
      </c>
      <c r="AU797" s="273" t="s">
        <v>2963</v>
      </c>
      <c r="AV797" s="273" t="str">
        <f ca="1">_xlfn.XLOOKUP(A797,TabCalc[Ticker],TabCalc[Up20])</f>
        <v>/50/50%</v>
      </c>
      <c r="AX797" s="86" t="str">
        <f t="shared" ca="1" si="62"/>
        <v>JBEOAN</v>
      </c>
      <c r="AY797" t="str">
        <f ca="1">_xlfn.XLOOKUP(A797,TabCalc[Ticker],TabCalc[Up150])</f>
        <v>11/32/39%</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1882</v>
      </c>
      <c r="AX801" s="86"/>
    </row>
    <row r="802" spans="1:50">
      <c r="A802" s="86"/>
      <c r="F802" s="115">
        <f t="shared" ref="F802:Z802" ca="1" si="63">F702</f>
        <v>45974</v>
      </c>
      <c r="G802" s="115">
        <f t="shared" ca="1" si="63"/>
        <v>45975</v>
      </c>
      <c r="H802" s="115">
        <f t="shared" ca="1" si="63"/>
        <v>45978</v>
      </c>
      <c r="I802" s="115">
        <f t="shared" ca="1" si="63"/>
        <v>45979</v>
      </c>
      <c r="J802" s="115">
        <f t="shared" ca="1" si="63"/>
        <v>45980</v>
      </c>
      <c r="K802" s="115">
        <f t="shared" ca="1" si="63"/>
        <v>45981</v>
      </c>
      <c r="L802" s="115">
        <f t="shared" ca="1" si="63"/>
        <v>45982</v>
      </c>
      <c r="M802" s="115">
        <f t="shared" ca="1" si="63"/>
        <v>45985</v>
      </c>
      <c r="N802" s="115">
        <f t="shared" ca="1" si="63"/>
        <v>45986</v>
      </c>
      <c r="O802" s="115">
        <f t="shared" ca="1" si="63"/>
        <v>45987</v>
      </c>
      <c r="P802" s="115">
        <f t="shared" ca="1" si="63"/>
        <v>45988</v>
      </c>
      <c r="Q802" s="115">
        <f t="shared" ca="1" si="63"/>
        <v>45989</v>
      </c>
      <c r="R802" s="115">
        <f t="shared" ca="1" si="63"/>
        <v>45992</v>
      </c>
      <c r="S802" s="115">
        <f t="shared" ca="1" si="63"/>
        <v>45993</v>
      </c>
      <c r="T802" s="115">
        <f t="shared" ca="1" si="63"/>
        <v>45994</v>
      </c>
      <c r="U802" s="115">
        <f t="shared" ca="1" si="63"/>
        <v>45995</v>
      </c>
      <c r="V802" s="115">
        <f t="shared" ca="1" si="63"/>
        <v>45996</v>
      </c>
      <c r="W802" s="115">
        <f t="shared" ca="1" si="63"/>
        <v>45999</v>
      </c>
      <c r="X802" s="115">
        <f t="shared" ca="1" si="63"/>
        <v>46000</v>
      </c>
      <c r="Y802" s="115">
        <f t="shared" ca="1" si="63"/>
        <v>46001</v>
      </c>
      <c r="Z802" s="115">
        <f t="shared" ca="1" si="63"/>
        <v>46002</v>
      </c>
      <c r="AB802" s="115">
        <f t="shared" ref="AB802:AV802" ca="1" si="64">F702</f>
        <v>45974</v>
      </c>
      <c r="AC802" s="115">
        <f t="shared" ca="1" si="64"/>
        <v>45975</v>
      </c>
      <c r="AD802" s="115">
        <f t="shared" ca="1" si="64"/>
        <v>45978</v>
      </c>
      <c r="AE802" s="115">
        <f t="shared" ca="1" si="64"/>
        <v>45979</v>
      </c>
      <c r="AF802" s="115">
        <f t="shared" ca="1" si="64"/>
        <v>45980</v>
      </c>
      <c r="AG802" s="115">
        <f t="shared" ca="1" si="64"/>
        <v>45981</v>
      </c>
      <c r="AH802" s="115">
        <f t="shared" ca="1" si="64"/>
        <v>45982</v>
      </c>
      <c r="AI802" s="115">
        <f t="shared" ca="1" si="64"/>
        <v>45985</v>
      </c>
      <c r="AJ802" s="115">
        <f t="shared" ca="1" si="64"/>
        <v>45986</v>
      </c>
      <c r="AK802" s="115">
        <f t="shared" ca="1" si="64"/>
        <v>45987</v>
      </c>
      <c r="AL802" s="115">
        <f t="shared" ca="1" si="64"/>
        <v>45988</v>
      </c>
      <c r="AM802" s="115">
        <f t="shared" ca="1" si="64"/>
        <v>45989</v>
      </c>
      <c r="AN802" s="115">
        <f t="shared" ca="1" si="64"/>
        <v>45992</v>
      </c>
      <c r="AO802" s="115">
        <f t="shared" ca="1" si="64"/>
        <v>45993</v>
      </c>
      <c r="AP802" s="115">
        <f t="shared" ca="1" si="64"/>
        <v>45994</v>
      </c>
      <c r="AQ802" s="115">
        <f t="shared" ca="1" si="64"/>
        <v>45995</v>
      </c>
      <c r="AR802" s="115">
        <f t="shared" ca="1" si="64"/>
        <v>45996</v>
      </c>
      <c r="AS802" s="115">
        <f t="shared" ca="1" si="64"/>
        <v>45999</v>
      </c>
      <c r="AT802" s="115">
        <f t="shared" ca="1" si="64"/>
        <v>46000</v>
      </c>
      <c r="AU802" s="115">
        <f t="shared" ca="1" si="64"/>
        <v>46001</v>
      </c>
      <c r="AV802" s="115">
        <f t="shared" ca="1" si="64"/>
        <v>46002</v>
      </c>
      <c r="AX802" s="86"/>
    </row>
    <row r="803" spans="1:50">
      <c r="A803" s="86"/>
      <c r="F803" s="278" t="s">
        <v>371</v>
      </c>
      <c r="G803" s="278" t="s">
        <v>372</v>
      </c>
      <c r="H803" s="278" t="s">
        <v>373</v>
      </c>
      <c r="I803" s="278" t="s">
        <v>374</v>
      </c>
      <c r="J803" s="278" t="s">
        <v>375</v>
      </c>
      <c r="K803" s="278" t="s">
        <v>376</v>
      </c>
      <c r="L803" s="278" t="s">
        <v>377</v>
      </c>
      <c r="M803" s="278" t="s">
        <v>378</v>
      </c>
      <c r="N803" s="278" t="s">
        <v>379</v>
      </c>
      <c r="O803" s="278" t="s">
        <v>380</v>
      </c>
      <c r="P803" s="278" t="s">
        <v>381</v>
      </c>
      <c r="Q803" s="278" t="s">
        <v>382</v>
      </c>
      <c r="R803" s="278" t="s">
        <v>383</v>
      </c>
      <c r="S803" s="278" t="s">
        <v>384</v>
      </c>
      <c r="T803" s="278" t="s">
        <v>385</v>
      </c>
      <c r="U803" s="278" t="s">
        <v>386</v>
      </c>
      <c r="V803" s="278" t="s">
        <v>387</v>
      </c>
      <c r="W803" s="278" t="s">
        <v>388</v>
      </c>
      <c r="X803" s="278" t="s">
        <v>389</v>
      </c>
      <c r="Y803" s="278" t="s">
        <v>390</v>
      </c>
      <c r="Z803" s="278" t="s">
        <v>391</v>
      </c>
      <c r="AB803" s="277" t="s">
        <v>1307</v>
      </c>
      <c r="AC803" s="277" t="s">
        <v>1308</v>
      </c>
      <c r="AD803" s="277" t="s">
        <v>1309</v>
      </c>
      <c r="AE803" s="277" t="s">
        <v>1310</v>
      </c>
      <c r="AF803" s="277" t="s">
        <v>1311</v>
      </c>
      <c r="AG803" s="277" t="s">
        <v>1312</v>
      </c>
      <c r="AH803" s="277" t="s">
        <v>1313</v>
      </c>
      <c r="AI803" s="277" t="s">
        <v>1314</v>
      </c>
      <c r="AJ803" s="277" t="s">
        <v>1315</v>
      </c>
      <c r="AK803" s="277" t="s">
        <v>1316</v>
      </c>
      <c r="AL803" s="277" t="s">
        <v>1317</v>
      </c>
      <c r="AM803" s="277" t="s">
        <v>1318</v>
      </c>
      <c r="AN803" s="277" t="s">
        <v>1319</v>
      </c>
      <c r="AO803" s="277" t="s">
        <v>1320</v>
      </c>
      <c r="AP803" s="277" t="s">
        <v>1321</v>
      </c>
      <c r="AQ803" s="277" t="s">
        <v>1322</v>
      </c>
      <c r="AR803" s="277" t="s">
        <v>1323</v>
      </c>
      <c r="AS803" s="277" t="s">
        <v>1324</v>
      </c>
      <c r="AT803" s="277" t="s">
        <v>1325</v>
      </c>
      <c r="AU803" s="277" t="s">
        <v>1326</v>
      </c>
      <c r="AV803" s="277" t="s">
        <v>1327</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14</v>
      </c>
      <c r="AC804" s="273">
        <v>12</v>
      </c>
      <c r="AD804" s="273">
        <v>15</v>
      </c>
      <c r="AE804" s="273">
        <v>15</v>
      </c>
      <c r="AF804" s="273">
        <v>15</v>
      </c>
      <c r="AG804" s="273">
        <v>5</v>
      </c>
      <c r="AH804" s="273">
        <v>16</v>
      </c>
      <c r="AI804" s="273">
        <v>3</v>
      </c>
      <c r="AJ804" s="273">
        <v>9</v>
      </c>
      <c r="AK804" s="273">
        <v>10</v>
      </c>
      <c r="AL804" s="273">
        <v>6</v>
      </c>
      <c r="AM804" s="273">
        <v>5</v>
      </c>
      <c r="AN804" s="273">
        <v>4</v>
      </c>
      <c r="AO804" s="273">
        <v>12</v>
      </c>
      <c r="AP804" s="273">
        <v>20</v>
      </c>
      <c r="AQ804" s="273">
        <v>20</v>
      </c>
      <c r="AR804" s="273">
        <v>18</v>
      </c>
      <c r="AS804" s="273">
        <v>14</v>
      </c>
      <c r="AT804" s="273">
        <v>5</v>
      </c>
      <c r="AU804" s="273">
        <v>15</v>
      </c>
      <c r="AV804" s="273">
        <f t="shared" ref="AV804:AV809" si="65">_xlfn.RANK.EQ(Y704,F704:Y704)</f>
        <v>15</v>
      </c>
      <c r="AX804" s="86" t="str">
        <f t="shared" ca="1" si="62"/>
        <v>AAPL</v>
      </c>
    </row>
    <row r="805" spans="1:50">
      <c r="A805" s="86" t="str">
        <f t="shared" ref="A805:A868" ca="1" si="66">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1</v>
      </c>
      <c r="AC805" s="273">
        <v>8</v>
      </c>
      <c r="AD805" s="273">
        <v>10</v>
      </c>
      <c r="AE805" s="273">
        <v>17</v>
      </c>
      <c r="AF805" s="273">
        <v>14</v>
      </c>
      <c r="AG805" s="273">
        <v>14</v>
      </c>
      <c r="AH805" s="273">
        <v>14</v>
      </c>
      <c r="AI805" s="273">
        <v>2</v>
      </c>
      <c r="AJ805" s="273">
        <v>8</v>
      </c>
      <c r="AK805" s="273">
        <v>12</v>
      </c>
      <c r="AL805" s="273">
        <v>9</v>
      </c>
      <c r="AM805" s="273">
        <v>10</v>
      </c>
      <c r="AN805" s="273">
        <v>9</v>
      </c>
      <c r="AO805" s="273">
        <v>17</v>
      </c>
      <c r="AP805" s="273">
        <v>7</v>
      </c>
      <c r="AQ805" s="273">
        <v>12</v>
      </c>
      <c r="AR805" s="273">
        <v>6</v>
      </c>
      <c r="AS805" s="273">
        <v>3</v>
      </c>
      <c r="AT805" s="273">
        <v>2</v>
      </c>
      <c r="AU805" s="273">
        <v>12</v>
      </c>
      <c r="AV805" s="273">
        <f t="shared" si="65"/>
        <v>12</v>
      </c>
      <c r="AX805" s="86" t="str">
        <f t="shared" ca="1" si="62"/>
        <v>ADEA</v>
      </c>
    </row>
    <row r="806" spans="1:50">
      <c r="A806" s="86" t="str">
        <f t="shared" ca="1" si="66"/>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5</v>
      </c>
      <c r="AC806" s="273">
        <v>19</v>
      </c>
      <c r="AD806" s="273">
        <v>11</v>
      </c>
      <c r="AE806" s="273">
        <v>15</v>
      </c>
      <c r="AF806" s="273">
        <v>12</v>
      </c>
      <c r="AG806" s="273">
        <v>11</v>
      </c>
      <c r="AH806" s="273">
        <v>7</v>
      </c>
      <c r="AI806" s="273">
        <v>18</v>
      </c>
      <c r="AJ806" s="273">
        <v>16</v>
      </c>
      <c r="AK806" s="273">
        <v>17</v>
      </c>
      <c r="AL806" s="273">
        <v>12</v>
      </c>
      <c r="AM806" s="273">
        <v>2</v>
      </c>
      <c r="AN806" s="273">
        <v>16</v>
      </c>
      <c r="AO806" s="273">
        <v>3</v>
      </c>
      <c r="AP806" s="273">
        <v>7</v>
      </c>
      <c r="AQ806" s="273">
        <v>8</v>
      </c>
      <c r="AR806" s="273">
        <v>5</v>
      </c>
      <c r="AS806" s="273">
        <v>12</v>
      </c>
      <c r="AT806" s="273">
        <v>1</v>
      </c>
      <c r="AU806" s="273">
        <v>17</v>
      </c>
      <c r="AV806" s="273">
        <f t="shared" si="65"/>
        <v>17</v>
      </c>
      <c r="AX806" s="86" t="str">
        <f t="shared" ca="1" si="62"/>
        <v>AET</v>
      </c>
    </row>
    <row r="807" spans="1:50">
      <c r="A807" s="86" t="str">
        <f t="shared" ca="1" si="66"/>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12</v>
      </c>
      <c r="AC807" s="273">
        <v>19</v>
      </c>
      <c r="AD807" s="273">
        <v>10</v>
      </c>
      <c r="AE807" s="273">
        <v>14</v>
      </c>
      <c r="AF807" s="273">
        <v>20</v>
      </c>
      <c r="AG807" s="273">
        <v>11</v>
      </c>
      <c r="AH807" s="273">
        <v>14</v>
      </c>
      <c r="AI807" s="273">
        <v>2</v>
      </c>
      <c r="AJ807" s="273">
        <v>10</v>
      </c>
      <c r="AK807" s="273">
        <v>11</v>
      </c>
      <c r="AL807" s="273">
        <v>3</v>
      </c>
      <c r="AM807" s="273">
        <v>7</v>
      </c>
      <c r="AN807" s="273">
        <v>10</v>
      </c>
      <c r="AO807" s="273">
        <v>14</v>
      </c>
      <c r="AP807" s="273">
        <v>13</v>
      </c>
      <c r="AQ807" s="273">
        <v>17</v>
      </c>
      <c r="AR807" s="273">
        <v>7</v>
      </c>
      <c r="AS807" s="273">
        <v>5</v>
      </c>
      <c r="AT807" s="273">
        <v>3</v>
      </c>
      <c r="AU807" s="273">
        <v>13</v>
      </c>
      <c r="AV807" s="273">
        <f t="shared" si="65"/>
        <v>13</v>
      </c>
      <c r="AX807" s="86" t="str">
        <f t="shared" ca="1" si="62"/>
        <v>AMZN</v>
      </c>
    </row>
    <row r="808" spans="1:50">
      <c r="A808" s="86" t="str">
        <f t="shared" ca="1" si="66"/>
        <v>ALDNE</v>
      </c>
      <c r="F808" s="241">
        <v>0.65</v>
      </c>
      <c r="G808" s="241">
        <v>0.65</v>
      </c>
      <c r="H808" s="241">
        <v>0.65</v>
      </c>
      <c r="I808" s="241">
        <v>0.65</v>
      </c>
      <c r="J808" s="241">
        <v>0.65</v>
      </c>
      <c r="K808" s="241">
        <v>0.65</v>
      </c>
      <c r="L808" s="241">
        <v>0.65</v>
      </c>
      <c r="M808" s="241">
        <v>0.6</v>
      </c>
      <c r="N808" s="241">
        <v>0.6</v>
      </c>
      <c r="O808" s="241">
        <v>0.6</v>
      </c>
      <c r="P808" s="241">
        <v>0.6</v>
      </c>
      <c r="Q808" s="241">
        <v>0.6</v>
      </c>
      <c r="R808" s="241">
        <v>0.6</v>
      </c>
      <c r="S808" s="241">
        <v>0.6</v>
      </c>
      <c r="T808" s="241">
        <v>0.6</v>
      </c>
      <c r="U808" s="241">
        <v>0.6</v>
      </c>
      <c r="V808" s="241">
        <v>0.6</v>
      </c>
      <c r="W808" s="241">
        <v>0.56999999999999995</v>
      </c>
      <c r="X808" s="241">
        <v>0.55000000000000004</v>
      </c>
      <c r="Y808" s="241">
        <v>0.55000000000000004</v>
      </c>
      <c r="Z808" s="243">
        <f ca="1">[1]ExtEntry!$N7</f>
        <v>0.55000000000000004</v>
      </c>
      <c r="AB808" s="273">
        <v>5</v>
      </c>
      <c r="AC808" s="273">
        <v>17</v>
      </c>
      <c r="AD808" s="273">
        <v>15</v>
      </c>
      <c r="AE808" s="273">
        <v>20</v>
      </c>
      <c r="AF808" s="273">
        <v>19</v>
      </c>
      <c r="AG808" s="273">
        <v>5</v>
      </c>
      <c r="AH808" s="273">
        <v>19</v>
      </c>
      <c r="AI808" s="273">
        <v>18</v>
      </c>
      <c r="AJ808" s="273">
        <v>19</v>
      </c>
      <c r="AK808" s="273">
        <v>19</v>
      </c>
      <c r="AL808" s="273">
        <v>16</v>
      </c>
      <c r="AM808" s="273">
        <v>2</v>
      </c>
      <c r="AN808" s="273">
        <v>5</v>
      </c>
      <c r="AO808" s="273">
        <v>3</v>
      </c>
      <c r="AP808" s="273">
        <v>5</v>
      </c>
      <c r="AQ808" s="273">
        <v>11</v>
      </c>
      <c r="AR808" s="273">
        <v>9</v>
      </c>
      <c r="AS808" s="273">
        <v>8</v>
      </c>
      <c r="AT808" s="273">
        <v>2</v>
      </c>
      <c r="AU808" s="273">
        <v>20</v>
      </c>
      <c r="AV808" s="273">
        <f t="shared" si="65"/>
        <v>20</v>
      </c>
      <c r="AX808" s="86" t="str">
        <f t="shared" ca="1" si="62"/>
        <v>ALDNE</v>
      </c>
    </row>
    <row r="809" spans="1:50">
      <c r="A809" s="86" t="str">
        <f t="shared" ca="1" si="66"/>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16</v>
      </c>
      <c r="AC809" s="273">
        <v>17</v>
      </c>
      <c r="AD809" s="273">
        <v>20</v>
      </c>
      <c r="AE809" s="273">
        <v>12</v>
      </c>
      <c r="AF809" s="273">
        <v>12</v>
      </c>
      <c r="AG809" s="273">
        <v>3</v>
      </c>
      <c r="AH809" s="273">
        <v>9</v>
      </c>
      <c r="AI809" s="273">
        <v>20</v>
      </c>
      <c r="AJ809" s="273">
        <v>1</v>
      </c>
      <c r="AK809" s="273">
        <v>16</v>
      </c>
      <c r="AL809" s="273">
        <v>7</v>
      </c>
      <c r="AM809" s="273">
        <v>2</v>
      </c>
      <c r="AN809" s="273">
        <v>7</v>
      </c>
      <c r="AO809" s="273">
        <v>6</v>
      </c>
      <c r="AP809" s="273">
        <v>2</v>
      </c>
      <c r="AQ809" s="273">
        <v>12</v>
      </c>
      <c r="AR809" s="273">
        <v>11</v>
      </c>
      <c r="AS809" s="273">
        <v>15</v>
      </c>
      <c r="AT809" s="273">
        <v>12</v>
      </c>
      <c r="AU809" s="273">
        <v>9</v>
      </c>
      <c r="AV809" s="273">
        <f t="shared" si="65"/>
        <v>9</v>
      </c>
      <c r="AX809" s="86" t="str">
        <f t="shared" ca="1" si="62"/>
        <v>ASML</v>
      </c>
    </row>
    <row r="810" spans="1:50">
      <c r="A810" s="86" t="str">
        <f t="shared" ca="1" si="66"/>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18</v>
      </c>
      <c r="AC810" s="273">
        <v>1</v>
      </c>
      <c r="AD810" s="273">
        <v>3</v>
      </c>
      <c r="AE810" s="273">
        <v>6</v>
      </c>
      <c r="AF810" s="273">
        <v>10</v>
      </c>
      <c r="AG810" s="273">
        <v>15</v>
      </c>
      <c r="AH810" s="273">
        <v>14</v>
      </c>
      <c r="AI810" s="273">
        <v>1</v>
      </c>
      <c r="AJ810" s="273">
        <v>7</v>
      </c>
      <c r="AK810" s="273">
        <v>12</v>
      </c>
      <c r="AL810" s="273">
        <v>16</v>
      </c>
      <c r="AM810" s="273">
        <v>20</v>
      </c>
      <c r="AN810" s="273">
        <v>14</v>
      </c>
      <c r="AO810" s="273">
        <v>3</v>
      </c>
      <c r="AP810" s="273">
        <v>6</v>
      </c>
      <c r="AQ810" s="273">
        <v>15</v>
      </c>
      <c r="AR810" s="273">
        <v>10</v>
      </c>
      <c r="AS810" s="273">
        <v>19</v>
      </c>
      <c r="AT810" s="273">
        <v>3</v>
      </c>
      <c r="AU810" s="273">
        <v>18</v>
      </c>
      <c r="AV810" s="273">
        <f t="shared" ref="AV810:AV849" si="67">_xlfn.RANK.EQ(Y711,F711:Y711)</f>
        <v>18</v>
      </c>
      <c r="AX810" s="86" t="str">
        <f t="shared" ca="1" si="62"/>
        <v>AVGO</v>
      </c>
    </row>
    <row r="811" spans="1:50" hidden="1">
      <c r="A811" s="86" t="str">
        <f t="shared" ca="1" si="66"/>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2</v>
      </c>
      <c r="AC811" s="273">
        <v>15</v>
      </c>
      <c r="AD811" s="273">
        <v>14</v>
      </c>
      <c r="AE811" s="273">
        <v>18</v>
      </c>
      <c r="AF811" s="273">
        <v>8</v>
      </c>
      <c r="AG811" s="273">
        <v>12</v>
      </c>
      <c r="AH811" s="273">
        <v>16</v>
      </c>
      <c r="AI811" s="273">
        <v>3</v>
      </c>
      <c r="AJ811" s="273">
        <v>3</v>
      </c>
      <c r="AK811" s="273">
        <v>3</v>
      </c>
      <c r="AL811" s="273">
        <v>5</v>
      </c>
      <c r="AM811" s="273">
        <v>17</v>
      </c>
      <c r="AN811" s="273">
        <v>7</v>
      </c>
      <c r="AO811" s="273">
        <v>16</v>
      </c>
      <c r="AP811" s="273">
        <v>11</v>
      </c>
      <c r="AQ811" s="273">
        <v>2</v>
      </c>
      <c r="AR811" s="273">
        <v>9</v>
      </c>
      <c r="AS811" s="273">
        <v>9</v>
      </c>
      <c r="AT811" s="273">
        <v>11</v>
      </c>
      <c r="AU811" s="273">
        <v>2</v>
      </c>
      <c r="AV811" s="273">
        <f t="shared" si="67"/>
        <v>2</v>
      </c>
      <c r="AX811" s="86" t="str">
        <f t="shared" ca="1" si="62"/>
        <v>AZN</v>
      </c>
    </row>
    <row r="812" spans="1:50" hidden="1">
      <c r="A812" s="86" t="str">
        <f t="shared" ca="1" si="66"/>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3</v>
      </c>
      <c r="AC812" s="273">
        <v>17</v>
      </c>
      <c r="AD812" s="273">
        <v>17</v>
      </c>
      <c r="AE812" s="273">
        <v>17</v>
      </c>
      <c r="AF812" s="273">
        <v>15</v>
      </c>
      <c r="AG812" s="273">
        <v>14</v>
      </c>
      <c r="AH812" s="273">
        <v>6</v>
      </c>
      <c r="AI812" s="273">
        <v>6</v>
      </c>
      <c r="AJ812" s="273">
        <v>11</v>
      </c>
      <c r="AK812" s="273">
        <v>16</v>
      </c>
      <c r="AL812" s="273">
        <v>3</v>
      </c>
      <c r="AM812" s="273">
        <v>17</v>
      </c>
      <c r="AN812" s="273">
        <v>2</v>
      </c>
      <c r="AO812" s="273">
        <v>4</v>
      </c>
      <c r="AP812" s="273">
        <v>13</v>
      </c>
      <c r="AQ812" s="273">
        <v>6</v>
      </c>
      <c r="AR812" s="273">
        <v>5</v>
      </c>
      <c r="AS812" s="273">
        <v>9</v>
      </c>
      <c r="AT812" s="273">
        <v>14</v>
      </c>
      <c r="AU812" s="273">
        <v>2</v>
      </c>
      <c r="AV812" s="273">
        <f t="shared" si="67"/>
        <v>2</v>
      </c>
      <c r="AX812" s="86" t="str">
        <f t="shared" ca="1" si="62"/>
        <v>BLDP</v>
      </c>
    </row>
    <row r="813" spans="1:50" hidden="1">
      <c r="A813" s="86" t="str">
        <f t="shared" ca="1" si="66"/>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8</v>
      </c>
      <c r="AC813" s="273">
        <v>13</v>
      </c>
      <c r="AD813" s="273">
        <v>11</v>
      </c>
      <c r="AE813" s="273">
        <v>12</v>
      </c>
      <c r="AF813" s="273">
        <v>11</v>
      </c>
      <c r="AG813" s="273">
        <v>5</v>
      </c>
      <c r="AH813" s="273">
        <v>17</v>
      </c>
      <c r="AI813" s="273">
        <v>5</v>
      </c>
      <c r="AJ813" s="273">
        <v>4</v>
      </c>
      <c r="AK813" s="273">
        <v>5</v>
      </c>
      <c r="AL813" s="273">
        <v>8</v>
      </c>
      <c r="AM813" s="273">
        <v>14</v>
      </c>
      <c r="AN813" s="273">
        <v>10</v>
      </c>
      <c r="AO813" s="273">
        <v>4</v>
      </c>
      <c r="AP813" s="273">
        <v>1</v>
      </c>
      <c r="AQ813" s="273">
        <v>4</v>
      </c>
      <c r="AR813" s="273">
        <v>10</v>
      </c>
      <c r="AS813" s="273">
        <v>14</v>
      </c>
      <c r="AT813" s="273">
        <v>3</v>
      </c>
      <c r="AU813" s="273">
        <v>12</v>
      </c>
      <c r="AV813" s="273">
        <f t="shared" si="67"/>
        <v>12</v>
      </c>
      <c r="AX813" s="86" t="str">
        <f t="shared" ca="1" si="62"/>
        <v>BMRA</v>
      </c>
    </row>
    <row r="814" spans="1:50" hidden="1">
      <c r="A814" s="86" t="str">
        <f t="shared" ca="1" si="66"/>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14</v>
      </c>
      <c r="AC814" s="273">
        <v>19</v>
      </c>
      <c r="AD814" s="273">
        <v>12</v>
      </c>
      <c r="AE814" s="273">
        <v>7</v>
      </c>
      <c r="AF814" s="273">
        <v>15</v>
      </c>
      <c r="AG814" s="273">
        <v>5</v>
      </c>
      <c r="AH814" s="273">
        <v>20</v>
      </c>
      <c r="AI814" s="273">
        <v>3</v>
      </c>
      <c r="AJ814" s="273">
        <v>11</v>
      </c>
      <c r="AK814" s="273">
        <v>15</v>
      </c>
      <c r="AL814" s="273">
        <v>5</v>
      </c>
      <c r="AM814" s="273">
        <v>17</v>
      </c>
      <c r="AN814" s="273">
        <v>6</v>
      </c>
      <c r="AO814" s="273">
        <v>10</v>
      </c>
      <c r="AP814" s="273">
        <v>5</v>
      </c>
      <c r="AQ814" s="273">
        <v>13</v>
      </c>
      <c r="AR814" s="273">
        <v>10</v>
      </c>
      <c r="AS814" s="273">
        <v>7</v>
      </c>
      <c r="AT814" s="273">
        <v>7</v>
      </c>
      <c r="AU814" s="273">
        <v>18</v>
      </c>
      <c r="AV814" s="273">
        <f t="shared" si="67"/>
        <v>18</v>
      </c>
      <c r="AX814" s="86" t="str">
        <f t="shared" ca="1" si="62"/>
        <v>C</v>
      </c>
    </row>
    <row r="815" spans="1:50" hidden="1">
      <c r="A815" s="86" t="str">
        <f t="shared" ca="1" si="66"/>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9</v>
      </c>
      <c r="AC815" s="273">
        <v>10</v>
      </c>
      <c r="AD815" s="273">
        <v>11</v>
      </c>
      <c r="AE815" s="273">
        <v>19</v>
      </c>
      <c r="AF815" s="273">
        <v>16</v>
      </c>
      <c r="AG815" s="273">
        <v>19</v>
      </c>
      <c r="AH815" s="273">
        <v>14</v>
      </c>
      <c r="AI815" s="273">
        <v>1</v>
      </c>
      <c r="AJ815" s="273">
        <v>2</v>
      </c>
      <c r="AK815" s="273">
        <v>2</v>
      </c>
      <c r="AL815" s="273">
        <v>7</v>
      </c>
      <c r="AM815" s="273">
        <v>15</v>
      </c>
      <c r="AN815" s="273">
        <v>18</v>
      </c>
      <c r="AO815" s="273">
        <v>15</v>
      </c>
      <c r="AP815" s="273">
        <v>19</v>
      </c>
      <c r="AQ815" s="273">
        <v>9</v>
      </c>
      <c r="AR815" s="273">
        <v>15</v>
      </c>
      <c r="AS815" s="273">
        <v>1</v>
      </c>
      <c r="AT815" s="273">
        <v>5</v>
      </c>
      <c r="AU815" s="273">
        <v>2</v>
      </c>
      <c r="AV815" s="273">
        <f t="shared" si="67"/>
        <v>2</v>
      </c>
      <c r="AX815" s="86" t="str">
        <f t="shared" ca="1" si="62"/>
        <v>CSCO</v>
      </c>
    </row>
    <row r="816" spans="1:50" hidden="1">
      <c r="A816" s="86" t="str">
        <f t="shared" ca="1" si="66"/>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9</v>
      </c>
      <c r="AC816" s="273">
        <v>20</v>
      </c>
      <c r="AD816" s="273">
        <v>10</v>
      </c>
      <c r="AE816" s="273">
        <v>7</v>
      </c>
      <c r="AF816" s="273">
        <v>7</v>
      </c>
      <c r="AG816" s="273">
        <v>12</v>
      </c>
      <c r="AH816" s="273">
        <v>14</v>
      </c>
      <c r="AI816" s="273">
        <v>3</v>
      </c>
      <c r="AJ816" s="273">
        <v>6</v>
      </c>
      <c r="AK816" s="273">
        <v>5</v>
      </c>
      <c r="AL816" s="273">
        <v>4</v>
      </c>
      <c r="AM816" s="273">
        <v>14</v>
      </c>
      <c r="AN816" s="273">
        <v>3</v>
      </c>
      <c r="AO816" s="273">
        <v>6</v>
      </c>
      <c r="AP816" s="273">
        <v>1</v>
      </c>
      <c r="AQ816" s="273">
        <v>9</v>
      </c>
      <c r="AR816" s="273">
        <v>16</v>
      </c>
      <c r="AS816" s="273">
        <v>20</v>
      </c>
      <c r="AT816" s="273">
        <v>9</v>
      </c>
      <c r="AU816" s="273">
        <v>1</v>
      </c>
      <c r="AV816" s="273">
        <f t="shared" si="67"/>
        <v>1</v>
      </c>
      <c r="AX816" s="86" t="str">
        <f t="shared" ca="1" si="62"/>
        <v>CVS</v>
      </c>
    </row>
    <row r="817" spans="1:50" hidden="1">
      <c r="A817" s="86" t="str">
        <f t="shared" ca="1" si="66"/>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10</v>
      </c>
      <c r="AC817" s="273">
        <v>18</v>
      </c>
      <c r="AD817" s="273">
        <v>9</v>
      </c>
      <c r="AE817" s="273">
        <v>20</v>
      </c>
      <c r="AF817" s="273">
        <v>9</v>
      </c>
      <c r="AG817" s="273">
        <v>14</v>
      </c>
      <c r="AH817" s="273">
        <v>20</v>
      </c>
      <c r="AI817" s="273">
        <v>2</v>
      </c>
      <c r="AJ817" s="273">
        <v>8</v>
      </c>
      <c r="AK817" s="273">
        <v>9</v>
      </c>
      <c r="AL817" s="273">
        <v>4</v>
      </c>
      <c r="AM817" s="273">
        <v>1</v>
      </c>
      <c r="AN817" s="273">
        <v>18</v>
      </c>
      <c r="AO817" s="273">
        <v>11</v>
      </c>
      <c r="AP817" s="273">
        <v>5</v>
      </c>
      <c r="AQ817" s="273">
        <v>15</v>
      </c>
      <c r="AR817" s="273">
        <v>12</v>
      </c>
      <c r="AS817" s="273">
        <v>15</v>
      </c>
      <c r="AT817" s="273">
        <v>3</v>
      </c>
      <c r="AU817" s="273">
        <v>1</v>
      </c>
      <c r="AV817" s="273">
        <f t="shared" si="67"/>
        <v>1</v>
      </c>
      <c r="AX817" s="86" t="str">
        <f t="shared" ca="1" si="62"/>
        <v>DDD</v>
      </c>
    </row>
    <row r="818" spans="1:50" hidden="1">
      <c r="A818" s="86" t="str">
        <f t="shared" ca="1" si="66"/>
        <v>DIS</v>
      </c>
      <c r="F818" s="249">
        <v>23.75</v>
      </c>
      <c r="G818" s="249">
        <v>23.22</v>
      </c>
      <c r="H818" s="249">
        <v>23.03</v>
      </c>
      <c r="I818" s="249">
        <v>23.03</v>
      </c>
      <c r="J818" s="249">
        <v>22.96</v>
      </c>
      <c r="K818" s="249">
        <v>22.96</v>
      </c>
      <c r="L818" s="249">
        <v>22.96</v>
      </c>
      <c r="M818" s="249">
        <v>22.86</v>
      </c>
      <c r="N818" s="249">
        <v>22.86</v>
      </c>
      <c r="O818" s="249">
        <v>22.86</v>
      </c>
      <c r="P818" s="249">
        <v>22.86</v>
      </c>
      <c r="Q818" s="249">
        <v>22.86</v>
      </c>
      <c r="R818" s="249">
        <v>22.86</v>
      </c>
      <c r="S818" s="249">
        <v>22.86</v>
      </c>
      <c r="T818" s="249">
        <v>22.86</v>
      </c>
      <c r="U818" s="249">
        <v>22.86</v>
      </c>
      <c r="V818" s="249">
        <v>22.86</v>
      </c>
      <c r="W818" s="249">
        <v>22.86</v>
      </c>
      <c r="X818" s="249">
        <v>22.86</v>
      </c>
      <c r="Y818" s="249">
        <v>22.79</v>
      </c>
      <c r="Z818" s="243">
        <f ca="1">[1]ExtEntry!$N18</f>
        <v>22.79</v>
      </c>
      <c r="AB818" s="273">
        <v>10</v>
      </c>
      <c r="AC818" s="273">
        <v>19</v>
      </c>
      <c r="AD818" s="273">
        <v>8</v>
      </c>
      <c r="AE818" s="273">
        <v>13</v>
      </c>
      <c r="AF818" s="273">
        <v>8</v>
      </c>
      <c r="AG818" s="273">
        <v>5</v>
      </c>
      <c r="AH818" s="273">
        <v>11</v>
      </c>
      <c r="AI818" s="273">
        <v>5</v>
      </c>
      <c r="AJ818" s="273">
        <v>4</v>
      </c>
      <c r="AK818" s="273">
        <v>8</v>
      </c>
      <c r="AL818" s="273">
        <v>9</v>
      </c>
      <c r="AM818" s="273">
        <v>14</v>
      </c>
      <c r="AN818" s="273">
        <v>17</v>
      </c>
      <c r="AO818" s="273">
        <v>7</v>
      </c>
      <c r="AP818" s="273">
        <v>7</v>
      </c>
      <c r="AQ818" s="273">
        <v>1</v>
      </c>
      <c r="AR818" s="273">
        <v>6</v>
      </c>
      <c r="AS818" s="273">
        <v>15</v>
      </c>
      <c r="AT818" s="273">
        <v>18</v>
      </c>
      <c r="AU818" s="273">
        <v>5</v>
      </c>
      <c r="AV818" s="273">
        <f t="shared" si="67"/>
        <v>5</v>
      </c>
      <c r="AX818" s="86" t="str">
        <f t="shared" ca="1" si="62"/>
        <v>DIS</v>
      </c>
    </row>
    <row r="819" spans="1:50" hidden="1">
      <c r="A819" s="86" t="str">
        <f t="shared" ca="1" si="66"/>
        <v>DSY</v>
      </c>
      <c r="F819" s="249">
        <v>115.39</v>
      </c>
      <c r="G819" s="249">
        <v>115.39</v>
      </c>
      <c r="H819" s="249">
        <v>115.39</v>
      </c>
      <c r="I819" s="249">
        <v>115.39</v>
      </c>
      <c r="J819" s="249">
        <v>115.39</v>
      </c>
      <c r="K819" s="249">
        <v>113.97</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4</v>
      </c>
      <c r="AC819" s="273">
        <v>6</v>
      </c>
      <c r="AD819" s="273">
        <v>3</v>
      </c>
      <c r="AE819" s="273">
        <v>19</v>
      </c>
      <c r="AF819" s="273">
        <v>17</v>
      </c>
      <c r="AG819" s="273">
        <v>18</v>
      </c>
      <c r="AH819" s="273">
        <v>14</v>
      </c>
      <c r="AI819" s="273">
        <v>1</v>
      </c>
      <c r="AJ819" s="273">
        <v>17</v>
      </c>
      <c r="AK819" s="273">
        <v>17</v>
      </c>
      <c r="AL819" s="273">
        <v>12</v>
      </c>
      <c r="AM819" s="273">
        <v>6</v>
      </c>
      <c r="AN819" s="273">
        <v>11</v>
      </c>
      <c r="AO819" s="273">
        <v>6</v>
      </c>
      <c r="AP819" s="273">
        <v>15</v>
      </c>
      <c r="AQ819" s="273">
        <v>15</v>
      </c>
      <c r="AR819" s="273">
        <v>8</v>
      </c>
      <c r="AS819" s="273">
        <v>12</v>
      </c>
      <c r="AT819" s="273">
        <v>2</v>
      </c>
      <c r="AU819" s="273">
        <v>4</v>
      </c>
      <c r="AV819" s="273">
        <f t="shared" si="67"/>
        <v>4</v>
      </c>
      <c r="AX819" s="86" t="str">
        <f t="shared" ca="1" si="62"/>
        <v>DSY</v>
      </c>
    </row>
    <row r="820" spans="1:50" hidden="1">
      <c r="A820" s="86" t="str">
        <f t="shared" ca="1" si="66"/>
        <v>DVA</v>
      </c>
      <c r="F820" s="249">
        <v>12.24</v>
      </c>
      <c r="G820" s="249">
        <v>12.24</v>
      </c>
      <c r="H820" s="249">
        <v>12.24</v>
      </c>
      <c r="I820" s="249">
        <v>12.24</v>
      </c>
      <c r="J820" s="249">
        <v>12.154999999999999</v>
      </c>
      <c r="K820" s="249">
        <v>12.04</v>
      </c>
      <c r="L820" s="249">
        <v>11.82</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4</v>
      </c>
      <c r="AC820" s="273">
        <v>16</v>
      </c>
      <c r="AD820" s="273">
        <v>20</v>
      </c>
      <c r="AE820" s="273">
        <v>19</v>
      </c>
      <c r="AF820" s="273">
        <v>17</v>
      </c>
      <c r="AG820" s="273">
        <v>14</v>
      </c>
      <c r="AH820" s="273">
        <v>12</v>
      </c>
      <c r="AI820" s="273">
        <v>1</v>
      </c>
      <c r="AJ820" s="273">
        <v>8</v>
      </c>
      <c r="AK820" s="273">
        <v>9</v>
      </c>
      <c r="AL820" s="273">
        <v>6</v>
      </c>
      <c r="AM820" s="273">
        <v>4</v>
      </c>
      <c r="AN820" s="273">
        <v>8</v>
      </c>
      <c r="AO820" s="273">
        <v>7</v>
      </c>
      <c r="AP820" s="273">
        <v>6</v>
      </c>
      <c r="AQ820" s="273">
        <v>5</v>
      </c>
      <c r="AR820" s="273">
        <v>7</v>
      </c>
      <c r="AS820" s="273">
        <v>2</v>
      </c>
      <c r="AT820" s="273">
        <v>13</v>
      </c>
      <c r="AU820" s="273">
        <v>10</v>
      </c>
      <c r="AV820" s="273">
        <f t="shared" si="67"/>
        <v>10</v>
      </c>
      <c r="AX820" s="86" t="str">
        <f t="shared" ca="1" si="62"/>
        <v>DVA</v>
      </c>
    </row>
    <row r="821" spans="1:50" hidden="1">
      <c r="A821" s="86" t="str">
        <f t="shared" ca="1" si="66"/>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v>
      </c>
      <c r="AC821" s="273">
        <v>10</v>
      </c>
      <c r="AD821" s="273">
        <v>10</v>
      </c>
      <c r="AE821" s="273">
        <v>11</v>
      </c>
      <c r="AF821" s="273">
        <v>15</v>
      </c>
      <c r="AG821" s="273">
        <v>12</v>
      </c>
      <c r="AH821" s="273">
        <v>4</v>
      </c>
      <c r="AI821" s="273">
        <v>3</v>
      </c>
      <c r="AJ821" s="273">
        <v>7</v>
      </c>
      <c r="AK821" s="273">
        <v>17</v>
      </c>
      <c r="AL821" s="273">
        <v>11</v>
      </c>
      <c r="AM821" s="273">
        <v>14</v>
      </c>
      <c r="AN821" s="273">
        <v>7</v>
      </c>
      <c r="AO821" s="273">
        <v>1</v>
      </c>
      <c r="AP821" s="273">
        <v>1</v>
      </c>
      <c r="AQ821" s="273">
        <v>20</v>
      </c>
      <c r="AR821" s="273">
        <v>18</v>
      </c>
      <c r="AS821" s="273">
        <v>8</v>
      </c>
      <c r="AT821" s="273">
        <v>14</v>
      </c>
      <c r="AU821" s="273">
        <v>20</v>
      </c>
      <c r="AV821" s="273">
        <f t="shared" si="67"/>
        <v>20</v>
      </c>
      <c r="AX821" s="86" t="str">
        <f t="shared" ca="1" si="62"/>
        <v>DXC</v>
      </c>
    </row>
    <row r="822" spans="1:50" hidden="1">
      <c r="A822" s="86" t="str">
        <f t="shared" ca="1" si="66"/>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2</v>
      </c>
      <c r="AC822" s="273">
        <v>1</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67"/>
        <v>1</v>
      </c>
      <c r="AX822" s="86" t="str">
        <f t="shared" ca="1" si="62"/>
        <v>EOAN</v>
      </c>
    </row>
    <row r="823" spans="1:50" hidden="1">
      <c r="A823" s="86" t="str">
        <f t="shared" ca="1" si="66"/>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3</v>
      </c>
      <c r="AC823" s="273">
        <v>11</v>
      </c>
      <c r="AD823" s="273">
        <v>5</v>
      </c>
      <c r="AE823" s="273">
        <v>20</v>
      </c>
      <c r="AF823" s="273">
        <v>13</v>
      </c>
      <c r="AG823" s="273">
        <v>7</v>
      </c>
      <c r="AH823" s="273">
        <v>13</v>
      </c>
      <c r="AI823" s="273">
        <v>3</v>
      </c>
      <c r="AJ823" s="273">
        <v>11</v>
      </c>
      <c r="AK823" s="273">
        <v>13</v>
      </c>
      <c r="AL823" s="273">
        <v>9</v>
      </c>
      <c r="AM823" s="273">
        <v>12</v>
      </c>
      <c r="AN823" s="273">
        <v>8</v>
      </c>
      <c r="AO823" s="273">
        <v>8</v>
      </c>
      <c r="AP823" s="273">
        <v>6</v>
      </c>
      <c r="AQ823" s="273">
        <v>4</v>
      </c>
      <c r="AR823" s="273">
        <v>7</v>
      </c>
      <c r="AS823" s="273">
        <v>7</v>
      </c>
      <c r="AT823" s="273">
        <v>1</v>
      </c>
      <c r="AU823" s="273">
        <v>16</v>
      </c>
      <c r="AV823" s="273">
        <f t="shared" si="67"/>
        <v>16</v>
      </c>
      <c r="AX823" s="86" t="str">
        <f t="shared" ca="1" si="62"/>
        <v>EPIX</v>
      </c>
    </row>
    <row r="824" spans="1:50" hidden="1">
      <c r="A824" s="86" t="str">
        <f t="shared" ca="1" si="66"/>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11</v>
      </c>
      <c r="AC824" s="273">
        <v>18</v>
      </c>
      <c r="AD824" s="273">
        <v>14</v>
      </c>
      <c r="AE824" s="273">
        <v>15</v>
      </c>
      <c r="AF824" s="273">
        <v>18</v>
      </c>
      <c r="AG824" s="273">
        <v>16</v>
      </c>
      <c r="AH824" s="273">
        <v>18</v>
      </c>
      <c r="AI824" s="273">
        <v>1</v>
      </c>
      <c r="AJ824" s="273">
        <v>6</v>
      </c>
      <c r="AK824" s="273">
        <v>5</v>
      </c>
      <c r="AL824" s="273">
        <v>4</v>
      </c>
      <c r="AM824" s="273">
        <v>11</v>
      </c>
      <c r="AN824" s="273">
        <v>13</v>
      </c>
      <c r="AO824" s="273">
        <v>11</v>
      </c>
      <c r="AP824" s="273">
        <v>3</v>
      </c>
      <c r="AQ824" s="273">
        <v>3</v>
      </c>
      <c r="AR824" s="273">
        <v>3</v>
      </c>
      <c r="AS824" s="273">
        <v>3</v>
      </c>
      <c r="AT824" s="273">
        <v>4</v>
      </c>
      <c r="AU824" s="273">
        <v>20</v>
      </c>
      <c r="AV824" s="273">
        <f t="shared" si="67"/>
        <v>20</v>
      </c>
      <c r="AX824" s="86" t="str">
        <f t="shared" ca="1" si="62"/>
        <v>GM</v>
      </c>
    </row>
    <row r="825" spans="1:50" hidden="1">
      <c r="A825" s="86" t="str">
        <f t="shared" ca="1" si="66"/>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3</v>
      </c>
      <c r="AC825" s="273">
        <v>16</v>
      </c>
      <c r="AD825" s="273">
        <v>11</v>
      </c>
      <c r="AE825" s="273">
        <v>18</v>
      </c>
      <c r="AF825" s="273">
        <v>14</v>
      </c>
      <c r="AG825" s="273">
        <v>14</v>
      </c>
      <c r="AH825" s="273">
        <v>11</v>
      </c>
      <c r="AI825" s="273">
        <v>1</v>
      </c>
      <c r="AJ825" s="273">
        <v>19</v>
      </c>
      <c r="AK825" s="273">
        <v>14</v>
      </c>
      <c r="AL825" s="273">
        <v>3</v>
      </c>
      <c r="AM825" s="273">
        <v>7</v>
      </c>
      <c r="AN825" s="273">
        <v>2</v>
      </c>
      <c r="AO825" s="273">
        <v>6</v>
      </c>
      <c r="AP825" s="273">
        <v>9</v>
      </c>
      <c r="AQ825" s="273">
        <v>5</v>
      </c>
      <c r="AR825" s="273">
        <v>11</v>
      </c>
      <c r="AS825" s="273">
        <v>6</v>
      </c>
      <c r="AT825" s="273">
        <v>8</v>
      </c>
      <c r="AU825" s="273">
        <v>7</v>
      </c>
      <c r="AV825" s="273">
        <f t="shared" si="67"/>
        <v>7</v>
      </c>
      <c r="AX825" s="86" t="str">
        <f t="shared" ca="1" si="62"/>
        <v>HPE</v>
      </c>
    </row>
    <row r="826" spans="1:50" hidden="1">
      <c r="A826" s="86" t="str">
        <f t="shared" ca="1" si="66"/>
        <v>HPQ</v>
      </c>
      <c r="F826" s="249">
        <v>207.6</v>
      </c>
      <c r="G826" s="249">
        <v>207.6</v>
      </c>
      <c r="H826" s="249">
        <v>207.6</v>
      </c>
      <c r="I826" s="249">
        <v>210</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9</v>
      </c>
      <c r="AC826" s="273">
        <v>19</v>
      </c>
      <c r="AD826" s="273">
        <v>20</v>
      </c>
      <c r="AE826" s="273">
        <v>17</v>
      </c>
      <c r="AF826" s="273">
        <v>13</v>
      </c>
      <c r="AG826" s="273">
        <v>3</v>
      </c>
      <c r="AH826" s="273">
        <v>6</v>
      </c>
      <c r="AI826" s="273">
        <v>15</v>
      </c>
      <c r="AJ826" s="273">
        <v>3</v>
      </c>
      <c r="AK826" s="273">
        <v>15</v>
      </c>
      <c r="AL826" s="273">
        <v>11</v>
      </c>
      <c r="AM826" s="273">
        <v>15</v>
      </c>
      <c r="AN826" s="273">
        <v>16</v>
      </c>
      <c r="AO826" s="273">
        <v>6</v>
      </c>
      <c r="AP826" s="273">
        <v>9</v>
      </c>
      <c r="AQ826" s="273">
        <v>17</v>
      </c>
      <c r="AR826" s="273">
        <v>9</v>
      </c>
      <c r="AS826" s="273">
        <v>14</v>
      </c>
      <c r="AT826" s="273">
        <v>10</v>
      </c>
      <c r="AU826" s="273">
        <v>1</v>
      </c>
      <c r="AV826" s="273">
        <f t="shared" si="67"/>
        <v>1</v>
      </c>
      <c r="AX826" s="86" t="str">
        <f t="shared" ca="1" si="62"/>
        <v>HPQ</v>
      </c>
    </row>
    <row r="827" spans="1:50" hidden="1">
      <c r="A827" s="86" t="str">
        <f t="shared" ca="1" si="66"/>
        <v>IAG</v>
      </c>
      <c r="F827" s="249">
        <v>56.25</v>
      </c>
      <c r="G827" s="249">
        <v>57.08</v>
      </c>
      <c r="H827" s="249">
        <v>57.08</v>
      </c>
      <c r="I827" s="249">
        <v>57.08</v>
      </c>
      <c r="J827" s="249">
        <v>57.08</v>
      </c>
      <c r="K827" s="249">
        <v>57.08</v>
      </c>
      <c r="L827" s="249">
        <v>57.08</v>
      </c>
      <c r="M827" s="249">
        <v>57.45</v>
      </c>
      <c r="N827" s="249">
        <v>57.69</v>
      </c>
      <c r="O827" s="249">
        <v>57.69</v>
      </c>
      <c r="P827" s="249">
        <v>57.69</v>
      </c>
      <c r="Q827" s="249">
        <v>57.69</v>
      </c>
      <c r="R827" s="249">
        <v>57.69</v>
      </c>
      <c r="S827" s="249">
        <v>57.69</v>
      </c>
      <c r="T827" s="249">
        <v>57.69</v>
      </c>
      <c r="U827" s="249">
        <v>57.69</v>
      </c>
      <c r="V827" s="249">
        <v>57.69</v>
      </c>
      <c r="W827" s="249">
        <v>57.69</v>
      </c>
      <c r="X827" s="249">
        <v>57.81</v>
      </c>
      <c r="Y827" s="249">
        <v>58.12</v>
      </c>
      <c r="Z827" s="243">
        <f ca="1">[1]ExtEntry!$N27</f>
        <v>58.12</v>
      </c>
      <c r="AB827" s="273">
        <v>17</v>
      </c>
      <c r="AC827" s="273">
        <v>7</v>
      </c>
      <c r="AD827" s="273">
        <v>2</v>
      </c>
      <c r="AE827" s="273">
        <v>3</v>
      </c>
      <c r="AF827" s="273">
        <v>3</v>
      </c>
      <c r="AG827" s="273">
        <v>10</v>
      </c>
      <c r="AH827" s="273">
        <v>18</v>
      </c>
      <c r="AI827" s="273">
        <v>7</v>
      </c>
      <c r="AJ827" s="273">
        <v>3</v>
      </c>
      <c r="AK827" s="273">
        <v>8</v>
      </c>
      <c r="AL827" s="273">
        <v>12</v>
      </c>
      <c r="AM827" s="273">
        <v>9</v>
      </c>
      <c r="AN827" s="273">
        <v>16</v>
      </c>
      <c r="AO827" s="273">
        <v>14</v>
      </c>
      <c r="AP827" s="273">
        <v>18</v>
      </c>
      <c r="AQ827" s="273">
        <v>20</v>
      </c>
      <c r="AR827" s="273">
        <v>14</v>
      </c>
      <c r="AS827" s="273">
        <v>14</v>
      </c>
      <c r="AT827" s="273">
        <v>19</v>
      </c>
      <c r="AU827" s="273">
        <v>5</v>
      </c>
      <c r="AV827" s="273">
        <f t="shared" si="67"/>
        <v>5</v>
      </c>
      <c r="AX827" s="86" t="str">
        <f t="shared" ca="1" si="62"/>
        <v>IAG</v>
      </c>
    </row>
    <row r="828" spans="1:50" hidden="1">
      <c r="A828" s="86" t="str">
        <f t="shared" ca="1" si="66"/>
        <v>KR</v>
      </c>
      <c r="F828" s="249">
        <v>5.52</v>
      </c>
      <c r="G828" s="249">
        <v>5.52</v>
      </c>
      <c r="H828" s="249">
        <v>6.4</v>
      </c>
      <c r="I828" s="249">
        <v>7</v>
      </c>
      <c r="J828" s="249">
        <v>7</v>
      </c>
      <c r="K828" s="249">
        <v>7</v>
      </c>
      <c r="L828" s="249">
        <v>7</v>
      </c>
      <c r="M828" s="249">
        <v>7</v>
      </c>
      <c r="N828" s="249">
        <v>7.13</v>
      </c>
      <c r="O828" s="249">
        <v>7.13</v>
      </c>
      <c r="P828" s="249">
        <v>7.13</v>
      </c>
      <c r="Q828" s="249">
        <v>7.13</v>
      </c>
      <c r="R828" s="249">
        <v>7.13</v>
      </c>
      <c r="S828" s="249">
        <v>7.13</v>
      </c>
      <c r="T828" s="249">
        <v>7.13</v>
      </c>
      <c r="U828" s="249">
        <v>7.13</v>
      </c>
      <c r="V828" s="249">
        <v>7.13</v>
      </c>
      <c r="W828" s="249">
        <v>7.13</v>
      </c>
      <c r="X828" s="249">
        <v>7.13</v>
      </c>
      <c r="Y828" s="249">
        <v>7.13</v>
      </c>
      <c r="Z828" s="243">
        <f ca="1">[1]ExtEntry!$N28</f>
        <v>7.13</v>
      </c>
      <c r="AB828" s="273">
        <v>2</v>
      </c>
      <c r="AC828" s="273">
        <v>20</v>
      </c>
      <c r="AD828" s="273">
        <v>19</v>
      </c>
      <c r="AE828" s="273">
        <v>14</v>
      </c>
      <c r="AF828" s="273">
        <v>5</v>
      </c>
      <c r="AG828" s="273">
        <v>5</v>
      </c>
      <c r="AH828" s="273">
        <v>15</v>
      </c>
      <c r="AI828" s="273">
        <v>3</v>
      </c>
      <c r="AJ828" s="273">
        <v>3</v>
      </c>
      <c r="AK828" s="273">
        <v>2</v>
      </c>
      <c r="AL828" s="273">
        <v>15</v>
      </c>
      <c r="AM828" s="273">
        <v>5</v>
      </c>
      <c r="AN828" s="273">
        <v>9</v>
      </c>
      <c r="AO828" s="273">
        <v>13</v>
      </c>
      <c r="AP828" s="273">
        <v>6</v>
      </c>
      <c r="AQ828" s="273">
        <v>8</v>
      </c>
      <c r="AR828" s="273">
        <v>16</v>
      </c>
      <c r="AS828" s="273">
        <v>12</v>
      </c>
      <c r="AT828" s="273">
        <v>4</v>
      </c>
      <c r="AU828" s="273">
        <v>13</v>
      </c>
      <c r="AV828" s="273">
        <f t="shared" si="67"/>
        <v>13</v>
      </c>
      <c r="AX828" s="86" t="str">
        <f t="shared" ca="1" si="62"/>
        <v>KR</v>
      </c>
    </row>
    <row r="829" spans="1:50" hidden="1">
      <c r="A829" s="86" t="str">
        <f t="shared" ca="1" si="66"/>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7</v>
      </c>
      <c r="AC829" s="273">
        <v>12</v>
      </c>
      <c r="AD829" s="273">
        <v>18</v>
      </c>
      <c r="AE829" s="273">
        <v>12</v>
      </c>
      <c r="AF829" s="273">
        <v>18</v>
      </c>
      <c r="AG829" s="273">
        <v>11</v>
      </c>
      <c r="AH829" s="273">
        <v>12</v>
      </c>
      <c r="AI829" s="273">
        <v>6</v>
      </c>
      <c r="AJ829" s="273">
        <v>8</v>
      </c>
      <c r="AK829" s="273">
        <v>9</v>
      </c>
      <c r="AL829" s="273">
        <v>10</v>
      </c>
      <c r="AM829" s="273">
        <v>9</v>
      </c>
      <c r="AN829" s="273">
        <v>3</v>
      </c>
      <c r="AO829" s="273">
        <v>12</v>
      </c>
      <c r="AP829" s="273">
        <v>4</v>
      </c>
      <c r="AQ829" s="273">
        <v>18</v>
      </c>
      <c r="AR829" s="273">
        <v>18</v>
      </c>
      <c r="AS829" s="273">
        <v>9</v>
      </c>
      <c r="AT829" s="273">
        <v>5</v>
      </c>
      <c r="AU829" s="273">
        <v>13</v>
      </c>
      <c r="AV829" s="273">
        <f t="shared" si="67"/>
        <v>13</v>
      </c>
      <c r="AX829" s="86" t="str">
        <f t="shared" ca="1" si="62"/>
        <v>LNSR</v>
      </c>
    </row>
    <row r="830" spans="1:50" hidden="1">
      <c r="A830" s="86" t="str">
        <f t="shared" ca="1" si="66"/>
        <v>LUMN</v>
      </c>
      <c r="F830" s="249">
        <v>23.15</v>
      </c>
      <c r="G830" s="249">
        <v>23.15</v>
      </c>
      <c r="H830" s="249">
        <v>23.15</v>
      </c>
      <c r="I830" s="249">
        <v>23.04</v>
      </c>
      <c r="J830" s="249">
        <v>23.04</v>
      </c>
      <c r="K830" s="249">
        <v>23.04</v>
      </c>
      <c r="L830" s="249">
        <v>22.76</v>
      </c>
      <c r="M830" s="249">
        <v>22.29</v>
      </c>
      <c r="N830" s="249">
        <v>22.28</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10</v>
      </c>
      <c r="AC830" s="273">
        <v>4</v>
      </c>
      <c r="AD830" s="273">
        <v>7</v>
      </c>
      <c r="AE830" s="273">
        <v>10</v>
      </c>
      <c r="AF830" s="273">
        <v>8</v>
      </c>
      <c r="AG830" s="273">
        <v>17</v>
      </c>
      <c r="AH830" s="273">
        <v>20</v>
      </c>
      <c r="AI830" s="273">
        <v>2</v>
      </c>
      <c r="AJ830" s="273">
        <v>8</v>
      </c>
      <c r="AK830" s="273">
        <v>6</v>
      </c>
      <c r="AL830" s="273">
        <v>3</v>
      </c>
      <c r="AM830" s="273">
        <v>20</v>
      </c>
      <c r="AN830" s="273">
        <v>11</v>
      </c>
      <c r="AO830" s="273">
        <v>5</v>
      </c>
      <c r="AP830" s="273">
        <v>3</v>
      </c>
      <c r="AQ830" s="273">
        <v>5</v>
      </c>
      <c r="AR830" s="273">
        <v>2</v>
      </c>
      <c r="AS830" s="273">
        <v>9</v>
      </c>
      <c r="AT830" s="273">
        <v>5</v>
      </c>
      <c r="AU830" s="273">
        <v>8</v>
      </c>
      <c r="AV830" s="273">
        <f t="shared" si="67"/>
        <v>8</v>
      </c>
      <c r="AX830" s="86" t="str">
        <f t="shared" ca="1" si="62"/>
        <v>LUMN</v>
      </c>
    </row>
    <row r="831" spans="1:50" hidden="1">
      <c r="A831" s="86" t="str">
        <f t="shared" ca="1" si="66"/>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19</v>
      </c>
      <c r="AC831" s="273">
        <v>19</v>
      </c>
      <c r="AD831" s="273">
        <v>10</v>
      </c>
      <c r="AE831" s="273">
        <v>3</v>
      </c>
      <c r="AF831" s="273">
        <v>19</v>
      </c>
      <c r="AG831" s="273">
        <v>17</v>
      </c>
      <c r="AH831" s="273">
        <v>15</v>
      </c>
      <c r="AI831" s="273">
        <v>14</v>
      </c>
      <c r="AJ831" s="273">
        <v>2</v>
      </c>
      <c r="AK831" s="273">
        <v>3</v>
      </c>
      <c r="AL831" s="273">
        <v>6</v>
      </c>
      <c r="AM831" s="273">
        <v>13</v>
      </c>
      <c r="AN831" s="273">
        <v>7</v>
      </c>
      <c r="AO831" s="273">
        <v>14</v>
      </c>
      <c r="AP831" s="273">
        <v>18</v>
      </c>
      <c r="AQ831" s="273">
        <v>8</v>
      </c>
      <c r="AR831" s="273">
        <v>7</v>
      </c>
      <c r="AS831" s="273">
        <v>9</v>
      </c>
      <c r="AT831" s="273">
        <v>20</v>
      </c>
      <c r="AU831" s="273">
        <v>5</v>
      </c>
      <c r="AV831" s="273">
        <f t="shared" si="67"/>
        <v>5</v>
      </c>
      <c r="AX831" s="86" t="str">
        <f t="shared" ca="1" si="62"/>
        <v>MRNA</v>
      </c>
    </row>
    <row r="832" spans="1:50" hidden="1">
      <c r="A832" s="86" t="str">
        <f t="shared" ca="1" si="66"/>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7</v>
      </c>
      <c r="AC832" s="273">
        <v>9</v>
      </c>
      <c r="AD832" s="273">
        <v>1</v>
      </c>
      <c r="AE832" s="273">
        <v>11</v>
      </c>
      <c r="AF832" s="273">
        <v>17</v>
      </c>
      <c r="AG832" s="273">
        <v>10</v>
      </c>
      <c r="AH832" s="273">
        <v>7</v>
      </c>
      <c r="AI832" s="273">
        <v>15</v>
      </c>
      <c r="AJ832" s="273">
        <v>4</v>
      </c>
      <c r="AK832" s="273">
        <v>4</v>
      </c>
      <c r="AL832" s="273">
        <v>5</v>
      </c>
      <c r="AM832" s="273">
        <v>19</v>
      </c>
      <c r="AN832" s="273">
        <v>12</v>
      </c>
      <c r="AO832" s="273">
        <v>3</v>
      </c>
      <c r="AP832" s="273">
        <v>10</v>
      </c>
      <c r="AQ832" s="273">
        <v>19</v>
      </c>
      <c r="AR832" s="273">
        <v>14</v>
      </c>
      <c r="AS832" s="273">
        <v>14</v>
      </c>
      <c r="AT832" s="273">
        <v>2</v>
      </c>
      <c r="AU832" s="273">
        <v>13</v>
      </c>
      <c r="AV832" s="273">
        <f t="shared" si="67"/>
        <v>13</v>
      </c>
      <c r="AX832" s="86" t="str">
        <f t="shared" ca="1" si="62"/>
        <v>MSFT</v>
      </c>
    </row>
    <row r="833" spans="1:50" hidden="1">
      <c r="A833" s="86" t="str">
        <f t="shared" ca="1" si="66"/>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4</v>
      </c>
      <c r="AC833" s="273">
        <v>10</v>
      </c>
      <c r="AD833" s="273">
        <v>10</v>
      </c>
      <c r="AE833" s="273">
        <v>14</v>
      </c>
      <c r="AF833" s="273">
        <v>14</v>
      </c>
      <c r="AG833" s="273">
        <v>9</v>
      </c>
      <c r="AH833" s="273">
        <v>16</v>
      </c>
      <c r="AI833" s="273">
        <v>6</v>
      </c>
      <c r="AJ833" s="273">
        <v>1</v>
      </c>
      <c r="AK833" s="273">
        <v>1</v>
      </c>
      <c r="AL833" s="273">
        <v>13</v>
      </c>
      <c r="AM833" s="273">
        <v>7</v>
      </c>
      <c r="AN833" s="273">
        <v>15</v>
      </c>
      <c r="AO833" s="273">
        <v>12</v>
      </c>
      <c r="AP833" s="273">
        <v>14</v>
      </c>
      <c r="AQ833" s="273">
        <v>9</v>
      </c>
      <c r="AR833" s="273">
        <v>16</v>
      </c>
      <c r="AS833" s="273">
        <v>3</v>
      </c>
      <c r="AT833" s="273">
        <v>12</v>
      </c>
      <c r="AU833" s="273">
        <v>1</v>
      </c>
      <c r="AV833" s="273">
        <f t="shared" si="67"/>
        <v>1</v>
      </c>
      <c r="AX833" s="86" t="str">
        <f t="shared" ca="1" si="62"/>
        <v>NEE</v>
      </c>
    </row>
    <row r="834" spans="1:50" hidden="1">
      <c r="A834" s="86" t="str">
        <f t="shared" ca="1" si="66"/>
        <v>NEM</v>
      </c>
      <c r="F834" s="249">
        <v>756.27</v>
      </c>
      <c r="G834" s="249">
        <v>757.38</v>
      </c>
      <c r="H834" s="249">
        <v>779.94</v>
      </c>
      <c r="I834" s="249">
        <v>809.33010000000002</v>
      </c>
      <c r="J834" s="249">
        <v>82.11</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8</v>
      </c>
      <c r="AC834" s="273">
        <v>13</v>
      </c>
      <c r="AD834" s="273">
        <v>8</v>
      </c>
      <c r="AE834" s="273">
        <v>18</v>
      </c>
      <c r="AF834" s="273">
        <v>1</v>
      </c>
      <c r="AG834" s="273">
        <v>18</v>
      </c>
      <c r="AH834" s="273">
        <v>16</v>
      </c>
      <c r="AI834" s="273">
        <v>11</v>
      </c>
      <c r="AJ834" s="273">
        <v>3</v>
      </c>
      <c r="AK834" s="273">
        <v>3</v>
      </c>
      <c r="AL834" s="273">
        <v>4</v>
      </c>
      <c r="AM834" s="273">
        <v>5</v>
      </c>
      <c r="AN834" s="273">
        <v>8</v>
      </c>
      <c r="AO834" s="273">
        <v>20</v>
      </c>
      <c r="AP834" s="273">
        <v>19</v>
      </c>
      <c r="AQ834" s="273">
        <v>15</v>
      </c>
      <c r="AR834" s="273">
        <v>15</v>
      </c>
      <c r="AS834" s="273">
        <v>11</v>
      </c>
      <c r="AT834" s="273">
        <v>18</v>
      </c>
      <c r="AU834" s="273">
        <v>4</v>
      </c>
      <c r="AV834" s="273">
        <f t="shared" si="67"/>
        <v>4</v>
      </c>
      <c r="AX834" s="86" t="str">
        <f t="shared" ca="1" si="62"/>
        <v>NEM</v>
      </c>
    </row>
    <row r="835" spans="1:50" hidden="1">
      <c r="A835" s="86" t="str">
        <f t="shared" ca="1" si="66"/>
        <v>NFLX</v>
      </c>
      <c r="F835" s="249">
        <v>3.2210000000000001</v>
      </c>
      <c r="G835" s="249">
        <v>2.9550000000000001</v>
      </c>
      <c r="H835" s="249">
        <v>2.5</v>
      </c>
      <c r="I835" s="249">
        <v>2.42</v>
      </c>
      <c r="J835" s="249">
        <v>2.0499999999999998</v>
      </c>
      <c r="K835" s="249">
        <v>2.0499999999999998</v>
      </c>
      <c r="L835" s="249">
        <v>2.0371000000000001</v>
      </c>
      <c r="M835" s="249">
        <v>1.91</v>
      </c>
      <c r="N835" s="249">
        <v>1.91</v>
      </c>
      <c r="O835" s="249">
        <v>1.91</v>
      </c>
      <c r="P835" s="249">
        <v>1.91</v>
      </c>
      <c r="Q835" s="249">
        <v>1.91</v>
      </c>
      <c r="R835" s="249">
        <v>1.91</v>
      </c>
      <c r="S835" s="249">
        <v>1.88</v>
      </c>
      <c r="T835" s="249">
        <v>1.88</v>
      </c>
      <c r="U835" s="249">
        <v>1.88</v>
      </c>
      <c r="V835" s="249">
        <v>1.88</v>
      </c>
      <c r="W835" s="249">
        <v>1.865</v>
      </c>
      <c r="X835" s="249">
        <v>1.83</v>
      </c>
      <c r="Y835" s="249">
        <v>1.8</v>
      </c>
      <c r="Z835" s="243">
        <f ca="1">[1]ExtEntry!$N35</f>
        <v>1.8</v>
      </c>
      <c r="AB835" s="273">
        <v>20</v>
      </c>
      <c r="AC835" s="273">
        <v>19</v>
      </c>
      <c r="AD835" s="273">
        <v>4</v>
      </c>
      <c r="AE835" s="273">
        <v>6</v>
      </c>
      <c r="AF835" s="273">
        <v>16</v>
      </c>
      <c r="AG835" s="273">
        <v>13</v>
      </c>
      <c r="AH835" s="273">
        <v>11</v>
      </c>
      <c r="AI835" s="273">
        <v>3</v>
      </c>
      <c r="AJ835" s="273">
        <v>5</v>
      </c>
      <c r="AK835" s="273">
        <v>3</v>
      </c>
      <c r="AL835" s="273">
        <v>4</v>
      </c>
      <c r="AM835" s="273">
        <v>17</v>
      </c>
      <c r="AN835" s="273">
        <v>18</v>
      </c>
      <c r="AO835" s="273">
        <v>14</v>
      </c>
      <c r="AP835" s="273">
        <v>8</v>
      </c>
      <c r="AQ835" s="273">
        <v>9</v>
      </c>
      <c r="AR835" s="273">
        <v>14</v>
      </c>
      <c r="AS835" s="273">
        <v>7</v>
      </c>
      <c r="AT835" s="273">
        <v>10</v>
      </c>
      <c r="AU835" s="273">
        <v>7</v>
      </c>
      <c r="AV835" s="273">
        <f t="shared" si="67"/>
        <v>7</v>
      </c>
      <c r="AX835" s="86" t="str">
        <f t="shared" ca="1" si="62"/>
        <v>NFLX</v>
      </c>
    </row>
    <row r="836" spans="1:50" hidden="1">
      <c r="A836" s="86" t="str">
        <f t="shared" ca="1" si="66"/>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5</v>
      </c>
      <c r="AC836" s="273">
        <v>13</v>
      </c>
      <c r="AD836" s="273">
        <v>3</v>
      </c>
      <c r="AE836" s="273">
        <v>14</v>
      </c>
      <c r="AF836" s="273">
        <v>6</v>
      </c>
      <c r="AG836" s="273">
        <v>11</v>
      </c>
      <c r="AH836" s="273">
        <v>18</v>
      </c>
      <c r="AI836" s="273">
        <v>8</v>
      </c>
      <c r="AJ836" s="273">
        <v>1</v>
      </c>
      <c r="AK836" s="273">
        <v>1</v>
      </c>
      <c r="AL836" s="273">
        <v>2</v>
      </c>
      <c r="AM836" s="273">
        <v>12</v>
      </c>
      <c r="AN836" s="273">
        <v>17</v>
      </c>
      <c r="AO836" s="273">
        <v>13</v>
      </c>
      <c r="AP836" s="273">
        <v>15</v>
      </c>
      <c r="AQ836" s="273">
        <v>14</v>
      </c>
      <c r="AR836" s="273">
        <v>13</v>
      </c>
      <c r="AS836" s="273">
        <v>1</v>
      </c>
      <c r="AT836" s="273">
        <v>11</v>
      </c>
      <c r="AU836" s="273">
        <v>5</v>
      </c>
      <c r="AV836" s="273">
        <f t="shared" si="67"/>
        <v>5</v>
      </c>
      <c r="AX836" s="86" t="str">
        <f t="shared" ca="1" si="62"/>
        <v>NOTE</v>
      </c>
    </row>
    <row r="837" spans="1:50" hidden="1">
      <c r="A837" s="86" t="str">
        <f t="shared" ca="1" si="66"/>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10</v>
      </c>
      <c r="AC837" s="273">
        <v>7</v>
      </c>
      <c r="AD837" s="273">
        <v>6</v>
      </c>
      <c r="AE837" s="273">
        <v>2</v>
      </c>
      <c r="AF837" s="273">
        <v>17</v>
      </c>
      <c r="AG837" s="273">
        <v>17</v>
      </c>
      <c r="AH837" s="273">
        <v>14</v>
      </c>
      <c r="AI837" s="273">
        <v>7</v>
      </c>
      <c r="AJ837" s="273">
        <v>12</v>
      </c>
      <c r="AK837" s="273">
        <v>13</v>
      </c>
      <c r="AL837" s="273">
        <v>4</v>
      </c>
      <c r="AM837" s="273">
        <v>15</v>
      </c>
      <c r="AN837" s="273">
        <v>17</v>
      </c>
      <c r="AO837" s="273">
        <v>4</v>
      </c>
      <c r="AP837" s="273">
        <v>2</v>
      </c>
      <c r="AQ837" s="273">
        <v>11</v>
      </c>
      <c r="AR837" s="273">
        <v>15</v>
      </c>
      <c r="AS837" s="273">
        <v>3</v>
      </c>
      <c r="AT837" s="273">
        <v>7</v>
      </c>
      <c r="AU837" s="273">
        <v>5</v>
      </c>
      <c r="AV837" s="273">
        <f t="shared" si="67"/>
        <v>5</v>
      </c>
      <c r="AX837" s="86" t="str">
        <f t="shared" ca="1" si="62"/>
        <v>PAAS</v>
      </c>
    </row>
    <row r="838" spans="1:50" hidden="1">
      <c r="A838" s="86" t="str">
        <f t="shared" ca="1" si="66"/>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7</v>
      </c>
      <c r="AC838" s="273">
        <v>20</v>
      </c>
      <c r="AD838" s="273">
        <v>6</v>
      </c>
      <c r="AE838" s="273">
        <v>14</v>
      </c>
      <c r="AF838" s="273">
        <v>5</v>
      </c>
      <c r="AG838" s="273">
        <v>11</v>
      </c>
      <c r="AH838" s="273">
        <v>6</v>
      </c>
      <c r="AI838" s="273">
        <v>4</v>
      </c>
      <c r="AJ838" s="273">
        <v>4</v>
      </c>
      <c r="AK838" s="273">
        <v>3</v>
      </c>
      <c r="AL838" s="273">
        <v>4</v>
      </c>
      <c r="AM838" s="273">
        <v>15</v>
      </c>
      <c r="AN838" s="273">
        <v>8</v>
      </c>
      <c r="AO838" s="273">
        <v>1</v>
      </c>
      <c r="AP838" s="273">
        <v>1</v>
      </c>
      <c r="AQ838" s="273">
        <v>3</v>
      </c>
      <c r="AR838" s="273">
        <v>17</v>
      </c>
      <c r="AS838" s="273">
        <v>3</v>
      </c>
      <c r="AT838" s="273">
        <v>6</v>
      </c>
      <c r="AU838" s="273">
        <v>12</v>
      </c>
      <c r="AV838" s="273">
        <f t="shared" si="67"/>
        <v>12</v>
      </c>
      <c r="AX838" s="86" t="str">
        <f t="shared" ca="1" si="62"/>
        <v>PROF</v>
      </c>
    </row>
    <row r="839" spans="1:50" hidden="1">
      <c r="A839" s="86" t="str">
        <f t="shared" ca="1" si="66"/>
        <v>POET</v>
      </c>
      <c r="F839" s="249">
        <v>0.62429999999999997</v>
      </c>
      <c r="G839" s="249">
        <v>0.62429999999999997</v>
      </c>
      <c r="H839" s="249">
        <v>0.62429999999999997</v>
      </c>
      <c r="I839" s="249">
        <v>0.59409999999999996</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2</v>
      </c>
      <c r="AC839" s="273">
        <v>8</v>
      </c>
      <c r="AD839" s="273">
        <v>11</v>
      </c>
      <c r="AE839" s="273">
        <v>1</v>
      </c>
      <c r="AF839" s="273">
        <v>20</v>
      </c>
      <c r="AG839" s="273">
        <v>11</v>
      </c>
      <c r="AH839" s="273">
        <v>9</v>
      </c>
      <c r="AI839" s="273">
        <v>2</v>
      </c>
      <c r="AJ839" s="273">
        <v>1</v>
      </c>
      <c r="AK839" s="273">
        <v>2</v>
      </c>
      <c r="AL839" s="273">
        <v>20</v>
      </c>
      <c r="AM839" s="273">
        <v>11</v>
      </c>
      <c r="AN839" s="273">
        <v>5</v>
      </c>
      <c r="AO839" s="273">
        <v>14</v>
      </c>
      <c r="AP839" s="273">
        <v>9</v>
      </c>
      <c r="AQ839" s="273">
        <v>9</v>
      </c>
      <c r="AR839" s="273">
        <v>11</v>
      </c>
      <c r="AS839" s="273">
        <v>9</v>
      </c>
      <c r="AT839" s="273">
        <v>15</v>
      </c>
      <c r="AU839" s="273">
        <v>18</v>
      </c>
      <c r="AV839" s="273">
        <f t="shared" si="67"/>
        <v>18</v>
      </c>
      <c r="AX839" s="86" t="str">
        <f t="shared" ca="1" si="62"/>
        <v>POET</v>
      </c>
    </row>
    <row r="840" spans="1:50" hidden="1">
      <c r="A840" s="86" t="str">
        <f t="shared" ca="1" si="66"/>
        <v>PW</v>
      </c>
      <c r="F840" s="249">
        <v>13.91</v>
      </c>
      <c r="G840" s="249">
        <v>14.47</v>
      </c>
      <c r="H840" s="249">
        <v>14.63</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v>
      </c>
      <c r="AC840" s="273">
        <v>17</v>
      </c>
      <c r="AD840" s="273">
        <v>16</v>
      </c>
      <c r="AE840" s="273">
        <v>4</v>
      </c>
      <c r="AF840" s="273">
        <v>2</v>
      </c>
      <c r="AG840" s="273">
        <v>20</v>
      </c>
      <c r="AH840" s="273">
        <v>4</v>
      </c>
      <c r="AI840" s="273">
        <v>5</v>
      </c>
      <c r="AJ840" s="273">
        <v>8</v>
      </c>
      <c r="AK840" s="273">
        <v>9</v>
      </c>
      <c r="AL840" s="273">
        <v>14</v>
      </c>
      <c r="AM840" s="273">
        <v>18</v>
      </c>
      <c r="AN840" s="273">
        <v>18</v>
      </c>
      <c r="AO840" s="273">
        <v>9</v>
      </c>
      <c r="AP840" s="273">
        <v>6</v>
      </c>
      <c r="AQ840" s="273">
        <v>12</v>
      </c>
      <c r="AR840" s="273">
        <v>9</v>
      </c>
      <c r="AS840" s="273">
        <v>13</v>
      </c>
      <c r="AT840" s="273">
        <v>15</v>
      </c>
      <c r="AU840" s="273">
        <v>11</v>
      </c>
      <c r="AV840" s="273">
        <f t="shared" si="67"/>
        <v>11</v>
      </c>
      <c r="AX840" s="86" t="str">
        <f t="shared" ca="1" si="62"/>
        <v>PW</v>
      </c>
    </row>
    <row r="841" spans="1:50" hidden="1">
      <c r="A841" s="86" t="str">
        <f t="shared" ca="1" si="66"/>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8</v>
      </c>
      <c r="AC841" s="273">
        <v>7</v>
      </c>
      <c r="AD841" s="273">
        <v>12</v>
      </c>
      <c r="AE841" s="273">
        <v>11</v>
      </c>
      <c r="AF841" s="273">
        <v>17</v>
      </c>
      <c r="AG841" s="273">
        <v>20</v>
      </c>
      <c r="AH841" s="273">
        <v>1</v>
      </c>
      <c r="AI841" s="273">
        <v>19</v>
      </c>
      <c r="AJ841" s="273">
        <v>2</v>
      </c>
      <c r="AK841" s="273">
        <v>19</v>
      </c>
      <c r="AL841" s="273">
        <v>8</v>
      </c>
      <c r="AM841" s="273">
        <v>15</v>
      </c>
      <c r="AN841" s="273">
        <v>10</v>
      </c>
      <c r="AO841" s="273">
        <v>2</v>
      </c>
      <c r="AP841" s="273">
        <v>9</v>
      </c>
      <c r="AQ841" s="273">
        <v>12</v>
      </c>
      <c r="AR841" s="273">
        <v>16</v>
      </c>
      <c r="AS841" s="273">
        <v>5</v>
      </c>
      <c r="AT841" s="273">
        <v>10</v>
      </c>
      <c r="AU841" s="273">
        <v>14</v>
      </c>
      <c r="AV841" s="273">
        <f t="shared" si="67"/>
        <v>14</v>
      </c>
      <c r="AX841" s="86" t="str">
        <f t="shared" ca="1" si="62"/>
        <v>RIGL</v>
      </c>
    </row>
    <row r="842" spans="1:50" hidden="1">
      <c r="A842" s="86" t="str">
        <f t="shared" ca="1" si="66"/>
        <v>RWE</v>
      </c>
      <c r="F842" s="249">
        <v>209.7</v>
      </c>
      <c r="G842" s="249">
        <v>209.7</v>
      </c>
      <c r="H842" s="249">
        <v>209.7</v>
      </c>
      <c r="I842" s="249">
        <v>207.55</v>
      </c>
      <c r="J842" s="249">
        <v>202.5</v>
      </c>
      <c r="K842" s="249">
        <v>202.5</v>
      </c>
      <c r="L842" s="249">
        <v>202.5</v>
      </c>
      <c r="M842" s="249">
        <v>202.5</v>
      </c>
      <c r="N842" s="249">
        <v>202.3</v>
      </c>
      <c r="O842" s="249">
        <v>202.3</v>
      </c>
      <c r="P842" s="249">
        <v>202.3</v>
      </c>
      <c r="Q842" s="249">
        <v>202.3</v>
      </c>
      <c r="R842" s="249">
        <v>202.3</v>
      </c>
      <c r="S842" s="249">
        <v>202.3</v>
      </c>
      <c r="T842" s="249">
        <v>202.3</v>
      </c>
      <c r="U842" s="249">
        <v>202.3</v>
      </c>
      <c r="V842" s="249">
        <v>202.3</v>
      </c>
      <c r="W842" s="249">
        <v>202.3</v>
      </c>
      <c r="X842" s="249">
        <v>202.3</v>
      </c>
      <c r="Y842" s="249">
        <v>201.85</v>
      </c>
      <c r="Z842" s="243">
        <f ca="1">[1]ExtEntry!$N42</f>
        <v>201.85</v>
      </c>
      <c r="AB842" s="273">
        <v>6</v>
      </c>
      <c r="AC842" s="273">
        <v>20</v>
      </c>
      <c r="AD842" s="273">
        <v>15</v>
      </c>
      <c r="AE842" s="273">
        <v>18</v>
      </c>
      <c r="AF842" s="273">
        <v>10</v>
      </c>
      <c r="AG842" s="273">
        <v>9</v>
      </c>
      <c r="AH842" s="273">
        <v>8</v>
      </c>
      <c r="AI842" s="273">
        <v>12</v>
      </c>
      <c r="AJ842" s="273">
        <v>4</v>
      </c>
      <c r="AK842" s="273">
        <v>9</v>
      </c>
      <c r="AL842" s="273">
        <v>6</v>
      </c>
      <c r="AM842" s="273">
        <v>8</v>
      </c>
      <c r="AN842" s="273">
        <v>12</v>
      </c>
      <c r="AO842" s="273">
        <v>12</v>
      </c>
      <c r="AP842" s="273">
        <v>14</v>
      </c>
      <c r="AQ842" s="273">
        <v>1</v>
      </c>
      <c r="AR842" s="273">
        <v>2</v>
      </c>
      <c r="AS842" s="273">
        <v>12</v>
      </c>
      <c r="AT842" s="273">
        <v>7</v>
      </c>
      <c r="AU842" s="273">
        <v>17</v>
      </c>
      <c r="AV842" s="273">
        <f t="shared" si="67"/>
        <v>17</v>
      </c>
      <c r="AX842" s="86" t="str">
        <f t="shared" ca="1" si="62"/>
        <v>RWE</v>
      </c>
    </row>
    <row r="843" spans="1:50" hidden="1">
      <c r="A843" s="86" t="str">
        <f t="shared" ca="1" si="66"/>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6</v>
      </c>
      <c r="AC843" s="273">
        <v>19</v>
      </c>
      <c r="AD843" s="273">
        <v>2</v>
      </c>
      <c r="AE843" s="273">
        <v>3</v>
      </c>
      <c r="AF843" s="273">
        <v>18</v>
      </c>
      <c r="AG843" s="273">
        <v>12</v>
      </c>
      <c r="AH843" s="273">
        <v>20</v>
      </c>
      <c r="AI843" s="273">
        <v>1</v>
      </c>
      <c r="AJ843" s="273">
        <v>2</v>
      </c>
      <c r="AK843" s="273">
        <v>2</v>
      </c>
      <c r="AL843" s="273">
        <v>6</v>
      </c>
      <c r="AM843" s="273">
        <v>9</v>
      </c>
      <c r="AN843" s="273">
        <v>4</v>
      </c>
      <c r="AO843" s="273">
        <v>15</v>
      </c>
      <c r="AP843" s="273">
        <v>11</v>
      </c>
      <c r="AQ843" s="273">
        <v>2</v>
      </c>
      <c r="AR843" s="273">
        <v>12</v>
      </c>
      <c r="AS843" s="273">
        <v>12</v>
      </c>
      <c r="AT843" s="273">
        <v>7</v>
      </c>
      <c r="AU843" s="273">
        <v>20</v>
      </c>
      <c r="AV843" s="273">
        <f t="shared" si="67"/>
        <v>20</v>
      </c>
      <c r="AX843" s="86" t="str">
        <f t="shared" ca="1" si="62"/>
        <v>SAP</v>
      </c>
    </row>
    <row r="844" spans="1:50" hidden="1">
      <c r="A844" s="86" t="str">
        <f t="shared" ca="1" si="66"/>
        <v>SHECY</v>
      </c>
      <c r="F844" s="249">
        <v>7.22</v>
      </c>
      <c r="G844" s="249">
        <v>7.62</v>
      </c>
      <c r="H844" s="249">
        <v>7.62</v>
      </c>
      <c r="I844" s="249">
        <v>8.3571000000000009</v>
      </c>
      <c r="J844" s="249">
        <v>8.3571000000000009</v>
      </c>
      <c r="K844" s="249">
        <v>8.3571000000000009</v>
      </c>
      <c r="L844" s="249">
        <v>8.18</v>
      </c>
      <c r="M844" s="249">
        <v>8.1199999999999992</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7</v>
      </c>
      <c r="AC844" s="273">
        <v>16</v>
      </c>
      <c r="AD844" s="273">
        <v>6</v>
      </c>
      <c r="AE844" s="273">
        <v>16</v>
      </c>
      <c r="AF844" s="273">
        <v>9</v>
      </c>
      <c r="AG844" s="273">
        <v>10</v>
      </c>
      <c r="AH844" s="273">
        <v>12</v>
      </c>
      <c r="AI844" s="273">
        <v>2</v>
      </c>
      <c r="AJ844" s="273">
        <v>5</v>
      </c>
      <c r="AK844" s="273">
        <v>5</v>
      </c>
      <c r="AL844" s="273">
        <v>4</v>
      </c>
      <c r="AM844" s="273">
        <v>12</v>
      </c>
      <c r="AN844" s="273">
        <v>5</v>
      </c>
      <c r="AO844" s="273">
        <v>10</v>
      </c>
      <c r="AP844" s="273">
        <v>2</v>
      </c>
      <c r="AQ844" s="273">
        <v>4</v>
      </c>
      <c r="AR844" s="273">
        <v>14</v>
      </c>
      <c r="AS844" s="273">
        <v>3</v>
      </c>
      <c r="AT844" s="273">
        <v>7</v>
      </c>
      <c r="AU844" s="273">
        <v>6</v>
      </c>
      <c r="AV844" s="273">
        <f t="shared" si="67"/>
        <v>6</v>
      </c>
      <c r="AX844" s="86" t="str">
        <f t="shared" ca="1" si="62"/>
        <v>SHECY</v>
      </c>
    </row>
    <row r="845" spans="1:50" hidden="1">
      <c r="A845" s="86" t="str">
        <f t="shared" ca="1" si="66"/>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3</v>
      </c>
      <c r="AC845" s="273">
        <v>18</v>
      </c>
      <c r="AD845" s="273">
        <v>17</v>
      </c>
      <c r="AE845" s="273">
        <v>9</v>
      </c>
      <c r="AF845" s="273">
        <v>15</v>
      </c>
      <c r="AG845" s="273">
        <v>9</v>
      </c>
      <c r="AH845" s="273">
        <v>13</v>
      </c>
      <c r="AI845" s="273">
        <v>7</v>
      </c>
      <c r="AJ845" s="273">
        <v>7</v>
      </c>
      <c r="AK845" s="273">
        <v>6</v>
      </c>
      <c r="AL845" s="273">
        <v>7</v>
      </c>
      <c r="AM845" s="273">
        <v>11</v>
      </c>
      <c r="AN845" s="273">
        <v>11</v>
      </c>
      <c r="AO845" s="273">
        <v>3</v>
      </c>
      <c r="AP845" s="273">
        <v>2</v>
      </c>
      <c r="AQ845" s="273">
        <v>10</v>
      </c>
      <c r="AR845" s="273">
        <v>12</v>
      </c>
      <c r="AS845" s="273">
        <v>4</v>
      </c>
      <c r="AT845" s="273">
        <v>6</v>
      </c>
      <c r="AU845" s="273">
        <v>16</v>
      </c>
      <c r="AV845" s="273">
        <f t="shared" si="67"/>
        <v>16</v>
      </c>
      <c r="AX845" s="86" t="str">
        <f t="shared" ca="1" si="62"/>
        <v>SSYS</v>
      </c>
    </row>
    <row r="846" spans="1:50" hidden="1">
      <c r="A846" s="86" t="str">
        <f t="shared" ca="1" si="66"/>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9</v>
      </c>
      <c r="AC846" s="273">
        <v>12</v>
      </c>
      <c r="AD846" s="273">
        <v>11</v>
      </c>
      <c r="AE846" s="273">
        <v>6</v>
      </c>
      <c r="AF846" s="273">
        <v>13</v>
      </c>
      <c r="AG846" s="273">
        <v>8</v>
      </c>
      <c r="AH846" s="273">
        <v>11</v>
      </c>
      <c r="AI846" s="273">
        <v>9</v>
      </c>
      <c r="AJ846" s="273">
        <v>1</v>
      </c>
      <c r="AK846" s="273">
        <v>2</v>
      </c>
      <c r="AL846" s="273">
        <v>9</v>
      </c>
      <c r="AM846" s="273">
        <v>12</v>
      </c>
      <c r="AN846" s="273">
        <v>3</v>
      </c>
      <c r="AO846" s="273">
        <v>9</v>
      </c>
      <c r="AP846" s="273">
        <v>5</v>
      </c>
      <c r="AQ846" s="273">
        <v>16</v>
      </c>
      <c r="AR846" s="273">
        <v>7</v>
      </c>
      <c r="AS846" s="273">
        <v>10</v>
      </c>
      <c r="AT846" s="273">
        <v>2</v>
      </c>
      <c r="AU846" s="273">
        <v>19</v>
      </c>
      <c r="AV846" s="273">
        <f t="shared" si="67"/>
        <v>19</v>
      </c>
      <c r="AX846" s="86" t="str">
        <f t="shared" ca="1" si="62"/>
        <v>TSLA</v>
      </c>
    </row>
    <row r="847" spans="1:50" hidden="1">
      <c r="A847" s="86" t="str">
        <f t="shared" ca="1" si="66"/>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11</v>
      </c>
      <c r="AC847" s="273">
        <v>20</v>
      </c>
      <c r="AD847" s="273">
        <v>3</v>
      </c>
      <c r="AE847" s="273">
        <v>10</v>
      </c>
      <c r="AF847" s="273">
        <v>18</v>
      </c>
      <c r="AG847" s="273">
        <v>12</v>
      </c>
      <c r="AH847" s="273">
        <v>4</v>
      </c>
      <c r="AI847" s="273">
        <v>5</v>
      </c>
      <c r="AJ847" s="273">
        <v>2</v>
      </c>
      <c r="AK847" s="273">
        <v>3</v>
      </c>
      <c r="AL847" s="273">
        <v>7</v>
      </c>
      <c r="AM847" s="273">
        <v>11</v>
      </c>
      <c r="AN847" s="273">
        <v>16</v>
      </c>
      <c r="AO847" s="273">
        <v>8</v>
      </c>
      <c r="AP847" s="273">
        <v>8</v>
      </c>
      <c r="AQ847" s="273">
        <v>6</v>
      </c>
      <c r="AR847" s="273">
        <v>10</v>
      </c>
      <c r="AS847" s="273">
        <v>1</v>
      </c>
      <c r="AT847" s="273">
        <v>16</v>
      </c>
      <c r="AU847" s="273">
        <v>17</v>
      </c>
      <c r="AV847" s="273">
        <f t="shared" si="67"/>
        <v>17</v>
      </c>
      <c r="AX847" s="86" t="str">
        <f t="shared" ca="1" si="62"/>
        <v>TSM</v>
      </c>
    </row>
    <row r="848" spans="1:50" hidden="1">
      <c r="A848" s="86" t="str">
        <f t="shared" ca="1" si="66"/>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v>
      </c>
      <c r="AC848" s="273">
        <v>18</v>
      </c>
      <c r="AD848" s="273">
        <v>2</v>
      </c>
      <c r="AE848" s="273">
        <v>5</v>
      </c>
      <c r="AF848" s="273">
        <v>17</v>
      </c>
      <c r="AG848" s="273">
        <v>20</v>
      </c>
      <c r="AH848" s="273">
        <v>8</v>
      </c>
      <c r="AI848" s="273">
        <v>7</v>
      </c>
      <c r="AJ848" s="273">
        <v>8</v>
      </c>
      <c r="AK848" s="273">
        <v>10</v>
      </c>
      <c r="AL848" s="273">
        <v>9</v>
      </c>
      <c r="AM848" s="273">
        <v>12</v>
      </c>
      <c r="AN848" s="273">
        <v>7</v>
      </c>
      <c r="AO848" s="273">
        <v>12</v>
      </c>
      <c r="AP848" s="273">
        <v>14</v>
      </c>
      <c r="AQ848" s="273">
        <v>13</v>
      </c>
      <c r="AR848" s="273">
        <v>18</v>
      </c>
      <c r="AS848" s="273">
        <v>16</v>
      </c>
      <c r="AT848" s="273">
        <v>3</v>
      </c>
      <c r="AU848" s="273">
        <v>1</v>
      </c>
      <c r="AV848" s="273">
        <f t="shared" si="67"/>
        <v>1</v>
      </c>
      <c r="AX848" s="86" t="str">
        <f t="shared" ca="1" si="62"/>
        <v>UN0</v>
      </c>
    </row>
    <row r="849" spans="1:50" hidden="1">
      <c r="A849" s="86" t="str">
        <f t="shared" ca="1" si="66"/>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v>
      </c>
      <c r="AC849" s="273">
        <v>15</v>
      </c>
      <c r="AD849" s="273">
        <v>10</v>
      </c>
      <c r="AE849" s="273">
        <v>17</v>
      </c>
      <c r="AF849" s="273">
        <v>11</v>
      </c>
      <c r="AG849" s="273">
        <v>3</v>
      </c>
      <c r="AH849" s="273">
        <v>19</v>
      </c>
      <c r="AI849" s="273">
        <v>1</v>
      </c>
      <c r="AJ849" s="273">
        <v>9</v>
      </c>
      <c r="AK849" s="273">
        <v>9</v>
      </c>
      <c r="AL849" s="273">
        <v>11</v>
      </c>
      <c r="AM849" s="273">
        <v>11</v>
      </c>
      <c r="AN849" s="273">
        <v>11</v>
      </c>
      <c r="AO849" s="273">
        <v>17</v>
      </c>
      <c r="AP849" s="273">
        <v>13</v>
      </c>
      <c r="AQ849" s="273">
        <v>3</v>
      </c>
      <c r="AR849" s="273">
        <v>2</v>
      </c>
      <c r="AS849" s="273">
        <v>19</v>
      </c>
      <c r="AT849" s="273">
        <v>5</v>
      </c>
      <c r="AU849" s="273">
        <v>5</v>
      </c>
      <c r="AV849" s="273">
        <f t="shared" si="67"/>
        <v>5</v>
      </c>
      <c r="AX849" s="86" t="str">
        <f t="shared" ca="1" si="62"/>
        <v>UNIT</v>
      </c>
    </row>
    <row r="850" spans="1:50" hidden="1">
      <c r="A850" s="86" t="str">
        <f t="shared" ca="1" si="66"/>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v>
      </c>
      <c r="AC850" s="273">
        <v>15</v>
      </c>
      <c r="AD850" s="273">
        <v>10</v>
      </c>
      <c r="AE850" s="273">
        <v>17</v>
      </c>
      <c r="AF850" s="273">
        <v>11</v>
      </c>
      <c r="AG850" s="273">
        <v>3</v>
      </c>
      <c r="AH850" s="273">
        <v>19</v>
      </c>
      <c r="AI850" s="273">
        <v>1</v>
      </c>
      <c r="AJ850" s="273">
        <v>9</v>
      </c>
      <c r="AK850" s="273">
        <v>9</v>
      </c>
      <c r="AL850" s="273">
        <v>11</v>
      </c>
      <c r="AM850" s="273">
        <v>11</v>
      </c>
      <c r="AN850" s="273">
        <v>11</v>
      </c>
      <c r="AO850" s="273">
        <v>17</v>
      </c>
      <c r="AP850" s="273">
        <v>13</v>
      </c>
      <c r="AQ850" s="273">
        <v>3</v>
      </c>
      <c r="AR850" s="273">
        <v>2</v>
      </c>
      <c r="AS850" s="273">
        <v>19</v>
      </c>
      <c r="AT850" s="273">
        <v>5</v>
      </c>
      <c r="AU850" s="273">
        <v>5</v>
      </c>
      <c r="AV850" s="273">
        <f t="shared" ref="AV850:AV897" si="68">_xlfn.RANK.EQ(Y750,F750:Y750)</f>
        <v>5</v>
      </c>
      <c r="AX850" s="86" t="str">
        <f t="shared" ca="1" si="62"/>
        <v>VLVLY</v>
      </c>
    </row>
    <row r="851" spans="1:50" hidden="1">
      <c r="A851" s="86" t="str">
        <f t="shared" ca="1" si="66"/>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12</v>
      </c>
      <c r="AC851" s="273">
        <v>20</v>
      </c>
      <c r="AD851" s="273">
        <v>8</v>
      </c>
      <c r="AE851" s="273">
        <v>10</v>
      </c>
      <c r="AF851" s="273">
        <v>10</v>
      </c>
      <c r="AG851" s="273">
        <v>5</v>
      </c>
      <c r="AH851" s="273">
        <v>5</v>
      </c>
      <c r="AI851" s="273">
        <v>13</v>
      </c>
      <c r="AJ851" s="273">
        <v>6</v>
      </c>
      <c r="AK851" s="273">
        <v>6</v>
      </c>
      <c r="AL851" s="273">
        <v>11</v>
      </c>
      <c r="AM851" s="273">
        <v>9</v>
      </c>
      <c r="AN851" s="273">
        <v>9</v>
      </c>
      <c r="AO851" s="273">
        <v>19</v>
      </c>
      <c r="AP851" s="273">
        <v>16</v>
      </c>
      <c r="AQ851" s="273">
        <v>4</v>
      </c>
      <c r="AR851" s="273">
        <v>11</v>
      </c>
      <c r="AS851" s="273">
        <v>12</v>
      </c>
      <c r="AT851" s="273">
        <v>16</v>
      </c>
      <c r="AU851" s="273">
        <v>6</v>
      </c>
      <c r="AV851" s="273">
        <f t="shared" si="68"/>
        <v>6</v>
      </c>
      <c r="AX851" s="86" t="str">
        <f t="shared" ref="AX851:AX914" ca="1" si="69">A851</f>
        <v>VONN</v>
      </c>
    </row>
    <row r="852" spans="1:50" hidden="1">
      <c r="A852" s="86" t="str">
        <f t="shared" ca="1" si="66"/>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v>
      </c>
      <c r="AC852" s="273">
        <v>20</v>
      </c>
      <c r="AD852" s="273">
        <v>17</v>
      </c>
      <c r="AE852" s="273">
        <v>19</v>
      </c>
      <c r="AF852" s="273">
        <v>10</v>
      </c>
      <c r="AG852" s="273">
        <v>18</v>
      </c>
      <c r="AH852" s="273">
        <v>19</v>
      </c>
      <c r="AI852" s="273">
        <v>1</v>
      </c>
      <c r="AJ852" s="273">
        <v>4</v>
      </c>
      <c r="AK852" s="273">
        <v>7</v>
      </c>
      <c r="AL852" s="273">
        <v>8</v>
      </c>
      <c r="AM852" s="273">
        <v>7</v>
      </c>
      <c r="AN852" s="273">
        <v>12</v>
      </c>
      <c r="AO852" s="273">
        <v>3</v>
      </c>
      <c r="AP852" s="273">
        <v>4</v>
      </c>
      <c r="AQ852" s="273">
        <v>15</v>
      </c>
      <c r="AR852" s="273">
        <v>3</v>
      </c>
      <c r="AS852" s="273">
        <v>5</v>
      </c>
      <c r="AT852" s="273">
        <v>1</v>
      </c>
      <c r="AU852" s="273">
        <v>14</v>
      </c>
      <c r="AV852" s="273">
        <f t="shared" si="68"/>
        <v>14</v>
      </c>
      <c r="AX852" s="86" t="str">
        <f t="shared" ca="1" si="69"/>
        <v>VTRS</v>
      </c>
    </row>
    <row r="853" spans="1:50" hidden="1">
      <c r="A853" s="86" t="str">
        <f t="shared" ca="1" si="66"/>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68"/>
        <v>1</v>
      </c>
      <c r="AX853" s="86" t="str">
        <f t="shared" ca="1" si="69"/>
        <v>WBA</v>
      </c>
    </row>
    <row r="854" spans="1:50" hidden="1">
      <c r="A854" s="86" t="str">
        <f t="shared" ca="1" si="66"/>
        <v>XOM</v>
      </c>
      <c r="F854" s="249">
        <v>5.6849999999999996</v>
      </c>
      <c r="G854" s="249">
        <v>5.6849999999999996</v>
      </c>
      <c r="H854" s="249">
        <v>5.6849999999999996</v>
      </c>
      <c r="I854" s="249">
        <v>5.6849999999999996</v>
      </c>
      <c r="J854" s="249">
        <v>5.6849999999999996</v>
      </c>
      <c r="K854" s="249">
        <v>5.6849999999999996</v>
      </c>
      <c r="L854" s="249">
        <v>5.51</v>
      </c>
      <c r="M854" s="249">
        <v>5.4</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13</v>
      </c>
      <c r="AC854" s="273">
        <v>6</v>
      </c>
      <c r="AD854" s="273">
        <v>1</v>
      </c>
      <c r="AE854" s="273">
        <v>6</v>
      </c>
      <c r="AF854" s="273">
        <v>7</v>
      </c>
      <c r="AG854" s="273">
        <v>19</v>
      </c>
      <c r="AH854" s="273">
        <v>13</v>
      </c>
      <c r="AI854" s="273">
        <v>12</v>
      </c>
      <c r="AJ854" s="273">
        <v>9</v>
      </c>
      <c r="AK854" s="273">
        <v>12</v>
      </c>
      <c r="AL854" s="273">
        <v>8</v>
      </c>
      <c r="AM854" s="273">
        <v>5</v>
      </c>
      <c r="AN854" s="273">
        <v>18</v>
      </c>
      <c r="AO854" s="273">
        <v>2</v>
      </c>
      <c r="AP854" s="273">
        <v>2</v>
      </c>
      <c r="AQ854" s="273">
        <v>14</v>
      </c>
      <c r="AR854" s="273">
        <v>16</v>
      </c>
      <c r="AS854" s="273">
        <v>1</v>
      </c>
      <c r="AT854" s="273">
        <v>8</v>
      </c>
      <c r="AU854" s="273">
        <v>14</v>
      </c>
      <c r="AV854" s="273">
        <f t="shared" si="68"/>
        <v>14</v>
      </c>
      <c r="AX854" s="86" t="str">
        <f t="shared" ca="1" si="69"/>
        <v>XOM</v>
      </c>
    </row>
    <row r="855" spans="1:50" hidden="1">
      <c r="A855" s="86" t="str">
        <f t="shared" ca="1" si="66"/>
        <v>XPER</v>
      </c>
      <c r="F855" s="249">
        <v>0.65</v>
      </c>
      <c r="G855" s="249">
        <v>0.65</v>
      </c>
      <c r="H855" s="249">
        <v>0.65</v>
      </c>
      <c r="I855" s="249">
        <v>0.65</v>
      </c>
      <c r="J855" s="249">
        <v>0.65</v>
      </c>
      <c r="K855" s="249">
        <v>0.65</v>
      </c>
      <c r="L855" s="249">
        <v>0.65</v>
      </c>
      <c r="M855" s="249">
        <v>0.6</v>
      </c>
      <c r="N855" s="249">
        <v>0.6</v>
      </c>
      <c r="O855" s="249">
        <v>0.6</v>
      </c>
      <c r="P855" s="249">
        <v>0.6</v>
      </c>
      <c r="Q855" s="249">
        <v>0.6</v>
      </c>
      <c r="R855" s="249">
        <v>0.6</v>
      </c>
      <c r="S855" s="249">
        <v>0.6</v>
      </c>
      <c r="T855" s="249">
        <v>0.6</v>
      </c>
      <c r="U855" s="249">
        <v>0.6</v>
      </c>
      <c r="V855" s="249">
        <v>0.6</v>
      </c>
      <c r="W855" s="249">
        <v>0.56999999999999995</v>
      </c>
      <c r="X855" s="249">
        <v>0.55000000000000004</v>
      </c>
      <c r="Y855" s="249">
        <v>0.55000000000000004</v>
      </c>
      <c r="Z855" s="243">
        <f ca="1">[1]ExtEntry!$N55</f>
        <v>0.55000000000000004</v>
      </c>
      <c r="AB855" s="273">
        <v>1</v>
      </c>
      <c r="AC855" s="273">
        <v>4</v>
      </c>
      <c r="AD855" s="273">
        <v>20</v>
      </c>
      <c r="AE855" s="273">
        <v>16</v>
      </c>
      <c r="AF855" s="273">
        <v>16</v>
      </c>
      <c r="AG855" s="273">
        <v>15</v>
      </c>
      <c r="AH855" s="273">
        <v>14</v>
      </c>
      <c r="AI855" s="273">
        <v>2</v>
      </c>
      <c r="AJ855" s="273">
        <v>9</v>
      </c>
      <c r="AK855" s="273">
        <v>9</v>
      </c>
      <c r="AL855" s="273">
        <v>7</v>
      </c>
      <c r="AM855" s="273">
        <v>12</v>
      </c>
      <c r="AN855" s="273">
        <v>3</v>
      </c>
      <c r="AO855" s="273">
        <v>11</v>
      </c>
      <c r="AP855" s="273">
        <v>4</v>
      </c>
      <c r="AQ855" s="273">
        <v>14</v>
      </c>
      <c r="AR855" s="273">
        <v>5</v>
      </c>
      <c r="AS855" s="273">
        <v>7</v>
      </c>
      <c r="AT855" s="273">
        <v>7</v>
      </c>
      <c r="AU855" s="273">
        <v>14</v>
      </c>
      <c r="AV855" s="273">
        <f t="shared" si="68"/>
        <v>14</v>
      </c>
      <c r="AX855" s="86" t="str">
        <f t="shared" ca="1" si="69"/>
        <v>XPER</v>
      </c>
    </row>
    <row r="856" spans="1:50" hidden="1">
      <c r="A856" s="86" t="str">
        <f t="shared" ca="1" si="66"/>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17</v>
      </c>
      <c r="AD856" s="273">
        <v>15</v>
      </c>
      <c r="AE856" s="273">
        <v>20</v>
      </c>
      <c r="AF856" s="273">
        <v>19</v>
      </c>
      <c r="AG856" s="273">
        <v>5</v>
      </c>
      <c r="AH856" s="273">
        <v>19</v>
      </c>
      <c r="AI856" s="273">
        <v>18</v>
      </c>
      <c r="AJ856" s="273">
        <v>19</v>
      </c>
      <c r="AK856" s="273">
        <v>19</v>
      </c>
      <c r="AL856" s="273">
        <v>16</v>
      </c>
      <c r="AM856" s="273">
        <v>2</v>
      </c>
      <c r="AN856" s="273">
        <v>5</v>
      </c>
      <c r="AO856" s="273">
        <v>3</v>
      </c>
      <c r="AP856" s="273">
        <v>5</v>
      </c>
      <c r="AQ856" s="273">
        <v>11</v>
      </c>
      <c r="AR856" s="273">
        <v>9</v>
      </c>
      <c r="AS856" s="273">
        <v>8</v>
      </c>
      <c r="AT856" s="273">
        <v>2</v>
      </c>
      <c r="AU856" s="273">
        <v>20</v>
      </c>
      <c r="AV856" s="273">
        <f t="shared" si="68"/>
        <v>20</v>
      </c>
      <c r="AX856" s="86" t="str">
        <f t="shared" ca="1" si="69"/>
        <v>MVEALDNE</v>
      </c>
    </row>
    <row r="857" spans="1:50" hidden="1">
      <c r="A857" s="86" t="str">
        <f t="shared" ca="1" si="66"/>
        <v>MVEDDD</v>
      </c>
      <c r="F857" s="249">
        <v>23.75</v>
      </c>
      <c r="G857" s="249">
        <v>23.22</v>
      </c>
      <c r="H857" s="249">
        <v>23.03</v>
      </c>
      <c r="I857" s="249">
        <v>23.03</v>
      </c>
      <c r="J857" s="249">
        <v>22.96</v>
      </c>
      <c r="K857" s="249">
        <v>22.96</v>
      </c>
      <c r="L857" s="249">
        <v>22.96</v>
      </c>
      <c r="M857" s="249">
        <v>22.86</v>
      </c>
      <c r="N857" s="249">
        <v>22.86</v>
      </c>
      <c r="O857" s="249">
        <v>22.86</v>
      </c>
      <c r="P857" s="249">
        <v>22.86</v>
      </c>
      <c r="Q857" s="249">
        <v>22.86</v>
      </c>
      <c r="R857" s="249">
        <v>22.86</v>
      </c>
      <c r="S857" s="249">
        <v>22.86</v>
      </c>
      <c r="T857" s="249">
        <v>22.86</v>
      </c>
      <c r="U857" s="249">
        <v>22.86</v>
      </c>
      <c r="V857" s="249">
        <v>22.86</v>
      </c>
      <c r="W857" s="249">
        <v>22.86</v>
      </c>
      <c r="X857" s="249">
        <v>22.86</v>
      </c>
      <c r="Y857" s="249">
        <v>22.79</v>
      </c>
      <c r="Z857" s="243">
        <f ca="1">[1]ExtEntry!$N57</f>
        <v>22.79</v>
      </c>
      <c r="AB857" s="273">
        <v>9</v>
      </c>
      <c r="AC857" s="273">
        <v>20</v>
      </c>
      <c r="AD857" s="273">
        <v>10</v>
      </c>
      <c r="AE857" s="273">
        <v>7</v>
      </c>
      <c r="AF857" s="273">
        <v>7</v>
      </c>
      <c r="AG857" s="273">
        <v>12</v>
      </c>
      <c r="AH857" s="273">
        <v>14</v>
      </c>
      <c r="AI857" s="273">
        <v>3</v>
      </c>
      <c r="AJ857" s="273">
        <v>6</v>
      </c>
      <c r="AK857" s="273">
        <v>5</v>
      </c>
      <c r="AL857" s="273">
        <v>4</v>
      </c>
      <c r="AM857" s="273">
        <v>14</v>
      </c>
      <c r="AN857" s="273">
        <v>3</v>
      </c>
      <c r="AO857" s="273">
        <v>6</v>
      </c>
      <c r="AP857" s="273">
        <v>1</v>
      </c>
      <c r="AQ857" s="273">
        <v>9</v>
      </c>
      <c r="AR857" s="273">
        <v>16</v>
      </c>
      <c r="AS857" s="273">
        <v>20</v>
      </c>
      <c r="AT857" s="273">
        <v>9</v>
      </c>
      <c r="AU857" s="273">
        <v>1</v>
      </c>
      <c r="AV857" s="273">
        <f t="shared" si="68"/>
        <v>1</v>
      </c>
      <c r="AX857" s="86" t="str">
        <f t="shared" ca="1" si="69"/>
        <v>MVEDDD</v>
      </c>
    </row>
    <row r="858" spans="1:50" hidden="1">
      <c r="A858" s="86" t="str">
        <f t="shared" ca="1" si="66"/>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10</v>
      </c>
      <c r="AC858" s="273">
        <v>19</v>
      </c>
      <c r="AD858" s="273">
        <v>8</v>
      </c>
      <c r="AE858" s="273">
        <v>13</v>
      </c>
      <c r="AF858" s="273">
        <v>8</v>
      </c>
      <c r="AG858" s="273">
        <v>5</v>
      </c>
      <c r="AH858" s="273">
        <v>11</v>
      </c>
      <c r="AI858" s="273">
        <v>5</v>
      </c>
      <c r="AJ858" s="273">
        <v>4</v>
      </c>
      <c r="AK858" s="273">
        <v>8</v>
      </c>
      <c r="AL858" s="273">
        <v>9</v>
      </c>
      <c r="AM858" s="273">
        <v>14</v>
      </c>
      <c r="AN858" s="273">
        <v>17</v>
      </c>
      <c r="AO858" s="273">
        <v>7</v>
      </c>
      <c r="AP858" s="273">
        <v>7</v>
      </c>
      <c r="AQ858" s="273">
        <v>1</v>
      </c>
      <c r="AR858" s="273">
        <v>6</v>
      </c>
      <c r="AS858" s="273">
        <v>15</v>
      </c>
      <c r="AT858" s="273">
        <v>18</v>
      </c>
      <c r="AU858" s="273">
        <v>5</v>
      </c>
      <c r="AV858" s="273">
        <f t="shared" si="68"/>
        <v>5</v>
      </c>
      <c r="AX858" s="86" t="str">
        <f t="shared" ca="1" si="69"/>
        <v>MVEDSY</v>
      </c>
    </row>
    <row r="859" spans="1:50" hidden="1">
      <c r="A859" s="86" t="str">
        <f t="shared" ca="1" si="66"/>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v>
      </c>
      <c r="AC859" s="273">
        <v>10</v>
      </c>
      <c r="AD859" s="273">
        <v>10</v>
      </c>
      <c r="AE859" s="273">
        <v>11</v>
      </c>
      <c r="AF859" s="273">
        <v>15</v>
      </c>
      <c r="AG859" s="273">
        <v>12</v>
      </c>
      <c r="AH859" s="273">
        <v>4</v>
      </c>
      <c r="AI859" s="273">
        <v>3</v>
      </c>
      <c r="AJ859" s="273">
        <v>7</v>
      </c>
      <c r="AK859" s="273">
        <v>17</v>
      </c>
      <c r="AL859" s="273">
        <v>11</v>
      </c>
      <c r="AM859" s="273">
        <v>14</v>
      </c>
      <c r="AN859" s="273">
        <v>7</v>
      </c>
      <c r="AO859" s="273">
        <v>1</v>
      </c>
      <c r="AP859" s="273">
        <v>1</v>
      </c>
      <c r="AQ859" s="273">
        <v>20</v>
      </c>
      <c r="AR859" s="273">
        <v>18</v>
      </c>
      <c r="AS859" s="273">
        <v>8</v>
      </c>
      <c r="AT859" s="273">
        <v>14</v>
      </c>
      <c r="AU859" s="273">
        <v>20</v>
      </c>
      <c r="AV859" s="273">
        <f t="shared" si="68"/>
        <v>20</v>
      </c>
      <c r="AX859" s="86" t="str">
        <f t="shared" ca="1" si="69"/>
        <v>MVEEOAN</v>
      </c>
    </row>
    <row r="860" spans="1:50" hidden="1">
      <c r="A860" s="86" t="str">
        <f t="shared" ca="1" si="66"/>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10</v>
      </c>
      <c r="AC860" s="273">
        <v>15</v>
      </c>
      <c r="AD860" s="273">
        <v>14</v>
      </c>
      <c r="AE860" s="273">
        <v>13</v>
      </c>
      <c r="AF860" s="273">
        <v>10</v>
      </c>
      <c r="AG860" s="273">
        <v>19</v>
      </c>
      <c r="AH860" s="273">
        <v>7</v>
      </c>
      <c r="AI860" s="273">
        <v>20</v>
      </c>
      <c r="AJ860" s="273">
        <v>2</v>
      </c>
      <c r="AK860" s="273">
        <v>17</v>
      </c>
      <c r="AL860" s="273">
        <v>6</v>
      </c>
      <c r="AM860" s="273">
        <v>10</v>
      </c>
      <c r="AN860" s="273">
        <v>12</v>
      </c>
      <c r="AO860" s="273">
        <v>5</v>
      </c>
      <c r="AP860" s="273">
        <v>4</v>
      </c>
      <c r="AQ860" s="273">
        <v>12</v>
      </c>
      <c r="AR860" s="273">
        <v>20</v>
      </c>
      <c r="AS860" s="273">
        <v>8</v>
      </c>
      <c r="AT860" s="273">
        <v>17</v>
      </c>
      <c r="AU860" s="273">
        <v>18</v>
      </c>
      <c r="AV860" s="273">
        <f t="shared" si="68"/>
        <v>18</v>
      </c>
      <c r="AX860" s="86" t="str">
        <f t="shared" ca="1" si="69"/>
        <v>MVEENI</v>
      </c>
    </row>
    <row r="861" spans="1:50" hidden="1">
      <c r="A861" s="86" t="str">
        <f t="shared" ca="1" si="66"/>
        <v>MVEEPIX</v>
      </c>
      <c r="F861" s="249">
        <v>24.03</v>
      </c>
      <c r="G861" s="249">
        <v>24.03</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26.15</v>
      </c>
      <c r="X861" s="249">
        <v>26.15</v>
      </c>
      <c r="Y861" s="249">
        <v>26.15</v>
      </c>
      <c r="Z861" s="243">
        <f ca="1">[1]ExtEntry!$N61</f>
        <v>26.15</v>
      </c>
      <c r="AB861" s="273">
        <v>2</v>
      </c>
      <c r="AC861" s="273">
        <v>1</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68"/>
        <v>1</v>
      </c>
      <c r="AX861" s="86" t="str">
        <f t="shared" ca="1" si="69"/>
        <v>MVEEPIX</v>
      </c>
    </row>
    <row r="862" spans="1:50" hidden="1">
      <c r="A862" s="86" t="str">
        <f t="shared" ca="1" si="66"/>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9</v>
      </c>
      <c r="AC862" s="273">
        <v>2</v>
      </c>
      <c r="AD862" s="273">
        <v>18</v>
      </c>
      <c r="AE862" s="273">
        <v>17</v>
      </c>
      <c r="AF862" s="273">
        <v>15</v>
      </c>
      <c r="AG862" s="273">
        <v>7</v>
      </c>
      <c r="AH862" s="273">
        <v>5</v>
      </c>
      <c r="AI862" s="273">
        <v>16</v>
      </c>
      <c r="AJ862" s="273">
        <v>2</v>
      </c>
      <c r="AK862" s="273">
        <v>6</v>
      </c>
      <c r="AL862" s="273">
        <v>11</v>
      </c>
      <c r="AM862" s="273">
        <v>13</v>
      </c>
      <c r="AN862" s="273">
        <v>1</v>
      </c>
      <c r="AO862" s="273">
        <v>16</v>
      </c>
      <c r="AP862" s="273">
        <v>16</v>
      </c>
      <c r="AQ862" s="273">
        <v>1</v>
      </c>
      <c r="AR862" s="273">
        <v>17</v>
      </c>
      <c r="AS862" s="273">
        <v>8</v>
      </c>
      <c r="AT862" s="273">
        <v>6</v>
      </c>
      <c r="AU862" s="273">
        <v>5</v>
      </c>
      <c r="AV862" s="273">
        <f t="shared" si="68"/>
        <v>5</v>
      </c>
      <c r="AX862" s="86" t="str">
        <f t="shared" ca="1" si="69"/>
        <v>MVEGLE</v>
      </c>
    </row>
    <row r="863" spans="1:50" hidden="1">
      <c r="A863" s="86" t="str">
        <f t="shared" ca="1" si="66"/>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12</v>
      </c>
      <c r="AC863" s="273">
        <v>3</v>
      </c>
      <c r="AD863" s="273">
        <v>4</v>
      </c>
      <c r="AE863" s="273">
        <v>20</v>
      </c>
      <c r="AF863" s="273">
        <v>19</v>
      </c>
      <c r="AG863" s="273">
        <v>17</v>
      </c>
      <c r="AH863" s="273">
        <v>14</v>
      </c>
      <c r="AI863" s="273">
        <v>1</v>
      </c>
      <c r="AJ863" s="273">
        <v>6</v>
      </c>
      <c r="AK863" s="273">
        <v>8</v>
      </c>
      <c r="AL863" s="273">
        <v>6</v>
      </c>
      <c r="AM863" s="273">
        <v>11</v>
      </c>
      <c r="AN863" s="273">
        <v>3</v>
      </c>
      <c r="AO863" s="273">
        <v>12</v>
      </c>
      <c r="AP863" s="273">
        <v>10</v>
      </c>
      <c r="AQ863" s="273">
        <v>14</v>
      </c>
      <c r="AR863" s="273">
        <v>19</v>
      </c>
      <c r="AS863" s="273">
        <v>10</v>
      </c>
      <c r="AT863" s="273">
        <v>13</v>
      </c>
      <c r="AU863" s="273">
        <v>7</v>
      </c>
      <c r="AV863" s="273">
        <f t="shared" si="68"/>
        <v>7</v>
      </c>
      <c r="AX863" s="86" t="str">
        <f t="shared" ca="1" si="69"/>
        <v>MVEORA</v>
      </c>
    </row>
    <row r="864" spans="1:50" hidden="1">
      <c r="A864" s="86" t="str">
        <f t="shared" ca="1" si="66"/>
        <v>MVERWE</v>
      </c>
      <c r="F864" s="249">
        <v>209.7</v>
      </c>
      <c r="G864" s="249">
        <v>209.7</v>
      </c>
      <c r="H864" s="249">
        <v>209.7</v>
      </c>
      <c r="I864" s="249">
        <v>207.55</v>
      </c>
      <c r="J864" s="249">
        <v>202.5</v>
      </c>
      <c r="K864" s="249">
        <v>202.5</v>
      </c>
      <c r="L864" s="249">
        <v>202.5</v>
      </c>
      <c r="M864" s="249">
        <v>202.5</v>
      </c>
      <c r="N864" s="249">
        <v>202.3</v>
      </c>
      <c r="O864" s="249">
        <v>202.3</v>
      </c>
      <c r="P864" s="249">
        <v>202.3</v>
      </c>
      <c r="Q864" s="249">
        <v>202.3</v>
      </c>
      <c r="R864" s="249">
        <v>202.3</v>
      </c>
      <c r="S864" s="249">
        <v>202.3</v>
      </c>
      <c r="T864" s="249">
        <v>202.3</v>
      </c>
      <c r="U864" s="249">
        <v>202.3</v>
      </c>
      <c r="V864" s="249">
        <v>202.3</v>
      </c>
      <c r="W864" s="249">
        <v>202.3</v>
      </c>
      <c r="X864" s="249">
        <v>202.3</v>
      </c>
      <c r="Y864" s="249">
        <v>201.85</v>
      </c>
      <c r="Z864" s="243">
        <f ca="1">[1]ExtEntry!$N64</f>
        <v>201.85</v>
      </c>
      <c r="AB864" s="273">
        <v>8</v>
      </c>
      <c r="AC864" s="273">
        <v>7</v>
      </c>
      <c r="AD864" s="273">
        <v>12</v>
      </c>
      <c r="AE864" s="273">
        <v>11</v>
      </c>
      <c r="AF864" s="273">
        <v>17</v>
      </c>
      <c r="AG864" s="273">
        <v>20</v>
      </c>
      <c r="AH864" s="273">
        <v>1</v>
      </c>
      <c r="AI864" s="273">
        <v>19</v>
      </c>
      <c r="AJ864" s="273">
        <v>2</v>
      </c>
      <c r="AK864" s="273">
        <v>19</v>
      </c>
      <c r="AL864" s="273">
        <v>8</v>
      </c>
      <c r="AM864" s="273">
        <v>15</v>
      </c>
      <c r="AN864" s="273">
        <v>10</v>
      </c>
      <c r="AO864" s="273">
        <v>2</v>
      </c>
      <c r="AP864" s="273">
        <v>9</v>
      </c>
      <c r="AQ864" s="273">
        <v>12</v>
      </c>
      <c r="AR864" s="273">
        <v>16</v>
      </c>
      <c r="AS864" s="273">
        <v>5</v>
      </c>
      <c r="AT864" s="273">
        <v>10</v>
      </c>
      <c r="AU864" s="273">
        <v>14</v>
      </c>
      <c r="AV864" s="273">
        <f t="shared" si="68"/>
        <v>14</v>
      </c>
      <c r="AX864" s="86" t="str">
        <f t="shared" ca="1" si="69"/>
        <v>MVERWE</v>
      </c>
    </row>
    <row r="865" spans="1:50" hidden="1">
      <c r="A865" s="86" t="str">
        <f t="shared" ca="1" si="66"/>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6</v>
      </c>
      <c r="AC865" s="273">
        <v>20</v>
      </c>
      <c r="AD865" s="273">
        <v>15</v>
      </c>
      <c r="AE865" s="273">
        <v>18</v>
      </c>
      <c r="AF865" s="273">
        <v>10</v>
      </c>
      <c r="AG865" s="273">
        <v>9</v>
      </c>
      <c r="AH865" s="273">
        <v>8</v>
      </c>
      <c r="AI865" s="273">
        <v>12</v>
      </c>
      <c r="AJ865" s="273">
        <v>4</v>
      </c>
      <c r="AK865" s="273">
        <v>9</v>
      </c>
      <c r="AL865" s="273">
        <v>6</v>
      </c>
      <c r="AM865" s="273">
        <v>8</v>
      </c>
      <c r="AN865" s="273">
        <v>12</v>
      </c>
      <c r="AO865" s="273">
        <v>12</v>
      </c>
      <c r="AP865" s="273">
        <v>14</v>
      </c>
      <c r="AQ865" s="273">
        <v>1</v>
      </c>
      <c r="AR865" s="273">
        <v>2</v>
      </c>
      <c r="AS865" s="273">
        <v>12</v>
      </c>
      <c r="AT865" s="273">
        <v>7</v>
      </c>
      <c r="AU865" s="273">
        <v>17</v>
      </c>
      <c r="AV865" s="273">
        <f t="shared" si="68"/>
        <v>17</v>
      </c>
      <c r="AX865" s="86" t="str">
        <f t="shared" ca="1" si="69"/>
        <v>MVESAP</v>
      </c>
    </row>
    <row r="866" spans="1:50" hidden="1">
      <c r="A866" s="86" t="str">
        <f t="shared" ca="1" si="66"/>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11</v>
      </c>
      <c r="AC866" s="273">
        <v>20</v>
      </c>
      <c r="AD866" s="273">
        <v>3</v>
      </c>
      <c r="AE866" s="273">
        <v>10</v>
      </c>
      <c r="AF866" s="273">
        <v>18</v>
      </c>
      <c r="AG866" s="273">
        <v>12</v>
      </c>
      <c r="AH866" s="273">
        <v>4</v>
      </c>
      <c r="AI866" s="273">
        <v>5</v>
      </c>
      <c r="AJ866" s="273">
        <v>2</v>
      </c>
      <c r="AK866" s="273">
        <v>3</v>
      </c>
      <c r="AL866" s="273">
        <v>7</v>
      </c>
      <c r="AM866" s="273">
        <v>11</v>
      </c>
      <c r="AN866" s="273">
        <v>16</v>
      </c>
      <c r="AO866" s="273">
        <v>8</v>
      </c>
      <c r="AP866" s="273">
        <v>8</v>
      </c>
      <c r="AQ866" s="273">
        <v>6</v>
      </c>
      <c r="AR866" s="273">
        <v>10</v>
      </c>
      <c r="AS866" s="273">
        <v>1</v>
      </c>
      <c r="AT866" s="273">
        <v>16</v>
      </c>
      <c r="AU866" s="273">
        <v>17</v>
      </c>
      <c r="AV866" s="273">
        <f t="shared" si="68"/>
        <v>17</v>
      </c>
      <c r="AX866" s="86" t="str">
        <f t="shared" ca="1" si="69"/>
        <v>MVEUN0</v>
      </c>
    </row>
    <row r="867" spans="1:50" hidden="1">
      <c r="A867" s="86" t="str">
        <f t="shared" ca="1" si="66"/>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14</v>
      </c>
      <c r="AC867" s="273">
        <v>12</v>
      </c>
      <c r="AD867" s="273">
        <v>15</v>
      </c>
      <c r="AE867" s="273">
        <v>15</v>
      </c>
      <c r="AF867" s="273">
        <v>15</v>
      </c>
      <c r="AG867" s="273">
        <v>5</v>
      </c>
      <c r="AH867" s="273">
        <v>16</v>
      </c>
      <c r="AI867" s="273">
        <v>3</v>
      </c>
      <c r="AJ867" s="273">
        <v>9</v>
      </c>
      <c r="AK867" s="273">
        <v>10</v>
      </c>
      <c r="AL867" s="273">
        <v>6</v>
      </c>
      <c r="AM867" s="273">
        <v>5</v>
      </c>
      <c r="AN867" s="273">
        <v>4</v>
      </c>
      <c r="AO867" s="273">
        <v>12</v>
      </c>
      <c r="AP867" s="273">
        <v>20</v>
      </c>
      <c r="AQ867" s="273">
        <v>20</v>
      </c>
      <c r="AR867" s="273">
        <v>18</v>
      </c>
      <c r="AS867" s="273">
        <v>14</v>
      </c>
      <c r="AT867" s="273">
        <v>5</v>
      </c>
      <c r="AU867" s="273">
        <v>15</v>
      </c>
      <c r="AV867" s="273">
        <f t="shared" si="68"/>
        <v>15</v>
      </c>
      <c r="AX867" s="86" t="str">
        <f t="shared" ca="1" si="69"/>
        <v>SAFAAPL</v>
      </c>
    </row>
    <row r="868" spans="1:50" hidden="1">
      <c r="A868" s="86" t="str">
        <f t="shared" ca="1" si="66"/>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12</v>
      </c>
      <c r="AC868" s="273">
        <v>19</v>
      </c>
      <c r="AD868" s="273">
        <v>10</v>
      </c>
      <c r="AE868" s="273">
        <v>14</v>
      </c>
      <c r="AF868" s="273">
        <v>20</v>
      </c>
      <c r="AG868" s="273">
        <v>11</v>
      </c>
      <c r="AH868" s="273">
        <v>14</v>
      </c>
      <c r="AI868" s="273">
        <v>2</v>
      </c>
      <c r="AJ868" s="273">
        <v>10</v>
      </c>
      <c r="AK868" s="273">
        <v>11</v>
      </c>
      <c r="AL868" s="273">
        <v>3</v>
      </c>
      <c r="AM868" s="273">
        <v>7</v>
      </c>
      <c r="AN868" s="273">
        <v>10</v>
      </c>
      <c r="AO868" s="273">
        <v>14</v>
      </c>
      <c r="AP868" s="273">
        <v>13</v>
      </c>
      <c r="AQ868" s="273">
        <v>17</v>
      </c>
      <c r="AR868" s="273">
        <v>7</v>
      </c>
      <c r="AS868" s="273">
        <v>5</v>
      </c>
      <c r="AT868" s="273">
        <v>3</v>
      </c>
      <c r="AU868" s="273">
        <v>13</v>
      </c>
      <c r="AV868" s="273">
        <f t="shared" si="68"/>
        <v>13</v>
      </c>
      <c r="AX868" s="86" t="str">
        <f t="shared" ca="1" si="69"/>
        <v>SAFAMZN</v>
      </c>
    </row>
    <row r="869" spans="1:50" hidden="1">
      <c r="A869" s="86" t="str">
        <f t="shared" ref="A869:A897" ca="1" si="70">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16</v>
      </c>
      <c r="AC869" s="273">
        <v>17</v>
      </c>
      <c r="AD869" s="273">
        <v>20</v>
      </c>
      <c r="AE869" s="273">
        <v>12</v>
      </c>
      <c r="AF869" s="273">
        <v>12</v>
      </c>
      <c r="AG869" s="273">
        <v>3</v>
      </c>
      <c r="AH869" s="273">
        <v>9</v>
      </c>
      <c r="AI869" s="273">
        <v>20</v>
      </c>
      <c r="AJ869" s="273">
        <v>1</v>
      </c>
      <c r="AK869" s="273">
        <v>16</v>
      </c>
      <c r="AL869" s="273">
        <v>7</v>
      </c>
      <c r="AM869" s="273">
        <v>2</v>
      </c>
      <c r="AN869" s="273">
        <v>7</v>
      </c>
      <c r="AO869" s="273">
        <v>6</v>
      </c>
      <c r="AP869" s="273">
        <v>2</v>
      </c>
      <c r="AQ869" s="273">
        <v>12</v>
      </c>
      <c r="AR869" s="273">
        <v>11</v>
      </c>
      <c r="AS869" s="273">
        <v>15</v>
      </c>
      <c r="AT869" s="273">
        <v>12</v>
      </c>
      <c r="AU869" s="273">
        <v>9</v>
      </c>
      <c r="AV869" s="273">
        <f t="shared" si="68"/>
        <v>9</v>
      </c>
      <c r="AX869" s="86" t="str">
        <f t="shared" ca="1" si="69"/>
        <v>SAFASML</v>
      </c>
    </row>
    <row r="870" spans="1:50" hidden="1">
      <c r="A870" s="86" t="str">
        <f t="shared" ca="1" si="70"/>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9</v>
      </c>
      <c r="AC870" s="273">
        <v>20</v>
      </c>
      <c r="AD870" s="273">
        <v>10</v>
      </c>
      <c r="AE870" s="273">
        <v>7</v>
      </c>
      <c r="AF870" s="273">
        <v>7</v>
      </c>
      <c r="AG870" s="273">
        <v>12</v>
      </c>
      <c r="AH870" s="273">
        <v>14</v>
      </c>
      <c r="AI870" s="273">
        <v>3</v>
      </c>
      <c r="AJ870" s="273">
        <v>6</v>
      </c>
      <c r="AK870" s="273">
        <v>5</v>
      </c>
      <c r="AL870" s="273">
        <v>4</v>
      </c>
      <c r="AM870" s="273">
        <v>14</v>
      </c>
      <c r="AN870" s="273">
        <v>3</v>
      </c>
      <c r="AO870" s="273">
        <v>6</v>
      </c>
      <c r="AP870" s="273">
        <v>1</v>
      </c>
      <c r="AQ870" s="273">
        <v>9</v>
      </c>
      <c r="AR870" s="273">
        <v>16</v>
      </c>
      <c r="AS870" s="273">
        <v>20</v>
      </c>
      <c r="AT870" s="273">
        <v>9</v>
      </c>
      <c r="AU870" s="273">
        <v>1</v>
      </c>
      <c r="AV870" s="273">
        <f t="shared" si="68"/>
        <v>1</v>
      </c>
      <c r="AX870" s="86" t="str">
        <f t="shared" ca="1" si="69"/>
        <v>SAFDDD</v>
      </c>
    </row>
    <row r="871" spans="1:50" hidden="1">
      <c r="A871" s="86" t="str">
        <f t="shared" ca="1" si="70"/>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10</v>
      </c>
      <c r="AC871" s="273">
        <v>18</v>
      </c>
      <c r="AD871" s="273">
        <v>9</v>
      </c>
      <c r="AE871" s="273">
        <v>20</v>
      </c>
      <c r="AF871" s="273">
        <v>9</v>
      </c>
      <c r="AG871" s="273">
        <v>14</v>
      </c>
      <c r="AH871" s="273">
        <v>20</v>
      </c>
      <c r="AI871" s="273">
        <v>2</v>
      </c>
      <c r="AJ871" s="273">
        <v>8</v>
      </c>
      <c r="AK871" s="273">
        <v>9</v>
      </c>
      <c r="AL871" s="273">
        <v>4</v>
      </c>
      <c r="AM871" s="273">
        <v>1</v>
      </c>
      <c r="AN871" s="273">
        <v>18</v>
      </c>
      <c r="AO871" s="273">
        <v>11</v>
      </c>
      <c r="AP871" s="273">
        <v>5</v>
      </c>
      <c r="AQ871" s="273">
        <v>15</v>
      </c>
      <c r="AR871" s="273">
        <v>12</v>
      </c>
      <c r="AS871" s="273">
        <v>15</v>
      </c>
      <c r="AT871" s="273">
        <v>3</v>
      </c>
      <c r="AU871" s="273">
        <v>1</v>
      </c>
      <c r="AV871" s="273">
        <f t="shared" si="68"/>
        <v>1</v>
      </c>
      <c r="AX871" s="86" t="str">
        <f t="shared" ca="1" si="69"/>
        <v>SAFDIS</v>
      </c>
    </row>
    <row r="872" spans="1:50" hidden="1">
      <c r="A872" s="86" t="str">
        <f t="shared" ca="1" si="70"/>
        <v>SAFGM</v>
      </c>
      <c r="F872" s="249">
        <v>207.6</v>
      </c>
      <c r="G872" s="249">
        <v>207.6</v>
      </c>
      <c r="H872" s="249">
        <v>207.6</v>
      </c>
      <c r="I872" s="249">
        <v>210</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3</v>
      </c>
      <c r="AC872" s="273">
        <v>11</v>
      </c>
      <c r="AD872" s="273">
        <v>5</v>
      </c>
      <c r="AE872" s="273">
        <v>20</v>
      </c>
      <c r="AF872" s="273">
        <v>13</v>
      </c>
      <c r="AG872" s="273">
        <v>7</v>
      </c>
      <c r="AH872" s="273">
        <v>13</v>
      </c>
      <c r="AI872" s="273">
        <v>3</v>
      </c>
      <c r="AJ872" s="273">
        <v>11</v>
      </c>
      <c r="AK872" s="273">
        <v>13</v>
      </c>
      <c r="AL872" s="273">
        <v>9</v>
      </c>
      <c r="AM872" s="273">
        <v>12</v>
      </c>
      <c r="AN872" s="273">
        <v>8</v>
      </c>
      <c r="AO872" s="273">
        <v>8</v>
      </c>
      <c r="AP872" s="273">
        <v>6</v>
      </c>
      <c r="AQ872" s="273">
        <v>4</v>
      </c>
      <c r="AR872" s="273">
        <v>7</v>
      </c>
      <c r="AS872" s="273">
        <v>7</v>
      </c>
      <c r="AT872" s="273">
        <v>1</v>
      </c>
      <c r="AU872" s="273">
        <v>16</v>
      </c>
      <c r="AV872" s="273">
        <f t="shared" si="68"/>
        <v>16</v>
      </c>
      <c r="AX872" s="86" t="str">
        <f t="shared" ca="1" si="69"/>
        <v>SAFGM</v>
      </c>
    </row>
    <row r="873" spans="1:50" hidden="1">
      <c r="A873" s="86" t="str">
        <f t="shared" ca="1" si="70"/>
        <v>SAFIAG</v>
      </c>
      <c r="F873" s="249">
        <v>23.15</v>
      </c>
      <c r="G873" s="249">
        <v>23.15</v>
      </c>
      <c r="H873" s="249">
        <v>23.15</v>
      </c>
      <c r="I873" s="249">
        <v>23.04</v>
      </c>
      <c r="J873" s="249">
        <v>23.04</v>
      </c>
      <c r="K873" s="249">
        <v>23.04</v>
      </c>
      <c r="L873" s="249">
        <v>22.76</v>
      </c>
      <c r="M873" s="249">
        <v>22.29</v>
      </c>
      <c r="N873" s="249">
        <v>22.28</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9</v>
      </c>
      <c r="AC873" s="273">
        <v>19</v>
      </c>
      <c r="AD873" s="273">
        <v>20</v>
      </c>
      <c r="AE873" s="273">
        <v>17</v>
      </c>
      <c r="AF873" s="273">
        <v>13</v>
      </c>
      <c r="AG873" s="273">
        <v>3</v>
      </c>
      <c r="AH873" s="273">
        <v>6</v>
      </c>
      <c r="AI873" s="273">
        <v>15</v>
      </c>
      <c r="AJ873" s="273">
        <v>3</v>
      </c>
      <c r="AK873" s="273">
        <v>15</v>
      </c>
      <c r="AL873" s="273">
        <v>11</v>
      </c>
      <c r="AM873" s="273">
        <v>15</v>
      </c>
      <c r="AN873" s="273">
        <v>16</v>
      </c>
      <c r="AO873" s="273">
        <v>6</v>
      </c>
      <c r="AP873" s="273">
        <v>9</v>
      </c>
      <c r="AQ873" s="273">
        <v>17</v>
      </c>
      <c r="AR873" s="273">
        <v>9</v>
      </c>
      <c r="AS873" s="273">
        <v>14</v>
      </c>
      <c r="AT873" s="273">
        <v>10</v>
      </c>
      <c r="AU873" s="273">
        <v>1</v>
      </c>
      <c r="AV873" s="273">
        <f t="shared" si="68"/>
        <v>1</v>
      </c>
      <c r="AX873" s="86" t="str">
        <f t="shared" ca="1" si="69"/>
        <v>SAFIAG</v>
      </c>
    </row>
    <row r="874" spans="1:50" hidden="1">
      <c r="A874" s="86" t="str">
        <f t="shared" ca="1" si="70"/>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10</v>
      </c>
      <c r="AC874" s="273">
        <v>4</v>
      </c>
      <c r="AD874" s="273">
        <v>7</v>
      </c>
      <c r="AE874" s="273">
        <v>10</v>
      </c>
      <c r="AF874" s="273">
        <v>8</v>
      </c>
      <c r="AG874" s="273">
        <v>17</v>
      </c>
      <c r="AH874" s="273">
        <v>20</v>
      </c>
      <c r="AI874" s="273">
        <v>2</v>
      </c>
      <c r="AJ874" s="273">
        <v>8</v>
      </c>
      <c r="AK874" s="273">
        <v>6</v>
      </c>
      <c r="AL874" s="273">
        <v>3</v>
      </c>
      <c r="AM874" s="273">
        <v>20</v>
      </c>
      <c r="AN874" s="273">
        <v>11</v>
      </c>
      <c r="AO874" s="273">
        <v>5</v>
      </c>
      <c r="AP874" s="273">
        <v>3</v>
      </c>
      <c r="AQ874" s="273">
        <v>5</v>
      </c>
      <c r="AR874" s="273">
        <v>2</v>
      </c>
      <c r="AS874" s="273">
        <v>9</v>
      </c>
      <c r="AT874" s="273">
        <v>5</v>
      </c>
      <c r="AU874" s="273">
        <v>8</v>
      </c>
      <c r="AV874" s="273">
        <f t="shared" si="68"/>
        <v>8</v>
      </c>
      <c r="AX874" s="86" t="str">
        <f t="shared" ca="1" si="69"/>
        <v>SAFMRNA</v>
      </c>
    </row>
    <row r="875" spans="1:50" hidden="1">
      <c r="A875" s="86" t="str">
        <f t="shared" ca="1" si="70"/>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v>
      </c>
      <c r="AC875" s="273">
        <v>19</v>
      </c>
      <c r="AD875" s="273">
        <v>4</v>
      </c>
      <c r="AE875" s="273">
        <v>11</v>
      </c>
      <c r="AF875" s="273">
        <v>9</v>
      </c>
      <c r="AG875" s="273">
        <v>10</v>
      </c>
      <c r="AH875" s="273">
        <v>9</v>
      </c>
      <c r="AI875" s="273">
        <v>10</v>
      </c>
      <c r="AJ875" s="273">
        <v>5</v>
      </c>
      <c r="AK875" s="273">
        <v>8</v>
      </c>
      <c r="AL875" s="273">
        <v>4</v>
      </c>
      <c r="AM875" s="273">
        <v>12</v>
      </c>
      <c r="AN875" s="273">
        <v>9</v>
      </c>
      <c r="AO875" s="273">
        <v>10</v>
      </c>
      <c r="AP875" s="273">
        <v>3</v>
      </c>
      <c r="AQ875" s="273">
        <v>4</v>
      </c>
      <c r="AR875" s="273">
        <v>20</v>
      </c>
      <c r="AS875" s="273">
        <v>18</v>
      </c>
      <c r="AT875" s="273">
        <v>17</v>
      </c>
      <c r="AU875" s="273">
        <v>17</v>
      </c>
      <c r="AV875" s="273">
        <f t="shared" si="68"/>
        <v>17</v>
      </c>
      <c r="AX875" s="86" t="str">
        <f t="shared" ca="1" si="69"/>
        <v>BLNK</v>
      </c>
    </row>
    <row r="876" spans="1:50" hidden="1">
      <c r="A876" s="86" t="str">
        <f t="shared" ca="1" si="70"/>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10</v>
      </c>
      <c r="AC876" s="273">
        <v>15</v>
      </c>
      <c r="AD876" s="273">
        <v>14</v>
      </c>
      <c r="AE876" s="273">
        <v>13</v>
      </c>
      <c r="AF876" s="273">
        <v>10</v>
      </c>
      <c r="AG876" s="273">
        <v>19</v>
      </c>
      <c r="AH876" s="273">
        <v>7</v>
      </c>
      <c r="AI876" s="273">
        <v>20</v>
      </c>
      <c r="AJ876" s="273">
        <v>2</v>
      </c>
      <c r="AK876" s="273">
        <v>17</v>
      </c>
      <c r="AL876" s="273">
        <v>6</v>
      </c>
      <c r="AM876" s="273">
        <v>10</v>
      </c>
      <c r="AN876" s="273">
        <v>12</v>
      </c>
      <c r="AO876" s="273">
        <v>5</v>
      </c>
      <c r="AP876" s="273">
        <v>4</v>
      </c>
      <c r="AQ876" s="273">
        <v>12</v>
      </c>
      <c r="AR876" s="273">
        <v>20</v>
      </c>
      <c r="AS876" s="273">
        <v>8</v>
      </c>
      <c r="AT876" s="273">
        <v>17</v>
      </c>
      <c r="AU876" s="273">
        <v>18</v>
      </c>
      <c r="AV876" s="273">
        <f t="shared" si="68"/>
        <v>18</v>
      </c>
      <c r="AX876" s="86" t="str">
        <f t="shared" ca="1" si="69"/>
        <v>ENI</v>
      </c>
    </row>
    <row r="877" spans="1:50" hidden="1">
      <c r="A877" s="86" t="str">
        <f t="shared" ca="1" si="70"/>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7</v>
      </c>
      <c r="AC877" s="273">
        <v>16</v>
      </c>
      <c r="AD877" s="273">
        <v>17</v>
      </c>
      <c r="AE877" s="273">
        <v>17</v>
      </c>
      <c r="AF877" s="273">
        <v>12</v>
      </c>
      <c r="AG877" s="273">
        <v>5</v>
      </c>
      <c r="AH877" s="273">
        <v>13</v>
      </c>
      <c r="AI877" s="273">
        <v>6</v>
      </c>
      <c r="AJ877" s="273">
        <v>3</v>
      </c>
      <c r="AK877" s="273">
        <v>9</v>
      </c>
      <c r="AL877" s="273">
        <v>1</v>
      </c>
      <c r="AM877" s="273">
        <v>16</v>
      </c>
      <c r="AN877" s="273">
        <v>11</v>
      </c>
      <c r="AO877" s="273">
        <v>12</v>
      </c>
      <c r="AP877" s="273">
        <v>17</v>
      </c>
      <c r="AQ877" s="273">
        <v>6</v>
      </c>
      <c r="AR877" s="273">
        <v>9</v>
      </c>
      <c r="AS877" s="273">
        <v>16</v>
      </c>
      <c r="AT877" s="273">
        <v>10</v>
      </c>
      <c r="AU877" s="273">
        <v>3</v>
      </c>
      <c r="AV877" s="273">
        <f t="shared" si="68"/>
        <v>3</v>
      </c>
      <c r="AX877" s="86" t="str">
        <f t="shared" ca="1" si="69"/>
        <v>EZJ</v>
      </c>
    </row>
    <row r="878" spans="1:50" hidden="1">
      <c r="A878" s="86" t="str">
        <f t="shared" ca="1" si="70"/>
        <v>F</v>
      </c>
      <c r="F878" s="249">
        <v>24.03</v>
      </c>
      <c r="G878" s="249">
        <v>24.03</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26.15</v>
      </c>
      <c r="X878" s="249">
        <v>26.15</v>
      </c>
      <c r="Y878" s="249">
        <v>26.15</v>
      </c>
      <c r="Z878" s="243">
        <f ca="1">[1]ExtEntry!$N78</f>
        <v>26.15</v>
      </c>
      <c r="AB878" s="273">
        <v>3</v>
      </c>
      <c r="AC878" s="273">
        <v>9</v>
      </c>
      <c r="AD878" s="273">
        <v>4</v>
      </c>
      <c r="AE878" s="273">
        <v>12</v>
      </c>
      <c r="AF878" s="273">
        <v>7</v>
      </c>
      <c r="AG878" s="273">
        <v>12</v>
      </c>
      <c r="AH878" s="273">
        <v>19</v>
      </c>
      <c r="AI878" s="273">
        <v>3</v>
      </c>
      <c r="AJ878" s="273">
        <v>9</v>
      </c>
      <c r="AK878" s="273">
        <v>10</v>
      </c>
      <c r="AL878" s="273">
        <v>8</v>
      </c>
      <c r="AM878" s="273">
        <v>11</v>
      </c>
      <c r="AN878" s="273">
        <v>18</v>
      </c>
      <c r="AO878" s="273">
        <v>9</v>
      </c>
      <c r="AP878" s="273">
        <v>5</v>
      </c>
      <c r="AQ878" s="273">
        <v>11</v>
      </c>
      <c r="AR878" s="273">
        <v>15</v>
      </c>
      <c r="AS878" s="273">
        <v>10</v>
      </c>
      <c r="AT878" s="273">
        <v>3</v>
      </c>
      <c r="AU878" s="273">
        <v>5</v>
      </c>
      <c r="AV878" s="273">
        <f t="shared" si="68"/>
        <v>5</v>
      </c>
      <c r="AX878" s="86" t="str">
        <f t="shared" ca="1" si="69"/>
        <v>F</v>
      </c>
    </row>
    <row r="879" spans="1:50" hidden="1">
      <c r="A879" s="86" t="str">
        <f t="shared" ca="1" si="70"/>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9</v>
      </c>
      <c r="AC879" s="273">
        <v>2</v>
      </c>
      <c r="AD879" s="273">
        <v>18</v>
      </c>
      <c r="AE879" s="273">
        <v>17</v>
      </c>
      <c r="AF879" s="273">
        <v>15</v>
      </c>
      <c r="AG879" s="273">
        <v>7</v>
      </c>
      <c r="AH879" s="273">
        <v>5</v>
      </c>
      <c r="AI879" s="273">
        <v>16</v>
      </c>
      <c r="AJ879" s="273">
        <v>2</v>
      </c>
      <c r="AK879" s="273">
        <v>6</v>
      </c>
      <c r="AL879" s="273">
        <v>11</v>
      </c>
      <c r="AM879" s="273">
        <v>13</v>
      </c>
      <c r="AN879" s="273">
        <v>1</v>
      </c>
      <c r="AO879" s="273">
        <v>16</v>
      </c>
      <c r="AP879" s="273">
        <v>16</v>
      </c>
      <c r="AQ879" s="273">
        <v>1</v>
      </c>
      <c r="AR879" s="273">
        <v>17</v>
      </c>
      <c r="AS879" s="273">
        <v>8</v>
      </c>
      <c r="AT879" s="273">
        <v>6</v>
      </c>
      <c r="AU879" s="273">
        <v>5</v>
      </c>
      <c r="AV879" s="273">
        <f t="shared" si="68"/>
        <v>5</v>
      </c>
      <c r="AX879" s="86" t="str">
        <f t="shared" ca="1" si="69"/>
        <v>GLE</v>
      </c>
    </row>
    <row r="880" spans="1:50" hidden="1">
      <c r="A880" s="86" t="str">
        <f t="shared" ca="1" si="70"/>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8</v>
      </c>
      <c r="AC880" s="273">
        <v>16</v>
      </c>
      <c r="AD880" s="273">
        <v>8</v>
      </c>
      <c r="AE880" s="273">
        <v>15</v>
      </c>
      <c r="AF880" s="273">
        <v>8</v>
      </c>
      <c r="AG880" s="273">
        <v>4</v>
      </c>
      <c r="AH880" s="273">
        <v>16</v>
      </c>
      <c r="AI880" s="273">
        <v>1</v>
      </c>
      <c r="AJ880" s="273">
        <v>8</v>
      </c>
      <c r="AK880" s="273">
        <v>10</v>
      </c>
      <c r="AL880" s="273">
        <v>4</v>
      </c>
      <c r="AM880" s="273">
        <v>12</v>
      </c>
      <c r="AN880" s="273">
        <v>2</v>
      </c>
      <c r="AO880" s="273">
        <v>5</v>
      </c>
      <c r="AP880" s="273">
        <v>4</v>
      </c>
      <c r="AQ880" s="273">
        <v>3</v>
      </c>
      <c r="AR880" s="273">
        <v>15</v>
      </c>
      <c r="AS880" s="273">
        <v>15</v>
      </c>
      <c r="AT880" s="273">
        <v>2</v>
      </c>
      <c r="AU880" s="273">
        <v>12</v>
      </c>
      <c r="AV880" s="273">
        <f t="shared" si="68"/>
        <v>12</v>
      </c>
      <c r="AX880" s="86" t="str">
        <f t="shared" ca="1" si="69"/>
        <v>GNRC</v>
      </c>
    </row>
    <row r="881" spans="1:70" hidden="1">
      <c r="A881" s="86" t="str">
        <f t="shared" ca="1" si="70"/>
        <v>GS</v>
      </c>
      <c r="F881" s="249">
        <v>1.08</v>
      </c>
      <c r="G881" s="249">
        <v>1.08</v>
      </c>
      <c r="H881" s="249">
        <v>1.08</v>
      </c>
      <c r="I881" s="249">
        <v>1.01</v>
      </c>
      <c r="J881" s="249">
        <v>0.81120000000000003</v>
      </c>
      <c r="K881" s="249">
        <v>0.81120000000000003</v>
      </c>
      <c r="L881" s="249">
        <v>0.81120000000000003</v>
      </c>
      <c r="M881" s="249">
        <v>0.81120000000000003</v>
      </c>
      <c r="N881" s="249">
        <v>0.77769999999999995</v>
      </c>
      <c r="O881" s="249">
        <v>0.77769999999999995</v>
      </c>
      <c r="P881" s="249">
        <v>0.77769999999999995</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11</v>
      </c>
      <c r="AC881" s="273">
        <v>13</v>
      </c>
      <c r="AD881" s="273">
        <v>12</v>
      </c>
      <c r="AE881" s="273">
        <v>17</v>
      </c>
      <c r="AF881" s="273">
        <v>10</v>
      </c>
      <c r="AG881" s="273">
        <v>7</v>
      </c>
      <c r="AH881" s="273">
        <v>16</v>
      </c>
      <c r="AI881" s="273">
        <v>8</v>
      </c>
      <c r="AJ881" s="273">
        <v>2</v>
      </c>
      <c r="AK881" s="273">
        <v>3</v>
      </c>
      <c r="AL881" s="273">
        <v>4</v>
      </c>
      <c r="AM881" s="273">
        <v>17</v>
      </c>
      <c r="AN881" s="273">
        <v>5</v>
      </c>
      <c r="AO881" s="273">
        <v>5</v>
      </c>
      <c r="AP881" s="273">
        <v>2</v>
      </c>
      <c r="AQ881" s="273">
        <v>15</v>
      </c>
      <c r="AR881" s="273">
        <v>2</v>
      </c>
      <c r="AS881" s="273">
        <v>5</v>
      </c>
      <c r="AT881" s="273">
        <v>5</v>
      </c>
      <c r="AU881" s="273">
        <v>2</v>
      </c>
      <c r="AV881" s="273">
        <f t="shared" si="68"/>
        <v>2</v>
      </c>
      <c r="AX881" s="86" t="str">
        <f t="shared" ca="1" si="69"/>
        <v>GS</v>
      </c>
      <c r="BQ881" t="s">
        <v>2189</v>
      </c>
      <c r="BR881" t="s">
        <v>1821</v>
      </c>
    </row>
    <row r="882" spans="1:70" hidden="1">
      <c r="A882" s="86" t="str">
        <f t="shared" ca="1" si="70"/>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17</v>
      </c>
      <c r="AC882" s="273">
        <v>12</v>
      </c>
      <c r="AD882" s="273">
        <v>2</v>
      </c>
      <c r="AE882" s="273">
        <v>13</v>
      </c>
      <c r="AF882" s="273">
        <v>13</v>
      </c>
      <c r="AG882" s="273">
        <v>6</v>
      </c>
      <c r="AH882" s="273">
        <v>7</v>
      </c>
      <c r="AI882" s="273">
        <v>11</v>
      </c>
      <c r="AJ882" s="273">
        <v>4</v>
      </c>
      <c r="AK882" s="273">
        <v>6</v>
      </c>
      <c r="AL882" s="273">
        <v>2</v>
      </c>
      <c r="AM882" s="273">
        <v>12</v>
      </c>
      <c r="AN882" s="273">
        <v>14</v>
      </c>
      <c r="AO882" s="273">
        <v>11</v>
      </c>
      <c r="AP882" s="273">
        <v>4</v>
      </c>
      <c r="AQ882" s="273">
        <v>1</v>
      </c>
      <c r="AR882" s="273">
        <v>19</v>
      </c>
      <c r="AS882" s="273">
        <v>9</v>
      </c>
      <c r="AT882" s="273">
        <v>9</v>
      </c>
      <c r="AU882" s="273">
        <v>3</v>
      </c>
      <c r="AV882" s="273">
        <f t="shared" si="68"/>
        <v>3</v>
      </c>
      <c r="AX882" s="86" t="str">
        <f t="shared" ca="1" si="69"/>
        <v>LAZR</v>
      </c>
    </row>
    <row r="883" spans="1:70" hidden="1">
      <c r="A883" s="86" t="str">
        <f t="shared" ca="1" si="70"/>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v>
      </c>
      <c r="AC883" s="273">
        <v>11</v>
      </c>
      <c r="AD883" s="273">
        <v>3</v>
      </c>
      <c r="AE883" s="273">
        <v>12</v>
      </c>
      <c r="AF883" s="273">
        <v>10</v>
      </c>
      <c r="AG883" s="273">
        <v>11</v>
      </c>
      <c r="AH883" s="273">
        <v>14</v>
      </c>
      <c r="AI883" s="273">
        <v>2</v>
      </c>
      <c r="AJ883" s="273">
        <v>5</v>
      </c>
      <c r="AK883" s="273">
        <v>6</v>
      </c>
      <c r="AL883" s="273">
        <v>13</v>
      </c>
      <c r="AM883" s="273">
        <v>8</v>
      </c>
      <c r="AN883" s="273">
        <v>6</v>
      </c>
      <c r="AO883" s="273">
        <v>9</v>
      </c>
      <c r="AP883" s="273">
        <v>8</v>
      </c>
      <c r="AQ883" s="273">
        <v>8</v>
      </c>
      <c r="AR883" s="273">
        <v>2</v>
      </c>
      <c r="AS883" s="273">
        <v>8</v>
      </c>
      <c r="AT883" s="273">
        <v>4</v>
      </c>
      <c r="AU883" s="273">
        <v>6</v>
      </c>
      <c r="AV883" s="273">
        <f t="shared" si="68"/>
        <v>6</v>
      </c>
      <c r="AX883" s="86" t="str">
        <f t="shared" ca="1" si="69"/>
        <v>LUV</v>
      </c>
    </row>
    <row r="884" spans="1:70" hidden="1">
      <c r="A884" s="86" t="str">
        <f t="shared" ca="1" si="70"/>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8</v>
      </c>
      <c r="AC884" s="273">
        <v>12</v>
      </c>
      <c r="AD884" s="273">
        <v>15</v>
      </c>
      <c r="AE884" s="273">
        <v>18</v>
      </c>
      <c r="AF884" s="273">
        <v>19</v>
      </c>
      <c r="AG884" s="273">
        <v>14</v>
      </c>
      <c r="AH884" s="273">
        <v>4</v>
      </c>
      <c r="AI884" s="273">
        <v>1</v>
      </c>
      <c r="AJ884" s="273">
        <v>9</v>
      </c>
      <c r="AK884" s="273">
        <v>15</v>
      </c>
      <c r="AL884" s="273">
        <v>5</v>
      </c>
      <c r="AM884" s="273">
        <v>17</v>
      </c>
      <c r="AN884" s="273">
        <v>6</v>
      </c>
      <c r="AO884" s="273">
        <v>5</v>
      </c>
      <c r="AP884" s="273">
        <v>3</v>
      </c>
      <c r="AQ884" s="273">
        <v>20</v>
      </c>
      <c r="AR884" s="273">
        <v>7</v>
      </c>
      <c r="AS884" s="273">
        <v>13</v>
      </c>
      <c r="AT884" s="273">
        <v>9</v>
      </c>
      <c r="AU884" s="273">
        <v>1</v>
      </c>
      <c r="AV884" s="273">
        <f t="shared" si="68"/>
        <v>1</v>
      </c>
      <c r="AX884" s="86" t="str">
        <f t="shared" ca="1" si="69"/>
        <v>MA</v>
      </c>
    </row>
    <row r="885" spans="1:70" hidden="1">
      <c r="A885" s="86" t="str">
        <f t="shared" ca="1" si="70"/>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4</v>
      </c>
      <c r="AC885" s="273">
        <v>9</v>
      </c>
      <c r="AD885" s="273">
        <v>15</v>
      </c>
      <c r="AE885" s="273">
        <v>11</v>
      </c>
      <c r="AF885" s="273">
        <v>17</v>
      </c>
      <c r="AG885" s="273">
        <v>16</v>
      </c>
      <c r="AH885" s="273">
        <v>12</v>
      </c>
      <c r="AI885" s="273">
        <v>2</v>
      </c>
      <c r="AJ885" s="273">
        <v>3</v>
      </c>
      <c r="AK885" s="273">
        <v>3</v>
      </c>
      <c r="AL885" s="273">
        <v>7</v>
      </c>
      <c r="AM885" s="273">
        <v>19</v>
      </c>
      <c r="AN885" s="273">
        <v>11</v>
      </c>
      <c r="AO885" s="273">
        <v>4</v>
      </c>
      <c r="AP885" s="273">
        <v>3</v>
      </c>
      <c r="AQ885" s="273">
        <v>11</v>
      </c>
      <c r="AR885" s="273">
        <v>8</v>
      </c>
      <c r="AS885" s="273">
        <v>10</v>
      </c>
      <c r="AT885" s="273">
        <v>8</v>
      </c>
      <c r="AU885" s="273">
        <v>13</v>
      </c>
      <c r="AV885" s="273">
        <f t="shared" si="68"/>
        <v>13</v>
      </c>
      <c r="AX885" s="86" t="str">
        <f t="shared" ca="1" si="69"/>
        <v>NVAX</v>
      </c>
    </row>
    <row r="886" spans="1:70" hidden="1">
      <c r="A886" s="86" t="str">
        <f t="shared" ca="1" si="70"/>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7</v>
      </c>
      <c r="AC886" s="273">
        <v>1</v>
      </c>
      <c r="AD886" s="273">
        <v>12</v>
      </c>
      <c r="AE886" s="273">
        <v>15</v>
      </c>
      <c r="AF886" s="273">
        <v>19</v>
      </c>
      <c r="AG886" s="273">
        <v>16</v>
      </c>
      <c r="AH886" s="273">
        <v>18</v>
      </c>
      <c r="AI886" s="273">
        <v>1</v>
      </c>
      <c r="AJ886" s="273">
        <v>8</v>
      </c>
      <c r="AK886" s="273">
        <v>9</v>
      </c>
      <c r="AL886" s="273">
        <v>11</v>
      </c>
      <c r="AM886" s="273">
        <v>14</v>
      </c>
      <c r="AN886" s="273">
        <v>1</v>
      </c>
      <c r="AO886" s="273">
        <v>3</v>
      </c>
      <c r="AP886" s="273">
        <v>4</v>
      </c>
      <c r="AQ886" s="273">
        <v>13</v>
      </c>
      <c r="AR886" s="273">
        <v>13</v>
      </c>
      <c r="AS886" s="273">
        <v>4</v>
      </c>
      <c r="AT886" s="273">
        <v>11</v>
      </c>
      <c r="AU886" s="273">
        <v>7</v>
      </c>
      <c r="AV886" s="273">
        <f t="shared" si="68"/>
        <v>7</v>
      </c>
      <c r="AX886" s="86" t="str">
        <f t="shared" ca="1" si="69"/>
        <v>NVS</v>
      </c>
    </row>
    <row r="887" spans="1:70" hidden="1">
      <c r="A887" s="86" t="str">
        <f t="shared" ca="1" si="70"/>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12</v>
      </c>
      <c r="AC887" s="273">
        <v>3</v>
      </c>
      <c r="AD887" s="273">
        <v>4</v>
      </c>
      <c r="AE887" s="273">
        <v>20</v>
      </c>
      <c r="AF887" s="273">
        <v>19</v>
      </c>
      <c r="AG887" s="273">
        <v>17</v>
      </c>
      <c r="AH887" s="273">
        <v>14</v>
      </c>
      <c r="AI887" s="273">
        <v>1</v>
      </c>
      <c r="AJ887" s="273">
        <v>6</v>
      </c>
      <c r="AK887" s="273">
        <v>8</v>
      </c>
      <c r="AL887" s="273">
        <v>6</v>
      </c>
      <c r="AM887" s="273">
        <v>11</v>
      </c>
      <c r="AN887" s="273">
        <v>3</v>
      </c>
      <c r="AO887" s="273">
        <v>12</v>
      </c>
      <c r="AP887" s="273">
        <v>10</v>
      </c>
      <c r="AQ887" s="273">
        <v>14</v>
      </c>
      <c r="AR887" s="273">
        <v>19</v>
      </c>
      <c r="AS887" s="273">
        <v>10</v>
      </c>
      <c r="AT887" s="273">
        <v>13</v>
      </c>
      <c r="AU887" s="273">
        <v>7</v>
      </c>
      <c r="AV887" s="273">
        <f t="shared" si="68"/>
        <v>7</v>
      </c>
      <c r="AX887" s="86" t="str">
        <f t="shared" ca="1" si="69"/>
        <v>ORA</v>
      </c>
    </row>
    <row r="888" spans="1:70" hidden="1">
      <c r="A888" s="86" t="str">
        <f t="shared" ca="1" si="70"/>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14</v>
      </c>
      <c r="AC888" s="273">
        <v>4</v>
      </c>
      <c r="AD888" s="273">
        <v>2</v>
      </c>
      <c r="AE888" s="273">
        <v>5</v>
      </c>
      <c r="AF888" s="273">
        <v>5</v>
      </c>
      <c r="AG888" s="273">
        <v>19</v>
      </c>
      <c r="AH888" s="273">
        <v>10</v>
      </c>
      <c r="AI888" s="273">
        <v>10</v>
      </c>
      <c r="AJ888" s="273">
        <v>8</v>
      </c>
      <c r="AK888" s="273">
        <v>12</v>
      </c>
      <c r="AL888" s="273">
        <v>7</v>
      </c>
      <c r="AM888" s="273">
        <v>7</v>
      </c>
      <c r="AN888" s="273">
        <v>17</v>
      </c>
      <c r="AO888" s="273">
        <v>8</v>
      </c>
      <c r="AP888" s="273">
        <v>7</v>
      </c>
      <c r="AQ888" s="273">
        <v>10</v>
      </c>
      <c r="AR888" s="273">
        <v>15</v>
      </c>
      <c r="AS888" s="273">
        <v>9</v>
      </c>
      <c r="AT888" s="273">
        <v>8</v>
      </c>
      <c r="AU888" s="273">
        <v>19</v>
      </c>
      <c r="AV888" s="273">
        <f t="shared" si="68"/>
        <v>19</v>
      </c>
      <c r="AX888" s="86" t="str">
        <f t="shared" ca="1" si="69"/>
        <v>OXY</v>
      </c>
    </row>
    <row r="889" spans="1:70" hidden="1">
      <c r="A889" s="86" t="str">
        <f t="shared" ca="1" si="70"/>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v>
      </c>
      <c r="AC889" s="273">
        <v>3</v>
      </c>
      <c r="AD889" s="273">
        <v>10</v>
      </c>
      <c r="AE889" s="273">
        <v>20</v>
      </c>
      <c r="AF889" s="273">
        <v>1</v>
      </c>
      <c r="AG889" s="273">
        <v>19</v>
      </c>
      <c r="AH889" s="273">
        <v>19</v>
      </c>
      <c r="AI889" s="273">
        <v>1</v>
      </c>
      <c r="AJ889" s="273">
        <v>11</v>
      </c>
      <c r="AK889" s="273">
        <v>10</v>
      </c>
      <c r="AL889" s="273">
        <v>8</v>
      </c>
      <c r="AM889" s="273">
        <v>17</v>
      </c>
      <c r="AN889" s="273">
        <v>13</v>
      </c>
      <c r="AO889" s="273">
        <v>2</v>
      </c>
      <c r="AP889" s="273">
        <v>3</v>
      </c>
      <c r="AQ889" s="273">
        <v>7</v>
      </c>
      <c r="AR889" s="273">
        <v>6</v>
      </c>
      <c r="AS889" s="273">
        <v>15</v>
      </c>
      <c r="AT889" s="273">
        <v>4</v>
      </c>
      <c r="AU889" s="273">
        <v>10</v>
      </c>
      <c r="AV889" s="273">
        <f t="shared" si="68"/>
        <v>10</v>
      </c>
      <c r="AX889" s="86" t="str">
        <f t="shared" ca="1" si="69"/>
        <v>PFE</v>
      </c>
    </row>
    <row r="890" spans="1:70" hidden="1">
      <c r="A890" s="86" t="str">
        <f t="shared" ca="1" si="70"/>
        <v>RIG</v>
      </c>
      <c r="F890" s="249">
        <v>30.32</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12</v>
      </c>
      <c r="AC890" s="273">
        <v>9</v>
      </c>
      <c r="AD890" s="273">
        <v>7</v>
      </c>
      <c r="AE890" s="273">
        <v>13</v>
      </c>
      <c r="AF890" s="273">
        <v>8</v>
      </c>
      <c r="AG890" s="273">
        <v>15</v>
      </c>
      <c r="AH890" s="273">
        <v>20</v>
      </c>
      <c r="AI890" s="273">
        <v>7</v>
      </c>
      <c r="AJ890" s="273">
        <v>2</v>
      </c>
      <c r="AK890" s="273">
        <v>2</v>
      </c>
      <c r="AL890" s="273">
        <v>7</v>
      </c>
      <c r="AM890" s="273">
        <v>11</v>
      </c>
      <c r="AN890" s="273">
        <v>16</v>
      </c>
      <c r="AO890" s="273">
        <v>4</v>
      </c>
      <c r="AP890" s="273">
        <v>4</v>
      </c>
      <c r="AQ890" s="273">
        <v>12</v>
      </c>
      <c r="AR890" s="273">
        <v>13</v>
      </c>
      <c r="AS890" s="273">
        <v>7</v>
      </c>
      <c r="AT890" s="273">
        <v>19</v>
      </c>
      <c r="AU890" s="273">
        <v>16</v>
      </c>
      <c r="AV890" s="273">
        <f t="shared" si="68"/>
        <v>16</v>
      </c>
      <c r="AX890" s="86" t="str">
        <f t="shared" ca="1" si="69"/>
        <v>RIG</v>
      </c>
    </row>
    <row r="891" spans="1:70">
      <c r="A891" s="86" t="str">
        <f t="shared" ca="1" si="70"/>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10</v>
      </c>
      <c r="AC891" s="273">
        <v>11</v>
      </c>
      <c r="AD891" s="273">
        <v>4</v>
      </c>
      <c r="AE891" s="273">
        <v>7</v>
      </c>
      <c r="AF891" s="273">
        <v>4</v>
      </c>
      <c r="AG891" s="273">
        <v>11</v>
      </c>
      <c r="AH891" s="273">
        <v>19</v>
      </c>
      <c r="AI891" s="273">
        <v>7</v>
      </c>
      <c r="AJ891" s="273">
        <v>3</v>
      </c>
      <c r="AK891" s="273">
        <v>6</v>
      </c>
      <c r="AL891" s="273">
        <v>2</v>
      </c>
      <c r="AM891" s="273">
        <v>13</v>
      </c>
      <c r="AN891" s="273">
        <v>20</v>
      </c>
      <c r="AO891" s="273">
        <v>3</v>
      </c>
      <c r="AP891" s="273">
        <v>1</v>
      </c>
      <c r="AQ891" s="273">
        <v>8</v>
      </c>
      <c r="AR891" s="273">
        <v>14</v>
      </c>
      <c r="AS891" s="273">
        <v>8</v>
      </c>
      <c r="AT891" s="273">
        <v>17</v>
      </c>
      <c r="AU891" s="273">
        <v>19</v>
      </c>
      <c r="AV891" s="273">
        <f t="shared" si="68"/>
        <v>19</v>
      </c>
      <c r="AX891" s="86" t="str">
        <f t="shared" ca="1" si="69"/>
        <v>RRC</v>
      </c>
    </row>
    <row r="892" spans="1:70">
      <c r="A892" s="86" t="str">
        <f t="shared" ca="1" si="70"/>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7</v>
      </c>
      <c r="AC892" s="273">
        <v>19</v>
      </c>
      <c r="AD892" s="273">
        <v>20</v>
      </c>
      <c r="AE892" s="273">
        <v>17</v>
      </c>
      <c r="AF892" s="273">
        <v>13</v>
      </c>
      <c r="AG892" s="273">
        <v>10</v>
      </c>
      <c r="AH892" s="273">
        <v>2</v>
      </c>
      <c r="AI892" s="273">
        <v>9</v>
      </c>
      <c r="AJ892" s="273">
        <v>2</v>
      </c>
      <c r="AK892" s="273">
        <v>3</v>
      </c>
      <c r="AL892" s="273">
        <v>3</v>
      </c>
      <c r="AM892" s="273">
        <v>12</v>
      </c>
      <c r="AN892" s="273">
        <v>19</v>
      </c>
      <c r="AO892" s="273">
        <v>3</v>
      </c>
      <c r="AP892" s="273">
        <v>6</v>
      </c>
      <c r="AQ892" s="273">
        <v>11</v>
      </c>
      <c r="AR892" s="273">
        <v>13</v>
      </c>
      <c r="AS892" s="273">
        <v>8</v>
      </c>
      <c r="AT892" s="273">
        <v>3</v>
      </c>
      <c r="AU892" s="273">
        <v>10</v>
      </c>
      <c r="AV892" s="273">
        <f t="shared" si="68"/>
        <v>10</v>
      </c>
      <c r="AX892" s="86" t="str">
        <f t="shared" ca="1" si="69"/>
        <v>XYZ</v>
      </c>
    </row>
    <row r="893" spans="1:70">
      <c r="A893" s="86" t="str">
        <f t="shared" ca="1" si="70"/>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12</v>
      </c>
      <c r="AC893" s="273">
        <v>16</v>
      </c>
      <c r="AD893" s="273">
        <v>12</v>
      </c>
      <c r="AE893" s="273">
        <v>18</v>
      </c>
      <c r="AF893" s="273">
        <v>13</v>
      </c>
      <c r="AG893" s="273">
        <v>14</v>
      </c>
      <c r="AH893" s="273">
        <v>19</v>
      </c>
      <c r="AI893" s="273">
        <v>1</v>
      </c>
      <c r="AJ893" s="273">
        <v>15</v>
      </c>
      <c r="AK893" s="273">
        <v>16</v>
      </c>
      <c r="AL893" s="273">
        <v>15</v>
      </c>
      <c r="AM893" s="273">
        <v>8</v>
      </c>
      <c r="AN893" s="273">
        <v>14</v>
      </c>
      <c r="AO893" s="273">
        <v>15</v>
      </c>
      <c r="AP893" s="273">
        <v>17</v>
      </c>
      <c r="AQ893" s="273">
        <v>5</v>
      </c>
      <c r="AR893" s="273">
        <v>15</v>
      </c>
      <c r="AS893" s="273">
        <v>19</v>
      </c>
      <c r="AT893" s="273">
        <v>18</v>
      </c>
      <c r="AU893" s="273">
        <v>9</v>
      </c>
      <c r="AV893" s="273">
        <f t="shared" si="68"/>
        <v>9</v>
      </c>
      <c r="AX893" s="86" t="str">
        <f t="shared" ca="1" si="69"/>
        <v>THC</v>
      </c>
    </row>
    <row r="894" spans="1:70">
      <c r="A894" s="86" t="str">
        <f t="shared" ca="1" si="70"/>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68"/>
        <v>1</v>
      </c>
      <c r="AX894" s="86" t="str">
        <f t="shared" ca="1" si="69"/>
        <v>X</v>
      </c>
    </row>
    <row r="895" spans="1:70">
      <c r="A895" s="86" t="str">
        <f t="shared" ca="1" si="70"/>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13</v>
      </c>
      <c r="AC895" s="273">
        <v>17</v>
      </c>
      <c r="AD895" s="273">
        <v>11</v>
      </c>
      <c r="AE895" s="273">
        <v>19</v>
      </c>
      <c r="AF895" s="273">
        <v>4</v>
      </c>
      <c r="AG895" s="273">
        <v>6</v>
      </c>
      <c r="AH895" s="273">
        <v>3</v>
      </c>
      <c r="AI895" s="273">
        <v>20</v>
      </c>
      <c r="AJ895" s="273">
        <v>4</v>
      </c>
      <c r="AK895" s="273">
        <v>10</v>
      </c>
      <c r="AL895" s="273">
        <v>10</v>
      </c>
      <c r="AM895" s="273">
        <v>10</v>
      </c>
      <c r="AN895" s="273">
        <v>3</v>
      </c>
      <c r="AO895" s="273">
        <v>15</v>
      </c>
      <c r="AP895" s="273">
        <v>14</v>
      </c>
      <c r="AQ895" s="273">
        <v>6</v>
      </c>
      <c r="AR895" s="273">
        <v>7</v>
      </c>
      <c r="AS895" s="273">
        <v>4</v>
      </c>
      <c r="AT895" s="273">
        <v>9</v>
      </c>
      <c r="AU895" s="273">
        <v>6</v>
      </c>
      <c r="AV895" s="273">
        <f t="shared" si="68"/>
        <v>6</v>
      </c>
      <c r="AX895" s="86" t="str">
        <f t="shared" ca="1" si="69"/>
        <v>LOCK</v>
      </c>
    </row>
    <row r="896" spans="1:70">
      <c r="A896" s="86" t="str">
        <f t="shared" ca="1" si="70"/>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16</v>
      </c>
      <c r="AC896" s="273">
        <v>17</v>
      </c>
      <c r="AD896" s="273">
        <v>20</v>
      </c>
      <c r="AE896" s="273">
        <v>12</v>
      </c>
      <c r="AF896" s="273">
        <v>12</v>
      </c>
      <c r="AG896" s="273">
        <v>3</v>
      </c>
      <c r="AH896" s="273">
        <v>9</v>
      </c>
      <c r="AI896" s="273">
        <v>20</v>
      </c>
      <c r="AJ896" s="273">
        <v>1</v>
      </c>
      <c r="AK896" s="273">
        <v>16</v>
      </c>
      <c r="AL896" s="273">
        <v>7</v>
      </c>
      <c r="AM896" s="273">
        <v>2</v>
      </c>
      <c r="AN896" s="273">
        <v>7</v>
      </c>
      <c r="AO896" s="273">
        <v>6</v>
      </c>
      <c r="AP896" s="273">
        <v>2</v>
      </c>
      <c r="AQ896" s="273">
        <v>12</v>
      </c>
      <c r="AR896" s="273">
        <v>11</v>
      </c>
      <c r="AS896" s="273">
        <v>15</v>
      </c>
      <c r="AT896" s="273">
        <v>12</v>
      </c>
      <c r="AU896" s="273">
        <v>9</v>
      </c>
      <c r="AV896" s="273">
        <f t="shared" si="68"/>
        <v>9</v>
      </c>
      <c r="AX896" s="86" t="str">
        <f t="shared" ca="1" si="69"/>
        <v>JBASML</v>
      </c>
    </row>
    <row r="897" spans="1:70">
      <c r="A897" s="86" t="str">
        <f t="shared" ca="1" si="70"/>
        <v>JBEOAN</v>
      </c>
      <c r="AB897" s="273">
        <v>1</v>
      </c>
      <c r="AC897" s="273">
        <v>10</v>
      </c>
      <c r="AD897" s="273">
        <v>10</v>
      </c>
      <c r="AE897" s="273">
        <v>11</v>
      </c>
      <c r="AF897" s="273">
        <v>15</v>
      </c>
      <c r="AG897" s="273">
        <v>12</v>
      </c>
      <c r="AH897" s="273">
        <v>4</v>
      </c>
      <c r="AI897" s="273">
        <v>3</v>
      </c>
      <c r="AJ897" s="273">
        <v>7</v>
      </c>
      <c r="AK897" s="273">
        <v>17</v>
      </c>
      <c r="AL897" s="273">
        <v>11</v>
      </c>
      <c r="AM897" s="273">
        <v>14</v>
      </c>
      <c r="AN897" s="273">
        <v>7</v>
      </c>
      <c r="AO897" s="273">
        <v>1</v>
      </c>
      <c r="AP897" s="273">
        <v>1</v>
      </c>
      <c r="AQ897" s="273">
        <v>20</v>
      </c>
      <c r="AR897" s="273">
        <v>18</v>
      </c>
      <c r="AS897" s="273">
        <v>8</v>
      </c>
      <c r="AT897" s="273">
        <v>14</v>
      </c>
      <c r="AU897" s="273">
        <v>20</v>
      </c>
      <c r="AV897" s="273">
        <f t="shared" si="68"/>
        <v>20</v>
      </c>
      <c r="AX897" s="86" t="str">
        <f t="shared" ca="1" si="69"/>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2189</v>
      </c>
      <c r="BR900" t="s">
        <v>1821</v>
      </c>
    </row>
    <row r="901" spans="1:70">
      <c r="A901" s="86"/>
      <c r="F901" s="115">
        <f t="shared" ref="F901:Z901" ca="1" si="71">F802</f>
        <v>45974</v>
      </c>
      <c r="G901" s="115">
        <f t="shared" ca="1" si="71"/>
        <v>45975</v>
      </c>
      <c r="H901" s="115">
        <f t="shared" ca="1" si="71"/>
        <v>45978</v>
      </c>
      <c r="I901" s="115">
        <f t="shared" ca="1" si="71"/>
        <v>45979</v>
      </c>
      <c r="J901" s="115">
        <f t="shared" ca="1" si="71"/>
        <v>45980</v>
      </c>
      <c r="K901" s="115">
        <f t="shared" ca="1" si="71"/>
        <v>45981</v>
      </c>
      <c r="L901" s="115">
        <f t="shared" ca="1" si="71"/>
        <v>45982</v>
      </c>
      <c r="M901" s="115">
        <f t="shared" ca="1" si="71"/>
        <v>45985</v>
      </c>
      <c r="N901" s="115">
        <f t="shared" ca="1" si="71"/>
        <v>45986</v>
      </c>
      <c r="O901" s="115">
        <f t="shared" ca="1" si="71"/>
        <v>45987</v>
      </c>
      <c r="P901" s="115">
        <f t="shared" ca="1" si="71"/>
        <v>45988</v>
      </c>
      <c r="Q901" s="115">
        <f t="shared" ca="1" si="71"/>
        <v>45989</v>
      </c>
      <c r="R901" s="115">
        <f t="shared" ca="1" si="71"/>
        <v>45992</v>
      </c>
      <c r="S901" s="115">
        <f t="shared" ca="1" si="71"/>
        <v>45993</v>
      </c>
      <c r="T901" s="115">
        <f t="shared" ca="1" si="71"/>
        <v>45994</v>
      </c>
      <c r="U901" s="115">
        <f t="shared" ca="1" si="71"/>
        <v>45995</v>
      </c>
      <c r="V901" s="115">
        <f t="shared" ca="1" si="71"/>
        <v>45996</v>
      </c>
      <c r="W901" s="115">
        <f t="shared" ca="1" si="71"/>
        <v>45999</v>
      </c>
      <c r="X901" s="115">
        <f t="shared" ca="1" si="71"/>
        <v>46000</v>
      </c>
      <c r="Y901" s="115">
        <f t="shared" ca="1" si="71"/>
        <v>46001</v>
      </c>
      <c r="Z901" s="115">
        <f t="shared" ca="1" si="71"/>
        <v>46002</v>
      </c>
      <c r="AB901" s="115">
        <f t="shared" ref="AB901:AV901" ca="1" si="72">F802</f>
        <v>45974</v>
      </c>
      <c r="AC901" s="115">
        <f t="shared" ca="1" si="72"/>
        <v>45975</v>
      </c>
      <c r="AD901" s="115">
        <f t="shared" ca="1" si="72"/>
        <v>45978</v>
      </c>
      <c r="AE901" s="115">
        <f t="shared" ca="1" si="72"/>
        <v>45979</v>
      </c>
      <c r="AF901" s="115">
        <f t="shared" ca="1" si="72"/>
        <v>45980</v>
      </c>
      <c r="AG901" s="115">
        <f t="shared" ca="1" si="72"/>
        <v>45981</v>
      </c>
      <c r="AH901" s="115">
        <f t="shared" ca="1" si="72"/>
        <v>45982</v>
      </c>
      <c r="AI901" s="115">
        <f t="shared" ca="1" si="72"/>
        <v>45985</v>
      </c>
      <c r="AJ901" s="115">
        <f t="shared" ca="1" si="72"/>
        <v>45986</v>
      </c>
      <c r="AK901" s="115">
        <f t="shared" ca="1" si="72"/>
        <v>45987</v>
      </c>
      <c r="AL901" s="115">
        <f t="shared" ca="1" si="72"/>
        <v>45988</v>
      </c>
      <c r="AM901" s="115">
        <f t="shared" ca="1" si="72"/>
        <v>45989</v>
      </c>
      <c r="AN901" s="115">
        <f t="shared" ca="1" si="72"/>
        <v>45992</v>
      </c>
      <c r="AO901" s="115">
        <f t="shared" ca="1" si="72"/>
        <v>45993</v>
      </c>
      <c r="AP901" s="115">
        <f t="shared" ca="1" si="72"/>
        <v>45994</v>
      </c>
      <c r="AQ901" s="115">
        <f t="shared" ca="1" si="72"/>
        <v>45995</v>
      </c>
      <c r="AR901" s="115">
        <f t="shared" ca="1" si="72"/>
        <v>45996</v>
      </c>
      <c r="AS901" s="115">
        <f t="shared" ca="1" si="72"/>
        <v>45999</v>
      </c>
      <c r="AT901" s="115">
        <f t="shared" ca="1" si="72"/>
        <v>46000</v>
      </c>
      <c r="AU901" s="115">
        <f t="shared" ca="1" si="72"/>
        <v>46001</v>
      </c>
      <c r="AV901" s="115">
        <f t="shared" ca="1" si="72"/>
        <v>46002</v>
      </c>
      <c r="AX901" s="86"/>
      <c r="BQ901" t="s">
        <v>194</v>
      </c>
      <c r="BR901" t="s">
        <v>701</v>
      </c>
    </row>
    <row r="902" spans="1:70">
      <c r="A902" s="86"/>
      <c r="F902" s="278" t="s">
        <v>392</v>
      </c>
      <c r="G902" s="278" t="s">
        <v>393</v>
      </c>
      <c r="H902" s="278" t="s">
        <v>394</v>
      </c>
      <c r="I902" s="278" t="s">
        <v>395</v>
      </c>
      <c r="J902" s="278" t="s">
        <v>396</v>
      </c>
      <c r="K902" s="278" t="s">
        <v>397</v>
      </c>
      <c r="L902" s="278" t="s">
        <v>398</v>
      </c>
      <c r="M902" s="278" t="s">
        <v>399</v>
      </c>
      <c r="N902" s="278" t="s">
        <v>400</v>
      </c>
      <c r="O902" s="278" t="s">
        <v>401</v>
      </c>
      <c r="P902" s="278" t="s">
        <v>402</v>
      </c>
      <c r="Q902" s="278" t="s">
        <v>403</v>
      </c>
      <c r="R902" s="278" t="s">
        <v>404</v>
      </c>
      <c r="S902" s="278" t="s">
        <v>405</v>
      </c>
      <c r="T902" s="278" t="s">
        <v>406</v>
      </c>
      <c r="U902" s="278" t="s">
        <v>407</v>
      </c>
      <c r="V902" s="278" t="s">
        <v>408</v>
      </c>
      <c r="W902" s="278" t="s">
        <v>409</v>
      </c>
      <c r="X902" s="278" t="s">
        <v>410</v>
      </c>
      <c r="Y902" s="278" t="s">
        <v>411</v>
      </c>
      <c r="Z902" s="278" t="s">
        <v>412</v>
      </c>
      <c r="AB902" s="277" t="s">
        <v>1349</v>
      </c>
      <c r="AC902" s="277" t="s">
        <v>1350</v>
      </c>
      <c r="AD902" s="277" t="s">
        <v>1351</v>
      </c>
      <c r="AE902" s="277" t="s">
        <v>1352</v>
      </c>
      <c r="AF902" s="277" t="s">
        <v>1353</v>
      </c>
      <c r="AG902" s="277" t="s">
        <v>1354</v>
      </c>
      <c r="AH902" s="277" t="s">
        <v>1355</v>
      </c>
      <c r="AI902" s="277" t="s">
        <v>1356</v>
      </c>
      <c r="AJ902" s="277" t="s">
        <v>1357</v>
      </c>
      <c r="AK902" s="277" t="s">
        <v>1358</v>
      </c>
      <c r="AL902" s="277" t="s">
        <v>1359</v>
      </c>
      <c r="AM902" s="277" t="s">
        <v>1360</v>
      </c>
      <c r="AN902" s="277" t="s">
        <v>1361</v>
      </c>
      <c r="AO902" s="277" t="s">
        <v>1362</v>
      </c>
      <c r="AP902" s="277" t="s">
        <v>1363</v>
      </c>
      <c r="AQ902" s="277" t="s">
        <v>1364</v>
      </c>
      <c r="AR902" s="277" t="s">
        <v>1365</v>
      </c>
      <c r="AS902" s="277" t="s">
        <v>1366</v>
      </c>
      <c r="AT902" s="277" t="s">
        <v>1367</v>
      </c>
      <c r="AU902" s="277" t="s">
        <v>1368</v>
      </c>
      <c r="AV902" s="277" t="s">
        <v>1390</v>
      </c>
      <c r="AX902" s="86"/>
      <c r="BQ902" t="s">
        <v>2191</v>
      </c>
      <c r="BR902" t="s">
        <v>2190</v>
      </c>
    </row>
    <row r="903" spans="1:70">
      <c r="A903" s="86" t="str">
        <f ca="1">A5</f>
        <v>AAPL</v>
      </c>
      <c r="F903" s="241">
        <v>277.32</v>
      </c>
      <c r="G903" s="241">
        <v>277.32</v>
      </c>
      <c r="H903" s="241">
        <v>277.32</v>
      </c>
      <c r="I903" s="241">
        <v>277.32</v>
      </c>
      <c r="J903" s="241">
        <v>277.32</v>
      </c>
      <c r="K903" s="241">
        <v>277.32</v>
      </c>
      <c r="L903" s="241">
        <v>277.32</v>
      </c>
      <c r="M903" s="241">
        <v>277.32</v>
      </c>
      <c r="N903" s="241">
        <v>280.38</v>
      </c>
      <c r="O903" s="241">
        <v>280.38</v>
      </c>
      <c r="P903" s="241">
        <v>280.38</v>
      </c>
      <c r="Q903" s="241">
        <v>280.92</v>
      </c>
      <c r="R903" s="241">
        <v>287.39999999999998</v>
      </c>
      <c r="S903" s="241">
        <v>288.61</v>
      </c>
      <c r="T903" s="241">
        <v>288.62</v>
      </c>
      <c r="U903" s="241">
        <v>288.62</v>
      </c>
      <c r="V903" s="241">
        <v>288.62</v>
      </c>
      <c r="W903" s="241">
        <v>288.62</v>
      </c>
      <c r="X903" s="241">
        <v>288.62</v>
      </c>
      <c r="Y903" s="241">
        <v>288.62</v>
      </c>
      <c r="Z903" s="243">
        <f ca="1">[1]ExtEntry!$O3</f>
        <v>288.62</v>
      </c>
      <c r="AB903" s="247">
        <v>64</v>
      </c>
      <c r="AC903" s="247">
        <v>65</v>
      </c>
      <c r="AD903" s="247">
        <v>61</v>
      </c>
      <c r="AE903" s="249">
        <v>66</v>
      </c>
      <c r="AF903" s="249">
        <v>72</v>
      </c>
      <c r="AG903" s="249">
        <v>72</v>
      </c>
      <c r="AH903" s="249">
        <v>69</v>
      </c>
      <c r="AI903" s="249">
        <v>71</v>
      </c>
      <c r="AJ903" s="249">
        <v>75</v>
      </c>
      <c r="AK903" s="249">
        <v>73</v>
      </c>
      <c r="AL903" s="249">
        <v>66</v>
      </c>
      <c r="AM903" s="249">
        <v>68</v>
      </c>
      <c r="AN903" s="249">
        <v>78</v>
      </c>
      <c r="AO903" s="273">
        <v>88</v>
      </c>
      <c r="AP903" s="273">
        <v>83</v>
      </c>
      <c r="AQ903" s="273">
        <v>72</v>
      </c>
      <c r="AR903" s="273">
        <v>62</v>
      </c>
      <c r="AS903" s="273">
        <v>62</v>
      </c>
      <c r="AT903" s="273">
        <v>61</v>
      </c>
      <c r="AU903" s="273">
        <v>59</v>
      </c>
      <c r="AV903" s="273">
        <f t="shared" ref="AV903:AV908" si="73">INT(100-100/(1+SUMIF(F605:Y605,"&gt;0",F605:Y605)/ABS(SUMIF(F605:Y605,"&lt;0",F605:Y605))))</f>
        <v>59</v>
      </c>
      <c r="AX903" s="86" t="str">
        <f t="shared" ca="1" si="69"/>
        <v>AAPL</v>
      </c>
      <c r="BQ903" t="s">
        <v>2192</v>
      </c>
      <c r="BR903" t="s">
        <v>2193</v>
      </c>
    </row>
    <row r="904" spans="1:70">
      <c r="A904" s="86" t="str">
        <f t="shared" ref="A904:A967" ca="1" si="74">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44</v>
      </c>
      <c r="AC904" s="273">
        <v>50</v>
      </c>
      <c r="AD904" s="273">
        <v>54</v>
      </c>
      <c r="AE904" s="249">
        <v>53</v>
      </c>
      <c r="AF904" s="249">
        <v>53</v>
      </c>
      <c r="AG904" s="249">
        <v>52</v>
      </c>
      <c r="AH904" s="249">
        <v>46</v>
      </c>
      <c r="AI904" s="249">
        <v>44</v>
      </c>
      <c r="AJ904" s="249">
        <v>50</v>
      </c>
      <c r="AK904" s="249">
        <v>50</v>
      </c>
      <c r="AL904" s="249">
        <v>49</v>
      </c>
      <c r="AM904" s="249">
        <v>47</v>
      </c>
      <c r="AN904" s="249">
        <v>49</v>
      </c>
      <c r="AO904" s="273">
        <v>49</v>
      </c>
      <c r="AP904" s="273">
        <v>51</v>
      </c>
      <c r="AQ904" s="273">
        <v>47</v>
      </c>
      <c r="AR904" s="273">
        <v>42</v>
      </c>
      <c r="AS904" s="273">
        <v>44</v>
      </c>
      <c r="AT904" s="273">
        <v>55</v>
      </c>
      <c r="AU904" s="273">
        <v>79</v>
      </c>
      <c r="AV904" s="273">
        <f t="shared" si="73"/>
        <v>79</v>
      </c>
      <c r="AX904" s="86" t="str">
        <f t="shared" ca="1" si="69"/>
        <v>ADEA</v>
      </c>
    </row>
    <row r="905" spans="1:70">
      <c r="A905" s="86" t="str">
        <f t="shared" ca="1" si="74"/>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47</v>
      </c>
      <c r="AC905" s="273">
        <v>45</v>
      </c>
      <c r="AD905" s="273">
        <v>46</v>
      </c>
      <c r="AE905" s="249">
        <v>46</v>
      </c>
      <c r="AF905" s="249">
        <v>47</v>
      </c>
      <c r="AG905" s="249">
        <v>42</v>
      </c>
      <c r="AH905" s="249">
        <v>44</v>
      </c>
      <c r="AI905" s="249">
        <v>43</v>
      </c>
      <c r="AJ905" s="249">
        <v>43</v>
      </c>
      <c r="AK905" s="249">
        <v>37</v>
      </c>
      <c r="AL905" s="249">
        <v>34</v>
      </c>
      <c r="AM905" s="249">
        <v>35</v>
      </c>
      <c r="AN905" s="249">
        <v>32</v>
      </c>
      <c r="AO905" s="273">
        <v>34</v>
      </c>
      <c r="AP905" s="273">
        <v>31</v>
      </c>
      <c r="AQ905" s="273">
        <v>27</v>
      </c>
      <c r="AR905" s="273">
        <v>31</v>
      </c>
      <c r="AS905" s="273">
        <v>32</v>
      </c>
      <c r="AT905" s="273">
        <v>35</v>
      </c>
      <c r="AU905" s="273">
        <v>39</v>
      </c>
      <c r="AV905" s="273">
        <f t="shared" si="73"/>
        <v>39</v>
      </c>
      <c r="AX905" s="86" t="str">
        <f t="shared" ca="1" si="69"/>
        <v>AET</v>
      </c>
    </row>
    <row r="906" spans="1:70" hidden="1">
      <c r="A906" s="86" t="str">
        <f t="shared" ca="1" si="74"/>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54</v>
      </c>
      <c r="AC906" s="273">
        <v>49</v>
      </c>
      <c r="AD906" s="273">
        <v>47</v>
      </c>
      <c r="AE906" s="249">
        <v>43</v>
      </c>
      <c r="AF906" s="249">
        <v>35</v>
      </c>
      <c r="AG906" s="249">
        <v>31</v>
      </c>
      <c r="AH906" s="249">
        <v>31</v>
      </c>
      <c r="AI906" s="249">
        <v>35</v>
      </c>
      <c r="AJ906" s="249">
        <v>36</v>
      </c>
      <c r="AK906" s="249">
        <v>36</v>
      </c>
      <c r="AL906" s="249">
        <v>37</v>
      </c>
      <c r="AM906" s="249">
        <v>33</v>
      </c>
      <c r="AN906" s="249">
        <v>36</v>
      </c>
      <c r="AO906" s="273">
        <v>37</v>
      </c>
      <c r="AP906" s="273">
        <v>32</v>
      </c>
      <c r="AQ906" s="273">
        <v>27</v>
      </c>
      <c r="AR906" s="273">
        <v>24</v>
      </c>
      <c r="AS906" s="273">
        <v>22</v>
      </c>
      <c r="AT906" s="273">
        <v>30</v>
      </c>
      <c r="AU906" s="273">
        <v>32</v>
      </c>
      <c r="AV906" s="273">
        <f t="shared" si="73"/>
        <v>32</v>
      </c>
      <c r="AX906" s="86" t="str">
        <f t="shared" ca="1" si="69"/>
        <v>AMZN</v>
      </c>
    </row>
    <row r="907" spans="1:70" hidden="1">
      <c r="A907" s="86" t="str">
        <f t="shared" ca="1" si="74"/>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49</v>
      </c>
      <c r="AC907" s="273">
        <v>46</v>
      </c>
      <c r="AD907" s="273">
        <v>52</v>
      </c>
      <c r="AE907" s="249">
        <v>35</v>
      </c>
      <c r="AF907" s="249">
        <v>33</v>
      </c>
      <c r="AG907" s="249">
        <v>36</v>
      </c>
      <c r="AH907" s="249">
        <v>32</v>
      </c>
      <c r="AI907" s="249">
        <v>30</v>
      </c>
      <c r="AJ907" s="249">
        <v>29</v>
      </c>
      <c r="AK907" s="249">
        <v>26</v>
      </c>
      <c r="AL907" s="249">
        <v>25</v>
      </c>
      <c r="AM907" s="249">
        <v>26</v>
      </c>
      <c r="AN907" s="249">
        <v>24</v>
      </c>
      <c r="AO907" s="273">
        <v>23</v>
      </c>
      <c r="AP907" s="273">
        <v>25</v>
      </c>
      <c r="AQ907" s="273">
        <v>26</v>
      </c>
      <c r="AR907" s="273">
        <v>27</v>
      </c>
      <c r="AS907" s="273">
        <v>26</v>
      </c>
      <c r="AT907" s="273">
        <v>21</v>
      </c>
      <c r="AU907" s="273">
        <v>17</v>
      </c>
      <c r="AV907" s="273">
        <f t="shared" si="73"/>
        <v>17</v>
      </c>
      <c r="AX907" s="86" t="str">
        <f t="shared" ca="1" si="69"/>
        <v>ALDNE</v>
      </c>
    </row>
    <row r="908" spans="1:70" hidden="1">
      <c r="A908" s="86" t="str">
        <f t="shared" ca="1" si="74"/>
        <v>ASML</v>
      </c>
      <c r="F908" s="249">
        <v>913.3</v>
      </c>
      <c r="G908" s="249">
        <v>912.6</v>
      </c>
      <c r="H908" s="249">
        <v>938.6</v>
      </c>
      <c r="I908" s="249">
        <v>938.6</v>
      </c>
      <c r="J908" s="249">
        <v>938.6</v>
      </c>
      <c r="K908" s="249">
        <v>938.6</v>
      </c>
      <c r="L908" s="249">
        <v>938.6</v>
      </c>
      <c r="M908" s="249">
        <v>938.6</v>
      </c>
      <c r="N908" s="249">
        <v>938.6</v>
      </c>
      <c r="O908" s="249">
        <v>938.6</v>
      </c>
      <c r="P908" s="249">
        <v>938.6</v>
      </c>
      <c r="Q908" s="249">
        <v>938.6</v>
      </c>
      <c r="R908" s="249">
        <v>954.9</v>
      </c>
      <c r="S908" s="249">
        <v>968</v>
      </c>
      <c r="T908" s="249">
        <v>968</v>
      </c>
      <c r="U908" s="249">
        <v>977.1</v>
      </c>
      <c r="V908" s="249">
        <v>977.1</v>
      </c>
      <c r="W908" s="249">
        <v>977.1</v>
      </c>
      <c r="X908" s="249">
        <v>977.1</v>
      </c>
      <c r="Y908" s="249">
        <v>977.1</v>
      </c>
      <c r="Z908" s="243">
        <f ca="1">[1]ExtEntry!$O8</f>
        <v>977.1</v>
      </c>
      <c r="AB908" s="273">
        <v>53</v>
      </c>
      <c r="AC908" s="273">
        <v>55</v>
      </c>
      <c r="AD908" s="273">
        <v>55</v>
      </c>
      <c r="AE908" s="249">
        <v>54</v>
      </c>
      <c r="AF908" s="249">
        <v>54</v>
      </c>
      <c r="AG908" s="249">
        <v>52</v>
      </c>
      <c r="AH908" s="249">
        <v>53</v>
      </c>
      <c r="AI908" s="249">
        <v>38</v>
      </c>
      <c r="AJ908" s="249">
        <v>46</v>
      </c>
      <c r="AK908" s="249">
        <v>45</v>
      </c>
      <c r="AL908" s="249">
        <v>42</v>
      </c>
      <c r="AM908" s="249">
        <v>47</v>
      </c>
      <c r="AN908" s="249">
        <v>52</v>
      </c>
      <c r="AO908" s="247">
        <v>57</v>
      </c>
      <c r="AP908" s="273">
        <v>58</v>
      </c>
      <c r="AQ908" s="273">
        <v>56</v>
      </c>
      <c r="AR908" s="273">
        <v>54</v>
      </c>
      <c r="AS908" s="273">
        <v>52</v>
      </c>
      <c r="AT908" s="273">
        <v>48</v>
      </c>
      <c r="AU908" s="273">
        <v>49</v>
      </c>
      <c r="AV908" s="273">
        <f t="shared" si="73"/>
        <v>49</v>
      </c>
      <c r="AX908" s="86" t="str">
        <f t="shared" ca="1" si="69"/>
        <v>ASML</v>
      </c>
    </row>
    <row r="909" spans="1:70" hidden="1">
      <c r="A909" s="86" t="str">
        <f t="shared" ca="1" si="74"/>
        <v>AVGO</v>
      </c>
      <c r="F909" s="249">
        <v>386.48</v>
      </c>
      <c r="G909" s="249">
        <v>386.48</v>
      </c>
      <c r="H909" s="249">
        <v>386.48</v>
      </c>
      <c r="I909" s="249">
        <v>386.48</v>
      </c>
      <c r="J909" s="249">
        <v>386.48</v>
      </c>
      <c r="K909" s="249">
        <v>386.48</v>
      </c>
      <c r="L909" s="249">
        <v>386.48</v>
      </c>
      <c r="M909" s="249">
        <v>386.48</v>
      </c>
      <c r="N909" s="249">
        <v>398.91</v>
      </c>
      <c r="O909" s="249">
        <v>399.87</v>
      </c>
      <c r="P909" s="249">
        <v>403</v>
      </c>
      <c r="Q909" s="249">
        <v>403</v>
      </c>
      <c r="R909" s="249">
        <v>403</v>
      </c>
      <c r="S909" s="249">
        <v>403</v>
      </c>
      <c r="T909" s="249">
        <v>403</v>
      </c>
      <c r="U909" s="249">
        <v>403</v>
      </c>
      <c r="V909" s="249">
        <v>403</v>
      </c>
      <c r="W909" s="249">
        <v>407.28500000000003</v>
      </c>
      <c r="X909" s="249">
        <v>414.61</v>
      </c>
      <c r="Y909" s="249">
        <v>414.61</v>
      </c>
      <c r="Z909" s="243">
        <f ca="1">[1]ExtEntry!$O9</f>
        <v>414.61</v>
      </c>
      <c r="AB909" s="273">
        <v>34</v>
      </c>
      <c r="AC909" s="273">
        <v>46</v>
      </c>
      <c r="AD909" s="273">
        <v>52</v>
      </c>
      <c r="AE909" s="249">
        <v>55</v>
      </c>
      <c r="AF909" s="249">
        <v>57</v>
      </c>
      <c r="AG909" s="249">
        <v>55</v>
      </c>
      <c r="AH909" s="249">
        <v>51</v>
      </c>
      <c r="AI909" s="249">
        <v>61</v>
      </c>
      <c r="AJ909" s="249">
        <v>66</v>
      </c>
      <c r="AK909" s="249">
        <v>64</v>
      </c>
      <c r="AL909" s="249">
        <v>65</v>
      </c>
      <c r="AM909" s="249">
        <v>60</v>
      </c>
      <c r="AN909" s="249">
        <v>58</v>
      </c>
      <c r="AO909" s="273">
        <v>60</v>
      </c>
      <c r="AP909" s="273">
        <v>61</v>
      </c>
      <c r="AQ909" s="273">
        <v>60</v>
      </c>
      <c r="AR909" s="273">
        <v>58</v>
      </c>
      <c r="AS909" s="273">
        <v>59</v>
      </c>
      <c r="AT909" s="273">
        <v>63</v>
      </c>
      <c r="AU909" s="273">
        <v>58</v>
      </c>
      <c r="AV909" s="273">
        <f t="shared" ref="AV909:AV947" si="75">INT(100-100/(1+SUMIF(F612:Y612,"&gt;0",F612:Y612)/ABS(SUMIF(F612:Y612,"&lt;0",F612:Y612))))</f>
        <v>58</v>
      </c>
      <c r="AX909" s="86" t="str">
        <f t="shared" ca="1" si="69"/>
        <v>AVGO</v>
      </c>
    </row>
    <row r="910" spans="1:70" hidden="1">
      <c r="A910" s="86" t="str">
        <f t="shared" ca="1" si="74"/>
        <v>AZN</v>
      </c>
      <c r="F910" s="249">
        <v>86.57</v>
      </c>
      <c r="G910" s="249">
        <v>86.57</v>
      </c>
      <c r="H910" s="249">
        <v>86.57</v>
      </c>
      <c r="I910" s="249">
        <v>89.43</v>
      </c>
      <c r="J910" s="249">
        <v>90.2667</v>
      </c>
      <c r="K910" s="249">
        <v>90.2667</v>
      </c>
      <c r="L910" s="249">
        <v>90.2667</v>
      </c>
      <c r="M910" s="249">
        <v>91.905000000000001</v>
      </c>
      <c r="N910" s="249">
        <v>94.015000000000001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51</v>
      </c>
      <c r="AC910" s="273">
        <v>50</v>
      </c>
      <c r="AD910" s="273">
        <v>49</v>
      </c>
      <c r="AE910" s="249">
        <v>46</v>
      </c>
      <c r="AF910" s="249">
        <v>46</v>
      </c>
      <c r="AG910" s="249">
        <v>40</v>
      </c>
      <c r="AH910" s="249">
        <v>23</v>
      </c>
      <c r="AI910" s="249">
        <v>28</v>
      </c>
      <c r="AJ910" s="249">
        <v>32</v>
      </c>
      <c r="AK910" s="249">
        <v>36</v>
      </c>
      <c r="AL910" s="249">
        <v>37</v>
      </c>
      <c r="AM910" s="249">
        <v>42</v>
      </c>
      <c r="AN910" s="249">
        <v>44</v>
      </c>
      <c r="AO910" s="273">
        <v>43</v>
      </c>
      <c r="AP910" s="273">
        <v>42</v>
      </c>
      <c r="AQ910" s="273">
        <v>40</v>
      </c>
      <c r="AR910" s="273">
        <v>42</v>
      </c>
      <c r="AS910" s="273">
        <v>41</v>
      </c>
      <c r="AT910" s="273">
        <v>43</v>
      </c>
      <c r="AU910" s="273">
        <v>51</v>
      </c>
      <c r="AV910" s="273">
        <f t="shared" si="75"/>
        <v>51</v>
      </c>
      <c r="AX910" s="86" t="str">
        <f t="shared" ca="1" si="69"/>
        <v>AZN</v>
      </c>
    </row>
    <row r="911" spans="1:70" hidden="1">
      <c r="A911" s="86" t="str">
        <f t="shared" ca="1" si="74"/>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45</v>
      </c>
      <c r="AC911" s="273">
        <v>46</v>
      </c>
      <c r="AD911" s="273">
        <v>43</v>
      </c>
      <c r="AE911" s="249">
        <v>38</v>
      </c>
      <c r="AF911" s="249">
        <v>35</v>
      </c>
      <c r="AG911" s="249">
        <v>34</v>
      </c>
      <c r="AH911" s="249">
        <v>32</v>
      </c>
      <c r="AI911" s="249">
        <v>33</v>
      </c>
      <c r="AJ911" s="249">
        <v>27</v>
      </c>
      <c r="AK911" s="249">
        <v>26</v>
      </c>
      <c r="AL911" s="249">
        <v>21</v>
      </c>
      <c r="AM911" s="249">
        <v>16</v>
      </c>
      <c r="AN911" s="249">
        <v>23</v>
      </c>
      <c r="AO911" s="273">
        <v>31</v>
      </c>
      <c r="AP911" s="273">
        <v>31</v>
      </c>
      <c r="AQ911" s="273">
        <v>29</v>
      </c>
      <c r="AR911" s="273">
        <v>32</v>
      </c>
      <c r="AS911" s="273">
        <v>33</v>
      </c>
      <c r="AT911" s="273">
        <v>33</v>
      </c>
      <c r="AU911" s="273">
        <v>47</v>
      </c>
      <c r="AV911" s="273">
        <f t="shared" si="75"/>
        <v>47</v>
      </c>
      <c r="AX911" s="86" t="str">
        <f t="shared" ca="1" si="69"/>
        <v>BLDP</v>
      </c>
    </row>
    <row r="912" spans="1:70" hidden="1">
      <c r="A912" s="86" t="str">
        <f t="shared" ca="1" si="74"/>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55</v>
      </c>
      <c r="AC912" s="273">
        <v>54</v>
      </c>
      <c r="AD912" s="273">
        <v>56</v>
      </c>
      <c r="AE912" s="249">
        <v>57</v>
      </c>
      <c r="AF912" s="249">
        <v>59</v>
      </c>
      <c r="AG912" s="249">
        <v>57</v>
      </c>
      <c r="AH912" s="249">
        <v>47</v>
      </c>
      <c r="AI912" s="249">
        <v>50</v>
      </c>
      <c r="AJ912" s="249">
        <v>62</v>
      </c>
      <c r="AK912" s="249">
        <v>63</v>
      </c>
      <c r="AL912" s="249">
        <v>61</v>
      </c>
      <c r="AM912" s="249">
        <v>63</v>
      </c>
      <c r="AN912" s="249">
        <v>70</v>
      </c>
      <c r="AO912" s="273">
        <v>79</v>
      </c>
      <c r="AP912" s="273">
        <v>82</v>
      </c>
      <c r="AQ912" s="273">
        <v>81</v>
      </c>
      <c r="AR912" s="273">
        <v>80</v>
      </c>
      <c r="AS912" s="273">
        <v>80</v>
      </c>
      <c r="AT912" s="273">
        <v>81</v>
      </c>
      <c r="AU912" s="273">
        <v>84</v>
      </c>
      <c r="AV912" s="273">
        <f t="shared" si="75"/>
        <v>84</v>
      </c>
      <c r="AX912" s="86" t="str">
        <f t="shared" ca="1" si="69"/>
        <v>BMRA</v>
      </c>
    </row>
    <row r="913" spans="1:50" hidden="1">
      <c r="A913" s="86" t="str">
        <f t="shared" ca="1" si="74"/>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106.99</v>
      </c>
      <c r="U913" s="249">
        <v>108.36</v>
      </c>
      <c r="V913" s="249">
        <v>109.367</v>
      </c>
      <c r="W913" s="249">
        <v>110.25</v>
      </c>
      <c r="X913" s="249">
        <v>111.905</v>
      </c>
      <c r="Y913" s="249">
        <v>112.34</v>
      </c>
      <c r="Z913" s="243">
        <f ca="1">[1]ExtEntry!$O13</f>
        <v>112.34</v>
      </c>
      <c r="AB913" s="273">
        <v>66</v>
      </c>
      <c r="AC913" s="273">
        <v>62</v>
      </c>
      <c r="AD913" s="273">
        <v>57</v>
      </c>
      <c r="AE913" s="249">
        <v>61</v>
      </c>
      <c r="AF913" s="249">
        <v>61</v>
      </c>
      <c r="AG913" s="249">
        <v>65</v>
      </c>
      <c r="AH913" s="249">
        <v>53</v>
      </c>
      <c r="AI913" s="249">
        <v>54</v>
      </c>
      <c r="AJ913" s="249">
        <v>56</v>
      </c>
      <c r="AK913" s="249">
        <v>51</v>
      </c>
      <c r="AL913" s="249">
        <v>53</v>
      </c>
      <c r="AM913" s="249">
        <v>50</v>
      </c>
      <c r="AN913" s="249">
        <v>53</v>
      </c>
      <c r="AO913" s="273">
        <v>54</v>
      </c>
      <c r="AP913" s="273">
        <v>58</v>
      </c>
      <c r="AQ913" s="273">
        <v>56</v>
      </c>
      <c r="AR913" s="273">
        <v>55</v>
      </c>
      <c r="AS913" s="273">
        <v>53</v>
      </c>
      <c r="AT913" s="273">
        <v>51</v>
      </c>
      <c r="AU913" s="273">
        <v>55</v>
      </c>
      <c r="AV913" s="273">
        <f t="shared" si="75"/>
        <v>55</v>
      </c>
      <c r="AX913" s="86" t="str">
        <f t="shared" ca="1" si="69"/>
        <v>C</v>
      </c>
    </row>
    <row r="914" spans="1:50" hidden="1">
      <c r="A914" s="86" t="str">
        <f t="shared" ca="1" si="74"/>
        <v>CSCO</v>
      </c>
      <c r="F914" s="249">
        <v>74.837999999999994</v>
      </c>
      <c r="G914" s="249">
        <v>74.837999999999994</v>
      </c>
      <c r="H914" s="249">
        <v>74.837999999999994</v>
      </c>
      <c r="I914" s="249">
        <v>79.5</v>
      </c>
      <c r="J914" s="249">
        <v>79.5</v>
      </c>
      <c r="K914" s="249">
        <v>79.5</v>
      </c>
      <c r="L914" s="249">
        <v>80.055000000000007</v>
      </c>
      <c r="M914" s="249">
        <v>80.055000000000007</v>
      </c>
      <c r="N914" s="249">
        <v>80.055000000000007</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80.814999999999998</v>
      </c>
      <c r="Y914" s="249">
        <v>80.814999999999998</v>
      </c>
      <c r="Z914" s="243">
        <f ca="1">[1]ExtEntry!$O14</f>
        <v>80.814999999999998</v>
      </c>
      <c r="AB914" s="273">
        <v>51</v>
      </c>
      <c r="AC914" s="273">
        <v>50</v>
      </c>
      <c r="AD914" s="273">
        <v>52</v>
      </c>
      <c r="AE914" s="249">
        <v>48</v>
      </c>
      <c r="AF914" s="249">
        <v>47</v>
      </c>
      <c r="AG914" s="249">
        <v>41</v>
      </c>
      <c r="AH914" s="249">
        <v>36</v>
      </c>
      <c r="AI914" s="249">
        <v>37</v>
      </c>
      <c r="AJ914" s="249">
        <v>39</v>
      </c>
      <c r="AK914" s="249">
        <v>40</v>
      </c>
      <c r="AL914" s="249">
        <v>42</v>
      </c>
      <c r="AM914" s="249">
        <v>39</v>
      </c>
      <c r="AN914" s="249">
        <v>38</v>
      </c>
      <c r="AO914" s="273">
        <v>38</v>
      </c>
      <c r="AP914" s="273">
        <v>34</v>
      </c>
      <c r="AQ914" s="273">
        <v>31</v>
      </c>
      <c r="AR914" s="273">
        <v>28</v>
      </c>
      <c r="AS914" s="273">
        <v>35</v>
      </c>
      <c r="AT914" s="273">
        <v>45</v>
      </c>
      <c r="AU914" s="273">
        <v>50</v>
      </c>
      <c r="AV914" s="273">
        <f t="shared" si="75"/>
        <v>50</v>
      </c>
      <c r="AX914" s="86" t="str">
        <f t="shared" ca="1" si="69"/>
        <v>CSCO</v>
      </c>
    </row>
    <row r="915" spans="1:50" hidden="1">
      <c r="A915" s="86" t="str">
        <f t="shared" ca="1" si="74"/>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42</v>
      </c>
      <c r="AC915" s="273">
        <v>38</v>
      </c>
      <c r="AD915" s="273">
        <v>36</v>
      </c>
      <c r="AE915" s="249">
        <v>37</v>
      </c>
      <c r="AF915" s="249">
        <v>37</v>
      </c>
      <c r="AG915" s="249">
        <v>32</v>
      </c>
      <c r="AH915" s="249">
        <v>32</v>
      </c>
      <c r="AI915" s="249">
        <v>30</v>
      </c>
      <c r="AJ915" s="249">
        <v>30</v>
      </c>
      <c r="AK915" s="249">
        <v>32</v>
      </c>
      <c r="AL915" s="249">
        <v>15</v>
      </c>
      <c r="AM915" s="249">
        <v>18</v>
      </c>
      <c r="AN915" s="249">
        <v>24</v>
      </c>
      <c r="AO915" s="273">
        <v>31</v>
      </c>
      <c r="AP915" s="273">
        <v>36</v>
      </c>
      <c r="AQ915" s="273">
        <v>34</v>
      </c>
      <c r="AR915" s="273">
        <v>34</v>
      </c>
      <c r="AS915" s="273">
        <v>22</v>
      </c>
      <c r="AT915" s="273">
        <v>25</v>
      </c>
      <c r="AU915" s="273">
        <v>37</v>
      </c>
      <c r="AV915" s="273">
        <f t="shared" si="75"/>
        <v>37</v>
      </c>
      <c r="AX915" s="86" t="str">
        <f t="shared" ref="AX915:AX978" ca="1" si="76">A915</f>
        <v>CVS</v>
      </c>
    </row>
    <row r="916" spans="1:50" hidden="1">
      <c r="A916" s="86" t="str">
        <f t="shared" ca="1" si="74"/>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49</v>
      </c>
      <c r="AC916" s="273">
        <v>46</v>
      </c>
      <c r="AD916" s="273">
        <v>48</v>
      </c>
      <c r="AE916" s="249">
        <v>46</v>
      </c>
      <c r="AF916" s="249">
        <v>50</v>
      </c>
      <c r="AG916" s="249">
        <v>45</v>
      </c>
      <c r="AH916" s="249">
        <v>39</v>
      </c>
      <c r="AI916" s="249">
        <v>41</v>
      </c>
      <c r="AJ916" s="249">
        <v>46</v>
      </c>
      <c r="AK916" s="249">
        <v>44</v>
      </c>
      <c r="AL916" s="249">
        <v>44</v>
      </c>
      <c r="AM916" s="249">
        <v>43</v>
      </c>
      <c r="AN916" s="249">
        <v>41</v>
      </c>
      <c r="AO916" s="273">
        <v>44</v>
      </c>
      <c r="AP916" s="273">
        <v>46</v>
      </c>
      <c r="AQ916" s="273">
        <v>48</v>
      </c>
      <c r="AR916" s="273">
        <v>45</v>
      </c>
      <c r="AS916" s="273">
        <v>45</v>
      </c>
      <c r="AT916" s="273">
        <v>45</v>
      </c>
      <c r="AU916" s="273">
        <v>54</v>
      </c>
      <c r="AV916" s="273">
        <f t="shared" si="75"/>
        <v>54</v>
      </c>
      <c r="AX916" s="86" t="str">
        <f t="shared" ca="1" si="76"/>
        <v>DDD</v>
      </c>
    </row>
    <row r="917" spans="1:50" hidden="1">
      <c r="A917" s="86" t="str">
        <f t="shared" ca="1" si="74"/>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29</v>
      </c>
      <c r="AC917" s="273">
        <v>28</v>
      </c>
      <c r="AD917" s="273">
        <v>29</v>
      </c>
      <c r="AE917" s="249">
        <v>27</v>
      </c>
      <c r="AF917" s="249">
        <v>24</v>
      </c>
      <c r="AG917" s="249">
        <v>23</v>
      </c>
      <c r="AH917" s="249">
        <v>24</v>
      </c>
      <c r="AI917" s="249">
        <v>21</v>
      </c>
      <c r="AJ917" s="249">
        <v>18</v>
      </c>
      <c r="AK917" s="249">
        <v>18</v>
      </c>
      <c r="AL917" s="249">
        <v>14</v>
      </c>
      <c r="AM917" s="249">
        <v>8</v>
      </c>
      <c r="AN917" s="249">
        <v>8</v>
      </c>
      <c r="AO917" s="273">
        <v>8</v>
      </c>
      <c r="AP917" s="273">
        <v>16</v>
      </c>
      <c r="AQ917" s="273">
        <v>25</v>
      </c>
      <c r="AR917" s="273">
        <v>28</v>
      </c>
      <c r="AS917" s="273">
        <v>30</v>
      </c>
      <c r="AT917" s="273">
        <v>27</v>
      </c>
      <c r="AU917" s="273">
        <v>32</v>
      </c>
      <c r="AV917" s="273">
        <f t="shared" si="75"/>
        <v>32</v>
      </c>
      <c r="AX917" s="86" t="str">
        <f t="shared" ca="1" si="76"/>
        <v>DIS</v>
      </c>
    </row>
    <row r="918" spans="1:50" hidden="1">
      <c r="A918" s="86" t="str">
        <f t="shared" ca="1" si="74"/>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46</v>
      </c>
      <c r="AC918" s="273">
        <v>42</v>
      </c>
      <c r="AD918" s="273">
        <v>51</v>
      </c>
      <c r="AE918" s="249">
        <v>51</v>
      </c>
      <c r="AF918" s="249">
        <v>53</v>
      </c>
      <c r="AG918" s="249">
        <v>50</v>
      </c>
      <c r="AH918" s="249">
        <v>44</v>
      </c>
      <c r="AI918" s="249">
        <v>54</v>
      </c>
      <c r="AJ918" s="249">
        <v>53</v>
      </c>
      <c r="AK918" s="249">
        <v>50</v>
      </c>
      <c r="AL918" s="249">
        <v>46</v>
      </c>
      <c r="AM918" s="249">
        <v>47</v>
      </c>
      <c r="AN918" s="249">
        <v>45</v>
      </c>
      <c r="AO918" s="273">
        <v>45</v>
      </c>
      <c r="AP918" s="273">
        <v>45</v>
      </c>
      <c r="AQ918" s="273">
        <v>42</v>
      </c>
      <c r="AR918" s="273">
        <v>41</v>
      </c>
      <c r="AS918" s="273">
        <v>40</v>
      </c>
      <c r="AT918" s="273">
        <v>59</v>
      </c>
      <c r="AU918" s="273">
        <v>60</v>
      </c>
      <c r="AV918" s="273">
        <f t="shared" si="75"/>
        <v>60</v>
      </c>
      <c r="AX918" s="86" t="str">
        <f t="shared" ca="1" si="76"/>
        <v>DSY</v>
      </c>
    </row>
    <row r="919" spans="1:50" hidden="1">
      <c r="A919" s="86" t="str">
        <f t="shared" ca="1" si="74"/>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65</v>
      </c>
      <c r="AC919" s="273">
        <v>70</v>
      </c>
      <c r="AD919" s="273">
        <v>60</v>
      </c>
      <c r="AE919" s="249">
        <v>51</v>
      </c>
      <c r="AF919" s="249">
        <v>45</v>
      </c>
      <c r="AG919" s="249">
        <v>38</v>
      </c>
      <c r="AH919" s="249">
        <v>36</v>
      </c>
      <c r="AI919" s="249">
        <v>46</v>
      </c>
      <c r="AJ919" s="249">
        <v>51</v>
      </c>
      <c r="AK919" s="249">
        <v>51</v>
      </c>
      <c r="AL919" s="249">
        <v>51</v>
      </c>
      <c r="AM919" s="249">
        <v>50</v>
      </c>
      <c r="AN919" s="249">
        <v>51</v>
      </c>
      <c r="AO919" s="273">
        <v>53</v>
      </c>
      <c r="AP919" s="273">
        <v>53</v>
      </c>
      <c r="AQ919" s="273">
        <v>54</v>
      </c>
      <c r="AR919" s="273">
        <v>57</v>
      </c>
      <c r="AS919" s="273">
        <v>64</v>
      </c>
      <c r="AT919" s="273">
        <v>68</v>
      </c>
      <c r="AU919" s="273">
        <v>66</v>
      </c>
      <c r="AV919" s="273">
        <f t="shared" si="75"/>
        <v>66</v>
      </c>
      <c r="AX919" s="86" t="str">
        <f t="shared" ca="1" si="76"/>
        <v>DVA</v>
      </c>
    </row>
    <row r="920" spans="1:50" hidden="1">
      <c r="A920" s="86" t="str">
        <f t="shared" ca="1" si="74"/>
        <v>DXC</v>
      </c>
      <c r="F920" s="249">
        <v>24.83</v>
      </c>
      <c r="G920" s="249">
        <v>24.83</v>
      </c>
      <c r="H920" s="249">
        <v>24.83</v>
      </c>
      <c r="I920" s="249">
        <v>23.75</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52</v>
      </c>
      <c r="AC920" s="273">
        <v>51</v>
      </c>
      <c r="AD920" s="273">
        <v>51</v>
      </c>
      <c r="AE920" s="249">
        <v>51</v>
      </c>
      <c r="AF920" s="249">
        <v>49</v>
      </c>
      <c r="AG920" s="249">
        <v>43</v>
      </c>
      <c r="AH920" s="249">
        <v>43</v>
      </c>
      <c r="AI920" s="249">
        <v>50</v>
      </c>
      <c r="AJ920" s="249">
        <v>51</v>
      </c>
      <c r="AK920" s="249">
        <v>47</v>
      </c>
      <c r="AL920" s="249">
        <v>44</v>
      </c>
      <c r="AM920" s="249">
        <v>43</v>
      </c>
      <c r="AN920" s="249">
        <v>50</v>
      </c>
      <c r="AO920" s="273">
        <v>66</v>
      </c>
      <c r="AP920" s="273">
        <v>77</v>
      </c>
      <c r="AQ920" s="273">
        <v>69</v>
      </c>
      <c r="AR920" s="273">
        <v>65</v>
      </c>
      <c r="AS920" s="273">
        <v>64</v>
      </c>
      <c r="AT920" s="273">
        <v>64</v>
      </c>
      <c r="AU920" s="273">
        <v>57</v>
      </c>
      <c r="AV920" s="273">
        <f t="shared" si="75"/>
        <v>57</v>
      </c>
      <c r="AX920" s="86" t="str">
        <f t="shared" ca="1" si="76"/>
        <v>DXC</v>
      </c>
    </row>
    <row r="921" spans="1:50" hidden="1">
      <c r="A921" s="86" t="str">
        <f t="shared" ca="1" si="74"/>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6</v>
      </c>
      <c r="AC921" s="273">
        <v>0</v>
      </c>
      <c r="AD921" s="273">
        <v>0</v>
      </c>
      <c r="AE921" s="249">
        <v>0</v>
      </c>
      <c r="AF921" s="249" t="e">
        <v>#DIV/0!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5"/>
        <v>#DIV/0!</v>
      </c>
      <c r="AX921" s="86" t="str">
        <f t="shared" ca="1" si="76"/>
        <v>EOAN</v>
      </c>
    </row>
    <row r="922" spans="1:50" hidden="1">
      <c r="A922" s="86" t="str">
        <f t="shared" ca="1" si="74"/>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75</v>
      </c>
      <c r="AC922" s="273">
        <v>78</v>
      </c>
      <c r="AD922" s="273">
        <v>82</v>
      </c>
      <c r="AE922" s="249">
        <v>80</v>
      </c>
      <c r="AF922" s="249">
        <v>81</v>
      </c>
      <c r="AG922" s="249">
        <v>82</v>
      </c>
      <c r="AH922" s="249">
        <v>80</v>
      </c>
      <c r="AI922" s="249">
        <v>81</v>
      </c>
      <c r="AJ922" s="249">
        <v>83</v>
      </c>
      <c r="AK922" s="249">
        <v>82</v>
      </c>
      <c r="AL922" s="249">
        <v>84</v>
      </c>
      <c r="AM922" s="249">
        <v>76</v>
      </c>
      <c r="AN922" s="249">
        <v>76</v>
      </c>
      <c r="AO922" s="273">
        <v>76</v>
      </c>
      <c r="AP922" s="273">
        <v>79</v>
      </c>
      <c r="AQ922" s="273">
        <v>77</v>
      </c>
      <c r="AR922" s="273">
        <v>80</v>
      </c>
      <c r="AS922" s="273">
        <v>81</v>
      </c>
      <c r="AT922" s="273">
        <v>86</v>
      </c>
      <c r="AU922" s="273">
        <v>92</v>
      </c>
      <c r="AV922" s="273">
        <f t="shared" si="75"/>
        <v>92</v>
      </c>
      <c r="AX922" s="86" t="str">
        <f t="shared" ca="1" si="76"/>
        <v>EPIX</v>
      </c>
    </row>
    <row r="923" spans="1:50" hidden="1">
      <c r="A923" s="86" t="str">
        <f t="shared" ca="1" si="74"/>
        <v>GM</v>
      </c>
      <c r="F923" s="249">
        <v>70.239999999999995</v>
      </c>
      <c r="G923" s="249">
        <v>70.239999999999995</v>
      </c>
      <c r="H923" s="249">
        <v>70.734999999999999</v>
      </c>
      <c r="I923" s="249">
        <v>72.87</v>
      </c>
      <c r="J923" s="249">
        <v>72.87</v>
      </c>
      <c r="K923" s="249">
        <v>72.87</v>
      </c>
      <c r="L923" s="249">
        <v>72.87</v>
      </c>
      <c r="M923" s="249">
        <v>72.87</v>
      </c>
      <c r="N923" s="249">
        <v>73.424999999999997</v>
      </c>
      <c r="O923" s="249">
        <v>73.444999999999993</v>
      </c>
      <c r="P923" s="249">
        <v>73.86</v>
      </c>
      <c r="Q923" s="249">
        <v>73.929599999999994</v>
      </c>
      <c r="R923" s="249">
        <v>73.929599999999994</v>
      </c>
      <c r="S923" s="249">
        <v>74.63</v>
      </c>
      <c r="T923" s="249">
        <v>74.915000000000006</v>
      </c>
      <c r="U923" s="249">
        <v>76.224999999999994</v>
      </c>
      <c r="V923" s="249">
        <v>77</v>
      </c>
      <c r="W923" s="249">
        <v>77.349999999999994</v>
      </c>
      <c r="X923" s="249">
        <v>80.95</v>
      </c>
      <c r="Y923" s="249">
        <v>81.22</v>
      </c>
      <c r="Z923" s="243">
        <f ca="1">[1]ExtEntry!$O23</f>
        <v>81.22</v>
      </c>
      <c r="AB923" s="273">
        <v>55</v>
      </c>
      <c r="AC923" s="273">
        <v>53</v>
      </c>
      <c r="AD923" s="273">
        <v>46</v>
      </c>
      <c r="AE923" s="249">
        <v>44</v>
      </c>
      <c r="AF923" s="249">
        <v>41</v>
      </c>
      <c r="AG923" s="249">
        <v>37</v>
      </c>
      <c r="AH923" s="249">
        <v>33</v>
      </c>
      <c r="AI923" s="249">
        <v>35</v>
      </c>
      <c r="AJ923" s="249">
        <v>52</v>
      </c>
      <c r="AK923" s="249">
        <v>50</v>
      </c>
      <c r="AL923" s="249">
        <v>53</v>
      </c>
      <c r="AM923" s="249">
        <v>50</v>
      </c>
      <c r="AN923" s="249">
        <v>51</v>
      </c>
      <c r="AO923" s="273">
        <v>54</v>
      </c>
      <c r="AP923" s="273">
        <v>56</v>
      </c>
      <c r="AQ923" s="273">
        <v>58</v>
      </c>
      <c r="AR923" s="273">
        <v>56</v>
      </c>
      <c r="AS923" s="273">
        <v>60</v>
      </c>
      <c r="AT923" s="273">
        <v>63</v>
      </c>
      <c r="AU923" s="273">
        <v>65</v>
      </c>
      <c r="AV923" s="273">
        <f t="shared" si="75"/>
        <v>65</v>
      </c>
      <c r="AX923" s="86" t="str">
        <f t="shared" ca="1" si="76"/>
        <v>GM</v>
      </c>
    </row>
    <row r="924" spans="1:50" hidden="1">
      <c r="A924" s="86" t="str">
        <f t="shared" ca="1" si="74"/>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59</v>
      </c>
      <c r="AC924" s="273">
        <v>57</v>
      </c>
      <c r="AD924" s="273">
        <v>55</v>
      </c>
      <c r="AE924" s="249">
        <v>53</v>
      </c>
      <c r="AF924" s="249">
        <v>52</v>
      </c>
      <c r="AG924" s="249">
        <v>41</v>
      </c>
      <c r="AH924" s="249">
        <v>31</v>
      </c>
      <c r="AI924" s="249">
        <v>42</v>
      </c>
      <c r="AJ924" s="249">
        <v>46</v>
      </c>
      <c r="AK924" s="249">
        <v>43</v>
      </c>
      <c r="AL924" s="249">
        <v>44</v>
      </c>
      <c r="AM924" s="249">
        <v>42</v>
      </c>
      <c r="AN924" s="249">
        <v>49</v>
      </c>
      <c r="AO924" s="273">
        <v>54</v>
      </c>
      <c r="AP924" s="273">
        <v>53</v>
      </c>
      <c r="AQ924" s="273">
        <v>57</v>
      </c>
      <c r="AR924" s="273">
        <v>55</v>
      </c>
      <c r="AS924" s="273">
        <v>56</v>
      </c>
      <c r="AT924" s="273">
        <v>58</v>
      </c>
      <c r="AU924" s="273">
        <v>68</v>
      </c>
      <c r="AV924" s="273">
        <f t="shared" si="75"/>
        <v>68</v>
      </c>
      <c r="AX924" s="86" t="str">
        <f t="shared" ca="1" si="76"/>
        <v>HPE</v>
      </c>
    </row>
    <row r="925" spans="1:50" hidden="1">
      <c r="A925" s="86" t="str">
        <f t="shared" ca="1" si="74"/>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39.619999999999997</v>
      </c>
      <c r="O925" s="249">
        <v>39.619999999999997</v>
      </c>
      <c r="P925" s="249">
        <v>36.93</v>
      </c>
      <c r="Q925" s="249">
        <v>36.93</v>
      </c>
      <c r="R925" s="249">
        <v>36.93</v>
      </c>
      <c r="S925" s="249">
        <v>36.93</v>
      </c>
      <c r="T925" s="249">
        <v>36.93</v>
      </c>
      <c r="U925" s="249">
        <v>36.93</v>
      </c>
      <c r="V925" s="249">
        <v>36.81</v>
      </c>
      <c r="W925" s="249">
        <v>36.81</v>
      </c>
      <c r="X925" s="249">
        <v>36.265000000000001</v>
      </c>
      <c r="Y925" s="249">
        <v>35.274999999999999</v>
      </c>
      <c r="Z925" s="243">
        <f ca="1">[1]ExtEntry!$O25</f>
        <v>35.274999999999999</v>
      </c>
      <c r="AB925" s="273">
        <v>69</v>
      </c>
      <c r="AC925" s="273">
        <v>61</v>
      </c>
      <c r="AD925" s="273">
        <v>38</v>
      </c>
      <c r="AE925" s="249">
        <v>30</v>
      </c>
      <c r="AF925" s="249">
        <v>31</v>
      </c>
      <c r="AG925" s="249">
        <v>34</v>
      </c>
      <c r="AH925" s="249">
        <v>36</v>
      </c>
      <c r="AI925" s="249">
        <v>35</v>
      </c>
      <c r="AJ925" s="249">
        <v>39</v>
      </c>
      <c r="AK925" s="249">
        <v>42</v>
      </c>
      <c r="AL925" s="249">
        <v>40</v>
      </c>
      <c r="AM925" s="249">
        <v>40</v>
      </c>
      <c r="AN925" s="249">
        <v>35</v>
      </c>
      <c r="AO925" s="273">
        <v>32</v>
      </c>
      <c r="AP925" s="273">
        <v>32</v>
      </c>
      <c r="AQ925" s="273">
        <v>27</v>
      </c>
      <c r="AR925" s="273">
        <v>28</v>
      </c>
      <c r="AS925" s="273">
        <v>26</v>
      </c>
      <c r="AT925" s="273">
        <v>21</v>
      </c>
      <c r="AU925" s="273">
        <v>29</v>
      </c>
      <c r="AV925" s="273">
        <f t="shared" si="75"/>
        <v>29</v>
      </c>
      <c r="AX925" s="86" t="str">
        <f t="shared" ca="1" si="76"/>
        <v>HPQ</v>
      </c>
    </row>
    <row r="926" spans="1:50" hidden="1">
      <c r="A926" s="86" t="str">
        <f t="shared" ca="1" si="74"/>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57</v>
      </c>
      <c r="AC926" s="273">
        <v>51</v>
      </c>
      <c r="AD926" s="273">
        <v>52</v>
      </c>
      <c r="AE926" s="249">
        <v>57</v>
      </c>
      <c r="AF926" s="249">
        <v>63</v>
      </c>
      <c r="AG926" s="249">
        <v>66</v>
      </c>
      <c r="AH926" s="249">
        <v>55</v>
      </c>
      <c r="AI926" s="249">
        <v>57</v>
      </c>
      <c r="AJ926" s="249">
        <v>61</v>
      </c>
      <c r="AK926" s="249">
        <v>63</v>
      </c>
      <c r="AL926" s="249">
        <v>63</v>
      </c>
      <c r="AM926" s="249">
        <v>71</v>
      </c>
      <c r="AN926" s="249">
        <v>66</v>
      </c>
      <c r="AO926" s="273">
        <v>63</v>
      </c>
      <c r="AP926" s="273">
        <v>59</v>
      </c>
      <c r="AQ926" s="273">
        <v>52</v>
      </c>
      <c r="AR926" s="273">
        <v>48</v>
      </c>
      <c r="AS926" s="273">
        <v>48</v>
      </c>
      <c r="AT926" s="273">
        <v>45</v>
      </c>
      <c r="AU926" s="273">
        <v>47</v>
      </c>
      <c r="AV926" s="273">
        <f t="shared" si="75"/>
        <v>47</v>
      </c>
      <c r="AX926" s="86" t="str">
        <f t="shared" ca="1" si="76"/>
        <v>IAG</v>
      </c>
    </row>
    <row r="927" spans="1:50" hidden="1">
      <c r="A927" s="86" t="str">
        <f t="shared" ca="1" si="74"/>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48</v>
      </c>
      <c r="AC927" s="273">
        <v>37</v>
      </c>
      <c r="AD927" s="273">
        <v>28</v>
      </c>
      <c r="AE927" s="249">
        <v>29</v>
      </c>
      <c r="AF927" s="249">
        <v>32</v>
      </c>
      <c r="AG927" s="249">
        <v>32</v>
      </c>
      <c r="AH927" s="249">
        <v>31</v>
      </c>
      <c r="AI927" s="249">
        <v>36</v>
      </c>
      <c r="AJ927" s="249">
        <v>37</v>
      </c>
      <c r="AK927" s="249">
        <v>41</v>
      </c>
      <c r="AL927" s="249">
        <v>34</v>
      </c>
      <c r="AM927" s="249">
        <v>37</v>
      </c>
      <c r="AN927" s="249">
        <v>38</v>
      </c>
      <c r="AO927" s="273">
        <v>37</v>
      </c>
      <c r="AP927" s="273">
        <v>42</v>
      </c>
      <c r="AQ927" s="273">
        <v>44</v>
      </c>
      <c r="AR927" s="273">
        <v>43</v>
      </c>
      <c r="AS927" s="273">
        <v>44</v>
      </c>
      <c r="AT927" s="273">
        <v>45</v>
      </c>
      <c r="AU927" s="273">
        <v>47</v>
      </c>
      <c r="AV927" s="273">
        <f t="shared" si="75"/>
        <v>47</v>
      </c>
      <c r="AX927" s="86" t="str">
        <f t="shared" ca="1" si="76"/>
        <v>KR</v>
      </c>
    </row>
    <row r="928" spans="1:50" hidden="1">
      <c r="A928" s="86" t="str">
        <f t="shared" ca="1" si="74"/>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58</v>
      </c>
      <c r="AC928" s="273">
        <v>60</v>
      </c>
      <c r="AD928" s="273">
        <v>55</v>
      </c>
      <c r="AE928" s="249">
        <v>56</v>
      </c>
      <c r="AF928" s="249">
        <v>54</v>
      </c>
      <c r="AG928" s="249">
        <v>52</v>
      </c>
      <c r="AH928" s="249">
        <v>51</v>
      </c>
      <c r="AI928" s="249">
        <v>50</v>
      </c>
      <c r="AJ928" s="249">
        <v>53</v>
      </c>
      <c r="AK928" s="249">
        <v>54</v>
      </c>
      <c r="AL928" s="249">
        <v>53</v>
      </c>
      <c r="AM928" s="249">
        <v>53</v>
      </c>
      <c r="AN928" s="249">
        <v>59</v>
      </c>
      <c r="AO928" s="273">
        <v>60</v>
      </c>
      <c r="AP928" s="273">
        <v>58</v>
      </c>
      <c r="AQ928" s="273">
        <v>52</v>
      </c>
      <c r="AR928" s="273">
        <v>40</v>
      </c>
      <c r="AS928" s="273">
        <v>33</v>
      </c>
      <c r="AT928" s="273">
        <v>39</v>
      </c>
      <c r="AU928" s="273">
        <v>49</v>
      </c>
      <c r="AV928" s="273">
        <f t="shared" si="75"/>
        <v>49</v>
      </c>
      <c r="AX928" s="86" t="str">
        <f t="shared" ca="1" si="76"/>
        <v>LNSR</v>
      </c>
    </row>
    <row r="929" spans="1:50" hidden="1">
      <c r="A929" s="86" t="str">
        <f t="shared" ca="1" si="74"/>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48</v>
      </c>
      <c r="AC929" s="273">
        <v>51</v>
      </c>
      <c r="AD929" s="273">
        <v>49</v>
      </c>
      <c r="AE929" s="249">
        <v>50</v>
      </c>
      <c r="AF929" s="249">
        <v>52</v>
      </c>
      <c r="AG929" s="249">
        <v>50</v>
      </c>
      <c r="AH929" s="249">
        <v>47</v>
      </c>
      <c r="AI929" s="249">
        <v>46</v>
      </c>
      <c r="AJ929" s="249">
        <v>48</v>
      </c>
      <c r="AK929" s="249">
        <v>53</v>
      </c>
      <c r="AL929" s="249">
        <v>52</v>
      </c>
      <c r="AM929" s="249">
        <v>46</v>
      </c>
      <c r="AN929" s="249">
        <v>48</v>
      </c>
      <c r="AO929" s="273">
        <v>52</v>
      </c>
      <c r="AP929" s="273">
        <v>57</v>
      </c>
      <c r="AQ929" s="273">
        <v>58</v>
      </c>
      <c r="AR929" s="273">
        <v>63</v>
      </c>
      <c r="AS929" s="273">
        <v>69</v>
      </c>
      <c r="AT929" s="273">
        <v>63</v>
      </c>
      <c r="AU929" s="273">
        <v>70</v>
      </c>
      <c r="AV929" s="273">
        <f t="shared" si="75"/>
        <v>70</v>
      </c>
      <c r="AX929" s="86" t="str">
        <f t="shared" ca="1" si="76"/>
        <v>LUMN</v>
      </c>
    </row>
    <row r="930" spans="1:50" hidden="1">
      <c r="A930" s="86" t="str">
        <f t="shared" ca="1" si="74"/>
        <v>MRNA</v>
      </c>
      <c r="F930" s="249">
        <v>56.695</v>
      </c>
      <c r="G930" s="249">
        <v>56.695</v>
      </c>
      <c r="H930" s="249">
        <v>56.695</v>
      </c>
      <c r="I930" s="249">
        <v>48.92</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49</v>
      </c>
      <c r="AC930" s="273">
        <v>45</v>
      </c>
      <c r="AD930" s="273">
        <v>45</v>
      </c>
      <c r="AE930" s="249">
        <v>51</v>
      </c>
      <c r="AF930" s="249">
        <v>45</v>
      </c>
      <c r="AG930" s="249">
        <v>40</v>
      </c>
      <c r="AH930" s="249">
        <v>38</v>
      </c>
      <c r="AI930" s="249">
        <v>37</v>
      </c>
      <c r="AJ930" s="249">
        <v>42</v>
      </c>
      <c r="AK930" s="249">
        <v>45</v>
      </c>
      <c r="AL930" s="249">
        <v>47</v>
      </c>
      <c r="AM930" s="249">
        <v>45</v>
      </c>
      <c r="AN930" s="249">
        <v>45</v>
      </c>
      <c r="AO930" s="273">
        <v>42</v>
      </c>
      <c r="AP930" s="273">
        <v>38</v>
      </c>
      <c r="AQ930" s="273">
        <v>37</v>
      </c>
      <c r="AR930" s="273">
        <v>35</v>
      </c>
      <c r="AS930" s="273">
        <v>29</v>
      </c>
      <c r="AT930" s="273">
        <v>30</v>
      </c>
      <c r="AU930" s="273">
        <v>33</v>
      </c>
      <c r="AV930" s="273">
        <f t="shared" si="75"/>
        <v>33</v>
      </c>
      <c r="AX930" s="86" t="str">
        <f t="shared" ca="1" si="76"/>
        <v>MRNA</v>
      </c>
    </row>
    <row r="931" spans="1:50" hidden="1">
      <c r="A931" s="86" t="str">
        <f t="shared" ca="1" si="74"/>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51</v>
      </c>
      <c r="AC931" s="273">
        <v>48</v>
      </c>
      <c r="AD931" s="273">
        <v>51</v>
      </c>
      <c r="AE931" s="249">
        <v>51</v>
      </c>
      <c r="AF931" s="249">
        <v>49</v>
      </c>
      <c r="AG931" s="249">
        <v>46</v>
      </c>
      <c r="AH931" s="249">
        <v>46</v>
      </c>
      <c r="AI931" s="249">
        <v>40</v>
      </c>
      <c r="AJ931" s="249">
        <v>44</v>
      </c>
      <c r="AK931" s="249">
        <v>48</v>
      </c>
      <c r="AL931" s="249">
        <v>50</v>
      </c>
      <c r="AM931" s="249">
        <v>48</v>
      </c>
      <c r="AN931" s="249">
        <v>52</v>
      </c>
      <c r="AO931" s="273">
        <v>60</v>
      </c>
      <c r="AP931" s="273">
        <v>60</v>
      </c>
      <c r="AQ931" s="273">
        <v>51</v>
      </c>
      <c r="AR931" s="273">
        <v>45</v>
      </c>
      <c r="AS931" s="273">
        <v>54</v>
      </c>
      <c r="AT931" s="273">
        <v>60</v>
      </c>
      <c r="AU931" s="273">
        <v>61</v>
      </c>
      <c r="AV931" s="273">
        <f t="shared" si="75"/>
        <v>61</v>
      </c>
      <c r="AX931" s="86" t="str">
        <f t="shared" ca="1" si="76"/>
        <v>MSFT</v>
      </c>
    </row>
    <row r="932" spans="1:50" hidden="1">
      <c r="A932" s="86" t="str">
        <f t="shared" ca="1" si="74"/>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43</v>
      </c>
      <c r="AC932" s="273">
        <v>45</v>
      </c>
      <c r="AD932" s="273">
        <v>44</v>
      </c>
      <c r="AE932" s="249">
        <v>45</v>
      </c>
      <c r="AF932" s="249">
        <v>47</v>
      </c>
      <c r="AG932" s="249">
        <v>44</v>
      </c>
      <c r="AH932" s="249">
        <v>39</v>
      </c>
      <c r="AI932" s="249">
        <v>38</v>
      </c>
      <c r="AJ932" s="249">
        <v>38</v>
      </c>
      <c r="AK932" s="249">
        <v>48</v>
      </c>
      <c r="AL932" s="249">
        <v>44</v>
      </c>
      <c r="AM932" s="249">
        <v>54</v>
      </c>
      <c r="AN932" s="249">
        <v>52</v>
      </c>
      <c r="AO932" s="273">
        <v>52</v>
      </c>
      <c r="AP932" s="273">
        <v>49</v>
      </c>
      <c r="AQ932" s="273">
        <v>57</v>
      </c>
      <c r="AR932" s="273">
        <v>63</v>
      </c>
      <c r="AS932" s="273">
        <v>66</v>
      </c>
      <c r="AT932" s="273">
        <v>64</v>
      </c>
      <c r="AU932" s="273">
        <v>73</v>
      </c>
      <c r="AV932" s="273">
        <f t="shared" si="75"/>
        <v>73</v>
      </c>
      <c r="AX932" s="86" t="str">
        <f t="shared" ca="1" si="76"/>
        <v>NEE</v>
      </c>
    </row>
    <row r="933" spans="1:50" hidden="1">
      <c r="A933" s="86" t="str">
        <f t="shared" ca="1" si="74"/>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100.4</v>
      </c>
      <c r="Z933" s="243">
        <f ca="1">[1]ExtEntry!$O33</f>
        <v>100.4</v>
      </c>
      <c r="AB933" s="273">
        <v>32</v>
      </c>
      <c r="AC933" s="273">
        <v>27</v>
      </c>
      <c r="AD933" s="273">
        <v>24</v>
      </c>
      <c r="AE933" s="249">
        <v>19</v>
      </c>
      <c r="AF933" s="249">
        <v>17</v>
      </c>
      <c r="AG933" s="249">
        <v>16</v>
      </c>
      <c r="AH933" s="249">
        <v>16</v>
      </c>
      <c r="AI933" s="249">
        <v>17</v>
      </c>
      <c r="AJ933" s="249">
        <v>18</v>
      </c>
      <c r="AK933" s="249">
        <v>15</v>
      </c>
      <c r="AL933" s="249">
        <v>7</v>
      </c>
      <c r="AM933" s="249">
        <v>6</v>
      </c>
      <c r="AN933" s="249">
        <v>10</v>
      </c>
      <c r="AO933" s="273">
        <v>19</v>
      </c>
      <c r="AP933" s="273">
        <v>19</v>
      </c>
      <c r="AQ933" s="273">
        <v>21</v>
      </c>
      <c r="AR933" s="273">
        <v>21</v>
      </c>
      <c r="AS933" s="273">
        <v>15</v>
      </c>
      <c r="AT933" s="273">
        <v>16</v>
      </c>
      <c r="AU933" s="273">
        <v>20</v>
      </c>
      <c r="AV933" s="273">
        <f t="shared" si="75"/>
        <v>20</v>
      </c>
      <c r="AX933" s="86" t="str">
        <f t="shared" ca="1" si="76"/>
        <v>NEM</v>
      </c>
    </row>
    <row r="934" spans="1:50" hidden="1">
      <c r="A934" s="86" t="str">
        <f t="shared" ca="1" si="74"/>
        <v>NFLX</v>
      </c>
      <c r="F934" s="249">
        <v>1341.15</v>
      </c>
      <c r="G934" s="249">
        <v>1341.15</v>
      </c>
      <c r="H934" s="249">
        <v>1341.15</v>
      </c>
      <c r="I934" s="249">
        <v>1341.15</v>
      </c>
      <c r="J934" s="249">
        <v>134.11500000000001</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21</v>
      </c>
      <c r="AC934" s="273">
        <v>19</v>
      </c>
      <c r="AD934" s="273">
        <v>16</v>
      </c>
      <c r="AE934" s="249">
        <v>17</v>
      </c>
      <c r="AF934" s="249">
        <v>19</v>
      </c>
      <c r="AG934" s="249">
        <v>18</v>
      </c>
      <c r="AH934" s="249">
        <v>16</v>
      </c>
      <c r="AI934" s="249">
        <v>17</v>
      </c>
      <c r="AJ934" s="249">
        <v>20</v>
      </c>
      <c r="AK934" s="249">
        <v>23</v>
      </c>
      <c r="AL934" s="249">
        <v>18</v>
      </c>
      <c r="AM934" s="249">
        <v>16</v>
      </c>
      <c r="AN934" s="249">
        <v>17</v>
      </c>
      <c r="AO934" s="273">
        <v>18</v>
      </c>
      <c r="AP934" s="273">
        <v>10</v>
      </c>
      <c r="AQ934" s="273">
        <v>11</v>
      </c>
      <c r="AR934" s="273">
        <v>10</v>
      </c>
      <c r="AS934" s="273">
        <v>11</v>
      </c>
      <c r="AT934" s="273">
        <v>11</v>
      </c>
      <c r="AU934" s="273">
        <v>13</v>
      </c>
      <c r="AV934" s="273">
        <f t="shared" si="75"/>
        <v>13</v>
      </c>
      <c r="AX934" s="86" t="str">
        <f t="shared" ca="1" si="76"/>
        <v>NFLX</v>
      </c>
    </row>
    <row r="935" spans="1:50" hidden="1">
      <c r="A935" s="86" t="str">
        <f t="shared" ca="1" si="74"/>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37</v>
      </c>
      <c r="AC935" s="273">
        <v>38</v>
      </c>
      <c r="AD935" s="273">
        <v>40</v>
      </c>
      <c r="AE935" s="249">
        <v>41</v>
      </c>
      <c r="AF935" s="249">
        <v>45</v>
      </c>
      <c r="AG935" s="249">
        <v>40</v>
      </c>
      <c r="AH935" s="249">
        <v>38</v>
      </c>
      <c r="AI935" s="249">
        <v>34</v>
      </c>
      <c r="AJ935" s="249">
        <v>39</v>
      </c>
      <c r="AK935" s="249">
        <v>54</v>
      </c>
      <c r="AL935" s="249">
        <v>58</v>
      </c>
      <c r="AM935" s="249">
        <v>71</v>
      </c>
      <c r="AN935" s="249">
        <v>66</v>
      </c>
      <c r="AO935" s="273">
        <v>66</v>
      </c>
      <c r="AP935" s="273">
        <v>64</v>
      </c>
      <c r="AQ935" s="273">
        <v>63</v>
      </c>
      <c r="AR935" s="273">
        <v>69</v>
      </c>
      <c r="AS935" s="273">
        <v>74</v>
      </c>
      <c r="AT935" s="273">
        <v>74</v>
      </c>
      <c r="AU935" s="273">
        <v>80</v>
      </c>
      <c r="AV935" s="273">
        <f t="shared" si="75"/>
        <v>80</v>
      </c>
      <c r="AX935" s="86" t="str">
        <f t="shared" ca="1" si="76"/>
        <v>NOTE</v>
      </c>
    </row>
    <row r="936" spans="1:50" hidden="1">
      <c r="A936" s="86" t="str">
        <f t="shared" ca="1" si="74"/>
        <v>PAAS</v>
      </c>
      <c r="F936" s="249">
        <v>42.57</v>
      </c>
      <c r="G936" s="249">
        <v>42.57</v>
      </c>
      <c r="H936" s="249">
        <v>42.57</v>
      </c>
      <c r="I936" s="249">
        <v>42.57</v>
      </c>
      <c r="J936" s="249">
        <v>42.57</v>
      </c>
      <c r="K936" s="249">
        <v>42.57</v>
      </c>
      <c r="L936" s="249">
        <v>42.57</v>
      </c>
      <c r="M936" s="249">
        <v>42.57</v>
      </c>
      <c r="N936" s="249">
        <v>42.57</v>
      </c>
      <c r="O936" s="249">
        <v>42.6</v>
      </c>
      <c r="P936" s="249">
        <v>45.97</v>
      </c>
      <c r="Q936" s="249">
        <v>46.598399999999998</v>
      </c>
      <c r="R936" s="249">
        <v>46.598399999999998</v>
      </c>
      <c r="S936" s="249">
        <v>46.598399999999998</v>
      </c>
      <c r="T936" s="249">
        <v>46.598399999999998</v>
      </c>
      <c r="U936" s="249">
        <v>46.598399999999998</v>
      </c>
      <c r="V936" s="249">
        <v>46.598399999999998</v>
      </c>
      <c r="W936" s="249">
        <v>48.777000000000001</v>
      </c>
      <c r="X936" s="249">
        <v>49.305</v>
      </c>
      <c r="Y936" s="249">
        <v>51.89</v>
      </c>
      <c r="Z936" s="243">
        <f ca="1">[1]ExtEntry!$O36</f>
        <v>51.89</v>
      </c>
      <c r="AB936" s="273">
        <v>54</v>
      </c>
      <c r="AC936" s="273">
        <v>45</v>
      </c>
      <c r="AD936" s="273">
        <v>41</v>
      </c>
      <c r="AE936" s="249">
        <v>50</v>
      </c>
      <c r="AF936" s="249">
        <v>49</v>
      </c>
      <c r="AG936" s="249">
        <v>44</v>
      </c>
      <c r="AH936" s="249">
        <v>44</v>
      </c>
      <c r="AI936" s="249">
        <v>47</v>
      </c>
      <c r="AJ936" s="249">
        <v>49</v>
      </c>
      <c r="AK936" s="249">
        <v>49</v>
      </c>
      <c r="AL936" s="249">
        <v>48</v>
      </c>
      <c r="AM936" s="249">
        <v>44</v>
      </c>
      <c r="AN936" s="249">
        <v>47</v>
      </c>
      <c r="AO936" s="273">
        <v>56</v>
      </c>
      <c r="AP936" s="273">
        <v>66</v>
      </c>
      <c r="AQ936" s="273">
        <v>63</v>
      </c>
      <c r="AR936" s="273">
        <v>61</v>
      </c>
      <c r="AS936" s="273">
        <v>55</v>
      </c>
      <c r="AT936" s="273">
        <v>56</v>
      </c>
      <c r="AU936" s="273">
        <v>60</v>
      </c>
      <c r="AV936" s="273">
        <f t="shared" si="75"/>
        <v>60</v>
      </c>
      <c r="AX936" s="86" t="str">
        <f t="shared" ca="1" si="76"/>
        <v>PAAS</v>
      </c>
    </row>
    <row r="937" spans="1:50" hidden="1">
      <c r="A937" s="86" t="str">
        <f t="shared" ca="1" si="74"/>
        <v>PROF</v>
      </c>
      <c r="F937" s="249">
        <v>9.17</v>
      </c>
      <c r="G937" s="249">
        <v>9.17</v>
      </c>
      <c r="H937" s="249">
        <v>9.17</v>
      </c>
      <c r="I937" s="249">
        <v>8.7492999999999999</v>
      </c>
      <c r="J937" s="249">
        <v>8.7492999999999999</v>
      </c>
      <c r="K937" s="249">
        <v>8.7492999999999999</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8.6532999999999998</v>
      </c>
      <c r="V937" s="249">
        <v>8.36</v>
      </c>
      <c r="W937" s="249">
        <v>7.99</v>
      </c>
      <c r="X937" s="249">
        <v>7.99</v>
      </c>
      <c r="Y937" s="249">
        <v>7.99</v>
      </c>
      <c r="Z937" s="243">
        <f ca="1">[1]ExtEntry!$O37</f>
        <v>7.99</v>
      </c>
      <c r="AB937" s="273">
        <v>52</v>
      </c>
      <c r="AC937" s="273">
        <v>42</v>
      </c>
      <c r="AD937" s="273">
        <v>34</v>
      </c>
      <c r="AE937" s="249">
        <v>34</v>
      </c>
      <c r="AF937" s="249">
        <v>37</v>
      </c>
      <c r="AG937" s="249">
        <v>30</v>
      </c>
      <c r="AH937" s="249">
        <v>24</v>
      </c>
      <c r="AI937" s="249">
        <v>27</v>
      </c>
      <c r="AJ937" s="249">
        <v>32</v>
      </c>
      <c r="AK937" s="249">
        <v>37</v>
      </c>
      <c r="AL937" s="249">
        <v>31</v>
      </c>
      <c r="AM937" s="249">
        <v>31</v>
      </c>
      <c r="AN937" s="249">
        <v>32</v>
      </c>
      <c r="AO937" s="273">
        <v>40</v>
      </c>
      <c r="AP937" s="273">
        <v>52</v>
      </c>
      <c r="AQ937" s="273">
        <v>49</v>
      </c>
      <c r="AR937" s="273">
        <v>53</v>
      </c>
      <c r="AS937" s="273">
        <v>60</v>
      </c>
      <c r="AT937" s="273">
        <v>64</v>
      </c>
      <c r="AU937" s="273">
        <v>71</v>
      </c>
      <c r="AV937" s="273">
        <f t="shared" si="75"/>
        <v>71</v>
      </c>
      <c r="AX937" s="86" t="str">
        <f t="shared" ca="1" si="76"/>
        <v>PROF</v>
      </c>
    </row>
    <row r="938" spans="1:50" hidden="1">
      <c r="A938" s="86" t="str">
        <f t="shared" ca="1" si="74"/>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25</v>
      </c>
      <c r="AC938" s="273">
        <v>25</v>
      </c>
      <c r="AD938" s="273">
        <v>26</v>
      </c>
      <c r="AE938" s="249">
        <v>36</v>
      </c>
      <c r="AF938" s="249">
        <v>35</v>
      </c>
      <c r="AG938" s="249">
        <v>35</v>
      </c>
      <c r="AH938" s="249">
        <v>36</v>
      </c>
      <c r="AI938" s="249">
        <v>40</v>
      </c>
      <c r="AJ938" s="249">
        <v>51</v>
      </c>
      <c r="AK938" s="249">
        <v>62</v>
      </c>
      <c r="AL938" s="249">
        <v>55</v>
      </c>
      <c r="AM938" s="249">
        <v>56</v>
      </c>
      <c r="AN938" s="249">
        <v>62</v>
      </c>
      <c r="AO938" s="273">
        <v>63</v>
      </c>
      <c r="AP938" s="273">
        <v>65</v>
      </c>
      <c r="AQ938" s="273">
        <v>64</v>
      </c>
      <c r="AR938" s="273">
        <v>62</v>
      </c>
      <c r="AS938" s="273">
        <v>66</v>
      </c>
      <c r="AT938" s="273">
        <v>64</v>
      </c>
      <c r="AU938" s="273">
        <v>62</v>
      </c>
      <c r="AV938" s="273">
        <f t="shared" si="75"/>
        <v>62</v>
      </c>
      <c r="AX938" s="86" t="str">
        <f t="shared" ca="1" si="76"/>
        <v>POET</v>
      </c>
    </row>
    <row r="939" spans="1:50" hidden="1">
      <c r="A939" s="86" t="str">
        <f t="shared" ca="1" si="74"/>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2.14</v>
      </c>
      <c r="X939" s="249">
        <v>1.96</v>
      </c>
      <c r="Y939" s="249">
        <v>1.96</v>
      </c>
      <c r="Z939" s="243">
        <f ca="1">[1]ExtEntry!$O39</f>
        <v>1.96</v>
      </c>
      <c r="AB939" s="273">
        <v>71</v>
      </c>
      <c r="AC939" s="273">
        <v>66</v>
      </c>
      <c r="AD939" s="273">
        <v>66</v>
      </c>
      <c r="AE939" s="249">
        <v>69</v>
      </c>
      <c r="AF939" s="249">
        <v>74</v>
      </c>
      <c r="AG939" s="249">
        <v>68</v>
      </c>
      <c r="AH939" s="249">
        <v>70</v>
      </c>
      <c r="AI939" s="249">
        <v>72</v>
      </c>
      <c r="AJ939" s="249">
        <v>73</v>
      </c>
      <c r="AK939" s="249">
        <v>74</v>
      </c>
      <c r="AL939" s="249">
        <v>72</v>
      </c>
      <c r="AM939" s="249">
        <v>67</v>
      </c>
      <c r="AN939" s="249">
        <v>62</v>
      </c>
      <c r="AO939" s="273">
        <v>63</v>
      </c>
      <c r="AP939" s="273">
        <v>67</v>
      </c>
      <c r="AQ939" s="273">
        <v>67</v>
      </c>
      <c r="AR939" s="273">
        <v>68</v>
      </c>
      <c r="AS939" s="273">
        <v>68</v>
      </c>
      <c r="AT939" s="273">
        <v>64</v>
      </c>
      <c r="AU939" s="273">
        <v>68</v>
      </c>
      <c r="AV939" s="273">
        <f t="shared" si="75"/>
        <v>68</v>
      </c>
      <c r="AX939" s="86" t="str">
        <f t="shared" ca="1" si="76"/>
        <v>PW</v>
      </c>
    </row>
    <row r="940" spans="1:50" hidden="1">
      <c r="A940" s="86" t="str">
        <f t="shared" ca="1" si="74"/>
        <v>RIGL</v>
      </c>
      <c r="F940" s="249">
        <v>43.7181</v>
      </c>
      <c r="G940" s="249">
        <v>43.7181</v>
      </c>
      <c r="H940" s="249">
        <v>43.7181</v>
      </c>
      <c r="I940" s="249">
        <v>43.7181</v>
      </c>
      <c r="J940" s="249">
        <v>46.31</v>
      </c>
      <c r="K940" s="249">
        <v>47.264899999999997</v>
      </c>
      <c r="L940" s="249">
        <v>47.264899999999997</v>
      </c>
      <c r="M940" s="249">
        <v>47.264899999999997</v>
      </c>
      <c r="N940" s="249">
        <v>51.58</v>
      </c>
      <c r="O940" s="249">
        <v>51.725000000000001</v>
      </c>
      <c r="P940" s="249">
        <v>52.24</v>
      </c>
      <c r="Q940" s="249">
        <v>52.24</v>
      </c>
      <c r="R940" s="249">
        <v>52.24</v>
      </c>
      <c r="S940" s="249">
        <v>52.24</v>
      </c>
      <c r="T940" s="249">
        <v>52.24</v>
      </c>
      <c r="U940" s="249">
        <v>52.24</v>
      </c>
      <c r="V940" s="249">
        <v>52.24</v>
      </c>
      <c r="W940" s="249">
        <v>52.24</v>
      </c>
      <c r="X940" s="249">
        <v>52.24</v>
      </c>
      <c r="Y940" s="249">
        <v>52.24</v>
      </c>
      <c r="Z940" s="243">
        <f ca="1">[1]ExtEntry!$O40</f>
        <v>52.24</v>
      </c>
      <c r="AB940" s="273">
        <v>61</v>
      </c>
      <c r="AC940" s="273">
        <v>64</v>
      </c>
      <c r="AD940" s="273">
        <v>59</v>
      </c>
      <c r="AE940" s="249">
        <v>60</v>
      </c>
      <c r="AF940" s="249">
        <v>55</v>
      </c>
      <c r="AG940" s="249">
        <v>44</v>
      </c>
      <c r="AH940" s="249">
        <v>53</v>
      </c>
      <c r="AI940" s="249">
        <v>49</v>
      </c>
      <c r="AJ940" s="249">
        <v>50</v>
      </c>
      <c r="AK940" s="249">
        <v>48</v>
      </c>
      <c r="AL940" s="249">
        <v>50</v>
      </c>
      <c r="AM940" s="249">
        <v>50</v>
      </c>
      <c r="AN940" s="249">
        <v>51</v>
      </c>
      <c r="AO940" s="273">
        <v>57</v>
      </c>
      <c r="AP940" s="273">
        <v>60</v>
      </c>
      <c r="AQ940" s="273">
        <v>57</v>
      </c>
      <c r="AR940" s="273">
        <v>54</v>
      </c>
      <c r="AS940" s="273">
        <v>54</v>
      </c>
      <c r="AT940" s="273">
        <v>50</v>
      </c>
      <c r="AU940" s="273">
        <v>51</v>
      </c>
      <c r="AV940" s="273">
        <f t="shared" si="75"/>
        <v>51</v>
      </c>
      <c r="AX940" s="86" t="str">
        <f t="shared" ca="1" si="76"/>
        <v>RIGL</v>
      </c>
    </row>
    <row r="941" spans="1:50" hidden="1">
      <c r="A941" s="86" t="str">
        <f t="shared" ca="1" si="74"/>
        <v>RWE</v>
      </c>
      <c r="F941" s="249">
        <v>44.03</v>
      </c>
      <c r="G941" s="249">
        <v>44.03</v>
      </c>
      <c r="H941" s="249">
        <v>44.03</v>
      </c>
      <c r="I941" s="249">
        <v>46.82</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56</v>
      </c>
      <c r="AC941" s="273">
        <v>44</v>
      </c>
      <c r="AD941" s="273">
        <v>40</v>
      </c>
      <c r="AE941" s="249">
        <v>36</v>
      </c>
      <c r="AF941" s="249">
        <v>35</v>
      </c>
      <c r="AG941" s="249">
        <v>35</v>
      </c>
      <c r="AH941" s="249">
        <v>35</v>
      </c>
      <c r="AI941" s="249">
        <v>32</v>
      </c>
      <c r="AJ941" s="249">
        <v>35</v>
      </c>
      <c r="AK941" s="249">
        <v>36</v>
      </c>
      <c r="AL941" s="249">
        <v>30</v>
      </c>
      <c r="AM941" s="249">
        <v>28</v>
      </c>
      <c r="AN941" s="249">
        <v>29</v>
      </c>
      <c r="AO941" s="273">
        <v>31</v>
      </c>
      <c r="AP941" s="273">
        <v>22</v>
      </c>
      <c r="AQ941" s="273">
        <v>34</v>
      </c>
      <c r="AR941" s="273">
        <v>35</v>
      </c>
      <c r="AS941" s="273">
        <v>36</v>
      </c>
      <c r="AT941" s="273">
        <v>35</v>
      </c>
      <c r="AU941" s="273">
        <v>36</v>
      </c>
      <c r="AV941" s="273">
        <f t="shared" si="75"/>
        <v>36</v>
      </c>
      <c r="AX941" s="86" t="str">
        <f t="shared" ca="1" si="76"/>
        <v>RWE</v>
      </c>
    </row>
    <row r="942" spans="1:50" hidden="1">
      <c r="A942" s="86" t="str">
        <f t="shared" ca="1" si="74"/>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23</v>
      </c>
      <c r="AC942" s="273">
        <v>23</v>
      </c>
      <c r="AD942" s="273">
        <v>30</v>
      </c>
      <c r="AE942" s="249">
        <v>34</v>
      </c>
      <c r="AF942" s="249">
        <v>32</v>
      </c>
      <c r="AG942" s="249">
        <v>22</v>
      </c>
      <c r="AH942" s="249">
        <v>16</v>
      </c>
      <c r="AI942" s="249">
        <v>30</v>
      </c>
      <c r="AJ942" s="249">
        <v>35</v>
      </c>
      <c r="AK942" s="249">
        <v>39</v>
      </c>
      <c r="AL942" s="249">
        <v>42</v>
      </c>
      <c r="AM942" s="249">
        <v>42</v>
      </c>
      <c r="AN942" s="249">
        <v>47</v>
      </c>
      <c r="AO942" s="273">
        <v>47</v>
      </c>
      <c r="AP942" s="273">
        <v>45</v>
      </c>
      <c r="AQ942" s="273">
        <v>55</v>
      </c>
      <c r="AR942" s="273">
        <v>58</v>
      </c>
      <c r="AS942" s="273">
        <v>57</v>
      </c>
      <c r="AT942" s="273">
        <v>60</v>
      </c>
      <c r="AU942" s="273">
        <v>55</v>
      </c>
      <c r="AV942" s="273">
        <f t="shared" si="75"/>
        <v>55</v>
      </c>
      <c r="AX942" s="86" t="str">
        <f t="shared" ca="1" si="76"/>
        <v>SAP</v>
      </c>
    </row>
    <row r="943" spans="1:50" hidden="1">
      <c r="A943" s="86" t="str">
        <f t="shared" ca="1" si="74"/>
        <v>SHECY</v>
      </c>
      <c r="F943" s="249">
        <v>19.86</v>
      </c>
      <c r="G943" s="249">
        <v>19.86</v>
      </c>
      <c r="H943" s="249">
        <v>19.86</v>
      </c>
      <c r="I943" s="249">
        <v>19.38</v>
      </c>
      <c r="J943" s="249">
        <v>19.38</v>
      </c>
      <c r="K943" s="249">
        <v>19.38</v>
      </c>
      <c r="L943" s="249">
        <v>19.38</v>
      </c>
      <c r="M943" s="249">
        <v>19.38</v>
      </c>
      <c r="N943" s="249">
        <v>19.18</v>
      </c>
      <c r="O943" s="249">
        <v>19.18</v>
      </c>
      <c r="P943" s="249">
        <v>19.18</v>
      </c>
      <c r="Q943" s="249">
        <v>19.18</v>
      </c>
      <c r="R943" s="249">
        <v>19.18</v>
      </c>
      <c r="S943" s="249">
        <v>19.04</v>
      </c>
      <c r="T943" s="249">
        <v>19.04</v>
      </c>
      <c r="U943" s="249">
        <v>19.04</v>
      </c>
      <c r="V943" s="249">
        <v>19.04</v>
      </c>
      <c r="W943" s="249">
        <v>19.04</v>
      </c>
      <c r="X943" s="249">
        <v>18.600000000000001</v>
      </c>
      <c r="Y943" s="249">
        <v>18.600000000000001</v>
      </c>
      <c r="Z943" s="243">
        <f ca="1">[1]ExtEntry!$O43</f>
        <v>18.600000000000001</v>
      </c>
      <c r="AB943" s="273">
        <v>40</v>
      </c>
      <c r="AC943" s="273">
        <v>40</v>
      </c>
      <c r="AD943" s="273">
        <v>40</v>
      </c>
      <c r="AE943" s="249">
        <v>38</v>
      </c>
      <c r="AF943" s="249">
        <v>39</v>
      </c>
      <c r="AG943" s="249">
        <v>35</v>
      </c>
      <c r="AH943" s="249">
        <v>34</v>
      </c>
      <c r="AI943" s="249">
        <v>32</v>
      </c>
      <c r="AJ943" s="249">
        <v>33</v>
      </c>
      <c r="AK943" s="249">
        <v>36</v>
      </c>
      <c r="AL943" s="249">
        <v>22</v>
      </c>
      <c r="AM943" s="249">
        <v>22</v>
      </c>
      <c r="AN943" s="249">
        <v>28</v>
      </c>
      <c r="AO943" s="273">
        <v>36</v>
      </c>
      <c r="AP943" s="273">
        <v>32</v>
      </c>
      <c r="AQ943" s="273">
        <v>31</v>
      </c>
      <c r="AR943" s="273">
        <v>30</v>
      </c>
      <c r="AS943" s="273">
        <v>37</v>
      </c>
      <c r="AT943" s="273">
        <v>42</v>
      </c>
      <c r="AU943" s="273">
        <v>55</v>
      </c>
      <c r="AV943" s="273">
        <f t="shared" si="75"/>
        <v>55</v>
      </c>
      <c r="AX943" s="86" t="str">
        <f t="shared" ca="1" si="76"/>
        <v>SHECY</v>
      </c>
    </row>
    <row r="944" spans="1:50" hidden="1">
      <c r="A944" s="86" t="str">
        <f t="shared" ca="1" si="74"/>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49</v>
      </c>
      <c r="AC944" s="273">
        <v>49</v>
      </c>
      <c r="AD944" s="273">
        <v>44</v>
      </c>
      <c r="AE944" s="249">
        <v>46</v>
      </c>
      <c r="AF944" s="249">
        <v>45</v>
      </c>
      <c r="AG944" s="249">
        <v>39</v>
      </c>
      <c r="AH944" s="249">
        <v>39</v>
      </c>
      <c r="AI944" s="249">
        <v>39</v>
      </c>
      <c r="AJ944" s="249">
        <v>42</v>
      </c>
      <c r="AK944" s="249">
        <v>41</v>
      </c>
      <c r="AL944" s="249">
        <v>39</v>
      </c>
      <c r="AM944" s="249">
        <v>40</v>
      </c>
      <c r="AN944" s="249">
        <v>40</v>
      </c>
      <c r="AO944" s="273">
        <v>45</v>
      </c>
      <c r="AP944" s="273">
        <v>47</v>
      </c>
      <c r="AQ944" s="273">
        <v>52</v>
      </c>
      <c r="AR944" s="273">
        <v>47</v>
      </c>
      <c r="AS944" s="273">
        <v>47</v>
      </c>
      <c r="AT944" s="273">
        <v>56</v>
      </c>
      <c r="AU944" s="273">
        <v>63</v>
      </c>
      <c r="AV944" s="273">
        <f t="shared" si="75"/>
        <v>63</v>
      </c>
      <c r="AX944" s="86" t="str">
        <f t="shared" ca="1" si="76"/>
        <v>SSYS</v>
      </c>
    </row>
    <row r="945" spans="1:50" hidden="1">
      <c r="A945" s="86" t="str">
        <f t="shared" ca="1" si="74"/>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48</v>
      </c>
      <c r="AC945" s="273">
        <v>50</v>
      </c>
      <c r="AD945" s="273">
        <v>44</v>
      </c>
      <c r="AE945" s="249">
        <v>47</v>
      </c>
      <c r="AF945" s="249">
        <v>47</v>
      </c>
      <c r="AG945" s="249">
        <v>34</v>
      </c>
      <c r="AH945" s="249">
        <v>36</v>
      </c>
      <c r="AI945" s="249">
        <v>28</v>
      </c>
      <c r="AJ945" s="249">
        <v>36</v>
      </c>
      <c r="AK945" s="249">
        <v>43</v>
      </c>
      <c r="AL945" s="249">
        <v>42</v>
      </c>
      <c r="AM945" s="249">
        <v>44</v>
      </c>
      <c r="AN945" s="249">
        <v>51</v>
      </c>
      <c r="AO945" s="273">
        <v>57</v>
      </c>
      <c r="AP945" s="273">
        <v>58</v>
      </c>
      <c r="AQ945" s="273">
        <v>52</v>
      </c>
      <c r="AR945" s="273">
        <v>51</v>
      </c>
      <c r="AS945" s="273">
        <v>49</v>
      </c>
      <c r="AT945" s="273">
        <v>56</v>
      </c>
      <c r="AU945" s="273">
        <v>61</v>
      </c>
      <c r="AV945" s="273">
        <f t="shared" si="75"/>
        <v>61</v>
      </c>
      <c r="AX945" s="86" t="str">
        <f t="shared" ca="1" si="76"/>
        <v>TSLA</v>
      </c>
    </row>
    <row r="946" spans="1:50" hidden="1">
      <c r="A946" s="86" t="str">
        <f t="shared" ca="1" si="74"/>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313.98</v>
      </c>
      <c r="Y946" s="249">
        <v>313.98</v>
      </c>
      <c r="Z946" s="243">
        <f ca="1">[1]ExtEntry!$O46</f>
        <v>313.98</v>
      </c>
      <c r="AB946" s="273">
        <v>39</v>
      </c>
      <c r="AC946" s="273">
        <v>37</v>
      </c>
      <c r="AD946" s="273">
        <v>34</v>
      </c>
      <c r="AE946" s="249">
        <v>31</v>
      </c>
      <c r="AF946" s="249">
        <v>31</v>
      </c>
      <c r="AG946" s="249">
        <v>30</v>
      </c>
      <c r="AH946" s="249">
        <v>33</v>
      </c>
      <c r="AI946" s="249">
        <v>34</v>
      </c>
      <c r="AJ946" s="249">
        <v>40</v>
      </c>
      <c r="AK946" s="249">
        <v>45</v>
      </c>
      <c r="AL946" s="249">
        <v>39</v>
      </c>
      <c r="AM946" s="249">
        <v>44</v>
      </c>
      <c r="AN946" s="249">
        <v>40</v>
      </c>
      <c r="AO946" s="273">
        <v>40</v>
      </c>
      <c r="AP946" s="273">
        <v>45</v>
      </c>
      <c r="AQ946" s="273">
        <v>51</v>
      </c>
      <c r="AR946" s="273">
        <v>48</v>
      </c>
      <c r="AS946" s="273">
        <v>61</v>
      </c>
      <c r="AT946" s="273">
        <v>62</v>
      </c>
      <c r="AU946" s="273">
        <v>60</v>
      </c>
      <c r="AV946" s="273">
        <f t="shared" si="75"/>
        <v>60</v>
      </c>
      <c r="AX946" s="86" t="str">
        <f t="shared" ca="1" si="76"/>
        <v>TSM</v>
      </c>
    </row>
    <row r="947" spans="1:50" hidden="1">
      <c r="A947" s="86" t="str">
        <f t="shared" ca="1" si="74"/>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57</v>
      </c>
      <c r="AC947" s="273">
        <v>55</v>
      </c>
      <c r="AD947" s="273">
        <v>58</v>
      </c>
      <c r="AE947" s="249">
        <v>63</v>
      </c>
      <c r="AF947" s="249">
        <v>62</v>
      </c>
      <c r="AG947" s="249">
        <v>63</v>
      </c>
      <c r="AH947" s="249">
        <v>66</v>
      </c>
      <c r="AI947" s="249">
        <v>65</v>
      </c>
      <c r="AJ947" s="249">
        <v>69</v>
      </c>
      <c r="AK947" s="249">
        <v>69</v>
      </c>
      <c r="AL947" s="249">
        <v>71</v>
      </c>
      <c r="AM947" s="249">
        <v>71</v>
      </c>
      <c r="AN947" s="249">
        <v>74</v>
      </c>
      <c r="AO947" s="273">
        <v>76</v>
      </c>
      <c r="AP947" s="273">
        <v>74</v>
      </c>
      <c r="AQ947" s="273">
        <v>73</v>
      </c>
      <c r="AR947" s="273">
        <v>66</v>
      </c>
      <c r="AS947" s="273">
        <v>69</v>
      </c>
      <c r="AT947" s="273">
        <v>73</v>
      </c>
      <c r="AU947" s="273">
        <v>76</v>
      </c>
      <c r="AV947" s="273">
        <f t="shared" si="75"/>
        <v>76</v>
      </c>
      <c r="AX947" s="86" t="str">
        <f t="shared" ca="1" si="76"/>
        <v>UN0</v>
      </c>
    </row>
    <row r="948" spans="1:50" hidden="1">
      <c r="A948" s="86" t="str">
        <f t="shared" ca="1" si="74"/>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6"/>
        <v>UNIT</v>
      </c>
    </row>
    <row r="949" spans="1:50" hidden="1">
      <c r="A949" s="86" t="str">
        <f t="shared" ca="1" si="74"/>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37</v>
      </c>
      <c r="AC949" s="273">
        <v>40</v>
      </c>
      <c r="AD949" s="273">
        <v>42</v>
      </c>
      <c r="AE949" s="249">
        <v>43</v>
      </c>
      <c r="AF949" s="249">
        <v>47</v>
      </c>
      <c r="AG949" s="249">
        <v>48</v>
      </c>
      <c r="AH949" s="249">
        <v>46</v>
      </c>
      <c r="AI949" s="249">
        <v>51</v>
      </c>
      <c r="AJ949" s="249">
        <v>50</v>
      </c>
      <c r="AK949" s="249">
        <v>65</v>
      </c>
      <c r="AL949" s="249">
        <v>62</v>
      </c>
      <c r="AM949" s="249">
        <v>60</v>
      </c>
      <c r="AN949" s="249">
        <v>63</v>
      </c>
      <c r="AO949" s="273">
        <v>61</v>
      </c>
      <c r="AP949" s="273">
        <v>58</v>
      </c>
      <c r="AQ949" s="273">
        <v>62</v>
      </c>
      <c r="AR949" s="273">
        <v>66</v>
      </c>
      <c r="AS949" s="273">
        <v>62</v>
      </c>
      <c r="AT949" s="273">
        <v>67</v>
      </c>
      <c r="AU949" s="273">
        <v>73</v>
      </c>
      <c r="AV949" s="273">
        <f t="shared" ref="AV949:AV996" si="77">INT(100-100/(1+SUMIF(F651:Y651,"&gt;0",F651:Y651)/ABS(SUMIF(F651:Y651,"&lt;0",F651:Y651))))</f>
        <v>73</v>
      </c>
      <c r="AX949" s="86" t="str">
        <f t="shared" ca="1" si="76"/>
        <v>VLVLY</v>
      </c>
    </row>
    <row r="950" spans="1:50" hidden="1">
      <c r="A950" s="86" t="str">
        <f t="shared" ca="1" si="74"/>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54</v>
      </c>
      <c r="AC950" s="273">
        <v>50</v>
      </c>
      <c r="AD950" s="273">
        <v>49</v>
      </c>
      <c r="AE950" s="249">
        <v>47</v>
      </c>
      <c r="AF950" s="249">
        <v>48</v>
      </c>
      <c r="AG950" s="249">
        <v>52</v>
      </c>
      <c r="AH950" s="249">
        <v>53</v>
      </c>
      <c r="AI950" s="249">
        <v>54</v>
      </c>
      <c r="AJ950" s="249">
        <v>58</v>
      </c>
      <c r="AK950" s="249">
        <v>65</v>
      </c>
      <c r="AL950" s="249">
        <v>65</v>
      </c>
      <c r="AM950" s="249">
        <v>68</v>
      </c>
      <c r="AN950" s="249">
        <v>63</v>
      </c>
      <c r="AO950" s="273">
        <v>51</v>
      </c>
      <c r="AP950" s="273">
        <v>42</v>
      </c>
      <c r="AQ950" s="273">
        <v>45</v>
      </c>
      <c r="AR950" s="273">
        <v>46</v>
      </c>
      <c r="AS950" s="273">
        <v>51</v>
      </c>
      <c r="AT950" s="273">
        <v>43</v>
      </c>
      <c r="AU950" s="273">
        <v>50</v>
      </c>
      <c r="AV950" s="273">
        <f t="shared" si="77"/>
        <v>50</v>
      </c>
      <c r="AX950" s="86" t="str">
        <f t="shared" ca="1" si="76"/>
        <v>VONN</v>
      </c>
    </row>
    <row r="951" spans="1:50" hidden="1">
      <c r="A951" s="86" t="str">
        <f t="shared" ca="1" si="74"/>
        <v>VTRS</v>
      </c>
      <c r="F951" s="249">
        <v>13.55</v>
      </c>
      <c r="G951" s="249">
        <v>13.55</v>
      </c>
      <c r="H951" s="249">
        <v>13.55</v>
      </c>
      <c r="I951" s="249">
        <v>13.55</v>
      </c>
      <c r="J951" s="249">
        <v>13.55</v>
      </c>
      <c r="K951" s="249">
        <v>13.55</v>
      </c>
      <c r="L951" s="249">
        <v>13.55</v>
      </c>
      <c r="M951" s="249">
        <v>13.55</v>
      </c>
      <c r="N951" s="249">
        <v>13.33</v>
      </c>
      <c r="O951" s="249">
        <v>13.33</v>
      </c>
      <c r="P951" s="249">
        <v>13.244999999999999</v>
      </c>
      <c r="Q951" s="249">
        <v>13.244999999999999</v>
      </c>
      <c r="R951" s="249">
        <v>13.244999999999999</v>
      </c>
      <c r="S951" s="249">
        <v>13.23</v>
      </c>
      <c r="T951" s="249">
        <v>13.23</v>
      </c>
      <c r="U951" s="249">
        <v>13.13</v>
      </c>
      <c r="V951" s="249">
        <v>13.13</v>
      </c>
      <c r="W951" s="249">
        <v>13.13</v>
      </c>
      <c r="X951" s="249">
        <v>13.13</v>
      </c>
      <c r="Y951" s="249">
        <v>13.13</v>
      </c>
      <c r="Z951" s="243">
        <f ca="1">[1]ExtEntry!$O51</f>
        <v>13.13</v>
      </c>
      <c r="AB951" s="273">
        <v>75</v>
      </c>
      <c r="AC951" s="273">
        <v>55</v>
      </c>
      <c r="AD951" s="273">
        <v>59</v>
      </c>
      <c r="AE951" s="249">
        <v>53</v>
      </c>
      <c r="AF951" s="249">
        <v>54</v>
      </c>
      <c r="AG951" s="249">
        <v>47</v>
      </c>
      <c r="AH951" s="249">
        <v>41</v>
      </c>
      <c r="AI951" s="249">
        <v>46</v>
      </c>
      <c r="AJ951" s="249">
        <v>46</v>
      </c>
      <c r="AK951" s="249">
        <v>46</v>
      </c>
      <c r="AL951" s="249">
        <v>44</v>
      </c>
      <c r="AM951" s="249">
        <v>43</v>
      </c>
      <c r="AN951" s="249">
        <v>43</v>
      </c>
      <c r="AO951" s="273">
        <v>46</v>
      </c>
      <c r="AP951" s="273">
        <v>51</v>
      </c>
      <c r="AQ951" s="273">
        <v>48</v>
      </c>
      <c r="AR951" s="273">
        <v>50</v>
      </c>
      <c r="AS951" s="273">
        <v>55</v>
      </c>
      <c r="AT951" s="273">
        <v>59</v>
      </c>
      <c r="AU951" s="273">
        <v>59</v>
      </c>
      <c r="AV951" s="273">
        <f t="shared" si="77"/>
        <v>59</v>
      </c>
      <c r="AX951" s="86" t="str">
        <f t="shared" ca="1" si="76"/>
        <v>VTRS</v>
      </c>
    </row>
    <row r="952" spans="1:50" hidden="1">
      <c r="A952" s="86" t="str">
        <f t="shared" ca="1" si="74"/>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77"/>
        <v>#DIV/0!</v>
      </c>
      <c r="AX952" s="86" t="str">
        <f t="shared" ca="1" si="76"/>
        <v>WBA</v>
      </c>
    </row>
    <row r="953" spans="1:50" hidden="1">
      <c r="A953" s="86" t="str">
        <f t="shared" ca="1" si="74"/>
        <v>XOM</v>
      </c>
      <c r="F953" s="249">
        <v>123.21</v>
      </c>
      <c r="G953" s="249">
        <v>123.21</v>
      </c>
      <c r="H953" s="249">
        <v>123.21</v>
      </c>
      <c r="I953" s="249">
        <v>123.21</v>
      </c>
      <c r="J953" s="249">
        <v>123.21</v>
      </c>
      <c r="K953" s="249">
        <v>123.21</v>
      </c>
      <c r="L953" s="249">
        <v>123.21</v>
      </c>
      <c r="M953" s="249">
        <v>123.21</v>
      </c>
      <c r="N953" s="249">
        <v>120.8099</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56</v>
      </c>
      <c r="AC953" s="273">
        <v>59</v>
      </c>
      <c r="AD953" s="273">
        <v>65</v>
      </c>
      <c r="AE953" s="249">
        <v>71</v>
      </c>
      <c r="AF953" s="249">
        <v>76</v>
      </c>
      <c r="AG953" s="249">
        <v>69</v>
      </c>
      <c r="AH953" s="249">
        <v>68</v>
      </c>
      <c r="AI953" s="249">
        <v>70</v>
      </c>
      <c r="AJ953" s="249">
        <v>74</v>
      </c>
      <c r="AK953" s="249">
        <v>72</v>
      </c>
      <c r="AL953" s="249">
        <v>73</v>
      </c>
      <c r="AM953" s="249">
        <v>75</v>
      </c>
      <c r="AN953" s="249">
        <v>68</v>
      </c>
      <c r="AO953" s="273">
        <v>68</v>
      </c>
      <c r="AP953" s="273">
        <v>69</v>
      </c>
      <c r="AQ953" s="273">
        <v>70</v>
      </c>
      <c r="AR953" s="273">
        <v>67</v>
      </c>
      <c r="AS953" s="273">
        <v>74</v>
      </c>
      <c r="AT953" s="273">
        <v>81</v>
      </c>
      <c r="AU953" s="273">
        <v>81</v>
      </c>
      <c r="AV953" s="273">
        <f t="shared" si="77"/>
        <v>81</v>
      </c>
      <c r="AX953" s="86" t="str">
        <f t="shared" ca="1" si="76"/>
        <v>XOM</v>
      </c>
    </row>
    <row r="954" spans="1:50" hidden="1">
      <c r="A954" s="86" t="str">
        <f t="shared" ca="1" si="74"/>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54</v>
      </c>
      <c r="AC954" s="273">
        <v>64</v>
      </c>
      <c r="AD954" s="273">
        <v>56</v>
      </c>
      <c r="AE954" s="249">
        <v>53</v>
      </c>
      <c r="AF954" s="249">
        <v>50</v>
      </c>
      <c r="AG954" s="249">
        <v>43</v>
      </c>
      <c r="AH954" s="249">
        <v>36</v>
      </c>
      <c r="AI954" s="249">
        <v>40</v>
      </c>
      <c r="AJ954" s="249">
        <v>41</v>
      </c>
      <c r="AK954" s="249">
        <v>43</v>
      </c>
      <c r="AL954" s="249">
        <v>42</v>
      </c>
      <c r="AM954" s="249">
        <v>40</v>
      </c>
      <c r="AN954" s="249">
        <v>47</v>
      </c>
      <c r="AO954" s="273">
        <v>51</v>
      </c>
      <c r="AP954" s="273">
        <v>53</v>
      </c>
      <c r="AQ954" s="273">
        <v>49</v>
      </c>
      <c r="AR954" s="273">
        <v>53</v>
      </c>
      <c r="AS954" s="273">
        <v>52</v>
      </c>
      <c r="AT954" s="273">
        <v>55</v>
      </c>
      <c r="AU954" s="273">
        <v>58</v>
      </c>
      <c r="AV954" s="273">
        <f t="shared" si="77"/>
        <v>58</v>
      </c>
      <c r="AX954" s="86" t="str">
        <f t="shared" ca="1" si="76"/>
        <v>XPER</v>
      </c>
    </row>
    <row r="955" spans="1:50" hidden="1">
      <c r="A955" s="86" t="str">
        <f t="shared" ca="1" si="74"/>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49</v>
      </c>
      <c r="AC955" s="273">
        <v>46</v>
      </c>
      <c r="AD955" s="273">
        <v>52</v>
      </c>
      <c r="AE955" s="249">
        <v>35</v>
      </c>
      <c r="AF955" s="249">
        <v>33</v>
      </c>
      <c r="AG955" s="249">
        <v>36</v>
      </c>
      <c r="AH955" s="249">
        <v>32</v>
      </c>
      <c r="AI955" s="249">
        <v>30</v>
      </c>
      <c r="AJ955" s="249">
        <v>29</v>
      </c>
      <c r="AK955" s="249">
        <v>26</v>
      </c>
      <c r="AL955" s="249">
        <v>25</v>
      </c>
      <c r="AM955" s="249">
        <v>26</v>
      </c>
      <c r="AN955" s="249">
        <v>24</v>
      </c>
      <c r="AO955" s="273">
        <v>23</v>
      </c>
      <c r="AP955" s="273">
        <v>25</v>
      </c>
      <c r="AQ955" s="273">
        <v>26</v>
      </c>
      <c r="AR955" s="273">
        <v>27</v>
      </c>
      <c r="AS955" s="273">
        <v>26</v>
      </c>
      <c r="AT955" s="273">
        <v>21</v>
      </c>
      <c r="AU955" s="273">
        <v>17</v>
      </c>
      <c r="AV955" s="273">
        <f t="shared" si="77"/>
        <v>17</v>
      </c>
      <c r="AX955" s="86" t="str">
        <f t="shared" ca="1" si="76"/>
        <v>MVEALDNE</v>
      </c>
    </row>
    <row r="956" spans="1:50" hidden="1">
      <c r="A956" s="86" t="str">
        <f t="shared" ca="1" si="74"/>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42</v>
      </c>
      <c r="AC956" s="273">
        <v>38</v>
      </c>
      <c r="AD956" s="273">
        <v>36</v>
      </c>
      <c r="AE956" s="249">
        <v>37</v>
      </c>
      <c r="AF956" s="249">
        <v>37</v>
      </c>
      <c r="AG956" s="249">
        <v>32</v>
      </c>
      <c r="AH956" s="249">
        <v>32</v>
      </c>
      <c r="AI956" s="249">
        <v>30</v>
      </c>
      <c r="AJ956" s="249">
        <v>30</v>
      </c>
      <c r="AK956" s="249">
        <v>32</v>
      </c>
      <c r="AL956" s="249">
        <v>15</v>
      </c>
      <c r="AM956" s="249">
        <v>18</v>
      </c>
      <c r="AN956" s="249">
        <v>24</v>
      </c>
      <c r="AO956" s="273">
        <v>31</v>
      </c>
      <c r="AP956" s="273">
        <v>36</v>
      </c>
      <c r="AQ956" s="273">
        <v>34</v>
      </c>
      <c r="AR956" s="273">
        <v>34</v>
      </c>
      <c r="AS956" s="273">
        <v>22</v>
      </c>
      <c r="AT956" s="273">
        <v>25</v>
      </c>
      <c r="AU956" s="273">
        <v>37</v>
      </c>
      <c r="AV956" s="273">
        <f t="shared" si="77"/>
        <v>37</v>
      </c>
      <c r="AX956" s="86" t="str">
        <f t="shared" ca="1" si="76"/>
        <v>MVEDDD</v>
      </c>
    </row>
    <row r="957" spans="1:50" hidden="1">
      <c r="A957" s="86" t="str">
        <f t="shared" ca="1" si="74"/>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29</v>
      </c>
      <c r="AC957" s="273">
        <v>28</v>
      </c>
      <c r="AD957" s="273">
        <v>29</v>
      </c>
      <c r="AE957" s="249">
        <v>27</v>
      </c>
      <c r="AF957" s="249">
        <v>24</v>
      </c>
      <c r="AG957" s="249">
        <v>23</v>
      </c>
      <c r="AH957" s="249">
        <v>24</v>
      </c>
      <c r="AI957" s="249">
        <v>21</v>
      </c>
      <c r="AJ957" s="249">
        <v>18</v>
      </c>
      <c r="AK957" s="249">
        <v>18</v>
      </c>
      <c r="AL957" s="249">
        <v>14</v>
      </c>
      <c r="AM957" s="249">
        <v>8</v>
      </c>
      <c r="AN957" s="249">
        <v>8</v>
      </c>
      <c r="AO957" s="273">
        <v>8</v>
      </c>
      <c r="AP957" s="273">
        <v>16</v>
      </c>
      <c r="AQ957" s="273">
        <v>25</v>
      </c>
      <c r="AR957" s="273">
        <v>28</v>
      </c>
      <c r="AS957" s="273">
        <v>30</v>
      </c>
      <c r="AT957" s="273">
        <v>27</v>
      </c>
      <c r="AU957" s="273">
        <v>32</v>
      </c>
      <c r="AV957" s="273">
        <f t="shared" si="77"/>
        <v>32</v>
      </c>
      <c r="AX957" s="86" t="str">
        <f t="shared" ca="1" si="76"/>
        <v>MVEDSY</v>
      </c>
    </row>
    <row r="958" spans="1:50" hidden="1">
      <c r="A958" s="86" t="str">
        <f t="shared" ca="1" si="74"/>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52</v>
      </c>
      <c r="AC958" s="273">
        <v>51</v>
      </c>
      <c r="AD958" s="273">
        <v>51</v>
      </c>
      <c r="AE958" s="249">
        <v>51</v>
      </c>
      <c r="AF958" s="249">
        <v>49</v>
      </c>
      <c r="AG958" s="249">
        <v>43</v>
      </c>
      <c r="AH958" s="249">
        <v>43</v>
      </c>
      <c r="AI958" s="249">
        <v>50</v>
      </c>
      <c r="AJ958" s="249">
        <v>51</v>
      </c>
      <c r="AK958" s="249">
        <v>47</v>
      </c>
      <c r="AL958" s="249">
        <v>44</v>
      </c>
      <c r="AM958" s="249">
        <v>43</v>
      </c>
      <c r="AN958" s="249">
        <v>50</v>
      </c>
      <c r="AO958" s="273">
        <v>66</v>
      </c>
      <c r="AP958" s="273">
        <v>77</v>
      </c>
      <c r="AQ958" s="273">
        <v>69</v>
      </c>
      <c r="AR958" s="273">
        <v>65</v>
      </c>
      <c r="AS958" s="273">
        <v>64</v>
      </c>
      <c r="AT958" s="273">
        <v>64</v>
      </c>
      <c r="AU958" s="273">
        <v>57</v>
      </c>
      <c r="AV958" s="273">
        <f t="shared" si="77"/>
        <v>57</v>
      </c>
      <c r="AX958" s="86" t="str">
        <f t="shared" ca="1" si="76"/>
        <v>MVEEOAN</v>
      </c>
    </row>
    <row r="959" spans="1:50" hidden="1">
      <c r="A959" s="86" t="str">
        <f t="shared" ca="1" si="74"/>
        <v>MVEENI</v>
      </c>
      <c r="F959" s="249">
        <v>16.11</v>
      </c>
      <c r="G959" s="249">
        <v>16.11</v>
      </c>
      <c r="H959" s="249">
        <v>16.11</v>
      </c>
      <c r="I959" s="249">
        <v>16.55</v>
      </c>
      <c r="J959" s="249">
        <v>16.61</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75</v>
      </c>
      <c r="AC959" s="273">
        <v>74</v>
      </c>
      <c r="AD959" s="273">
        <v>72</v>
      </c>
      <c r="AE959" s="249">
        <v>71</v>
      </c>
      <c r="AF959" s="249">
        <v>78</v>
      </c>
      <c r="AG959" s="249">
        <v>73</v>
      </c>
      <c r="AH959" s="249">
        <v>85</v>
      </c>
      <c r="AI959" s="249">
        <v>76</v>
      </c>
      <c r="AJ959" s="249">
        <v>79</v>
      </c>
      <c r="AK959" s="249">
        <v>76</v>
      </c>
      <c r="AL959" s="249">
        <v>78</v>
      </c>
      <c r="AM959" s="249">
        <v>78</v>
      </c>
      <c r="AN959" s="249">
        <v>76</v>
      </c>
      <c r="AO959" s="273">
        <v>75</v>
      </c>
      <c r="AP959" s="273">
        <v>71</v>
      </c>
      <c r="AQ959" s="273">
        <v>67</v>
      </c>
      <c r="AR959" s="273">
        <v>56</v>
      </c>
      <c r="AS959" s="273">
        <v>59</v>
      </c>
      <c r="AT959" s="273">
        <v>57</v>
      </c>
      <c r="AU959" s="273">
        <v>55</v>
      </c>
      <c r="AV959" s="273">
        <f t="shared" si="77"/>
        <v>55</v>
      </c>
      <c r="AX959" s="86" t="str">
        <f t="shared" ca="1" si="76"/>
        <v>MVEENI</v>
      </c>
    </row>
    <row r="960" spans="1:50" hidden="1">
      <c r="A960" s="86" t="str">
        <f t="shared" ca="1" si="74"/>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6</v>
      </c>
      <c r="AC960" s="273">
        <v>0</v>
      </c>
      <c r="AD960" s="273">
        <v>0</v>
      </c>
      <c r="AE960" s="249">
        <v>0</v>
      </c>
      <c r="AF960" s="249" t="e">
        <v>#DIV/0!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77"/>
        <v>#DIV/0!</v>
      </c>
      <c r="AX960" s="86" t="str">
        <f t="shared" ca="1" si="76"/>
        <v>MVEEPIX</v>
      </c>
    </row>
    <row r="961" spans="1:50" hidden="1">
      <c r="A961" s="86" t="str">
        <f t="shared" ca="1" si="74"/>
        <v>MVEGLE</v>
      </c>
      <c r="F961" s="249">
        <v>59.42</v>
      </c>
      <c r="G961" s="249">
        <v>59.42</v>
      </c>
      <c r="H961" s="249">
        <v>59.42</v>
      </c>
      <c r="I961" s="249">
        <v>59.9</v>
      </c>
      <c r="J961" s="249">
        <v>59.9</v>
      </c>
      <c r="K961" s="249">
        <v>59.9</v>
      </c>
      <c r="L961" s="249">
        <v>59.9</v>
      </c>
      <c r="M961" s="249">
        <v>59.9</v>
      </c>
      <c r="N961" s="249">
        <v>59.9</v>
      </c>
      <c r="O961" s="249">
        <v>60.08</v>
      </c>
      <c r="P961" s="249">
        <v>60.2</v>
      </c>
      <c r="Q961" s="249">
        <v>60.36</v>
      </c>
      <c r="R961" s="249">
        <v>61.1</v>
      </c>
      <c r="S961" s="249">
        <v>61.26</v>
      </c>
      <c r="T961" s="249">
        <v>61.26</v>
      </c>
      <c r="U961" s="249">
        <v>62.5</v>
      </c>
      <c r="V961" s="249">
        <v>63.26</v>
      </c>
      <c r="W961" s="249">
        <v>63.34</v>
      </c>
      <c r="X961" s="249">
        <v>63.68</v>
      </c>
      <c r="Y961" s="249">
        <v>64.459999999999994</v>
      </c>
      <c r="Z961" s="243">
        <f ca="1">[1]ExtEntry!$O61</f>
        <v>64.459999999999994</v>
      </c>
      <c r="AB961" s="273">
        <v>44</v>
      </c>
      <c r="AC961" s="273">
        <v>50</v>
      </c>
      <c r="AD961" s="273">
        <v>42</v>
      </c>
      <c r="AE961" s="249">
        <v>38</v>
      </c>
      <c r="AF961" s="249">
        <v>38</v>
      </c>
      <c r="AG961" s="249">
        <v>40</v>
      </c>
      <c r="AH961" s="249">
        <v>37</v>
      </c>
      <c r="AI961" s="249">
        <v>32</v>
      </c>
      <c r="AJ961" s="249">
        <v>33</v>
      </c>
      <c r="AK961" s="249">
        <v>43</v>
      </c>
      <c r="AL961" s="249">
        <v>46</v>
      </c>
      <c r="AM961" s="249">
        <v>44</v>
      </c>
      <c r="AN961" s="249">
        <v>51</v>
      </c>
      <c r="AO961" s="273">
        <v>50</v>
      </c>
      <c r="AP961" s="273">
        <v>46</v>
      </c>
      <c r="AQ961" s="273">
        <v>52</v>
      </c>
      <c r="AR961" s="273">
        <v>49</v>
      </c>
      <c r="AS961" s="273">
        <v>48</v>
      </c>
      <c r="AT961" s="273">
        <v>57</v>
      </c>
      <c r="AU961" s="273">
        <v>61</v>
      </c>
      <c r="AV961" s="273">
        <f t="shared" si="77"/>
        <v>61</v>
      </c>
      <c r="AX961" s="86" t="str">
        <f t="shared" ca="1" si="76"/>
        <v>MVEGLE</v>
      </c>
    </row>
    <row r="962" spans="1:50" hidden="1">
      <c r="A962" s="86" t="str">
        <f t="shared" ca="1" si="74"/>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62</v>
      </c>
      <c r="AC962" s="273">
        <v>65</v>
      </c>
      <c r="AD962" s="273">
        <v>66</v>
      </c>
      <c r="AE962" s="249">
        <v>57</v>
      </c>
      <c r="AF962" s="249">
        <v>51</v>
      </c>
      <c r="AG962" s="249">
        <v>51</v>
      </c>
      <c r="AH962" s="249">
        <v>47</v>
      </c>
      <c r="AI962" s="249">
        <v>44</v>
      </c>
      <c r="AJ962" s="249">
        <v>45</v>
      </c>
      <c r="AK962" s="249">
        <v>40</v>
      </c>
      <c r="AL962" s="249">
        <v>45</v>
      </c>
      <c r="AM962" s="249">
        <v>44</v>
      </c>
      <c r="AN962" s="249">
        <v>50</v>
      </c>
      <c r="AO962" s="273">
        <v>51</v>
      </c>
      <c r="AP962" s="273">
        <v>49</v>
      </c>
      <c r="AQ962" s="273">
        <v>53</v>
      </c>
      <c r="AR962" s="273">
        <v>49</v>
      </c>
      <c r="AS962" s="273">
        <v>48</v>
      </c>
      <c r="AT962" s="273">
        <v>44</v>
      </c>
      <c r="AU962" s="273">
        <v>48</v>
      </c>
      <c r="AV962" s="273">
        <f t="shared" si="77"/>
        <v>48</v>
      </c>
      <c r="AX962" s="86" t="str">
        <f t="shared" ca="1" si="76"/>
        <v>MVEORA</v>
      </c>
    </row>
    <row r="963" spans="1:50" hidden="1">
      <c r="A963" s="86" t="str">
        <f t="shared" ca="1" si="74"/>
        <v>MVERWE</v>
      </c>
      <c r="F963" s="249">
        <v>44.03</v>
      </c>
      <c r="G963" s="249">
        <v>44.03</v>
      </c>
      <c r="H963" s="249">
        <v>44.03</v>
      </c>
      <c r="I963" s="249">
        <v>46.82</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61</v>
      </c>
      <c r="AC963" s="273">
        <v>64</v>
      </c>
      <c r="AD963" s="273">
        <v>59</v>
      </c>
      <c r="AE963" s="249">
        <v>60</v>
      </c>
      <c r="AF963" s="249">
        <v>55</v>
      </c>
      <c r="AG963" s="249">
        <v>44</v>
      </c>
      <c r="AH963" s="249">
        <v>53</v>
      </c>
      <c r="AI963" s="249">
        <v>49</v>
      </c>
      <c r="AJ963" s="249">
        <v>50</v>
      </c>
      <c r="AK963" s="249">
        <v>48</v>
      </c>
      <c r="AL963" s="249">
        <v>50</v>
      </c>
      <c r="AM963" s="249">
        <v>50</v>
      </c>
      <c r="AN963" s="249">
        <v>51</v>
      </c>
      <c r="AO963" s="273">
        <v>57</v>
      </c>
      <c r="AP963" s="273">
        <v>60</v>
      </c>
      <c r="AQ963" s="273">
        <v>57</v>
      </c>
      <c r="AR963" s="273">
        <v>54</v>
      </c>
      <c r="AS963" s="273">
        <v>54</v>
      </c>
      <c r="AT963" s="273">
        <v>50</v>
      </c>
      <c r="AU963" s="273">
        <v>51</v>
      </c>
      <c r="AV963" s="273">
        <f t="shared" si="77"/>
        <v>51</v>
      </c>
      <c r="AX963" s="86" t="str">
        <f t="shared" ca="1" si="76"/>
        <v>MVERWE</v>
      </c>
    </row>
    <row r="964" spans="1:50" hidden="1">
      <c r="A964" s="86" t="str">
        <f t="shared" ca="1" si="74"/>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56</v>
      </c>
      <c r="AC964" s="273">
        <v>44</v>
      </c>
      <c r="AD964" s="273">
        <v>40</v>
      </c>
      <c r="AE964" s="249">
        <v>36</v>
      </c>
      <c r="AF964" s="249">
        <v>35</v>
      </c>
      <c r="AG964" s="249">
        <v>35</v>
      </c>
      <c r="AH964" s="249">
        <v>35</v>
      </c>
      <c r="AI964" s="249">
        <v>32</v>
      </c>
      <c r="AJ964" s="249">
        <v>35</v>
      </c>
      <c r="AK964" s="249">
        <v>36</v>
      </c>
      <c r="AL964" s="249">
        <v>30</v>
      </c>
      <c r="AM964" s="249">
        <v>28</v>
      </c>
      <c r="AN964" s="249">
        <v>29</v>
      </c>
      <c r="AO964" s="273">
        <v>31</v>
      </c>
      <c r="AP964" s="273">
        <v>22</v>
      </c>
      <c r="AQ964" s="273">
        <v>34</v>
      </c>
      <c r="AR964" s="273">
        <v>35</v>
      </c>
      <c r="AS964" s="273">
        <v>36</v>
      </c>
      <c r="AT964" s="273">
        <v>35</v>
      </c>
      <c r="AU964" s="273">
        <v>36</v>
      </c>
      <c r="AV964" s="273">
        <f t="shared" si="77"/>
        <v>36</v>
      </c>
      <c r="AX964" s="86" t="str">
        <f t="shared" ca="1" si="76"/>
        <v>MVESAP</v>
      </c>
    </row>
    <row r="965" spans="1:50" hidden="1">
      <c r="A965" s="86" t="str">
        <f t="shared" ca="1" si="74"/>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39</v>
      </c>
      <c r="AC965" s="273">
        <v>37</v>
      </c>
      <c r="AD965" s="273">
        <v>34</v>
      </c>
      <c r="AE965" s="249">
        <v>31</v>
      </c>
      <c r="AF965" s="249">
        <v>31</v>
      </c>
      <c r="AG965" s="249">
        <v>30</v>
      </c>
      <c r="AH965" s="249">
        <v>33</v>
      </c>
      <c r="AI965" s="249">
        <v>34</v>
      </c>
      <c r="AJ965" s="249">
        <v>40</v>
      </c>
      <c r="AK965" s="249">
        <v>45</v>
      </c>
      <c r="AL965" s="249">
        <v>39</v>
      </c>
      <c r="AM965" s="249">
        <v>44</v>
      </c>
      <c r="AN965" s="249">
        <v>40</v>
      </c>
      <c r="AO965" s="273">
        <v>40</v>
      </c>
      <c r="AP965" s="273">
        <v>45</v>
      </c>
      <c r="AQ965" s="273">
        <v>51</v>
      </c>
      <c r="AR965" s="273">
        <v>48</v>
      </c>
      <c r="AS965" s="273">
        <v>61</v>
      </c>
      <c r="AT965" s="273">
        <v>62</v>
      </c>
      <c r="AU965" s="273">
        <v>60</v>
      </c>
      <c r="AV965" s="273">
        <f t="shared" si="77"/>
        <v>60</v>
      </c>
      <c r="AX965" s="86" t="str">
        <f t="shared" ca="1" si="76"/>
        <v>MVEUN0</v>
      </c>
    </row>
    <row r="966" spans="1:50" hidden="1">
      <c r="A966" s="86" t="str">
        <f t="shared" ca="1" si="74"/>
        <v>SAFAAPL</v>
      </c>
      <c r="F966" s="249">
        <v>277.32</v>
      </c>
      <c r="G966" s="249">
        <v>277.32</v>
      </c>
      <c r="H966" s="249">
        <v>277.32</v>
      </c>
      <c r="I966" s="249">
        <v>277.32</v>
      </c>
      <c r="J966" s="249">
        <v>277.32</v>
      </c>
      <c r="K966" s="249">
        <v>277.32</v>
      </c>
      <c r="L966" s="249">
        <v>277.32</v>
      </c>
      <c r="M966" s="249">
        <v>277.32</v>
      </c>
      <c r="N966" s="249">
        <v>280.38</v>
      </c>
      <c r="O966" s="249">
        <v>280.38</v>
      </c>
      <c r="P966" s="249">
        <v>280.38</v>
      </c>
      <c r="Q966" s="249">
        <v>280.92</v>
      </c>
      <c r="R966" s="249">
        <v>287.39999999999998</v>
      </c>
      <c r="S966" s="249">
        <v>288.61</v>
      </c>
      <c r="T966" s="249">
        <v>288.62</v>
      </c>
      <c r="U966" s="249">
        <v>288.62</v>
      </c>
      <c r="V966" s="249">
        <v>288.62</v>
      </c>
      <c r="W966" s="249">
        <v>288.62</v>
      </c>
      <c r="X966" s="249">
        <v>288.62</v>
      </c>
      <c r="Y966" s="249">
        <v>288.62</v>
      </c>
      <c r="Z966" s="243">
        <f ca="1">[1]ExtEntry!$O66</f>
        <v>288.62</v>
      </c>
      <c r="AB966" s="273">
        <v>64</v>
      </c>
      <c r="AC966" s="273">
        <v>65</v>
      </c>
      <c r="AD966" s="273">
        <v>61</v>
      </c>
      <c r="AE966" s="249">
        <v>66</v>
      </c>
      <c r="AF966" s="249">
        <v>72</v>
      </c>
      <c r="AG966" s="249">
        <v>72</v>
      </c>
      <c r="AH966" s="249">
        <v>69</v>
      </c>
      <c r="AI966" s="249">
        <v>71</v>
      </c>
      <c r="AJ966" s="249">
        <v>75</v>
      </c>
      <c r="AK966" s="249">
        <v>73</v>
      </c>
      <c r="AL966" s="249">
        <v>66</v>
      </c>
      <c r="AM966" s="249">
        <v>68</v>
      </c>
      <c r="AN966" s="249">
        <v>78</v>
      </c>
      <c r="AO966" s="273">
        <v>88</v>
      </c>
      <c r="AP966" s="273">
        <v>83</v>
      </c>
      <c r="AQ966" s="273">
        <v>72</v>
      </c>
      <c r="AR966" s="273">
        <v>62</v>
      </c>
      <c r="AS966" s="273">
        <v>62</v>
      </c>
      <c r="AT966" s="273">
        <v>61</v>
      </c>
      <c r="AU966" s="273">
        <v>59</v>
      </c>
      <c r="AV966" s="273">
        <f t="shared" si="77"/>
        <v>59</v>
      </c>
      <c r="AX966" s="86" t="str">
        <f t="shared" ca="1" si="76"/>
        <v>SAFAAPL</v>
      </c>
    </row>
    <row r="967" spans="1:50" hidden="1">
      <c r="A967" s="86" t="str">
        <f t="shared" ca="1" si="74"/>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54</v>
      </c>
      <c r="AC967" s="273">
        <v>49</v>
      </c>
      <c r="AD967" s="273">
        <v>47</v>
      </c>
      <c r="AE967" s="249">
        <v>43</v>
      </c>
      <c r="AF967" s="249">
        <v>35</v>
      </c>
      <c r="AG967" s="249">
        <v>31</v>
      </c>
      <c r="AH967" s="249">
        <v>31</v>
      </c>
      <c r="AI967" s="249">
        <v>35</v>
      </c>
      <c r="AJ967" s="249">
        <v>36</v>
      </c>
      <c r="AK967" s="249">
        <v>36</v>
      </c>
      <c r="AL967" s="249">
        <v>37</v>
      </c>
      <c r="AM967" s="249">
        <v>33</v>
      </c>
      <c r="AN967" s="249">
        <v>36</v>
      </c>
      <c r="AO967" s="273">
        <v>37</v>
      </c>
      <c r="AP967" s="273">
        <v>32</v>
      </c>
      <c r="AQ967" s="273">
        <v>27</v>
      </c>
      <c r="AR967" s="273">
        <v>24</v>
      </c>
      <c r="AS967" s="273">
        <v>22</v>
      </c>
      <c r="AT967" s="273">
        <v>30</v>
      </c>
      <c r="AU967" s="273">
        <v>32</v>
      </c>
      <c r="AV967" s="273">
        <f t="shared" si="77"/>
        <v>32</v>
      </c>
      <c r="AX967" s="86" t="str">
        <f t="shared" ca="1" si="76"/>
        <v>SAFAMZN</v>
      </c>
    </row>
    <row r="968" spans="1:50" hidden="1">
      <c r="A968" s="86" t="str">
        <f t="shared" ref="A968:A995" ca="1" si="78">A70</f>
        <v>SAFASML</v>
      </c>
      <c r="F968" s="249">
        <v>913.3</v>
      </c>
      <c r="G968" s="249">
        <v>912.6</v>
      </c>
      <c r="H968" s="249">
        <v>938.6</v>
      </c>
      <c r="I968" s="249">
        <v>938.6</v>
      </c>
      <c r="J968" s="249">
        <v>938.6</v>
      </c>
      <c r="K968" s="249">
        <v>938.6</v>
      </c>
      <c r="L968" s="249">
        <v>938.6</v>
      </c>
      <c r="M968" s="249">
        <v>938.6</v>
      </c>
      <c r="N968" s="249">
        <v>938.6</v>
      </c>
      <c r="O968" s="249">
        <v>938.6</v>
      </c>
      <c r="P968" s="249">
        <v>938.6</v>
      </c>
      <c r="Q968" s="249">
        <v>938.6</v>
      </c>
      <c r="R968" s="249">
        <v>954.9</v>
      </c>
      <c r="S968" s="249">
        <v>968</v>
      </c>
      <c r="T968" s="249">
        <v>968</v>
      </c>
      <c r="U968" s="249">
        <v>977.1</v>
      </c>
      <c r="V968" s="249">
        <v>977.1</v>
      </c>
      <c r="W968" s="249">
        <v>977.1</v>
      </c>
      <c r="X968" s="249">
        <v>977.1</v>
      </c>
      <c r="Y968" s="249">
        <v>977.1</v>
      </c>
      <c r="Z968" s="243">
        <f ca="1">[1]ExtEntry!$O68</f>
        <v>977.1</v>
      </c>
      <c r="AB968" s="273">
        <v>53</v>
      </c>
      <c r="AC968" s="273">
        <v>55</v>
      </c>
      <c r="AD968" s="273">
        <v>55</v>
      </c>
      <c r="AE968" s="249">
        <v>54</v>
      </c>
      <c r="AF968" s="249">
        <v>54</v>
      </c>
      <c r="AG968" s="249">
        <v>52</v>
      </c>
      <c r="AH968" s="249">
        <v>53</v>
      </c>
      <c r="AI968" s="249">
        <v>38</v>
      </c>
      <c r="AJ968" s="249">
        <v>46</v>
      </c>
      <c r="AK968" s="249">
        <v>45</v>
      </c>
      <c r="AL968" s="249">
        <v>42</v>
      </c>
      <c r="AM968" s="249">
        <v>47</v>
      </c>
      <c r="AN968" s="249">
        <v>52</v>
      </c>
      <c r="AO968" s="273">
        <v>57</v>
      </c>
      <c r="AP968" s="273">
        <v>58</v>
      </c>
      <c r="AQ968" s="273">
        <v>56</v>
      </c>
      <c r="AR968" s="273">
        <v>54</v>
      </c>
      <c r="AS968" s="273">
        <v>52</v>
      </c>
      <c r="AT968" s="273">
        <v>48</v>
      </c>
      <c r="AU968" s="273">
        <v>49</v>
      </c>
      <c r="AV968" s="273">
        <f t="shared" si="77"/>
        <v>49</v>
      </c>
      <c r="AX968" s="86" t="str">
        <f t="shared" ca="1" si="76"/>
        <v>SAFASML</v>
      </c>
    </row>
    <row r="969" spans="1:50" hidden="1">
      <c r="A969" s="86" t="str">
        <f t="shared" ca="1" si="78"/>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42</v>
      </c>
      <c r="AC969" s="273">
        <v>38</v>
      </c>
      <c r="AD969" s="273">
        <v>36</v>
      </c>
      <c r="AE969" s="249">
        <v>37</v>
      </c>
      <c r="AF969" s="249">
        <v>37</v>
      </c>
      <c r="AG969" s="249">
        <v>32</v>
      </c>
      <c r="AH969" s="249">
        <v>32</v>
      </c>
      <c r="AI969" s="249">
        <v>30</v>
      </c>
      <c r="AJ969" s="249">
        <v>30</v>
      </c>
      <c r="AK969" s="249">
        <v>32</v>
      </c>
      <c r="AL969" s="249">
        <v>15</v>
      </c>
      <c r="AM969" s="249">
        <v>18</v>
      </c>
      <c r="AN969" s="249">
        <v>24</v>
      </c>
      <c r="AO969" s="273">
        <v>31</v>
      </c>
      <c r="AP969" s="273">
        <v>36</v>
      </c>
      <c r="AQ969" s="273">
        <v>34</v>
      </c>
      <c r="AR969" s="273">
        <v>34</v>
      </c>
      <c r="AS969" s="273">
        <v>22</v>
      </c>
      <c r="AT969" s="273">
        <v>25</v>
      </c>
      <c r="AU969" s="273">
        <v>37</v>
      </c>
      <c r="AV969" s="273">
        <f t="shared" si="77"/>
        <v>37</v>
      </c>
      <c r="AX969" s="86" t="str">
        <f t="shared" ca="1" si="76"/>
        <v>SAFDDD</v>
      </c>
    </row>
    <row r="970" spans="1:50" hidden="1">
      <c r="A970" s="86" t="str">
        <f t="shared" ca="1" si="78"/>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49</v>
      </c>
      <c r="AC970" s="273">
        <v>46</v>
      </c>
      <c r="AD970" s="273">
        <v>48</v>
      </c>
      <c r="AE970" s="249">
        <v>46</v>
      </c>
      <c r="AF970" s="249">
        <v>50</v>
      </c>
      <c r="AG970" s="249">
        <v>45</v>
      </c>
      <c r="AH970" s="249">
        <v>39</v>
      </c>
      <c r="AI970" s="249">
        <v>41</v>
      </c>
      <c r="AJ970" s="249">
        <v>46</v>
      </c>
      <c r="AK970" s="249">
        <v>44</v>
      </c>
      <c r="AL970" s="249">
        <v>44</v>
      </c>
      <c r="AM970" s="249">
        <v>43</v>
      </c>
      <c r="AN970" s="249">
        <v>41</v>
      </c>
      <c r="AO970" s="273">
        <v>44</v>
      </c>
      <c r="AP970" s="273">
        <v>46</v>
      </c>
      <c r="AQ970" s="273">
        <v>48</v>
      </c>
      <c r="AR970" s="273">
        <v>45</v>
      </c>
      <c r="AS970" s="273">
        <v>45</v>
      </c>
      <c r="AT970" s="273">
        <v>45</v>
      </c>
      <c r="AU970" s="273">
        <v>54</v>
      </c>
      <c r="AV970" s="273">
        <f t="shared" si="77"/>
        <v>54</v>
      </c>
      <c r="AX970" s="86" t="str">
        <f t="shared" ca="1" si="76"/>
        <v>SAFDIS</v>
      </c>
    </row>
    <row r="971" spans="1:50" hidden="1">
      <c r="A971" s="86" t="str">
        <f t="shared" ca="1" si="78"/>
        <v>SAFGM</v>
      </c>
      <c r="F971" s="249">
        <v>70.239999999999995</v>
      </c>
      <c r="G971" s="249">
        <v>70.239999999999995</v>
      </c>
      <c r="H971" s="249">
        <v>70.734999999999999</v>
      </c>
      <c r="I971" s="249">
        <v>72.87</v>
      </c>
      <c r="J971" s="249">
        <v>72.87</v>
      </c>
      <c r="K971" s="249">
        <v>72.87</v>
      </c>
      <c r="L971" s="249">
        <v>72.87</v>
      </c>
      <c r="M971" s="249">
        <v>72.87</v>
      </c>
      <c r="N971" s="249">
        <v>73.424999999999997</v>
      </c>
      <c r="O971" s="249">
        <v>73.444999999999993</v>
      </c>
      <c r="P971" s="249">
        <v>73.86</v>
      </c>
      <c r="Q971" s="249">
        <v>73.929599999999994</v>
      </c>
      <c r="R971" s="249">
        <v>73.929599999999994</v>
      </c>
      <c r="S971" s="249">
        <v>74.63</v>
      </c>
      <c r="T971" s="249">
        <v>74.915000000000006</v>
      </c>
      <c r="U971" s="249">
        <v>76.224999999999994</v>
      </c>
      <c r="V971" s="249">
        <v>77</v>
      </c>
      <c r="W971" s="249">
        <v>77.349999999999994</v>
      </c>
      <c r="X971" s="249">
        <v>80.95</v>
      </c>
      <c r="Y971" s="249">
        <v>81.22</v>
      </c>
      <c r="Z971" s="243">
        <f ca="1">[1]ExtEntry!$O71</f>
        <v>81.22</v>
      </c>
      <c r="AB971" s="273">
        <v>75</v>
      </c>
      <c r="AC971" s="273">
        <v>78</v>
      </c>
      <c r="AD971" s="273">
        <v>82</v>
      </c>
      <c r="AE971" s="249">
        <v>80</v>
      </c>
      <c r="AF971" s="249">
        <v>81</v>
      </c>
      <c r="AG971" s="249">
        <v>82</v>
      </c>
      <c r="AH971" s="249">
        <v>80</v>
      </c>
      <c r="AI971" s="249">
        <v>81</v>
      </c>
      <c r="AJ971" s="249">
        <v>83</v>
      </c>
      <c r="AK971" s="249">
        <v>82</v>
      </c>
      <c r="AL971" s="249">
        <v>84</v>
      </c>
      <c r="AM971" s="249">
        <v>76</v>
      </c>
      <c r="AN971" s="249">
        <v>76</v>
      </c>
      <c r="AO971" s="273">
        <v>76</v>
      </c>
      <c r="AP971" s="273">
        <v>79</v>
      </c>
      <c r="AQ971" s="273">
        <v>77</v>
      </c>
      <c r="AR971" s="273">
        <v>80</v>
      </c>
      <c r="AS971" s="273">
        <v>81</v>
      </c>
      <c r="AT971" s="273">
        <v>86</v>
      </c>
      <c r="AU971" s="273">
        <v>92</v>
      </c>
      <c r="AV971" s="273">
        <f t="shared" si="77"/>
        <v>92</v>
      </c>
      <c r="AX971" s="86" t="str">
        <f t="shared" ca="1" si="76"/>
        <v>SAFGM</v>
      </c>
    </row>
    <row r="972" spans="1:50" hidden="1">
      <c r="A972" s="86" t="str">
        <f t="shared" ca="1" si="78"/>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69</v>
      </c>
      <c r="AC972" s="273">
        <v>61</v>
      </c>
      <c r="AD972" s="273">
        <v>38</v>
      </c>
      <c r="AE972" s="249">
        <v>30</v>
      </c>
      <c r="AF972" s="249">
        <v>31</v>
      </c>
      <c r="AG972" s="249">
        <v>34</v>
      </c>
      <c r="AH972" s="249">
        <v>36</v>
      </c>
      <c r="AI972" s="249">
        <v>35</v>
      </c>
      <c r="AJ972" s="249">
        <v>39</v>
      </c>
      <c r="AK972" s="249">
        <v>42</v>
      </c>
      <c r="AL972" s="249">
        <v>40</v>
      </c>
      <c r="AM972" s="249">
        <v>40</v>
      </c>
      <c r="AN972" s="249">
        <v>35</v>
      </c>
      <c r="AO972" s="273">
        <v>32</v>
      </c>
      <c r="AP972" s="273">
        <v>32</v>
      </c>
      <c r="AQ972" s="273">
        <v>27</v>
      </c>
      <c r="AR972" s="273">
        <v>28</v>
      </c>
      <c r="AS972" s="273">
        <v>26</v>
      </c>
      <c r="AT972" s="273">
        <v>21</v>
      </c>
      <c r="AU972" s="273">
        <v>29</v>
      </c>
      <c r="AV972" s="273">
        <f t="shared" si="77"/>
        <v>29</v>
      </c>
      <c r="AX972" s="86" t="str">
        <f t="shared" ca="1" si="76"/>
        <v>SAFIAG</v>
      </c>
    </row>
    <row r="973" spans="1:50" hidden="1">
      <c r="A973" s="86" t="str">
        <f t="shared" ca="1" si="78"/>
        <v>SAFMRNA</v>
      </c>
      <c r="F973" s="249">
        <v>56.695</v>
      </c>
      <c r="G973" s="249">
        <v>56.695</v>
      </c>
      <c r="H973" s="249">
        <v>56.695</v>
      </c>
      <c r="I973" s="249">
        <v>48.92</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48</v>
      </c>
      <c r="AC973" s="273">
        <v>51</v>
      </c>
      <c r="AD973" s="273">
        <v>49</v>
      </c>
      <c r="AE973" s="249">
        <v>50</v>
      </c>
      <c r="AF973" s="249">
        <v>52</v>
      </c>
      <c r="AG973" s="249">
        <v>50</v>
      </c>
      <c r="AH973" s="249">
        <v>47</v>
      </c>
      <c r="AI973" s="249">
        <v>46</v>
      </c>
      <c r="AJ973" s="249">
        <v>48</v>
      </c>
      <c r="AK973" s="249">
        <v>53</v>
      </c>
      <c r="AL973" s="249">
        <v>52</v>
      </c>
      <c r="AM973" s="249">
        <v>46</v>
      </c>
      <c r="AN973" s="249">
        <v>48</v>
      </c>
      <c r="AO973" s="273">
        <v>52</v>
      </c>
      <c r="AP973" s="273">
        <v>57</v>
      </c>
      <c r="AQ973" s="273">
        <v>58</v>
      </c>
      <c r="AR973" s="273">
        <v>63</v>
      </c>
      <c r="AS973" s="273">
        <v>69</v>
      </c>
      <c r="AT973" s="273">
        <v>63</v>
      </c>
      <c r="AU973" s="273">
        <v>70</v>
      </c>
      <c r="AV973" s="273">
        <f t="shared" si="77"/>
        <v>70</v>
      </c>
      <c r="AX973" s="86" t="str">
        <f t="shared" ca="1" si="76"/>
        <v>SAFMRNA</v>
      </c>
    </row>
    <row r="974" spans="1:50" hidden="1">
      <c r="A974" s="86" t="str">
        <f t="shared" ca="1" si="78"/>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34</v>
      </c>
      <c r="AC974" s="273">
        <v>34</v>
      </c>
      <c r="AD974" s="273">
        <v>38</v>
      </c>
      <c r="AE974" s="249">
        <v>38</v>
      </c>
      <c r="AF974" s="249">
        <v>40</v>
      </c>
      <c r="AG974" s="249">
        <v>31</v>
      </c>
      <c r="AH974" s="249">
        <v>30</v>
      </c>
      <c r="AI974" s="249">
        <v>31</v>
      </c>
      <c r="AJ974" s="249">
        <v>37</v>
      </c>
      <c r="AK974" s="249">
        <v>41</v>
      </c>
      <c r="AL974" s="249">
        <v>39</v>
      </c>
      <c r="AM974" s="249">
        <v>42</v>
      </c>
      <c r="AN974" s="249">
        <v>41</v>
      </c>
      <c r="AO974" s="273">
        <v>40</v>
      </c>
      <c r="AP974" s="273">
        <v>44</v>
      </c>
      <c r="AQ974" s="273">
        <v>40</v>
      </c>
      <c r="AR974" s="273">
        <v>37</v>
      </c>
      <c r="AS974" s="273">
        <v>37</v>
      </c>
      <c r="AT974" s="273">
        <v>38</v>
      </c>
      <c r="AU974" s="273">
        <v>38</v>
      </c>
      <c r="AV974" s="273">
        <f t="shared" si="77"/>
        <v>38</v>
      </c>
      <c r="AX974" s="86" t="str">
        <f t="shared" ca="1" si="76"/>
        <v>BLNK</v>
      </c>
    </row>
    <row r="975" spans="1:50" hidden="1">
      <c r="A975" s="86" t="str">
        <f t="shared" ca="1" si="78"/>
        <v>ENI</v>
      </c>
      <c r="F975" s="249">
        <v>16.11</v>
      </c>
      <c r="G975" s="249">
        <v>16.11</v>
      </c>
      <c r="H975" s="249">
        <v>16.11</v>
      </c>
      <c r="I975" s="249">
        <v>16.55</v>
      </c>
      <c r="J975" s="249">
        <v>16.61</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75</v>
      </c>
      <c r="AC975" s="273">
        <v>74</v>
      </c>
      <c r="AD975" s="273">
        <v>72</v>
      </c>
      <c r="AE975" s="249">
        <v>71</v>
      </c>
      <c r="AF975" s="249">
        <v>78</v>
      </c>
      <c r="AG975" s="249">
        <v>73</v>
      </c>
      <c r="AH975" s="249">
        <v>85</v>
      </c>
      <c r="AI975" s="249">
        <v>76</v>
      </c>
      <c r="AJ975" s="249">
        <v>79</v>
      </c>
      <c r="AK975" s="249">
        <v>76</v>
      </c>
      <c r="AL975" s="249">
        <v>78</v>
      </c>
      <c r="AM975" s="249">
        <v>78</v>
      </c>
      <c r="AN975" s="249">
        <v>76</v>
      </c>
      <c r="AO975" s="273">
        <v>75</v>
      </c>
      <c r="AP975" s="273">
        <v>71</v>
      </c>
      <c r="AQ975" s="273">
        <v>67</v>
      </c>
      <c r="AR975" s="273">
        <v>56</v>
      </c>
      <c r="AS975" s="273">
        <v>59</v>
      </c>
      <c r="AT975" s="273">
        <v>57</v>
      </c>
      <c r="AU975" s="273">
        <v>55</v>
      </c>
      <c r="AV975" s="273">
        <f t="shared" si="77"/>
        <v>55</v>
      </c>
      <c r="AX975" s="86" t="str">
        <f t="shared" ca="1" si="76"/>
        <v>ENI</v>
      </c>
    </row>
    <row r="976" spans="1:50" hidden="1">
      <c r="A976" s="86" t="str">
        <f t="shared" ca="1" si="78"/>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60</v>
      </c>
      <c r="AC976" s="273">
        <v>59</v>
      </c>
      <c r="AD976" s="273">
        <v>54</v>
      </c>
      <c r="AE976" s="249">
        <v>52</v>
      </c>
      <c r="AF976" s="249">
        <v>51</v>
      </c>
      <c r="AG976" s="249">
        <v>53</v>
      </c>
      <c r="AH976" s="249">
        <v>39</v>
      </c>
      <c r="AI976" s="249">
        <v>48</v>
      </c>
      <c r="AJ976" s="249">
        <v>49</v>
      </c>
      <c r="AK976" s="249">
        <v>50</v>
      </c>
      <c r="AL976" s="249">
        <v>56</v>
      </c>
      <c r="AM976" s="249">
        <v>56</v>
      </c>
      <c r="AN976" s="249">
        <v>51</v>
      </c>
      <c r="AO976" s="273">
        <v>44</v>
      </c>
      <c r="AP976" s="273">
        <v>47</v>
      </c>
      <c r="AQ976" s="273">
        <v>45</v>
      </c>
      <c r="AR976" s="273">
        <v>46</v>
      </c>
      <c r="AS976" s="273">
        <v>45</v>
      </c>
      <c r="AT976" s="273">
        <v>42</v>
      </c>
      <c r="AU976" s="273">
        <v>51</v>
      </c>
      <c r="AV976" s="273">
        <f t="shared" si="77"/>
        <v>51</v>
      </c>
      <c r="AX976" s="86" t="str">
        <f t="shared" ca="1" si="76"/>
        <v>EZJ</v>
      </c>
    </row>
    <row r="977" spans="1:70" hidden="1">
      <c r="A977" s="86" t="str">
        <f t="shared" ca="1" si="78"/>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51</v>
      </c>
      <c r="AC977" s="273">
        <v>59</v>
      </c>
      <c r="AD977" s="273">
        <v>63</v>
      </c>
      <c r="AE977" s="249">
        <v>65</v>
      </c>
      <c r="AF977" s="249">
        <v>69</v>
      </c>
      <c r="AG977" s="249">
        <v>68</v>
      </c>
      <c r="AH977" s="249">
        <v>62</v>
      </c>
      <c r="AI977" s="249">
        <v>64</v>
      </c>
      <c r="AJ977" s="249">
        <v>65</v>
      </c>
      <c r="AK977" s="249">
        <v>64</v>
      </c>
      <c r="AL977" s="249">
        <v>64</v>
      </c>
      <c r="AM977" s="249">
        <v>59</v>
      </c>
      <c r="AN977" s="249">
        <v>58</v>
      </c>
      <c r="AO977" s="273">
        <v>59</v>
      </c>
      <c r="AP977" s="273">
        <v>62</v>
      </c>
      <c r="AQ977" s="273">
        <v>45</v>
      </c>
      <c r="AR977" s="273">
        <v>53</v>
      </c>
      <c r="AS977" s="273">
        <v>56</v>
      </c>
      <c r="AT977" s="273">
        <v>64</v>
      </c>
      <c r="AU977" s="273">
        <v>71</v>
      </c>
      <c r="AV977" s="273">
        <f t="shared" si="77"/>
        <v>71</v>
      </c>
      <c r="AX977" s="86" t="str">
        <f t="shared" ca="1" si="76"/>
        <v>F</v>
      </c>
    </row>
    <row r="978" spans="1:70" hidden="1">
      <c r="A978" s="86" t="str">
        <f t="shared" ca="1" si="78"/>
        <v>GLE</v>
      </c>
      <c r="F978" s="249">
        <v>59.42</v>
      </c>
      <c r="G978" s="249">
        <v>59.42</v>
      </c>
      <c r="H978" s="249">
        <v>59.42</v>
      </c>
      <c r="I978" s="249">
        <v>59.9</v>
      </c>
      <c r="J978" s="249">
        <v>59.9</v>
      </c>
      <c r="K978" s="249">
        <v>59.9</v>
      </c>
      <c r="L978" s="249">
        <v>59.9</v>
      </c>
      <c r="M978" s="249">
        <v>59.9</v>
      </c>
      <c r="N978" s="249">
        <v>59.9</v>
      </c>
      <c r="O978" s="249">
        <v>60.08</v>
      </c>
      <c r="P978" s="249">
        <v>60.2</v>
      </c>
      <c r="Q978" s="249">
        <v>60.36</v>
      </c>
      <c r="R978" s="249">
        <v>61.1</v>
      </c>
      <c r="S978" s="249">
        <v>61.26</v>
      </c>
      <c r="T978" s="249">
        <v>61.26</v>
      </c>
      <c r="U978" s="249">
        <v>62.5</v>
      </c>
      <c r="V978" s="249">
        <v>63.26</v>
      </c>
      <c r="W978" s="249">
        <v>63.34</v>
      </c>
      <c r="X978" s="249">
        <v>63.68</v>
      </c>
      <c r="Y978" s="249">
        <v>64.459999999999994</v>
      </c>
      <c r="Z978" s="243">
        <f ca="1">[1]ExtEntry!$O78</f>
        <v>64.459999999999994</v>
      </c>
      <c r="AB978" s="273">
        <v>44</v>
      </c>
      <c r="AC978" s="273">
        <v>50</v>
      </c>
      <c r="AD978" s="273">
        <v>42</v>
      </c>
      <c r="AE978" s="249">
        <v>38</v>
      </c>
      <c r="AF978" s="249">
        <v>38</v>
      </c>
      <c r="AG978" s="249">
        <v>40</v>
      </c>
      <c r="AH978" s="249">
        <v>37</v>
      </c>
      <c r="AI978" s="249">
        <v>32</v>
      </c>
      <c r="AJ978" s="249">
        <v>33</v>
      </c>
      <c r="AK978" s="249">
        <v>43</v>
      </c>
      <c r="AL978" s="249">
        <v>46</v>
      </c>
      <c r="AM978" s="249">
        <v>44</v>
      </c>
      <c r="AN978" s="249">
        <v>51</v>
      </c>
      <c r="AO978" s="273">
        <v>50</v>
      </c>
      <c r="AP978" s="273">
        <v>46</v>
      </c>
      <c r="AQ978" s="273">
        <v>52</v>
      </c>
      <c r="AR978" s="273">
        <v>49</v>
      </c>
      <c r="AS978" s="273">
        <v>48</v>
      </c>
      <c r="AT978" s="273">
        <v>57</v>
      </c>
      <c r="AU978" s="273">
        <v>61</v>
      </c>
      <c r="AV978" s="273">
        <f t="shared" si="77"/>
        <v>61</v>
      </c>
      <c r="AX978" s="86" t="str">
        <f t="shared" ca="1" si="76"/>
        <v>GLE</v>
      </c>
    </row>
    <row r="979" spans="1:70" hidden="1">
      <c r="A979" s="86" t="str">
        <f t="shared" ca="1" si="78"/>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50</v>
      </c>
      <c r="AC979" s="273">
        <v>46</v>
      </c>
      <c r="AD979" s="273">
        <v>44</v>
      </c>
      <c r="AE979" s="249">
        <v>42</v>
      </c>
      <c r="AF979" s="249">
        <v>43</v>
      </c>
      <c r="AG979" s="249">
        <v>43</v>
      </c>
      <c r="AH979" s="249">
        <v>35</v>
      </c>
      <c r="AI979" s="249">
        <v>33</v>
      </c>
      <c r="AJ979" s="249">
        <v>34</v>
      </c>
      <c r="AK979" s="249">
        <v>35</v>
      </c>
      <c r="AL979" s="249">
        <v>33</v>
      </c>
      <c r="AM979" s="249">
        <v>34</v>
      </c>
      <c r="AN979" s="249">
        <v>43</v>
      </c>
      <c r="AO979" s="273">
        <v>50</v>
      </c>
      <c r="AP979" s="273">
        <v>49</v>
      </c>
      <c r="AQ979" s="273">
        <v>50</v>
      </c>
      <c r="AR979" s="273">
        <v>51</v>
      </c>
      <c r="AS979" s="273">
        <v>50</v>
      </c>
      <c r="AT979" s="273">
        <v>65</v>
      </c>
      <c r="AU979" s="273">
        <v>72</v>
      </c>
      <c r="AV979" s="273">
        <f t="shared" si="77"/>
        <v>72</v>
      </c>
      <c r="AX979" s="86" t="str">
        <f t="shared" ref="AX979:AX996" ca="1" si="79">A979</f>
        <v>GNRC</v>
      </c>
    </row>
    <row r="980" spans="1:70" hidden="1">
      <c r="A980" s="86" t="str">
        <f t="shared" ca="1" si="78"/>
        <v>GS</v>
      </c>
      <c r="F980" s="249">
        <v>825.25</v>
      </c>
      <c r="G980" s="249">
        <v>825.25</v>
      </c>
      <c r="H980" s="249">
        <v>825.25</v>
      </c>
      <c r="I980" s="249">
        <v>841.28</v>
      </c>
      <c r="J980" s="249">
        <v>841.28</v>
      </c>
      <c r="K980" s="249">
        <v>841.28</v>
      </c>
      <c r="L980" s="249">
        <v>841.28</v>
      </c>
      <c r="M980" s="249">
        <v>841.28</v>
      </c>
      <c r="N980" s="249">
        <v>841.28</v>
      </c>
      <c r="O980" s="249">
        <v>841.28</v>
      </c>
      <c r="P980" s="249">
        <v>841.28</v>
      </c>
      <c r="Q980" s="249">
        <v>841.28</v>
      </c>
      <c r="R980" s="249">
        <v>841.28</v>
      </c>
      <c r="S980" s="249">
        <v>841.28</v>
      </c>
      <c r="T980" s="249">
        <v>841.28</v>
      </c>
      <c r="U980" s="249">
        <v>843.99</v>
      </c>
      <c r="V980" s="249">
        <v>856.2</v>
      </c>
      <c r="W980" s="249">
        <v>883.721</v>
      </c>
      <c r="X980" s="249">
        <v>897.19590000000005</v>
      </c>
      <c r="Y980" s="249">
        <v>919.09799999999996</v>
      </c>
      <c r="Z980" s="243">
        <f ca="1">[1]ExtEntry!$O80</f>
        <v>919.09799999999996</v>
      </c>
      <c r="AB980" s="273">
        <v>53</v>
      </c>
      <c r="AC980" s="273">
        <v>53</v>
      </c>
      <c r="AD980" s="273">
        <v>56</v>
      </c>
      <c r="AE980" s="249">
        <v>51</v>
      </c>
      <c r="AF980" s="249">
        <v>51</v>
      </c>
      <c r="AG980" s="249">
        <v>46</v>
      </c>
      <c r="AH980" s="249">
        <v>48</v>
      </c>
      <c r="AI980" s="249">
        <v>51</v>
      </c>
      <c r="AJ980" s="249">
        <v>58</v>
      </c>
      <c r="AK980" s="249">
        <v>63</v>
      </c>
      <c r="AL980" s="249">
        <v>63</v>
      </c>
      <c r="AM980" s="249">
        <v>60</v>
      </c>
      <c r="AN980" s="249">
        <v>66</v>
      </c>
      <c r="AO980" s="273">
        <v>74</v>
      </c>
      <c r="AP980" s="273">
        <v>76</v>
      </c>
      <c r="AQ980" s="273">
        <v>71</v>
      </c>
      <c r="AR980" s="273">
        <v>73</v>
      </c>
      <c r="AS980" s="273">
        <v>74</v>
      </c>
      <c r="AT980" s="273">
        <v>75</v>
      </c>
      <c r="AU980" s="273">
        <v>77</v>
      </c>
      <c r="AV980" s="273">
        <f t="shared" si="77"/>
        <v>77</v>
      </c>
      <c r="AX980" s="86" t="str">
        <f t="shared" ca="1" si="79"/>
        <v>GS</v>
      </c>
    </row>
    <row r="981" spans="1:70" hidden="1">
      <c r="A981" s="86" t="str">
        <f t="shared" ca="1" si="78"/>
        <v>LAZR</v>
      </c>
      <c r="F981" s="249">
        <v>18.600000000000001</v>
      </c>
      <c r="G981" s="249">
        <v>18.600000000000001</v>
      </c>
      <c r="H981" s="249">
        <v>18.600000000000001</v>
      </c>
      <c r="I981" s="249">
        <v>16.649999999999999</v>
      </c>
      <c r="J981" s="249">
        <v>12.826499999999999</v>
      </c>
      <c r="K981" s="249">
        <v>12.826499999999999</v>
      </c>
      <c r="L981" s="249">
        <v>12.022500000000001</v>
      </c>
      <c r="M981" s="249">
        <v>11.27</v>
      </c>
      <c r="N981" s="249">
        <v>10.4</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43</v>
      </c>
      <c r="AC981" s="273">
        <v>46</v>
      </c>
      <c r="AD981" s="273">
        <v>44</v>
      </c>
      <c r="AE981" s="249">
        <v>45</v>
      </c>
      <c r="AF981" s="249">
        <v>47</v>
      </c>
      <c r="AG981" s="249">
        <v>43</v>
      </c>
      <c r="AH981" s="249">
        <v>44</v>
      </c>
      <c r="AI981" s="249">
        <v>45</v>
      </c>
      <c r="AJ981" s="249">
        <v>49</v>
      </c>
      <c r="AK981" s="249">
        <v>49</v>
      </c>
      <c r="AL981" s="249">
        <v>49</v>
      </c>
      <c r="AM981" s="249">
        <v>54</v>
      </c>
      <c r="AN981" s="249">
        <v>56</v>
      </c>
      <c r="AO981" s="273">
        <v>59</v>
      </c>
      <c r="AP981" s="273">
        <v>62</v>
      </c>
      <c r="AQ981" s="273">
        <v>53</v>
      </c>
      <c r="AR981" s="273">
        <v>45</v>
      </c>
      <c r="AS981" s="273">
        <v>57</v>
      </c>
      <c r="AT981" s="273">
        <v>56</v>
      </c>
      <c r="AU981" s="273">
        <v>60</v>
      </c>
      <c r="AV981" s="273">
        <f t="shared" si="77"/>
        <v>60</v>
      </c>
      <c r="AX981" s="86" t="str">
        <f t="shared" ca="1" si="79"/>
        <v>LAZR</v>
      </c>
    </row>
    <row r="982" spans="1:70" hidden="1">
      <c r="A982" s="86" t="str">
        <f t="shared" ca="1" si="78"/>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38.164999999999999</v>
      </c>
      <c r="W982" s="249">
        <v>38.46</v>
      </c>
      <c r="X982" s="249">
        <v>39.85</v>
      </c>
      <c r="Y982" s="249">
        <v>41.134999999999998</v>
      </c>
      <c r="Z982" s="243">
        <f ca="1">[1]ExtEntry!$O82</f>
        <v>41.134999999999998</v>
      </c>
      <c r="AB982" s="273">
        <v>42</v>
      </c>
      <c r="AC982" s="273">
        <v>43</v>
      </c>
      <c r="AD982" s="273">
        <v>45</v>
      </c>
      <c r="AE982" s="249">
        <v>47</v>
      </c>
      <c r="AF982" s="249">
        <v>50</v>
      </c>
      <c r="AG982" s="249">
        <v>47</v>
      </c>
      <c r="AH982" s="249">
        <v>39</v>
      </c>
      <c r="AI982" s="249">
        <v>45</v>
      </c>
      <c r="AJ982" s="249">
        <v>49</v>
      </c>
      <c r="AK982" s="249">
        <v>50</v>
      </c>
      <c r="AL982" s="249">
        <v>46</v>
      </c>
      <c r="AM982" s="249">
        <v>46</v>
      </c>
      <c r="AN982" s="249">
        <v>51</v>
      </c>
      <c r="AO982" s="273">
        <v>55</v>
      </c>
      <c r="AP982" s="273">
        <v>67</v>
      </c>
      <c r="AQ982" s="273">
        <v>66</v>
      </c>
      <c r="AR982" s="273">
        <v>71</v>
      </c>
      <c r="AS982" s="273">
        <v>78</v>
      </c>
      <c r="AT982" s="273">
        <v>84</v>
      </c>
      <c r="AU982" s="273">
        <v>90</v>
      </c>
      <c r="AV982" s="273">
        <f t="shared" si="77"/>
        <v>90</v>
      </c>
      <c r="AX982" s="86" t="str">
        <f t="shared" ca="1" si="79"/>
        <v>LUV</v>
      </c>
    </row>
    <row r="983" spans="1:70" hidden="1">
      <c r="A983" s="86" t="str">
        <f t="shared" ca="1" si="78"/>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46</v>
      </c>
      <c r="AC983" s="273">
        <v>45</v>
      </c>
      <c r="AD983" s="273">
        <v>46</v>
      </c>
      <c r="AE983" s="249">
        <v>47</v>
      </c>
      <c r="AF983" s="249">
        <v>47</v>
      </c>
      <c r="AG983" s="249">
        <v>46</v>
      </c>
      <c r="AH983" s="249">
        <v>44</v>
      </c>
      <c r="AI983" s="249">
        <v>53</v>
      </c>
      <c r="AJ983" s="249">
        <v>61</v>
      </c>
      <c r="AK983" s="249">
        <v>54</v>
      </c>
      <c r="AL983" s="249">
        <v>54</v>
      </c>
      <c r="AM983" s="249">
        <v>49</v>
      </c>
      <c r="AN983" s="249">
        <v>51</v>
      </c>
      <c r="AO983" s="273">
        <v>54</v>
      </c>
      <c r="AP983" s="273">
        <v>57</v>
      </c>
      <c r="AQ983" s="273">
        <v>50</v>
      </c>
      <c r="AR983" s="273">
        <v>53</v>
      </c>
      <c r="AS983" s="273">
        <v>55</v>
      </c>
      <c r="AT983" s="273">
        <v>57</v>
      </c>
      <c r="AU983" s="273">
        <v>63</v>
      </c>
      <c r="AV983" s="273">
        <f t="shared" si="77"/>
        <v>63</v>
      </c>
      <c r="AX983" s="86" t="str">
        <f t="shared" ca="1" si="79"/>
        <v>MA</v>
      </c>
      <c r="BQ983" t="s">
        <v>189</v>
      </c>
      <c r="BR983" t="s">
        <v>178</v>
      </c>
    </row>
    <row r="984" spans="1:70" hidden="1">
      <c r="A984" s="86" t="str">
        <f t="shared" ca="1" si="78"/>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42</v>
      </c>
      <c r="AC984" s="273">
        <v>40</v>
      </c>
      <c r="AD984" s="273">
        <v>41</v>
      </c>
      <c r="AE984" s="249">
        <v>43</v>
      </c>
      <c r="AF984" s="249">
        <v>44</v>
      </c>
      <c r="AG984" s="249">
        <v>39</v>
      </c>
      <c r="AH984" s="249">
        <v>34</v>
      </c>
      <c r="AI984" s="249">
        <v>36</v>
      </c>
      <c r="AJ984" s="249">
        <v>42</v>
      </c>
      <c r="AK984" s="249">
        <v>50</v>
      </c>
      <c r="AL984" s="249">
        <v>42</v>
      </c>
      <c r="AM984" s="249">
        <v>41</v>
      </c>
      <c r="AN984" s="249">
        <v>41</v>
      </c>
      <c r="AO984" s="273">
        <v>46</v>
      </c>
      <c r="AP984" s="273">
        <v>51</v>
      </c>
      <c r="AQ984" s="273">
        <v>48</v>
      </c>
      <c r="AR984" s="273">
        <v>46</v>
      </c>
      <c r="AS984" s="273">
        <v>49</v>
      </c>
      <c r="AT984" s="273">
        <v>50</v>
      </c>
      <c r="AU984" s="273">
        <v>56</v>
      </c>
      <c r="AV984" s="273">
        <f t="shared" si="77"/>
        <v>56</v>
      </c>
      <c r="AX984" s="86" t="str">
        <f t="shared" ca="1" si="79"/>
        <v>NVAX</v>
      </c>
      <c r="BQ984" t="s">
        <v>190</v>
      </c>
      <c r="BR984" t="s">
        <v>2186</v>
      </c>
    </row>
    <row r="985" spans="1:70" hidden="1">
      <c r="A985" s="86" t="str">
        <f t="shared" ca="1" si="78"/>
        <v>NVS</v>
      </c>
      <c r="F985" s="249">
        <v>133.55000000000001</v>
      </c>
      <c r="G985" s="249">
        <v>133.55000000000001</v>
      </c>
      <c r="H985" s="249">
        <v>133.55000000000001</v>
      </c>
      <c r="I985" s="249">
        <v>134</v>
      </c>
      <c r="J985" s="249">
        <v>134</v>
      </c>
      <c r="K985" s="249">
        <v>134</v>
      </c>
      <c r="L985" s="249">
        <v>134</v>
      </c>
      <c r="M985" s="249">
        <v>134</v>
      </c>
      <c r="N985" s="249">
        <v>134</v>
      </c>
      <c r="O985" s="249">
        <v>134</v>
      </c>
      <c r="P985" s="249">
        <v>134</v>
      </c>
      <c r="Q985" s="249">
        <v>134</v>
      </c>
      <c r="R985" s="249">
        <v>134</v>
      </c>
      <c r="S985" s="249">
        <v>134.24</v>
      </c>
      <c r="T985" s="249">
        <v>134.24</v>
      </c>
      <c r="U985" s="249">
        <v>134.24</v>
      </c>
      <c r="V985" s="249">
        <v>134.24</v>
      </c>
      <c r="W985" s="249">
        <v>134.24</v>
      </c>
      <c r="X985" s="249">
        <v>134.24</v>
      </c>
      <c r="Y985" s="249">
        <v>134.24</v>
      </c>
      <c r="Z985" s="243">
        <f ca="1">[1]ExtEntry!$O85</f>
        <v>134.24</v>
      </c>
      <c r="AB985" s="273">
        <v>32</v>
      </c>
      <c r="AC985" s="273">
        <v>37</v>
      </c>
      <c r="AD985" s="273">
        <v>35</v>
      </c>
      <c r="AE985" s="249">
        <v>36</v>
      </c>
      <c r="AF985" s="249">
        <v>32</v>
      </c>
      <c r="AG985" s="249">
        <v>31</v>
      </c>
      <c r="AH985" s="249">
        <v>24</v>
      </c>
      <c r="AI985" s="249">
        <v>34</v>
      </c>
      <c r="AJ985" s="249">
        <v>33</v>
      </c>
      <c r="AK985" s="249">
        <v>31</v>
      </c>
      <c r="AL985" s="249">
        <v>30</v>
      </c>
      <c r="AM985" s="249">
        <v>30</v>
      </c>
      <c r="AN985" s="249">
        <v>38</v>
      </c>
      <c r="AO985" s="273">
        <v>41</v>
      </c>
      <c r="AP985" s="273">
        <v>43</v>
      </c>
      <c r="AQ985" s="273">
        <v>44</v>
      </c>
      <c r="AR985" s="273">
        <v>46</v>
      </c>
      <c r="AS985" s="273">
        <v>60</v>
      </c>
      <c r="AT985" s="273">
        <v>59</v>
      </c>
      <c r="AU985" s="273">
        <v>59</v>
      </c>
      <c r="AV985" s="273">
        <f t="shared" si="77"/>
        <v>59</v>
      </c>
      <c r="AX985" s="86" t="str">
        <f t="shared" ca="1" si="79"/>
        <v>NVS</v>
      </c>
      <c r="BQ985" t="s">
        <v>139</v>
      </c>
      <c r="BR985" t="s">
        <v>2187</v>
      </c>
    </row>
    <row r="986" spans="1:70" hidden="1">
      <c r="A986" s="86" t="str">
        <f t="shared" ca="1" si="78"/>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62</v>
      </c>
      <c r="AC986" s="273">
        <v>65</v>
      </c>
      <c r="AD986" s="273">
        <v>66</v>
      </c>
      <c r="AE986" s="249">
        <v>57</v>
      </c>
      <c r="AF986" s="249">
        <v>51</v>
      </c>
      <c r="AG986" s="249">
        <v>51</v>
      </c>
      <c r="AH986" s="249">
        <v>47</v>
      </c>
      <c r="AI986" s="249">
        <v>44</v>
      </c>
      <c r="AJ986" s="249">
        <v>45</v>
      </c>
      <c r="AK986" s="249">
        <v>40</v>
      </c>
      <c r="AL986" s="249">
        <v>45</v>
      </c>
      <c r="AM986" s="249">
        <v>44</v>
      </c>
      <c r="AN986" s="249">
        <v>50</v>
      </c>
      <c r="AO986" s="273">
        <v>51</v>
      </c>
      <c r="AP986" s="273">
        <v>49</v>
      </c>
      <c r="AQ986" s="273">
        <v>53</v>
      </c>
      <c r="AR986" s="273">
        <v>49</v>
      </c>
      <c r="AS986" s="273">
        <v>48</v>
      </c>
      <c r="AT986" s="273">
        <v>44</v>
      </c>
      <c r="AU986" s="273">
        <v>48</v>
      </c>
      <c r="AV986" s="273">
        <f t="shared" si="77"/>
        <v>48</v>
      </c>
      <c r="AX986" s="86" t="str">
        <f t="shared" ca="1" si="79"/>
        <v>ORA</v>
      </c>
      <c r="BQ986" t="s">
        <v>191</v>
      </c>
      <c r="BR986" t="s">
        <v>1878</v>
      </c>
    </row>
    <row r="987" spans="1:70" hidden="1">
      <c r="A987" s="86" t="str">
        <f t="shared" ca="1" si="78"/>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34</v>
      </c>
      <c r="AC987" s="273">
        <v>38</v>
      </c>
      <c r="AD987" s="273">
        <v>44</v>
      </c>
      <c r="AE987" s="249">
        <v>50</v>
      </c>
      <c r="AF987" s="249">
        <v>56</v>
      </c>
      <c r="AG987" s="249">
        <v>50</v>
      </c>
      <c r="AH987" s="249">
        <v>50</v>
      </c>
      <c r="AI987" s="249">
        <v>53</v>
      </c>
      <c r="AJ987" s="249">
        <v>58</v>
      </c>
      <c r="AK987" s="249">
        <v>59</v>
      </c>
      <c r="AL987" s="249">
        <v>60</v>
      </c>
      <c r="AM987" s="249">
        <v>63</v>
      </c>
      <c r="AN987" s="249">
        <v>58</v>
      </c>
      <c r="AO987" s="273">
        <v>57</v>
      </c>
      <c r="AP987" s="273">
        <v>54</v>
      </c>
      <c r="AQ987" s="273">
        <v>57</v>
      </c>
      <c r="AR987" s="273">
        <v>57</v>
      </c>
      <c r="AS987" s="273">
        <v>68</v>
      </c>
      <c r="AT987" s="273">
        <v>69</v>
      </c>
      <c r="AU987" s="273">
        <v>71</v>
      </c>
      <c r="AV987" s="273">
        <f t="shared" si="77"/>
        <v>71</v>
      </c>
      <c r="AX987" s="86" t="str">
        <f t="shared" ca="1" si="79"/>
        <v>OXY</v>
      </c>
      <c r="BQ987" t="s">
        <v>192</v>
      </c>
      <c r="BR987" t="s">
        <v>2188</v>
      </c>
    </row>
    <row r="988" spans="1:70" hidden="1">
      <c r="A988" s="86" t="str">
        <f t="shared" ca="1" si="78"/>
        <v>PFE</v>
      </c>
      <c r="F988" s="249">
        <v>28</v>
      </c>
      <c r="G988" s="249">
        <v>27.99</v>
      </c>
      <c r="H988" s="249">
        <v>27.69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25</v>
      </c>
      <c r="AC988" s="273">
        <v>30</v>
      </c>
      <c r="AD988" s="273">
        <v>35</v>
      </c>
      <c r="AE988" s="249">
        <v>33</v>
      </c>
      <c r="AF988" s="249">
        <v>43</v>
      </c>
      <c r="AG988" s="249">
        <v>39</v>
      </c>
      <c r="AH988" s="249">
        <v>37</v>
      </c>
      <c r="AI988" s="249">
        <v>46</v>
      </c>
      <c r="AJ988" s="249">
        <v>48</v>
      </c>
      <c r="AK988" s="249">
        <v>44</v>
      </c>
      <c r="AL988" s="249">
        <v>42</v>
      </c>
      <c r="AM988" s="249">
        <v>37</v>
      </c>
      <c r="AN988" s="249">
        <v>37</v>
      </c>
      <c r="AO988" s="273">
        <v>45</v>
      </c>
      <c r="AP988" s="273">
        <v>49</v>
      </c>
      <c r="AQ988" s="273">
        <v>49</v>
      </c>
      <c r="AR988" s="273">
        <v>52</v>
      </c>
      <c r="AS988" s="273">
        <v>52</v>
      </c>
      <c r="AT988" s="273">
        <v>55</v>
      </c>
      <c r="AU988" s="273">
        <v>59</v>
      </c>
      <c r="AV988" s="273">
        <f t="shared" si="77"/>
        <v>59</v>
      </c>
      <c r="AX988" s="86" t="str">
        <f t="shared" ca="1" si="79"/>
        <v>PFE</v>
      </c>
      <c r="BQ988" t="s">
        <v>2189</v>
      </c>
      <c r="BR988" t="s">
        <v>1821</v>
      </c>
    </row>
    <row r="989" spans="1:70" hidden="1">
      <c r="A989" s="86" t="str">
        <f t="shared" ca="1" si="78"/>
        <v>RIG</v>
      </c>
      <c r="F989" s="249">
        <v>4.74</v>
      </c>
      <c r="G989" s="249">
        <v>4.74</v>
      </c>
      <c r="H989" s="249">
        <v>4.68</v>
      </c>
      <c r="I989" s="249">
        <v>4.5199999999999996</v>
      </c>
      <c r="J989" s="249">
        <v>4.5149999999999997</v>
      </c>
      <c r="K989" s="249">
        <v>4.5149999999999997</v>
      </c>
      <c r="L989" s="249">
        <v>4.5149999999999997</v>
      </c>
      <c r="M989" s="249">
        <v>4.5149999999999997</v>
      </c>
      <c r="N989" s="249">
        <v>4.45</v>
      </c>
      <c r="O989" s="249">
        <v>4.45</v>
      </c>
      <c r="P989" s="249">
        <v>4.45</v>
      </c>
      <c r="Q989" s="249">
        <v>4.49</v>
      </c>
      <c r="R989" s="249">
        <v>4.49</v>
      </c>
      <c r="S989" s="249">
        <v>4.49</v>
      </c>
      <c r="T989" s="249">
        <v>4.5</v>
      </c>
      <c r="U989" s="249">
        <v>4.5</v>
      </c>
      <c r="V989" s="249">
        <v>4.55</v>
      </c>
      <c r="W989" s="249">
        <v>4.55</v>
      </c>
      <c r="X989" s="249">
        <v>4.5599999999999996</v>
      </c>
      <c r="Y989" s="249">
        <v>4.5599999999999996</v>
      </c>
      <c r="Z989" s="243">
        <f ca="1">[1]ExtEntry!$O89</f>
        <v>4.5599999999999996</v>
      </c>
      <c r="AB989" s="273">
        <v>66</v>
      </c>
      <c r="AC989" s="273">
        <v>66</v>
      </c>
      <c r="AD989" s="273">
        <v>70</v>
      </c>
      <c r="AE989" s="249">
        <v>73</v>
      </c>
      <c r="AF989" s="249">
        <v>77</v>
      </c>
      <c r="AG989" s="249">
        <v>73</v>
      </c>
      <c r="AH989" s="249">
        <v>68</v>
      </c>
      <c r="AI989" s="249">
        <v>65</v>
      </c>
      <c r="AJ989" s="249">
        <v>73</v>
      </c>
      <c r="AK989" s="249">
        <v>76</v>
      </c>
      <c r="AL989" s="249">
        <v>77</v>
      </c>
      <c r="AM989" s="249">
        <v>77</v>
      </c>
      <c r="AN989" s="249">
        <v>74</v>
      </c>
      <c r="AO989" s="273">
        <v>74</v>
      </c>
      <c r="AP989" s="273">
        <v>69</v>
      </c>
      <c r="AQ989" s="273">
        <v>70</v>
      </c>
      <c r="AR989" s="273">
        <v>72</v>
      </c>
      <c r="AS989" s="273">
        <v>78</v>
      </c>
      <c r="AT989" s="273">
        <v>70</v>
      </c>
      <c r="AU989" s="273">
        <v>71</v>
      </c>
      <c r="AV989" s="273">
        <f t="shared" si="77"/>
        <v>71</v>
      </c>
      <c r="AX989" s="86" t="str">
        <f t="shared" ca="1" si="79"/>
        <v>RIG</v>
      </c>
      <c r="BQ989" t="s">
        <v>194</v>
      </c>
      <c r="BR989" t="s">
        <v>701</v>
      </c>
    </row>
    <row r="990" spans="1:70">
      <c r="A990" s="86" t="str">
        <f t="shared" ca="1" si="78"/>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44</v>
      </c>
      <c r="AC990" s="273">
        <v>41</v>
      </c>
      <c r="AD990" s="273">
        <v>43</v>
      </c>
      <c r="AE990" s="249">
        <v>48</v>
      </c>
      <c r="AF990" s="249">
        <v>56</v>
      </c>
      <c r="AG990" s="249">
        <v>53</v>
      </c>
      <c r="AH990" s="249">
        <v>55</v>
      </c>
      <c r="AI990" s="249">
        <v>50</v>
      </c>
      <c r="AJ990" s="249">
        <v>63</v>
      </c>
      <c r="AK990" s="249">
        <v>65</v>
      </c>
      <c r="AL990" s="249">
        <v>64</v>
      </c>
      <c r="AM990" s="249">
        <v>65</v>
      </c>
      <c r="AN990" s="249">
        <v>61</v>
      </c>
      <c r="AO990" s="273">
        <v>68</v>
      </c>
      <c r="AP990" s="273">
        <v>69</v>
      </c>
      <c r="AQ990" s="273">
        <v>70</v>
      </c>
      <c r="AR990" s="273">
        <v>71</v>
      </c>
      <c r="AS990" s="273">
        <v>75</v>
      </c>
      <c r="AT990" s="273">
        <v>76</v>
      </c>
      <c r="AU990" s="273">
        <v>69</v>
      </c>
      <c r="AV990" s="273">
        <f t="shared" si="77"/>
        <v>69</v>
      </c>
      <c r="AX990" s="86" t="str">
        <f t="shared" ca="1" si="79"/>
        <v>RRC</v>
      </c>
      <c r="BQ990" t="s">
        <v>2191</v>
      </c>
      <c r="BR990" t="s">
        <v>2190</v>
      </c>
    </row>
    <row r="991" spans="1:70">
      <c r="A991" s="86" t="str">
        <f t="shared" ca="1" si="78"/>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98.99</v>
      </c>
      <c r="X991" s="241">
        <v>98.99</v>
      </c>
      <c r="Y991" s="241">
        <v>98.99</v>
      </c>
      <c r="Z991" s="243">
        <f ca="1">[1]ExtEntry!$O91</f>
        <v>98.99</v>
      </c>
      <c r="AB991" s="273">
        <v>56</v>
      </c>
      <c r="AC991" s="273">
        <v>49</v>
      </c>
      <c r="AD991" s="273">
        <v>35</v>
      </c>
      <c r="AE991" s="249">
        <v>33</v>
      </c>
      <c r="AF991" s="249">
        <v>32</v>
      </c>
      <c r="AG991" s="249">
        <v>31</v>
      </c>
      <c r="AH991" s="249">
        <v>31</v>
      </c>
      <c r="AI991" s="249">
        <v>32</v>
      </c>
      <c r="AJ991" s="249">
        <v>38</v>
      </c>
      <c r="AK991" s="249">
        <v>40</v>
      </c>
      <c r="AL991" s="249">
        <v>40</v>
      </c>
      <c r="AM991" s="249">
        <v>38</v>
      </c>
      <c r="AN991" s="249">
        <v>35</v>
      </c>
      <c r="AO991" s="273">
        <v>40</v>
      </c>
      <c r="AP991" s="273">
        <v>37</v>
      </c>
      <c r="AQ991" s="273">
        <v>35</v>
      </c>
      <c r="AR991" s="273">
        <v>32</v>
      </c>
      <c r="AS991" s="273">
        <v>34</v>
      </c>
      <c r="AT991" s="273">
        <v>40</v>
      </c>
      <c r="AU991" s="273">
        <v>43</v>
      </c>
      <c r="AV991" s="273">
        <f t="shared" si="77"/>
        <v>43</v>
      </c>
      <c r="AX991" s="86" t="str">
        <f t="shared" ca="1" si="79"/>
        <v>XYZ</v>
      </c>
      <c r="BQ991" t="s">
        <v>2192</v>
      </c>
      <c r="BR991" t="s">
        <v>2193</v>
      </c>
    </row>
    <row r="992" spans="1:70">
      <c r="A992" s="86" t="str">
        <f t="shared" ca="1" si="78"/>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221</v>
      </c>
      <c r="O992" s="249">
        <v>221</v>
      </c>
      <c r="P992" s="249">
        <v>221</v>
      </c>
      <c r="Q992" s="249">
        <v>221</v>
      </c>
      <c r="R992" s="249">
        <v>222.815</v>
      </c>
      <c r="S992" s="249">
        <v>222.815</v>
      </c>
      <c r="T992" s="249">
        <v>222.815</v>
      </c>
      <c r="U992" s="249">
        <v>222.815</v>
      </c>
      <c r="V992" s="249">
        <v>222.815</v>
      </c>
      <c r="W992" s="249">
        <v>222.815</v>
      </c>
      <c r="X992" s="249">
        <v>222.815</v>
      </c>
      <c r="Y992" s="249">
        <v>222.815</v>
      </c>
      <c r="Z992" s="243">
        <f ca="1">[1]ExtEntry!$O92</f>
        <v>222.815</v>
      </c>
      <c r="AB992" s="273">
        <v>59</v>
      </c>
      <c r="AC992" s="273">
        <v>54</v>
      </c>
      <c r="AD992" s="273">
        <v>58</v>
      </c>
      <c r="AE992" s="249">
        <v>60</v>
      </c>
      <c r="AF992" s="249">
        <v>66</v>
      </c>
      <c r="AG992" s="249">
        <v>66</v>
      </c>
      <c r="AH992" s="249">
        <v>55</v>
      </c>
      <c r="AI992" s="249">
        <v>59</v>
      </c>
      <c r="AJ992" s="249">
        <v>60</v>
      </c>
      <c r="AK992" s="249">
        <v>58</v>
      </c>
      <c r="AL992" s="249">
        <v>56</v>
      </c>
      <c r="AM992" s="249">
        <v>57</v>
      </c>
      <c r="AN992" s="249">
        <v>55</v>
      </c>
      <c r="AO992" s="273">
        <v>52</v>
      </c>
      <c r="AP992" s="273">
        <v>47</v>
      </c>
      <c r="AQ992" s="273">
        <v>45</v>
      </c>
      <c r="AR992" s="273">
        <v>37</v>
      </c>
      <c r="AS992" s="273">
        <v>43</v>
      </c>
      <c r="AT992" s="273">
        <v>39</v>
      </c>
      <c r="AU992" s="273">
        <v>30</v>
      </c>
      <c r="AV992" s="273">
        <f t="shared" si="77"/>
        <v>30</v>
      </c>
      <c r="AX992" s="86" t="str">
        <f t="shared" ca="1" si="79"/>
        <v>THC</v>
      </c>
      <c r="BQ992" t="s">
        <v>2194</v>
      </c>
      <c r="BR992" t="s">
        <v>661</v>
      </c>
    </row>
    <row r="993" spans="1:70">
      <c r="A993" s="86" t="str">
        <f t="shared" ca="1" si="78"/>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77"/>
        <v>#DIV/0!</v>
      </c>
      <c r="AX993" s="86" t="str">
        <f t="shared" ca="1" si="79"/>
        <v>X</v>
      </c>
      <c r="BQ993" t="s">
        <v>198</v>
      </c>
      <c r="BR993" t="s">
        <v>2195</v>
      </c>
    </row>
    <row r="994" spans="1:70">
      <c r="A994" s="86" t="str">
        <f t="shared" ca="1" si="78"/>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42</v>
      </c>
      <c r="AC994" s="273">
        <v>43</v>
      </c>
      <c r="AD994" s="273">
        <v>42</v>
      </c>
      <c r="AE994" s="273">
        <v>33</v>
      </c>
      <c r="AF994" s="273">
        <v>36</v>
      </c>
      <c r="AG994" s="273">
        <v>42</v>
      </c>
      <c r="AH994" s="273">
        <v>48</v>
      </c>
      <c r="AI994" s="273">
        <v>36</v>
      </c>
      <c r="AJ994" s="273">
        <v>39</v>
      </c>
      <c r="AK994" s="273">
        <v>43</v>
      </c>
      <c r="AL994" s="273">
        <v>40</v>
      </c>
      <c r="AM994" s="273">
        <v>34</v>
      </c>
      <c r="AN994" s="273">
        <v>40</v>
      </c>
      <c r="AO994" s="273">
        <v>41</v>
      </c>
      <c r="AP994" s="273">
        <v>39</v>
      </c>
      <c r="AQ994" s="273">
        <v>35</v>
      </c>
      <c r="AR994" s="273">
        <v>34</v>
      </c>
      <c r="AS994" s="273">
        <v>38</v>
      </c>
      <c r="AT994" s="273">
        <v>40</v>
      </c>
      <c r="AU994" s="273">
        <v>47</v>
      </c>
      <c r="AV994" s="273">
        <f t="shared" si="77"/>
        <v>47</v>
      </c>
      <c r="AX994" s="86" t="str">
        <f t="shared" ca="1" si="79"/>
        <v>LOCK</v>
      </c>
      <c r="BQ994" t="s">
        <v>2196</v>
      </c>
      <c r="BR994" t="s">
        <v>177</v>
      </c>
    </row>
    <row r="995" spans="1:70">
      <c r="A995" s="86" t="str">
        <f t="shared" ca="1" si="78"/>
        <v>JBASML</v>
      </c>
      <c r="F995" s="345">
        <v>913.3</v>
      </c>
      <c r="G995" s="241">
        <v>912.6</v>
      </c>
      <c r="H995" s="241">
        <v>938.6</v>
      </c>
      <c r="I995" s="241">
        <v>938.6</v>
      </c>
      <c r="J995" s="1068">
        <v>938.6</v>
      </c>
      <c r="K995" s="243">
        <v>938.6</v>
      </c>
      <c r="L995" s="1069">
        <v>938.6</v>
      </c>
      <c r="M995" s="239">
        <v>938.6</v>
      </c>
      <c r="N995" s="241">
        <v>938.6</v>
      </c>
      <c r="O995" s="1070">
        <v>938.6</v>
      </c>
      <c r="P995" s="1070">
        <v>938.6</v>
      </c>
      <c r="Q995" s="241">
        <v>938.6</v>
      </c>
      <c r="R995" s="245">
        <v>954.9</v>
      </c>
      <c r="S995" s="241">
        <v>968</v>
      </c>
      <c r="T995" s="241">
        <v>968</v>
      </c>
      <c r="U995" s="241">
        <v>977.1</v>
      </c>
      <c r="V995" s="241">
        <v>977.1</v>
      </c>
      <c r="W995" s="1071">
        <v>977.1</v>
      </c>
      <c r="X995" s="343">
        <v>977.1</v>
      </c>
      <c r="Y995" s="241">
        <v>977.1</v>
      </c>
      <c r="Z995" s="243">
        <f ca="1">[1]ExtEntry!$O95</f>
        <v>977.1</v>
      </c>
      <c r="AB995" s="273">
        <v>53</v>
      </c>
      <c r="AC995" s="273">
        <v>55</v>
      </c>
      <c r="AD995" s="273">
        <v>55</v>
      </c>
      <c r="AE995" s="273">
        <v>54</v>
      </c>
      <c r="AF995" s="273">
        <v>54</v>
      </c>
      <c r="AG995" s="273">
        <v>52</v>
      </c>
      <c r="AH995" s="273">
        <v>53</v>
      </c>
      <c r="AI995" s="273">
        <v>38</v>
      </c>
      <c r="AJ995" s="273">
        <v>46</v>
      </c>
      <c r="AK995" s="273">
        <v>45</v>
      </c>
      <c r="AL995" s="273">
        <v>42</v>
      </c>
      <c r="AM995" s="273">
        <v>47</v>
      </c>
      <c r="AN995" s="273">
        <v>52</v>
      </c>
      <c r="AO995" s="273">
        <v>57</v>
      </c>
      <c r="AP995" s="273">
        <v>58</v>
      </c>
      <c r="AQ995" s="273">
        <v>56</v>
      </c>
      <c r="AR995" s="273">
        <v>54</v>
      </c>
      <c r="AS995" s="273">
        <v>52</v>
      </c>
      <c r="AT995" s="273">
        <v>48</v>
      </c>
      <c r="AU995" s="273">
        <v>49</v>
      </c>
      <c r="AV995" s="273">
        <f t="shared" si="77"/>
        <v>49</v>
      </c>
      <c r="AX995" s="86" t="str">
        <f t="shared" ca="1" si="79"/>
        <v>JBASML</v>
      </c>
      <c r="BQ995" t="s">
        <v>179</v>
      </c>
      <c r="BR995" t="s">
        <v>2197</v>
      </c>
    </row>
    <row r="996" spans="1:70">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52</v>
      </c>
      <c r="AC996" s="273">
        <v>51</v>
      </c>
      <c r="AD996" s="273">
        <v>51</v>
      </c>
      <c r="AE996" s="273">
        <v>51</v>
      </c>
      <c r="AF996" s="273">
        <v>49</v>
      </c>
      <c r="AG996" s="273">
        <v>43</v>
      </c>
      <c r="AH996" s="273">
        <v>43</v>
      </c>
      <c r="AI996" s="273">
        <v>50</v>
      </c>
      <c r="AJ996" s="273">
        <v>51</v>
      </c>
      <c r="AK996" s="273">
        <v>47</v>
      </c>
      <c r="AL996" s="273">
        <v>44</v>
      </c>
      <c r="AM996" s="273">
        <v>43</v>
      </c>
      <c r="AN996" s="273">
        <v>50</v>
      </c>
      <c r="AO996" s="273">
        <v>66</v>
      </c>
      <c r="AP996" s="273">
        <v>77</v>
      </c>
      <c r="AQ996" s="273">
        <v>69</v>
      </c>
      <c r="AR996" s="273">
        <v>65</v>
      </c>
      <c r="AS996" s="273">
        <v>64</v>
      </c>
      <c r="AT996" s="273">
        <v>64</v>
      </c>
      <c r="AU996" s="273">
        <v>57</v>
      </c>
      <c r="AV996" s="273">
        <f t="shared" si="77"/>
        <v>57</v>
      </c>
      <c r="AX996" s="86" t="str">
        <f t="shared" ca="1" si="79"/>
        <v>JBEOAN</v>
      </c>
      <c r="BQ996" t="s">
        <v>1014</v>
      </c>
      <c r="BR996" t="s">
        <v>2198</v>
      </c>
    </row>
    <row r="997" spans="1:70">
      <c r="A997" s="86"/>
      <c r="AX997" s="86"/>
      <c r="BR997" t="s">
        <v>2199</v>
      </c>
    </row>
    <row r="998" spans="1:70">
      <c r="A998" s="86"/>
      <c r="AX998" s="86"/>
      <c r="BR998" t="s">
        <v>2131</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0">F901</f>
        <v>45974</v>
      </c>
      <c r="G1000" s="115">
        <f t="shared" ca="1" si="80"/>
        <v>45975</v>
      </c>
      <c r="H1000" s="115">
        <f t="shared" ca="1" si="80"/>
        <v>45978</v>
      </c>
      <c r="I1000" s="115">
        <f t="shared" ca="1" si="80"/>
        <v>45979</v>
      </c>
      <c r="J1000" s="115">
        <f t="shared" ca="1" si="80"/>
        <v>45980</v>
      </c>
      <c r="K1000" s="115">
        <f t="shared" ca="1" si="80"/>
        <v>45981</v>
      </c>
      <c r="L1000" s="115">
        <f t="shared" ca="1" si="80"/>
        <v>45982</v>
      </c>
      <c r="M1000" s="115">
        <f t="shared" ca="1" si="80"/>
        <v>45985</v>
      </c>
      <c r="N1000" s="115">
        <f t="shared" ca="1" si="80"/>
        <v>45986</v>
      </c>
      <c r="O1000" s="115">
        <f t="shared" ca="1" si="80"/>
        <v>45987</v>
      </c>
      <c r="P1000" s="115">
        <f t="shared" ca="1" si="80"/>
        <v>45988</v>
      </c>
      <c r="Q1000" s="115">
        <f t="shared" ca="1" si="80"/>
        <v>45989</v>
      </c>
      <c r="R1000" s="115">
        <f t="shared" ca="1" si="80"/>
        <v>45992</v>
      </c>
      <c r="S1000" s="115">
        <f t="shared" ca="1" si="80"/>
        <v>45993</v>
      </c>
      <c r="T1000" s="115">
        <f t="shared" ca="1" si="80"/>
        <v>45994</v>
      </c>
      <c r="U1000" s="115">
        <f t="shared" ca="1" si="80"/>
        <v>45995</v>
      </c>
      <c r="V1000" s="115">
        <f t="shared" ca="1" si="80"/>
        <v>45996</v>
      </c>
      <c r="W1000" s="115">
        <f t="shared" ca="1" si="80"/>
        <v>45999</v>
      </c>
      <c r="X1000" s="115">
        <f t="shared" ca="1" si="80"/>
        <v>46000</v>
      </c>
      <c r="Y1000" s="115">
        <f t="shared" ca="1" si="80"/>
        <v>46001</v>
      </c>
      <c r="Z1000" s="115">
        <f t="shared" ca="1" si="80"/>
        <v>46002</v>
      </c>
      <c r="AB1000" s="115">
        <f t="shared" ref="AB1000:AV1000" ca="1" si="81">F901</f>
        <v>45974</v>
      </c>
      <c r="AC1000" s="115">
        <f t="shared" ca="1" si="81"/>
        <v>45975</v>
      </c>
      <c r="AD1000" s="115">
        <f t="shared" ca="1" si="81"/>
        <v>45978</v>
      </c>
      <c r="AE1000" s="115">
        <f t="shared" ca="1" si="81"/>
        <v>45979</v>
      </c>
      <c r="AF1000" s="115">
        <f t="shared" ca="1" si="81"/>
        <v>45980</v>
      </c>
      <c r="AG1000" s="115">
        <f t="shared" ca="1" si="81"/>
        <v>45981</v>
      </c>
      <c r="AH1000" s="115">
        <f t="shared" ca="1" si="81"/>
        <v>45982</v>
      </c>
      <c r="AI1000" s="115">
        <f t="shared" ca="1" si="81"/>
        <v>45985</v>
      </c>
      <c r="AJ1000" s="115">
        <f t="shared" ca="1" si="81"/>
        <v>45986</v>
      </c>
      <c r="AK1000" s="115">
        <f t="shared" ca="1" si="81"/>
        <v>45987</v>
      </c>
      <c r="AL1000" s="115">
        <f t="shared" ca="1" si="81"/>
        <v>45988</v>
      </c>
      <c r="AM1000" s="115">
        <f t="shared" ca="1" si="81"/>
        <v>45989</v>
      </c>
      <c r="AN1000" s="115">
        <f t="shared" ca="1" si="81"/>
        <v>45992</v>
      </c>
      <c r="AO1000" s="115">
        <f t="shared" ca="1" si="81"/>
        <v>45993</v>
      </c>
      <c r="AP1000" s="115">
        <f t="shared" ca="1" si="81"/>
        <v>45994</v>
      </c>
      <c r="AQ1000" s="115">
        <f t="shared" ca="1" si="81"/>
        <v>45995</v>
      </c>
      <c r="AR1000" s="115">
        <f t="shared" ca="1" si="81"/>
        <v>45996</v>
      </c>
      <c r="AS1000" s="115">
        <f t="shared" ca="1" si="81"/>
        <v>45999</v>
      </c>
      <c r="AT1000" s="115">
        <f t="shared" ca="1" si="81"/>
        <v>46000</v>
      </c>
      <c r="AU1000" s="115">
        <f t="shared" ca="1" si="81"/>
        <v>46001</v>
      </c>
      <c r="AV1000" s="115">
        <f t="shared" ca="1" si="81"/>
        <v>46002</v>
      </c>
      <c r="AX1000" s="86"/>
    </row>
    <row r="1001" spans="1:70">
      <c r="A1001" s="86"/>
      <c r="F1001" s="278" t="s">
        <v>413</v>
      </c>
      <c r="G1001" s="278" t="s">
        <v>414</v>
      </c>
      <c r="H1001" s="278" t="s">
        <v>415</v>
      </c>
      <c r="I1001" s="278" t="s">
        <v>416</v>
      </c>
      <c r="J1001" s="278" t="s">
        <v>417</v>
      </c>
      <c r="K1001" s="278" t="s">
        <v>418</v>
      </c>
      <c r="L1001" s="278" t="s">
        <v>419</v>
      </c>
      <c r="M1001" s="278" t="s">
        <v>420</v>
      </c>
      <c r="N1001" s="278" t="s">
        <v>421</v>
      </c>
      <c r="O1001" s="278" t="s">
        <v>422</v>
      </c>
      <c r="P1001" s="278" t="s">
        <v>423</v>
      </c>
      <c r="Q1001" s="278" t="s">
        <v>424</v>
      </c>
      <c r="R1001" s="278" t="s">
        <v>425</v>
      </c>
      <c r="S1001" s="278" t="s">
        <v>426</v>
      </c>
      <c r="T1001" s="278" t="s">
        <v>427</v>
      </c>
      <c r="U1001" s="278" t="s">
        <v>428</v>
      </c>
      <c r="V1001" s="278" t="s">
        <v>429</v>
      </c>
      <c r="W1001" s="278" t="s">
        <v>430</v>
      </c>
      <c r="X1001" s="278" t="s">
        <v>431</v>
      </c>
      <c r="Y1001" s="278" t="s">
        <v>432</v>
      </c>
      <c r="Z1001" s="278" t="s">
        <v>433</v>
      </c>
      <c r="AB1001" s="277" t="s">
        <v>1369</v>
      </c>
      <c r="AC1001" s="277" t="s">
        <v>1370</v>
      </c>
      <c r="AD1001" s="277" t="s">
        <v>1371</v>
      </c>
      <c r="AE1001" s="277" t="s">
        <v>1372</v>
      </c>
      <c r="AF1001" s="277" t="s">
        <v>1373</v>
      </c>
      <c r="AG1001" s="277" t="s">
        <v>1374</v>
      </c>
      <c r="AH1001" s="277" t="s">
        <v>1375</v>
      </c>
      <c r="AI1001" s="277" t="s">
        <v>1376</v>
      </c>
      <c r="AJ1001" s="277" t="s">
        <v>1377</v>
      </c>
      <c r="AK1001" s="277" t="s">
        <v>1378</v>
      </c>
      <c r="AL1001" s="277" t="s">
        <v>1379</v>
      </c>
      <c r="AM1001" s="277" t="s">
        <v>1380</v>
      </c>
      <c r="AN1001" s="277" t="s">
        <v>1381</v>
      </c>
      <c r="AO1001" s="277" t="s">
        <v>1382</v>
      </c>
      <c r="AP1001" s="277" t="s">
        <v>1383</v>
      </c>
      <c r="AQ1001" s="277" t="s">
        <v>1384</v>
      </c>
      <c r="AR1001" s="277" t="s">
        <v>1385</v>
      </c>
      <c r="AS1001" s="277" t="s">
        <v>1386</v>
      </c>
      <c r="AT1001" s="277" t="s">
        <v>1387</v>
      </c>
      <c r="AU1001" s="277" t="s">
        <v>1388</v>
      </c>
      <c r="AV1001" s="277" t="s">
        <v>1389</v>
      </c>
      <c r="AX1001" s="86"/>
    </row>
    <row r="1002" spans="1:70">
      <c r="A1002" s="86" t="str">
        <f ca="1">A5</f>
        <v>AAPL</v>
      </c>
      <c r="C1002" s="1" cm="1">
        <f t="array" ref="C1002:C1095">_xlfn.SEQUENCE(94,,3,1)</f>
        <v>3</v>
      </c>
      <c r="F1002" s="245">
        <v>43644546</v>
      </c>
      <c r="G1002" s="245">
        <v>32298934</v>
      </c>
      <c r="H1002" s="245">
        <v>36177947</v>
      </c>
      <c r="I1002" s="245">
        <v>47409237</v>
      </c>
      <c r="J1002" s="245">
        <v>13278</v>
      </c>
      <c r="K1002" s="245">
        <v>15109120</v>
      </c>
      <c r="L1002" s="245">
        <v>27858628</v>
      </c>
      <c r="M1002" s="245">
        <v>39067327</v>
      </c>
      <c r="N1002" s="245">
        <v>17385092</v>
      </c>
      <c r="O1002" s="245">
        <v>33431423</v>
      </c>
      <c r="P1002" s="245">
        <v>20107579</v>
      </c>
      <c r="Q1002" s="245">
        <v>16988295</v>
      </c>
      <c r="R1002" s="245">
        <v>39167130</v>
      </c>
      <c r="S1002" s="245">
        <v>10089088</v>
      </c>
      <c r="T1002" s="245">
        <v>43153560</v>
      </c>
      <c r="U1002" s="245">
        <v>15533619</v>
      </c>
      <c r="V1002" s="245">
        <v>47265845</v>
      </c>
      <c r="W1002" s="245">
        <v>12711263</v>
      </c>
      <c r="X1002" s="245">
        <v>33014935</v>
      </c>
      <c r="Y1002" s="245">
        <v>31286071</v>
      </c>
      <c r="Z1002" s="245">
        <f ca="1">[1]ExtEntry!$P3</f>
        <v>31286071</v>
      </c>
      <c r="AB1002" s="247">
        <v>74</v>
      </c>
      <c r="AC1002" s="247">
        <v>73</v>
      </c>
      <c r="AD1002" s="247">
        <v>73</v>
      </c>
      <c r="AE1002" s="249">
        <v>68</v>
      </c>
      <c r="AF1002" s="249">
        <v>56</v>
      </c>
      <c r="AG1002" s="249">
        <v>59</v>
      </c>
      <c r="AH1002" s="249">
        <v>65</v>
      </c>
      <c r="AI1002" s="249">
        <v>84</v>
      </c>
      <c r="AJ1002" s="249">
        <v>84</v>
      </c>
      <c r="AK1002" s="249">
        <v>82</v>
      </c>
      <c r="AL1002" s="249">
        <v>78</v>
      </c>
      <c r="AM1002" s="249">
        <v>80</v>
      </c>
      <c r="AN1002" s="249">
        <v>81</v>
      </c>
      <c r="AO1002" s="273">
        <v>81</v>
      </c>
      <c r="AP1002" s="273">
        <v>73</v>
      </c>
      <c r="AQ1002" s="273">
        <v>62</v>
      </c>
      <c r="AR1002" s="273">
        <v>62</v>
      </c>
      <c r="AS1002" s="273">
        <v>62</v>
      </c>
      <c r="AT1002" s="273">
        <v>65</v>
      </c>
      <c r="AU1002" s="273">
        <v>59</v>
      </c>
      <c r="AV1002" s="273">
        <f t="shared" ref="AV1002:AV1007" si="82">INT(100-100/(1+(19*SUMIF(L605:Y605,"&gt;0",L605:Y605)+IF(Y605&gt;0,Y605,0))/ABS(19*SUMIF(L605:Y605,"&lt;0",L605:Y605)+IF(Y605&lt;0,Y605,0))))</f>
        <v>59</v>
      </c>
      <c r="AX1002" s="86" t="str">
        <f ca="1">A5</f>
        <v>AAPL</v>
      </c>
    </row>
    <row r="1003" spans="1:70">
      <c r="A1003" s="86" t="str">
        <f t="shared" ref="A1003:A1066" ca="1" si="83">A6</f>
        <v>ADEA</v>
      </c>
      <c r="C1003" s="1">
        <v>4</v>
      </c>
      <c r="F1003" s="253">
        <v>1761241</v>
      </c>
      <c r="G1003" s="253">
        <v>1136474</v>
      </c>
      <c r="H1003" s="253">
        <v>1051262</v>
      </c>
      <c r="I1003" s="253">
        <v>880357</v>
      </c>
      <c r="J1003" s="253">
        <v>1041506</v>
      </c>
      <c r="K1003" s="253">
        <v>234513</v>
      </c>
      <c r="L1003" s="253">
        <v>315981</v>
      </c>
      <c r="M1003" s="253">
        <v>403069</v>
      </c>
      <c r="N1003" s="253">
        <v>250595</v>
      </c>
      <c r="O1003" s="253">
        <v>1153852</v>
      </c>
      <c r="P1003" s="253">
        <v>329078</v>
      </c>
      <c r="Q1003" s="253">
        <v>253191</v>
      </c>
      <c r="R1003" s="253">
        <v>335663</v>
      </c>
      <c r="S1003" s="253">
        <v>43041</v>
      </c>
      <c r="T1003" s="253">
        <v>542905</v>
      </c>
      <c r="U1003" s="253">
        <v>94388</v>
      </c>
      <c r="V1003" s="253">
        <v>573438</v>
      </c>
      <c r="W1003" s="253">
        <v>157665</v>
      </c>
      <c r="X1003" s="253">
        <v>1260465</v>
      </c>
      <c r="Y1003" s="253">
        <v>665213</v>
      </c>
      <c r="Z1003" s="245">
        <f ca="1">[1]ExtEntry!$P4</f>
        <v>665213</v>
      </c>
      <c r="AB1003" s="273">
        <v>49</v>
      </c>
      <c r="AC1003" s="273">
        <v>44</v>
      </c>
      <c r="AD1003" s="273">
        <v>51</v>
      </c>
      <c r="AE1003" s="249">
        <v>48</v>
      </c>
      <c r="AF1003" s="249">
        <v>46</v>
      </c>
      <c r="AG1003" s="249">
        <v>42</v>
      </c>
      <c r="AH1003" s="249">
        <v>43</v>
      </c>
      <c r="AI1003" s="249">
        <v>49</v>
      </c>
      <c r="AJ1003" s="249">
        <v>51</v>
      </c>
      <c r="AK1003" s="249">
        <v>47</v>
      </c>
      <c r="AL1003" s="249">
        <v>41</v>
      </c>
      <c r="AM1003" s="249">
        <v>41</v>
      </c>
      <c r="AN1003" s="249">
        <v>46</v>
      </c>
      <c r="AO1003" s="273">
        <v>71</v>
      </c>
      <c r="AP1003" s="273">
        <v>55</v>
      </c>
      <c r="AQ1003" s="273">
        <v>50</v>
      </c>
      <c r="AR1003" s="273">
        <v>51</v>
      </c>
      <c r="AS1003" s="273">
        <v>67</v>
      </c>
      <c r="AT1003" s="273">
        <v>80</v>
      </c>
      <c r="AU1003" s="273">
        <v>83</v>
      </c>
      <c r="AV1003" s="273">
        <f t="shared" si="82"/>
        <v>83</v>
      </c>
      <c r="AX1003" s="86" t="str">
        <f t="shared" ref="AX1003:AX1066" ca="1" si="84">A6</f>
        <v>ADEA</v>
      </c>
    </row>
    <row r="1004" spans="1:70">
      <c r="A1004" s="86" t="str">
        <f t="shared" ca="1" si="83"/>
        <v>AET</v>
      </c>
      <c r="C1004" s="1">
        <v>5</v>
      </c>
      <c r="F1004" s="245">
        <v>93063</v>
      </c>
      <c r="G1004" s="245">
        <v>141083</v>
      </c>
      <c r="H1004" s="245">
        <v>71429</v>
      </c>
      <c r="I1004" s="245">
        <v>550943</v>
      </c>
      <c r="J1004" s="245">
        <v>127935</v>
      </c>
      <c r="K1004" s="245">
        <v>569595</v>
      </c>
      <c r="L1004" s="245">
        <v>279084</v>
      </c>
      <c r="M1004" s="245">
        <v>980146</v>
      </c>
      <c r="N1004" s="245">
        <v>552470</v>
      </c>
      <c r="O1004" s="245">
        <v>1072696</v>
      </c>
      <c r="P1004" s="245">
        <v>933678</v>
      </c>
      <c r="Q1004" s="245">
        <v>1573426</v>
      </c>
      <c r="R1004" s="245">
        <v>378758</v>
      </c>
      <c r="S1004" s="245">
        <v>89679</v>
      </c>
      <c r="T1004" s="245">
        <v>302948</v>
      </c>
      <c r="U1004" s="245">
        <v>135254</v>
      </c>
      <c r="V1004" s="245">
        <v>717235</v>
      </c>
      <c r="W1004" s="245">
        <v>808997</v>
      </c>
      <c r="X1004" s="245">
        <v>411871</v>
      </c>
      <c r="Y1004" s="245">
        <v>670595</v>
      </c>
      <c r="Z1004" s="245">
        <f ca="1">[1]ExtEntry!$P5</f>
        <v>670595</v>
      </c>
      <c r="AB1004" s="273">
        <v>50</v>
      </c>
      <c r="AC1004" s="273">
        <v>46</v>
      </c>
      <c r="AD1004" s="273">
        <v>52</v>
      </c>
      <c r="AE1004" s="249">
        <v>44</v>
      </c>
      <c r="AF1004" s="249">
        <v>43</v>
      </c>
      <c r="AG1004" s="249">
        <v>40</v>
      </c>
      <c r="AH1004" s="249">
        <v>41</v>
      </c>
      <c r="AI1004" s="249">
        <v>34</v>
      </c>
      <c r="AJ1004" s="249">
        <v>27</v>
      </c>
      <c r="AK1004" s="249">
        <v>18</v>
      </c>
      <c r="AL1004" s="249">
        <v>18</v>
      </c>
      <c r="AM1004" s="249">
        <v>26</v>
      </c>
      <c r="AN1004" s="249">
        <v>20</v>
      </c>
      <c r="AO1004" s="273">
        <v>31</v>
      </c>
      <c r="AP1004" s="273">
        <v>27</v>
      </c>
      <c r="AQ1004" s="273">
        <v>33</v>
      </c>
      <c r="AR1004" s="273">
        <v>35</v>
      </c>
      <c r="AS1004" s="273">
        <v>37</v>
      </c>
      <c r="AT1004" s="273">
        <v>46</v>
      </c>
      <c r="AU1004" s="273">
        <v>41</v>
      </c>
      <c r="AV1004" s="273">
        <f t="shared" si="82"/>
        <v>41</v>
      </c>
      <c r="AX1004" s="86" t="str">
        <f t="shared" ca="1" si="84"/>
        <v>AET</v>
      </c>
    </row>
    <row r="1005" spans="1:70">
      <c r="A1005" s="86" t="str">
        <f t="shared" ca="1" si="83"/>
        <v>AMZN</v>
      </c>
      <c r="C1005" s="1">
        <v>6</v>
      </c>
      <c r="F1005" s="253">
        <v>40552606</v>
      </c>
      <c r="G1005" s="253">
        <v>33222962</v>
      </c>
      <c r="H1005" s="253">
        <v>37371756</v>
      </c>
      <c r="I1005" s="253">
        <v>38914244</v>
      </c>
      <c r="J1005" s="253">
        <v>43305</v>
      </c>
      <c r="K1005" s="253">
        <v>29090882</v>
      </c>
      <c r="L1005" s="253">
        <v>31273950</v>
      </c>
      <c r="M1005" s="253">
        <v>51196319</v>
      </c>
      <c r="N1005" s="253">
        <v>20416295</v>
      </c>
      <c r="O1005" s="253">
        <v>38497922</v>
      </c>
      <c r="P1005" s="253">
        <v>20261134</v>
      </c>
      <c r="Q1005" s="253">
        <v>21800118</v>
      </c>
      <c r="R1005" s="253">
        <v>37429469</v>
      </c>
      <c r="S1005" s="253">
        <v>10067421</v>
      </c>
      <c r="T1005" s="253">
        <v>35274256</v>
      </c>
      <c r="U1005" s="253">
        <v>23532032</v>
      </c>
      <c r="V1005" s="253">
        <v>33117377</v>
      </c>
      <c r="W1005" s="253">
        <v>10374258</v>
      </c>
      <c r="X1005" s="253">
        <v>38754460</v>
      </c>
      <c r="Y1005" s="253">
        <v>26757613</v>
      </c>
      <c r="Z1005" s="245">
        <f ca="1">[1]ExtEntry!$P6</f>
        <v>26757613</v>
      </c>
      <c r="AB1005" s="273">
        <v>46</v>
      </c>
      <c r="AC1005" s="273">
        <v>41</v>
      </c>
      <c r="AD1005" s="273">
        <v>44</v>
      </c>
      <c r="AE1005" s="249">
        <v>42</v>
      </c>
      <c r="AF1005" s="249">
        <v>31</v>
      </c>
      <c r="AG1005" s="249">
        <v>24</v>
      </c>
      <c r="AH1005" s="249">
        <v>24</v>
      </c>
      <c r="AI1005" s="249">
        <v>32</v>
      </c>
      <c r="AJ1005" s="249">
        <v>28</v>
      </c>
      <c r="AK1005" s="249">
        <v>23</v>
      </c>
      <c r="AL1005" s="249">
        <v>25</v>
      </c>
      <c r="AM1005" s="249">
        <v>24</v>
      </c>
      <c r="AN1005" s="249">
        <v>29</v>
      </c>
      <c r="AO1005" s="273">
        <v>31</v>
      </c>
      <c r="AP1005" s="273">
        <v>28</v>
      </c>
      <c r="AQ1005" s="273">
        <v>29</v>
      </c>
      <c r="AR1005" s="273">
        <v>27</v>
      </c>
      <c r="AS1005" s="273">
        <v>31</v>
      </c>
      <c r="AT1005" s="273">
        <v>50</v>
      </c>
      <c r="AU1005" s="273">
        <v>49</v>
      </c>
      <c r="AV1005" s="273">
        <f t="shared" si="82"/>
        <v>49</v>
      </c>
      <c r="AX1005" s="86" t="str">
        <f t="shared" ca="1" si="84"/>
        <v>AMZN</v>
      </c>
    </row>
    <row r="1006" spans="1:70">
      <c r="A1006" s="86" t="str">
        <f t="shared" ca="1" si="83"/>
        <v>ALDNE</v>
      </c>
      <c r="C1006" s="1">
        <v>7</v>
      </c>
      <c r="F1006" s="245">
        <v>2729</v>
      </c>
      <c r="G1006" s="245">
        <v>1977</v>
      </c>
      <c r="H1006" s="245">
        <v>2114</v>
      </c>
      <c r="I1006" s="245">
        <v>12233</v>
      </c>
      <c r="J1006" s="245">
        <v>3351</v>
      </c>
      <c r="K1006" s="245">
        <v>3776</v>
      </c>
      <c r="L1006" s="245">
        <v>4711</v>
      </c>
      <c r="M1006" s="245">
        <v>29827</v>
      </c>
      <c r="N1006" s="245">
        <v>35769</v>
      </c>
      <c r="O1006" s="245">
        <v>14347</v>
      </c>
      <c r="P1006" s="245">
        <v>9118</v>
      </c>
      <c r="Q1006" s="245">
        <v>6334</v>
      </c>
      <c r="R1006" s="245">
        <v>357</v>
      </c>
      <c r="S1006" s="245">
        <v>1695</v>
      </c>
      <c r="T1006" s="245">
        <v>1875</v>
      </c>
      <c r="U1006" s="245">
        <v>1313</v>
      </c>
      <c r="V1006" s="245">
        <v>3016</v>
      </c>
      <c r="W1006" s="245">
        <v>4879</v>
      </c>
      <c r="X1006" s="245">
        <v>22225</v>
      </c>
      <c r="Y1006" s="245">
        <v>8530</v>
      </c>
      <c r="Z1006" s="245">
        <f ca="1">[1]ExtEntry!$P7</f>
        <v>8530</v>
      </c>
      <c r="AB1006" s="273">
        <v>56</v>
      </c>
      <c r="AC1006" s="273">
        <v>53</v>
      </c>
      <c r="AD1006" s="273">
        <v>56</v>
      </c>
      <c r="AE1006" s="249">
        <v>36</v>
      </c>
      <c r="AF1006" s="249">
        <v>37</v>
      </c>
      <c r="AG1006" s="249">
        <v>36</v>
      </c>
      <c r="AH1006" s="249">
        <v>27</v>
      </c>
      <c r="AI1006" s="249">
        <v>21</v>
      </c>
      <c r="AJ1006" s="249">
        <v>19</v>
      </c>
      <c r="AK1006" s="249">
        <v>18</v>
      </c>
      <c r="AL1006" s="249">
        <v>17</v>
      </c>
      <c r="AM1006" s="249">
        <v>22</v>
      </c>
      <c r="AN1006" s="249">
        <v>13</v>
      </c>
      <c r="AO1006" s="273">
        <v>17</v>
      </c>
      <c r="AP1006" s="273">
        <v>18</v>
      </c>
      <c r="AQ1006" s="273">
        <v>18</v>
      </c>
      <c r="AR1006" s="273">
        <v>18</v>
      </c>
      <c r="AS1006" s="273">
        <v>25</v>
      </c>
      <c r="AT1006" s="273">
        <v>31</v>
      </c>
      <c r="AU1006" s="273">
        <v>20</v>
      </c>
      <c r="AV1006" s="273">
        <f t="shared" si="82"/>
        <v>20</v>
      </c>
      <c r="AX1006" s="86" t="str">
        <f t="shared" ca="1" si="84"/>
        <v>ALDNE</v>
      </c>
    </row>
    <row r="1007" spans="1:70">
      <c r="A1007" s="86" t="str">
        <f t="shared" ca="1" si="83"/>
        <v>ASML</v>
      </c>
      <c r="C1007" s="1">
        <v>8</v>
      </c>
      <c r="F1007" s="253">
        <v>663558</v>
      </c>
      <c r="G1007" s="253">
        <v>481131</v>
      </c>
      <c r="H1007" s="253">
        <v>767828</v>
      </c>
      <c r="I1007" s="253">
        <v>667623</v>
      </c>
      <c r="J1007" s="253">
        <v>43298</v>
      </c>
      <c r="K1007" s="253">
        <v>569186</v>
      </c>
      <c r="L1007" s="253">
        <v>673609</v>
      </c>
      <c r="M1007" s="253">
        <v>976903</v>
      </c>
      <c r="N1007" s="253">
        <v>684564</v>
      </c>
      <c r="O1007" s="253">
        <v>243660</v>
      </c>
      <c r="P1007" s="253">
        <v>477234</v>
      </c>
      <c r="Q1007" s="253">
        <v>646367</v>
      </c>
      <c r="R1007" s="253">
        <v>584118</v>
      </c>
      <c r="S1007" s="253">
        <v>323364</v>
      </c>
      <c r="T1007" s="253">
        <v>590665</v>
      </c>
      <c r="U1007" s="253">
        <v>471505</v>
      </c>
      <c r="V1007" s="253">
        <v>359247</v>
      </c>
      <c r="W1007" s="253">
        <v>333490</v>
      </c>
      <c r="X1007" s="253">
        <v>380308</v>
      </c>
      <c r="Y1007" s="253">
        <v>465132</v>
      </c>
      <c r="Z1007" s="245">
        <f ca="1">[1]ExtEntry!$P8</f>
        <v>465132</v>
      </c>
      <c r="AB1007" s="273">
        <v>61</v>
      </c>
      <c r="AC1007" s="273">
        <v>50</v>
      </c>
      <c r="AD1007" s="273">
        <v>42</v>
      </c>
      <c r="AE1007" s="249">
        <v>41</v>
      </c>
      <c r="AF1007" s="249">
        <v>32</v>
      </c>
      <c r="AG1007" s="249">
        <v>42</v>
      </c>
      <c r="AH1007" s="249">
        <v>47</v>
      </c>
      <c r="AI1007" s="249">
        <v>38</v>
      </c>
      <c r="AJ1007" s="249">
        <v>47</v>
      </c>
      <c r="AK1007" s="249">
        <v>43</v>
      </c>
      <c r="AL1007" s="249">
        <v>41</v>
      </c>
      <c r="AM1007" s="249">
        <v>47</v>
      </c>
      <c r="AN1007" s="249">
        <v>45</v>
      </c>
      <c r="AO1007" s="249">
        <v>50</v>
      </c>
      <c r="AP1007" s="273">
        <v>57</v>
      </c>
      <c r="AQ1007" s="273">
        <v>58</v>
      </c>
      <c r="AR1007" s="273">
        <v>62</v>
      </c>
      <c r="AS1007" s="273">
        <v>61</v>
      </c>
      <c r="AT1007" s="273">
        <v>61</v>
      </c>
      <c r="AU1007" s="273">
        <v>57</v>
      </c>
      <c r="AV1007" s="273">
        <f t="shared" si="82"/>
        <v>57</v>
      </c>
      <c r="AX1007" s="86" t="str">
        <f t="shared" ca="1" si="84"/>
        <v>ASML</v>
      </c>
    </row>
    <row r="1008" spans="1:70">
      <c r="A1008" s="86" t="str">
        <f t="shared" ca="1" si="83"/>
        <v>AVGO</v>
      </c>
      <c r="C1008" s="1">
        <v>9</v>
      </c>
      <c r="F1008" s="253">
        <v>17071547</v>
      </c>
      <c r="G1008" s="253">
        <v>11585424</v>
      </c>
      <c r="H1008" s="253">
        <v>16935678</v>
      </c>
      <c r="I1008" s="253">
        <v>18492975</v>
      </c>
      <c r="J1008" s="253">
        <v>12438</v>
      </c>
      <c r="K1008" s="253">
        <v>9870639</v>
      </c>
      <c r="L1008" s="253">
        <v>18482923</v>
      </c>
      <c r="M1008" s="253">
        <v>20643655</v>
      </c>
      <c r="N1008" s="253">
        <v>17057240</v>
      </c>
      <c r="O1008" s="253">
        <v>28693013</v>
      </c>
      <c r="P1008" s="253">
        <v>13345017</v>
      </c>
      <c r="Q1008" s="253">
        <v>12231070</v>
      </c>
      <c r="R1008" s="253">
        <v>16382932</v>
      </c>
      <c r="S1008" s="253">
        <v>5174116</v>
      </c>
      <c r="T1008" s="253">
        <v>20483232</v>
      </c>
      <c r="U1008" s="253">
        <v>6979868</v>
      </c>
      <c r="V1008" s="253">
        <v>24779924</v>
      </c>
      <c r="W1008" s="253">
        <v>8468011</v>
      </c>
      <c r="X1008" s="253">
        <v>31477815</v>
      </c>
      <c r="Y1008" s="253">
        <v>32044825</v>
      </c>
      <c r="Z1008" s="245">
        <f ca="1">[1]ExtEntry!$P9</f>
        <v>32044825</v>
      </c>
      <c r="AB1008" s="273">
        <v>31</v>
      </c>
      <c r="AC1008" s="273">
        <v>50</v>
      </c>
      <c r="AD1008" s="273">
        <v>59</v>
      </c>
      <c r="AE1008" s="249">
        <v>57</v>
      </c>
      <c r="AF1008" s="249">
        <v>63</v>
      </c>
      <c r="AG1008" s="249">
        <v>64</v>
      </c>
      <c r="AH1008" s="249">
        <v>60</v>
      </c>
      <c r="AI1008" s="249">
        <v>70</v>
      </c>
      <c r="AJ1008" s="249">
        <v>71</v>
      </c>
      <c r="AK1008" s="249">
        <v>72</v>
      </c>
      <c r="AL1008" s="249">
        <v>66</v>
      </c>
      <c r="AM1008" s="249">
        <v>63</v>
      </c>
      <c r="AN1008" s="249">
        <v>61</v>
      </c>
      <c r="AO1008" s="273">
        <v>64</v>
      </c>
      <c r="AP1008" s="273">
        <v>70</v>
      </c>
      <c r="AQ1008" s="273">
        <v>59</v>
      </c>
      <c r="AR1008" s="273">
        <v>57</v>
      </c>
      <c r="AS1008" s="273">
        <v>48</v>
      </c>
      <c r="AT1008" s="273">
        <v>55</v>
      </c>
      <c r="AU1008" s="273">
        <v>52</v>
      </c>
      <c r="AV1008" s="273">
        <f t="shared" ref="AV1008:AV1046" si="85">INT(100-100/(1+(19*SUMIF(L612:Y612,"&gt;0",L612:Y612)+IF(Y612&gt;0,Y612,0))/ABS(19*SUMIF(L612:Y612,"&lt;0",L612:Y612)+IF(Y612&lt;0,Y612,0))))</f>
        <v>52</v>
      </c>
      <c r="AX1008" s="86" t="str">
        <f t="shared" ca="1" si="84"/>
        <v>AVGO</v>
      </c>
    </row>
    <row r="1009" spans="1:50" hidden="1">
      <c r="A1009" s="86" t="str">
        <f t="shared" ca="1" si="83"/>
        <v>AZN</v>
      </c>
      <c r="C1009" s="1">
        <v>10</v>
      </c>
      <c r="F1009" s="253">
        <v>5442643</v>
      </c>
      <c r="G1009" s="253">
        <v>5618423</v>
      </c>
      <c r="H1009" s="253">
        <v>3451912</v>
      </c>
      <c r="I1009" s="253">
        <v>4090412</v>
      </c>
      <c r="J1009" s="253">
        <v>9979</v>
      </c>
      <c r="K1009" s="253">
        <v>3728991</v>
      </c>
      <c r="L1009" s="253">
        <v>3444104</v>
      </c>
      <c r="M1009" s="253">
        <v>5736065</v>
      </c>
      <c r="N1009" s="253">
        <v>3047561</v>
      </c>
      <c r="O1009" s="253">
        <v>4656384</v>
      </c>
      <c r="P1009" s="253">
        <v>3747799</v>
      </c>
      <c r="Q1009" s="253">
        <v>4213701</v>
      </c>
      <c r="R1009" s="253">
        <v>5710240</v>
      </c>
      <c r="S1009" s="253">
        <v>1626359</v>
      </c>
      <c r="T1009" s="253">
        <v>6836838</v>
      </c>
      <c r="U1009" s="253">
        <v>3036383</v>
      </c>
      <c r="V1009" s="253">
        <v>5432911</v>
      </c>
      <c r="W1009" s="253">
        <v>1761322</v>
      </c>
      <c r="X1009" s="253">
        <v>6119760</v>
      </c>
      <c r="Y1009" s="253">
        <v>6365965</v>
      </c>
      <c r="Z1009" s="245">
        <f ca="1">[1]ExtEntry!$P10</f>
        <v>6365965</v>
      </c>
      <c r="AB1009" s="273">
        <v>32</v>
      </c>
      <c r="AC1009" s="273">
        <v>34</v>
      </c>
      <c r="AD1009" s="273">
        <v>34</v>
      </c>
      <c r="AE1009" s="249">
        <v>32</v>
      </c>
      <c r="AF1009" s="249">
        <v>31</v>
      </c>
      <c r="AG1009" s="249">
        <v>37</v>
      </c>
      <c r="AH1009" s="249">
        <v>35</v>
      </c>
      <c r="AI1009" s="249">
        <v>39</v>
      </c>
      <c r="AJ1009" s="249">
        <v>42</v>
      </c>
      <c r="AK1009" s="249">
        <v>39</v>
      </c>
      <c r="AL1009" s="249">
        <v>43</v>
      </c>
      <c r="AM1009" s="249">
        <v>38</v>
      </c>
      <c r="AN1009" s="249">
        <v>42</v>
      </c>
      <c r="AO1009" s="273">
        <v>45</v>
      </c>
      <c r="AP1009" s="273">
        <v>29</v>
      </c>
      <c r="AQ1009" s="273">
        <v>38</v>
      </c>
      <c r="AR1009" s="273">
        <v>41</v>
      </c>
      <c r="AS1009" s="273">
        <v>50</v>
      </c>
      <c r="AT1009" s="273">
        <v>49</v>
      </c>
      <c r="AU1009" s="273">
        <v>58</v>
      </c>
      <c r="AV1009" s="273">
        <f t="shared" si="85"/>
        <v>58</v>
      </c>
      <c r="AX1009" s="86" t="str">
        <f t="shared" ca="1" si="84"/>
        <v>AZN</v>
      </c>
    </row>
    <row r="1010" spans="1:50" hidden="1">
      <c r="A1010" s="86" t="str">
        <f t="shared" ca="1" si="83"/>
        <v>BLDP</v>
      </c>
      <c r="C1010" s="1">
        <v>11</v>
      </c>
      <c r="F1010" s="253">
        <v>6926072</v>
      </c>
      <c r="G1010" s="253">
        <v>5973196</v>
      </c>
      <c r="H1010" s="253">
        <v>5951226</v>
      </c>
      <c r="I1010" s="253">
        <v>6227306</v>
      </c>
      <c r="J1010" s="253">
        <v>1910</v>
      </c>
      <c r="K1010" s="253">
        <v>1386305</v>
      </c>
      <c r="L1010" s="253">
        <v>3521628</v>
      </c>
      <c r="M1010" s="253">
        <v>6869457</v>
      </c>
      <c r="N1010" s="253">
        <v>1897153</v>
      </c>
      <c r="O1010" s="253">
        <v>3896223</v>
      </c>
      <c r="P1010" s="253">
        <v>2998367</v>
      </c>
      <c r="Q1010" s="253">
        <v>4212889</v>
      </c>
      <c r="R1010" s="253">
        <v>4428521</v>
      </c>
      <c r="S1010" s="253">
        <v>674052</v>
      </c>
      <c r="T1010" s="253">
        <v>4283654</v>
      </c>
      <c r="U1010" s="253">
        <v>1350909</v>
      </c>
      <c r="V1010" s="253">
        <v>3682150</v>
      </c>
      <c r="W1010" s="253">
        <v>1093121</v>
      </c>
      <c r="X1010" s="253">
        <v>3252929</v>
      </c>
      <c r="Y1010" s="253">
        <v>3820271</v>
      </c>
      <c r="Z1010" s="245">
        <f ca="1">[1]ExtEntry!$P11</f>
        <v>3820271</v>
      </c>
      <c r="AB1010" s="273">
        <v>37</v>
      </c>
      <c r="AC1010" s="273">
        <v>36</v>
      </c>
      <c r="AD1010" s="273">
        <v>28</v>
      </c>
      <c r="AE1010" s="249">
        <v>26</v>
      </c>
      <c r="AF1010" s="249">
        <v>18</v>
      </c>
      <c r="AG1010" s="249">
        <v>12</v>
      </c>
      <c r="AH1010" s="249">
        <v>17</v>
      </c>
      <c r="AI1010" s="249">
        <v>26</v>
      </c>
      <c r="AJ1010" s="249">
        <v>26</v>
      </c>
      <c r="AK1010" s="249">
        <v>19</v>
      </c>
      <c r="AL1010" s="249">
        <v>24</v>
      </c>
      <c r="AM1010" s="249">
        <v>22</v>
      </c>
      <c r="AN1010" s="249">
        <v>28</v>
      </c>
      <c r="AO1010" s="273">
        <v>40</v>
      </c>
      <c r="AP1010" s="273">
        <v>30</v>
      </c>
      <c r="AQ1010" s="273">
        <v>33</v>
      </c>
      <c r="AR1010" s="273">
        <v>40</v>
      </c>
      <c r="AS1010" s="273">
        <v>47</v>
      </c>
      <c r="AT1010" s="273">
        <v>46</v>
      </c>
      <c r="AU1010" s="273">
        <v>57</v>
      </c>
      <c r="AV1010" s="273">
        <f t="shared" si="85"/>
        <v>57</v>
      </c>
      <c r="AX1010" s="86" t="str">
        <f t="shared" ca="1" si="84"/>
        <v>BLDP</v>
      </c>
    </row>
    <row r="1011" spans="1:50" hidden="1">
      <c r="A1011" s="86" t="str">
        <f t="shared" ca="1" si="83"/>
        <v>BMRA</v>
      </c>
      <c r="C1011" s="1">
        <v>12</v>
      </c>
      <c r="F1011" s="253">
        <v>16669</v>
      </c>
      <c r="G1011" s="253">
        <v>26519</v>
      </c>
      <c r="H1011" s="253">
        <v>23410</v>
      </c>
      <c r="I1011" s="253">
        <v>17330</v>
      </c>
      <c r="J1011" s="253">
        <v>15955</v>
      </c>
      <c r="K1011" s="253">
        <v>3231</v>
      </c>
      <c r="L1011" s="253">
        <v>13250</v>
      </c>
      <c r="M1011" s="253">
        <v>13177</v>
      </c>
      <c r="N1011" s="253">
        <v>4240</v>
      </c>
      <c r="O1011" s="253">
        <v>5291</v>
      </c>
      <c r="P1011" s="253">
        <v>4549</v>
      </c>
      <c r="Q1011" s="253">
        <v>24840</v>
      </c>
      <c r="R1011" s="253">
        <v>8399</v>
      </c>
      <c r="S1011" s="253">
        <v>5691</v>
      </c>
      <c r="T1011" s="253">
        <v>24510</v>
      </c>
      <c r="U1011" s="253">
        <v>6062</v>
      </c>
      <c r="V1011" s="253">
        <v>8616</v>
      </c>
      <c r="W1011" s="253">
        <v>1544</v>
      </c>
      <c r="X1011" s="253">
        <v>7901</v>
      </c>
      <c r="Y1011" s="253">
        <v>53970</v>
      </c>
      <c r="Z1011" s="245">
        <f ca="1">[1]ExtEntry!$P12</f>
        <v>53970</v>
      </c>
      <c r="AB1011" s="273">
        <v>50</v>
      </c>
      <c r="AC1011" s="273">
        <v>50</v>
      </c>
      <c r="AD1011" s="273">
        <v>60</v>
      </c>
      <c r="AE1011" s="249">
        <v>56</v>
      </c>
      <c r="AF1011" s="249">
        <v>50</v>
      </c>
      <c r="AG1011" s="249">
        <v>58</v>
      </c>
      <c r="AH1011" s="249">
        <v>59</v>
      </c>
      <c r="AI1011" s="249">
        <v>72</v>
      </c>
      <c r="AJ1011" s="249">
        <v>74</v>
      </c>
      <c r="AK1011" s="249">
        <v>73</v>
      </c>
      <c r="AL1011" s="249">
        <v>70</v>
      </c>
      <c r="AM1011" s="249">
        <v>67</v>
      </c>
      <c r="AN1011" s="249">
        <v>66</v>
      </c>
      <c r="AO1011" s="273">
        <v>73</v>
      </c>
      <c r="AP1011" s="273">
        <v>78</v>
      </c>
      <c r="AQ1011" s="273">
        <v>83</v>
      </c>
      <c r="AR1011" s="273">
        <v>86</v>
      </c>
      <c r="AS1011" s="273">
        <v>88</v>
      </c>
      <c r="AT1011" s="273">
        <v>89</v>
      </c>
      <c r="AU1011" s="273">
        <v>88</v>
      </c>
      <c r="AV1011" s="273">
        <f t="shared" si="85"/>
        <v>88</v>
      </c>
      <c r="AX1011" s="86" t="str">
        <f t="shared" ca="1" si="84"/>
        <v>BMRA</v>
      </c>
    </row>
    <row r="1012" spans="1:50" hidden="1">
      <c r="A1012" s="86" t="str">
        <f t="shared" ca="1" si="83"/>
        <v>C</v>
      </c>
      <c r="C1012" s="1">
        <v>13</v>
      </c>
      <c r="F1012" s="253">
        <v>9990774</v>
      </c>
      <c r="G1012" s="253">
        <v>6615580</v>
      </c>
      <c r="H1012" s="253">
        <v>11541881</v>
      </c>
      <c r="I1012" s="253">
        <v>10133803</v>
      </c>
      <c r="J1012" s="253">
        <v>922</v>
      </c>
      <c r="K1012" s="253">
        <v>3598978</v>
      </c>
      <c r="L1012" s="253">
        <v>7405204</v>
      </c>
      <c r="M1012" s="253">
        <v>10528542</v>
      </c>
      <c r="N1012" s="253">
        <v>5096018</v>
      </c>
      <c r="O1012" s="253">
        <v>11384362</v>
      </c>
      <c r="P1012" s="253">
        <v>5864922</v>
      </c>
      <c r="Q1012" s="253">
        <v>3734772</v>
      </c>
      <c r="R1012" s="253">
        <v>5641880</v>
      </c>
      <c r="S1012" s="253">
        <v>1692974</v>
      </c>
      <c r="T1012" s="253">
        <v>13816312</v>
      </c>
      <c r="U1012" s="253">
        <v>5117628</v>
      </c>
      <c r="V1012" s="253">
        <v>14936313</v>
      </c>
      <c r="W1012" s="253">
        <v>3741493</v>
      </c>
      <c r="X1012" s="253">
        <v>16583365</v>
      </c>
      <c r="Y1012" s="253">
        <v>10073512</v>
      </c>
      <c r="Z1012" s="245">
        <f ca="1">[1]ExtEntry!$P13</f>
        <v>10073512</v>
      </c>
      <c r="AB1012" s="273">
        <v>66</v>
      </c>
      <c r="AC1012" s="273">
        <v>56</v>
      </c>
      <c r="AD1012" s="273">
        <v>59</v>
      </c>
      <c r="AE1012" s="249">
        <v>57</v>
      </c>
      <c r="AF1012" s="249">
        <v>51</v>
      </c>
      <c r="AG1012" s="249">
        <v>56</v>
      </c>
      <c r="AH1012" s="249">
        <v>45</v>
      </c>
      <c r="AI1012" s="249">
        <v>51</v>
      </c>
      <c r="AJ1012" s="249">
        <v>52</v>
      </c>
      <c r="AK1012" s="249">
        <v>50</v>
      </c>
      <c r="AL1012" s="249">
        <v>50</v>
      </c>
      <c r="AM1012" s="249">
        <v>42</v>
      </c>
      <c r="AN1012" s="249">
        <v>39</v>
      </c>
      <c r="AO1012" s="273">
        <v>50</v>
      </c>
      <c r="AP1012" s="273">
        <v>55</v>
      </c>
      <c r="AQ1012" s="273">
        <v>59</v>
      </c>
      <c r="AR1012" s="273">
        <v>61</v>
      </c>
      <c r="AS1012" s="273">
        <v>62</v>
      </c>
      <c r="AT1012" s="273">
        <v>67</v>
      </c>
      <c r="AU1012" s="273">
        <v>57</v>
      </c>
      <c r="AV1012" s="273">
        <f t="shared" si="85"/>
        <v>57</v>
      </c>
      <c r="AX1012" s="86" t="str">
        <f t="shared" ca="1" si="84"/>
        <v>C</v>
      </c>
    </row>
    <row r="1013" spans="1:50" hidden="1">
      <c r="A1013" s="86" t="str">
        <f t="shared" ca="1" si="83"/>
        <v>CSCO</v>
      </c>
      <c r="C1013" s="1">
        <v>14</v>
      </c>
      <c r="F1013" s="253">
        <v>16110965</v>
      </c>
      <c r="G1013" s="253">
        <v>10058047</v>
      </c>
      <c r="H1013" s="253">
        <v>11027746</v>
      </c>
      <c r="I1013" s="253">
        <v>38797181</v>
      </c>
      <c r="J1013" s="253">
        <v>225</v>
      </c>
      <c r="K1013" s="253">
        <v>9165480</v>
      </c>
      <c r="L1013" s="253">
        <v>15347437</v>
      </c>
      <c r="M1013" s="253">
        <v>14760255</v>
      </c>
      <c r="N1013" s="253">
        <v>7679375</v>
      </c>
      <c r="O1013" s="253">
        <v>15972623</v>
      </c>
      <c r="P1013" s="253">
        <v>7319370</v>
      </c>
      <c r="Q1013" s="253">
        <v>5879502</v>
      </c>
      <c r="R1013" s="253">
        <v>10284378</v>
      </c>
      <c r="S1013" s="253">
        <v>3822195</v>
      </c>
      <c r="T1013" s="253">
        <v>15417464</v>
      </c>
      <c r="U1013" s="253">
        <v>4687126</v>
      </c>
      <c r="V1013" s="253">
        <v>12579353</v>
      </c>
      <c r="W1013" s="253">
        <v>6058442</v>
      </c>
      <c r="X1013" s="253">
        <v>21300193</v>
      </c>
      <c r="Y1013" s="253">
        <v>18354203</v>
      </c>
      <c r="Z1013" s="245">
        <f ca="1">[1]ExtEntry!$P14</f>
        <v>18354203</v>
      </c>
      <c r="AB1013" s="273">
        <v>45</v>
      </c>
      <c r="AC1013" s="273">
        <v>39</v>
      </c>
      <c r="AD1013" s="273">
        <v>36</v>
      </c>
      <c r="AE1013" s="249">
        <v>24</v>
      </c>
      <c r="AF1013" s="249">
        <v>23</v>
      </c>
      <c r="AG1013" s="249">
        <v>17</v>
      </c>
      <c r="AH1013" s="249">
        <v>18</v>
      </c>
      <c r="AI1013" s="249">
        <v>31</v>
      </c>
      <c r="AJ1013" s="249">
        <v>39</v>
      </c>
      <c r="AK1013" s="249">
        <v>41</v>
      </c>
      <c r="AL1013" s="249">
        <v>41</v>
      </c>
      <c r="AM1013" s="249">
        <v>40</v>
      </c>
      <c r="AN1013" s="249">
        <v>48</v>
      </c>
      <c r="AO1013" s="273">
        <v>47</v>
      </c>
      <c r="AP1013" s="273">
        <v>36</v>
      </c>
      <c r="AQ1013" s="273">
        <v>36</v>
      </c>
      <c r="AR1013" s="273">
        <v>32</v>
      </c>
      <c r="AS1013" s="273">
        <v>44</v>
      </c>
      <c r="AT1013" s="273">
        <v>48</v>
      </c>
      <c r="AU1013" s="273">
        <v>58</v>
      </c>
      <c r="AV1013" s="273">
        <f t="shared" si="85"/>
        <v>58</v>
      </c>
      <c r="AX1013" s="86" t="str">
        <f t="shared" ca="1" si="84"/>
        <v>CSCO</v>
      </c>
    </row>
    <row r="1014" spans="1:50" hidden="1">
      <c r="A1014" s="86" t="str">
        <f t="shared" ca="1" si="83"/>
        <v>CVS</v>
      </c>
      <c r="C1014" s="1">
        <v>15</v>
      </c>
      <c r="F1014" s="253">
        <v>6078942</v>
      </c>
      <c r="G1014" s="253">
        <v>3569548</v>
      </c>
      <c r="H1014" s="253">
        <v>2829568</v>
      </c>
      <c r="I1014" s="253">
        <v>5170865</v>
      </c>
      <c r="J1014" s="253">
        <v>106</v>
      </c>
      <c r="K1014" s="253">
        <v>2203348</v>
      </c>
      <c r="L1014" s="253">
        <v>1878406</v>
      </c>
      <c r="M1014" s="253">
        <v>3896627</v>
      </c>
      <c r="N1014" s="253">
        <v>2831555</v>
      </c>
      <c r="O1014" s="253">
        <v>7976463</v>
      </c>
      <c r="P1014" s="253">
        <v>2292073</v>
      </c>
      <c r="Q1014" s="253">
        <v>2462589</v>
      </c>
      <c r="R1014" s="253">
        <v>5715060</v>
      </c>
      <c r="S1014" s="253">
        <v>1039526</v>
      </c>
      <c r="T1014" s="253">
        <v>7616007</v>
      </c>
      <c r="U1014" s="253">
        <v>3115071</v>
      </c>
      <c r="V1014" s="253">
        <v>7768387</v>
      </c>
      <c r="W1014" s="253">
        <v>7066155</v>
      </c>
      <c r="X1014" s="253">
        <v>14870116</v>
      </c>
      <c r="Y1014" s="253">
        <v>10705888</v>
      </c>
      <c r="Z1014" s="245">
        <f ca="1">[1]ExtEntry!$P15</f>
        <v>10705888</v>
      </c>
      <c r="AB1014" s="273">
        <v>37</v>
      </c>
      <c r="AC1014" s="273">
        <v>30</v>
      </c>
      <c r="AD1014" s="273">
        <v>30</v>
      </c>
      <c r="AE1014" s="249">
        <v>31</v>
      </c>
      <c r="AF1014" s="249">
        <v>10</v>
      </c>
      <c r="AG1014" s="249">
        <v>12</v>
      </c>
      <c r="AH1014" s="249">
        <v>15</v>
      </c>
      <c r="AI1014" s="249">
        <v>24</v>
      </c>
      <c r="AJ1014" s="249">
        <v>21</v>
      </c>
      <c r="AK1014" s="249">
        <v>20</v>
      </c>
      <c r="AL1014" s="249">
        <v>24</v>
      </c>
      <c r="AM1014" s="249">
        <v>14</v>
      </c>
      <c r="AN1014" s="249">
        <v>21</v>
      </c>
      <c r="AO1014" s="273">
        <v>29</v>
      </c>
      <c r="AP1014" s="273">
        <v>42</v>
      </c>
      <c r="AQ1014" s="273">
        <v>64</v>
      </c>
      <c r="AR1014" s="273">
        <v>57</v>
      </c>
      <c r="AS1014" s="273">
        <v>38</v>
      </c>
      <c r="AT1014" s="273">
        <v>38</v>
      </c>
      <c r="AU1014" s="273">
        <v>49</v>
      </c>
      <c r="AV1014" s="273">
        <f t="shared" si="85"/>
        <v>49</v>
      </c>
      <c r="AX1014" s="86" t="str">
        <f t="shared" ca="1" si="84"/>
        <v>CVS</v>
      </c>
    </row>
    <row r="1015" spans="1:50" hidden="1">
      <c r="A1015" s="86" t="str">
        <f t="shared" ca="1" si="83"/>
        <v>DDD</v>
      </c>
      <c r="C1015" s="1">
        <v>16</v>
      </c>
      <c r="F1015" s="253">
        <v>5452199</v>
      </c>
      <c r="G1015" s="253">
        <v>3698414</v>
      </c>
      <c r="H1015" s="253">
        <v>2472948</v>
      </c>
      <c r="I1015" s="253">
        <v>1688130</v>
      </c>
      <c r="J1015" s="253">
        <v>10</v>
      </c>
      <c r="K1015" s="253">
        <v>740466</v>
      </c>
      <c r="L1015" s="253">
        <v>2211108</v>
      </c>
      <c r="M1015" s="253">
        <v>4238259</v>
      </c>
      <c r="N1015" s="253">
        <v>741389</v>
      </c>
      <c r="O1015" s="253">
        <v>1427107</v>
      </c>
      <c r="P1015" s="253">
        <v>820581</v>
      </c>
      <c r="Q1015" s="253">
        <v>656227</v>
      </c>
      <c r="R1015" s="253">
        <v>1065063</v>
      </c>
      <c r="S1015" s="253">
        <v>282358</v>
      </c>
      <c r="T1015" s="253">
        <v>1563430</v>
      </c>
      <c r="U1015" s="253">
        <v>633490</v>
      </c>
      <c r="V1015" s="253">
        <v>1290358</v>
      </c>
      <c r="W1015" s="253">
        <v>9242459</v>
      </c>
      <c r="X1015" s="253">
        <v>5347521</v>
      </c>
      <c r="Y1015" s="253">
        <v>4567106</v>
      </c>
      <c r="Z1015" s="245">
        <f ca="1">[1]ExtEntry!$P16</f>
        <v>4567106</v>
      </c>
      <c r="AB1015" s="273">
        <v>50</v>
      </c>
      <c r="AC1015" s="273">
        <v>44</v>
      </c>
      <c r="AD1015" s="273">
        <v>51</v>
      </c>
      <c r="AE1015" s="249">
        <v>41</v>
      </c>
      <c r="AF1015" s="249">
        <v>39</v>
      </c>
      <c r="AG1015" s="249">
        <v>24</v>
      </c>
      <c r="AH1015" s="249">
        <v>23</v>
      </c>
      <c r="AI1015" s="249">
        <v>35</v>
      </c>
      <c r="AJ1015" s="249">
        <v>38</v>
      </c>
      <c r="AK1015" s="249">
        <v>42</v>
      </c>
      <c r="AL1015" s="249">
        <v>44</v>
      </c>
      <c r="AM1015" s="249">
        <v>54</v>
      </c>
      <c r="AN1015" s="249">
        <v>42</v>
      </c>
      <c r="AO1015" s="273">
        <v>44</v>
      </c>
      <c r="AP1015" s="273">
        <v>48</v>
      </c>
      <c r="AQ1015" s="273">
        <v>49</v>
      </c>
      <c r="AR1015" s="273">
        <v>47</v>
      </c>
      <c r="AS1015" s="273">
        <v>50</v>
      </c>
      <c r="AT1015" s="273">
        <v>55</v>
      </c>
      <c r="AU1015" s="273">
        <v>65</v>
      </c>
      <c r="AV1015" s="273">
        <f t="shared" si="85"/>
        <v>65</v>
      </c>
      <c r="AX1015" s="86" t="str">
        <f t="shared" ca="1" si="84"/>
        <v>DDD</v>
      </c>
    </row>
    <row r="1016" spans="1:50" hidden="1">
      <c r="A1016" s="86" t="str">
        <f t="shared" ca="1" si="83"/>
        <v>DIS</v>
      </c>
      <c r="C1016" s="1">
        <v>17</v>
      </c>
      <c r="F1016" s="253">
        <v>5745085</v>
      </c>
      <c r="G1016" s="253">
        <v>7417653</v>
      </c>
      <c r="H1016" s="253">
        <v>6540930</v>
      </c>
      <c r="I1016" s="253">
        <v>16641122</v>
      </c>
      <c r="J1016" s="253">
        <v>1321</v>
      </c>
      <c r="K1016" s="253">
        <v>4473165</v>
      </c>
      <c r="L1016" s="253">
        <v>5729614</v>
      </c>
      <c r="M1016" s="253">
        <v>7174500</v>
      </c>
      <c r="N1016" s="253">
        <v>4880464</v>
      </c>
      <c r="O1016" s="253">
        <v>10130217</v>
      </c>
      <c r="P1016" s="253">
        <v>6522648</v>
      </c>
      <c r="Q1016" s="253">
        <v>6010372</v>
      </c>
      <c r="R1016" s="253">
        <v>5751818</v>
      </c>
      <c r="S1016" s="253">
        <v>1662759</v>
      </c>
      <c r="T1016" s="253">
        <v>9816057</v>
      </c>
      <c r="U1016" s="253">
        <v>3308022</v>
      </c>
      <c r="V1016" s="253">
        <v>10680060</v>
      </c>
      <c r="W1016" s="253">
        <v>3642304</v>
      </c>
      <c r="X1016" s="253">
        <v>11236614</v>
      </c>
      <c r="Y1016" s="253">
        <v>11811435</v>
      </c>
      <c r="Z1016" s="245">
        <f ca="1">[1]ExtEntry!$P17</f>
        <v>11811435</v>
      </c>
      <c r="AB1016" s="273">
        <v>25</v>
      </c>
      <c r="AC1016" s="273">
        <v>18</v>
      </c>
      <c r="AD1016" s="273">
        <v>13</v>
      </c>
      <c r="AE1016" s="249">
        <v>13</v>
      </c>
      <c r="AF1016" s="249">
        <v>7</v>
      </c>
      <c r="AG1016" s="249">
        <v>4</v>
      </c>
      <c r="AH1016" s="249">
        <v>4</v>
      </c>
      <c r="AI1016" s="249">
        <v>6</v>
      </c>
      <c r="AJ1016" s="249">
        <v>20</v>
      </c>
      <c r="AK1016" s="249">
        <v>23</v>
      </c>
      <c r="AL1016" s="249">
        <v>25</v>
      </c>
      <c r="AM1016" s="249">
        <v>27</v>
      </c>
      <c r="AN1016" s="249">
        <v>22</v>
      </c>
      <c r="AO1016" s="273">
        <v>25</v>
      </c>
      <c r="AP1016" s="273">
        <v>26</v>
      </c>
      <c r="AQ1016" s="273">
        <v>48</v>
      </c>
      <c r="AR1016" s="273">
        <v>46</v>
      </c>
      <c r="AS1016" s="273">
        <v>48</v>
      </c>
      <c r="AT1016" s="273">
        <v>41</v>
      </c>
      <c r="AU1016" s="273">
        <v>39</v>
      </c>
      <c r="AV1016" s="273">
        <f t="shared" si="85"/>
        <v>39</v>
      </c>
      <c r="AX1016" s="86" t="str">
        <f t="shared" ca="1" si="84"/>
        <v>DIS</v>
      </c>
    </row>
    <row r="1017" spans="1:50" hidden="1">
      <c r="A1017" s="86" t="str">
        <f t="shared" ca="1" si="83"/>
        <v>DSY</v>
      </c>
      <c r="C1017" s="1">
        <v>18</v>
      </c>
      <c r="F1017" s="253">
        <v>1361709</v>
      </c>
      <c r="G1017" s="253">
        <v>1938122</v>
      </c>
      <c r="H1017" s="253">
        <v>2490088</v>
      </c>
      <c r="I1017" s="253">
        <v>2292624</v>
      </c>
      <c r="J1017" s="253">
        <v>198159</v>
      </c>
      <c r="K1017" s="253">
        <v>2756148</v>
      </c>
      <c r="L1017" s="253">
        <v>2427506</v>
      </c>
      <c r="M1017" s="253">
        <v>3865674</v>
      </c>
      <c r="N1017" s="253">
        <v>2556960</v>
      </c>
      <c r="O1017" s="253">
        <v>1199289</v>
      </c>
      <c r="P1017" s="253">
        <v>1324558</v>
      </c>
      <c r="Q1017" s="253">
        <v>2167184</v>
      </c>
      <c r="R1017" s="253">
        <v>2795063</v>
      </c>
      <c r="S1017" s="253">
        <v>900391</v>
      </c>
      <c r="T1017" s="253">
        <v>2241010</v>
      </c>
      <c r="U1017" s="253">
        <v>2435126</v>
      </c>
      <c r="V1017" s="253">
        <v>2616091</v>
      </c>
      <c r="W1017" s="253">
        <v>1750206</v>
      </c>
      <c r="X1017" s="253">
        <v>1933792</v>
      </c>
      <c r="Y1017" s="253">
        <v>2277813</v>
      </c>
      <c r="Z1017" s="245">
        <f ca="1">[1]ExtEntry!$P18</f>
        <v>2277813</v>
      </c>
      <c r="AB1017" s="273">
        <v>46</v>
      </c>
      <c r="AC1017" s="273">
        <v>48</v>
      </c>
      <c r="AD1017" s="273">
        <v>54</v>
      </c>
      <c r="AE1017" s="249">
        <v>49</v>
      </c>
      <c r="AF1017" s="249">
        <v>41</v>
      </c>
      <c r="AG1017" s="249">
        <v>37</v>
      </c>
      <c r="AH1017" s="249">
        <v>34</v>
      </c>
      <c r="AI1017" s="249">
        <v>48</v>
      </c>
      <c r="AJ1017" s="249">
        <v>47</v>
      </c>
      <c r="AK1017" s="249">
        <v>42</v>
      </c>
      <c r="AL1017" s="249">
        <v>41</v>
      </c>
      <c r="AM1017" s="249">
        <v>43</v>
      </c>
      <c r="AN1017" s="249">
        <v>61</v>
      </c>
      <c r="AO1017" s="273">
        <v>60</v>
      </c>
      <c r="AP1017" s="273">
        <v>54</v>
      </c>
      <c r="AQ1017" s="273">
        <v>50</v>
      </c>
      <c r="AR1017" s="273">
        <v>45</v>
      </c>
      <c r="AS1017" s="273">
        <v>47</v>
      </c>
      <c r="AT1017" s="273">
        <v>55</v>
      </c>
      <c r="AU1017" s="273">
        <v>64</v>
      </c>
      <c r="AV1017" s="273">
        <f t="shared" si="85"/>
        <v>64</v>
      </c>
      <c r="AX1017" s="86" t="str">
        <f t="shared" ca="1" si="84"/>
        <v>DSY</v>
      </c>
    </row>
    <row r="1018" spans="1:50" hidden="1">
      <c r="A1018" s="86" t="str">
        <f t="shared" ca="1" si="83"/>
        <v>DVA</v>
      </c>
      <c r="C1018" s="1">
        <v>19</v>
      </c>
      <c r="F1018" s="253">
        <v>936632</v>
      </c>
      <c r="G1018" s="253">
        <v>660273</v>
      </c>
      <c r="H1018" s="253">
        <v>732613</v>
      </c>
      <c r="I1018" s="253">
        <v>684479</v>
      </c>
      <c r="J1018" s="253">
        <v>788396</v>
      </c>
      <c r="K1018" s="253">
        <v>233275</v>
      </c>
      <c r="L1018" s="253">
        <v>370737</v>
      </c>
      <c r="M1018" s="253">
        <v>707543</v>
      </c>
      <c r="N1018" s="253">
        <v>206398</v>
      </c>
      <c r="O1018" s="253">
        <v>536757</v>
      </c>
      <c r="P1018" s="253">
        <v>503450</v>
      </c>
      <c r="Q1018" s="253">
        <v>214991</v>
      </c>
      <c r="R1018" s="253">
        <v>440887</v>
      </c>
      <c r="S1018" s="253">
        <v>61232</v>
      </c>
      <c r="T1018" s="253">
        <v>716049</v>
      </c>
      <c r="U1018" s="253">
        <v>202639</v>
      </c>
      <c r="V1018" s="253">
        <v>620142</v>
      </c>
      <c r="W1018" s="253">
        <v>166478</v>
      </c>
      <c r="X1018" s="253">
        <v>969423</v>
      </c>
      <c r="Y1018" s="253">
        <v>1043661</v>
      </c>
      <c r="Z1018" s="245">
        <f ca="1">[1]ExtEntry!$P19</f>
        <v>1043661</v>
      </c>
      <c r="AB1018" s="273">
        <v>59</v>
      </c>
      <c r="AC1018" s="273">
        <v>62</v>
      </c>
      <c r="AD1018" s="273">
        <v>56</v>
      </c>
      <c r="AE1018" s="249">
        <v>47</v>
      </c>
      <c r="AF1018" s="249">
        <v>40</v>
      </c>
      <c r="AG1018" s="249">
        <v>32</v>
      </c>
      <c r="AH1018" s="249">
        <v>31</v>
      </c>
      <c r="AI1018" s="249">
        <v>43</v>
      </c>
      <c r="AJ1018" s="249">
        <v>42</v>
      </c>
      <c r="AK1018" s="249">
        <v>40</v>
      </c>
      <c r="AL1018" s="249">
        <v>44</v>
      </c>
      <c r="AM1018" s="249">
        <v>49</v>
      </c>
      <c r="AN1018" s="249">
        <v>54</v>
      </c>
      <c r="AO1018" s="273">
        <v>51</v>
      </c>
      <c r="AP1018" s="273">
        <v>49</v>
      </c>
      <c r="AQ1018" s="273">
        <v>55</v>
      </c>
      <c r="AR1018" s="273">
        <v>67</v>
      </c>
      <c r="AS1018" s="273">
        <v>84</v>
      </c>
      <c r="AT1018" s="273">
        <v>92</v>
      </c>
      <c r="AU1018" s="273">
        <v>96</v>
      </c>
      <c r="AV1018" s="273">
        <f t="shared" si="85"/>
        <v>96</v>
      </c>
      <c r="AX1018" s="86" t="str">
        <f t="shared" ca="1" si="84"/>
        <v>DVA</v>
      </c>
    </row>
    <row r="1019" spans="1:50" hidden="1">
      <c r="A1019" s="86" t="str">
        <f t="shared" ca="1" si="83"/>
        <v>DXC</v>
      </c>
      <c r="C1019" s="1">
        <v>20</v>
      </c>
      <c r="F1019" s="253">
        <v>2522383</v>
      </c>
      <c r="G1019" s="253">
        <v>1361014</v>
      </c>
      <c r="H1019" s="253">
        <v>1154850</v>
      </c>
      <c r="I1019" s="253">
        <v>2392852</v>
      </c>
      <c r="J1019" s="253">
        <v>328</v>
      </c>
      <c r="K1019" s="253">
        <v>479280</v>
      </c>
      <c r="L1019" s="253">
        <v>1012099</v>
      </c>
      <c r="M1019" s="253">
        <v>1310021</v>
      </c>
      <c r="N1019" s="253">
        <v>387062</v>
      </c>
      <c r="O1019" s="253">
        <v>1975963</v>
      </c>
      <c r="P1019" s="253">
        <v>1128934</v>
      </c>
      <c r="Q1019" s="253">
        <v>435298</v>
      </c>
      <c r="R1019" s="253">
        <v>1674029</v>
      </c>
      <c r="S1019" s="253">
        <v>148858</v>
      </c>
      <c r="T1019" s="253">
        <v>1615460</v>
      </c>
      <c r="U1019" s="253">
        <v>467940</v>
      </c>
      <c r="V1019" s="253">
        <v>2048717</v>
      </c>
      <c r="W1019" s="253">
        <v>1129007</v>
      </c>
      <c r="X1019" s="253">
        <v>2776392</v>
      </c>
      <c r="Y1019" s="253">
        <v>2459055</v>
      </c>
      <c r="Z1019" s="245">
        <f ca="1">[1]ExtEntry!$P20</f>
        <v>2459055</v>
      </c>
      <c r="AB1019" s="273">
        <v>42</v>
      </c>
      <c r="AC1019" s="273">
        <v>46</v>
      </c>
      <c r="AD1019" s="273">
        <v>46</v>
      </c>
      <c r="AE1019" s="249">
        <v>46</v>
      </c>
      <c r="AF1019" s="249">
        <v>38</v>
      </c>
      <c r="AG1019" s="249">
        <v>38</v>
      </c>
      <c r="AH1019" s="249">
        <v>49</v>
      </c>
      <c r="AI1019" s="249">
        <v>64</v>
      </c>
      <c r="AJ1019" s="249">
        <v>72</v>
      </c>
      <c r="AK1019" s="249">
        <v>62</v>
      </c>
      <c r="AL1019" s="249">
        <v>62</v>
      </c>
      <c r="AM1019" s="249">
        <v>53</v>
      </c>
      <c r="AN1019" s="249">
        <v>57</v>
      </c>
      <c r="AO1019" s="273">
        <v>75</v>
      </c>
      <c r="AP1019" s="273">
        <v>79</v>
      </c>
      <c r="AQ1019" s="273">
        <v>68</v>
      </c>
      <c r="AR1019" s="273">
        <v>63</v>
      </c>
      <c r="AS1019" s="273">
        <v>64</v>
      </c>
      <c r="AT1019" s="273">
        <v>66</v>
      </c>
      <c r="AU1019" s="273">
        <v>54</v>
      </c>
      <c r="AV1019" s="273">
        <f t="shared" si="85"/>
        <v>54</v>
      </c>
      <c r="AX1019" s="86" t="str">
        <f t="shared" ca="1" si="84"/>
        <v>DXC</v>
      </c>
    </row>
    <row r="1020" spans="1:50" hidden="1">
      <c r="A1020" s="86" t="str">
        <f t="shared" ca="1" si="83"/>
        <v>EOAN</v>
      </c>
      <c r="C1020" s="1">
        <v>21</v>
      </c>
      <c r="F1020" s="253">
        <v>4253</v>
      </c>
      <c r="G1020" s="253">
        <v>3978</v>
      </c>
      <c r="H1020" s="253">
        <v>3946</v>
      </c>
      <c r="I1020" s="253">
        <v>18670</v>
      </c>
      <c r="J1020" s="253">
        <v>502</v>
      </c>
      <c r="K1020" s="253">
        <v>1575</v>
      </c>
      <c r="L1020" s="253">
        <v>82487</v>
      </c>
      <c r="M1020" s="253">
        <v>25470</v>
      </c>
      <c r="N1020" s="253">
        <v>7313</v>
      </c>
      <c r="O1020" s="253">
        <v>12137</v>
      </c>
      <c r="P1020" s="253">
        <v>2746</v>
      </c>
      <c r="Q1020" s="253">
        <v>4498</v>
      </c>
      <c r="R1020" s="253">
        <v>7584</v>
      </c>
      <c r="S1020" s="253">
        <v>5526</v>
      </c>
      <c r="T1020" s="253">
        <v>5962</v>
      </c>
      <c r="U1020" s="253">
        <v>14245</v>
      </c>
      <c r="V1020" s="253">
        <v>4737</v>
      </c>
      <c r="W1020" s="253">
        <v>2320</v>
      </c>
      <c r="X1020" s="253">
        <v>8677</v>
      </c>
      <c r="Y1020" s="253">
        <v>29923</v>
      </c>
      <c r="Z1020" s="245">
        <f ca="1">[1]ExtEntry!$P21</f>
        <v>29923</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5"/>
        <v>#DIV/0!</v>
      </c>
      <c r="AX1020" s="86" t="str">
        <f t="shared" ca="1" si="84"/>
        <v>EOAN</v>
      </c>
    </row>
    <row r="1021" spans="1:50" hidden="1">
      <c r="A1021" s="86" t="str">
        <f t="shared" ca="1" si="83"/>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83</v>
      </c>
      <c r="AC1021" s="273">
        <v>83</v>
      </c>
      <c r="AD1021" s="273">
        <v>86</v>
      </c>
      <c r="AE1021" s="249">
        <v>79</v>
      </c>
      <c r="AF1021" s="249">
        <v>81</v>
      </c>
      <c r="AG1021" s="249">
        <v>71</v>
      </c>
      <c r="AH1021" s="249">
        <v>69</v>
      </c>
      <c r="AI1021" s="249">
        <v>72</v>
      </c>
      <c r="AJ1021" s="249">
        <v>75</v>
      </c>
      <c r="AK1021" s="249">
        <v>69</v>
      </c>
      <c r="AL1021" s="249">
        <v>73</v>
      </c>
      <c r="AM1021" s="249">
        <v>72</v>
      </c>
      <c r="AN1021" s="249">
        <v>76</v>
      </c>
      <c r="AO1021" s="273">
        <v>86</v>
      </c>
      <c r="AP1021" s="273">
        <v>85</v>
      </c>
      <c r="AQ1021" s="273">
        <v>86</v>
      </c>
      <c r="AR1021" s="273">
        <v>85</v>
      </c>
      <c r="AS1021" s="273">
        <v>98</v>
      </c>
      <c r="AT1021" s="273">
        <v>98</v>
      </c>
      <c r="AU1021" s="273">
        <v>98</v>
      </c>
      <c r="AV1021" s="273">
        <f t="shared" si="85"/>
        <v>98</v>
      </c>
      <c r="AX1021" s="86" t="str">
        <f t="shared" ca="1" si="84"/>
        <v>EPIX</v>
      </c>
    </row>
    <row r="1022" spans="1:50" hidden="1">
      <c r="A1022" s="86" t="str">
        <f t="shared" ca="1" si="83"/>
        <v>GM</v>
      </c>
      <c r="C1022" s="1">
        <v>23</v>
      </c>
      <c r="F1022" s="253">
        <v>7806815</v>
      </c>
      <c r="G1022" s="253">
        <v>4247020</v>
      </c>
      <c r="H1022" s="253">
        <v>5637542</v>
      </c>
      <c r="I1022" s="253">
        <v>7099967</v>
      </c>
      <c r="J1022" s="253">
        <v>396</v>
      </c>
      <c r="K1022" s="253">
        <v>3146190</v>
      </c>
      <c r="L1022" s="253">
        <v>5591197</v>
      </c>
      <c r="M1022" s="253">
        <v>6758356</v>
      </c>
      <c r="N1022" s="253">
        <v>3837954</v>
      </c>
      <c r="O1022" s="253">
        <v>7704267</v>
      </c>
      <c r="P1022" s="253">
        <v>3754231</v>
      </c>
      <c r="Q1022" s="253">
        <v>4346049</v>
      </c>
      <c r="R1022" s="253">
        <v>6455583</v>
      </c>
      <c r="S1022" s="253">
        <v>1322162</v>
      </c>
      <c r="T1022" s="253">
        <v>8384603</v>
      </c>
      <c r="U1022" s="253">
        <v>4194348</v>
      </c>
      <c r="V1022" s="253">
        <v>8817795</v>
      </c>
      <c r="W1022" s="253">
        <v>3737138</v>
      </c>
      <c r="X1022" s="253">
        <v>14418498</v>
      </c>
      <c r="Y1022" s="253">
        <v>9647869</v>
      </c>
      <c r="Z1022" s="245">
        <f ca="1">[1]ExtEntry!$P23</f>
        <v>9647869</v>
      </c>
      <c r="AB1022" s="273">
        <v>41</v>
      </c>
      <c r="AC1022" s="273">
        <v>35</v>
      </c>
      <c r="AD1022" s="273">
        <v>57</v>
      </c>
      <c r="AE1022" s="249">
        <v>50</v>
      </c>
      <c r="AF1022" s="249">
        <v>47</v>
      </c>
      <c r="AG1022" s="249">
        <v>40</v>
      </c>
      <c r="AH1022" s="249">
        <v>36</v>
      </c>
      <c r="AI1022" s="249">
        <v>47</v>
      </c>
      <c r="AJ1022" s="249">
        <v>47</v>
      </c>
      <c r="AK1022" s="249">
        <v>45</v>
      </c>
      <c r="AL1022" s="249">
        <v>41</v>
      </c>
      <c r="AM1022" s="249">
        <v>39</v>
      </c>
      <c r="AN1022" s="249">
        <v>37</v>
      </c>
      <c r="AO1022" s="273">
        <v>51</v>
      </c>
      <c r="AP1022" s="273">
        <v>55</v>
      </c>
      <c r="AQ1022" s="273">
        <v>67</v>
      </c>
      <c r="AR1022" s="273">
        <v>71</v>
      </c>
      <c r="AS1022" s="273">
        <v>76</v>
      </c>
      <c r="AT1022" s="273">
        <v>84</v>
      </c>
      <c r="AU1022" s="273">
        <v>74</v>
      </c>
      <c r="AV1022" s="273">
        <f t="shared" si="85"/>
        <v>74</v>
      </c>
      <c r="AX1022" s="86" t="str">
        <f t="shared" ca="1" si="84"/>
        <v>GM</v>
      </c>
    </row>
    <row r="1023" spans="1:50" hidden="1">
      <c r="A1023" s="86" t="str">
        <f t="shared" ca="1" si="83"/>
        <v>HPE</v>
      </c>
      <c r="C1023" s="1">
        <v>24</v>
      </c>
      <c r="F1023" s="253">
        <v>27390755</v>
      </c>
      <c r="G1023" s="253">
        <v>16486979</v>
      </c>
      <c r="H1023" s="253">
        <v>19027059</v>
      </c>
      <c r="I1023" s="253">
        <v>29806171</v>
      </c>
      <c r="J1023" s="253">
        <v>375</v>
      </c>
      <c r="K1023" s="253">
        <v>7788506</v>
      </c>
      <c r="L1023" s="253">
        <v>12093753</v>
      </c>
      <c r="M1023" s="253">
        <v>12869365</v>
      </c>
      <c r="N1023" s="253">
        <v>10424280</v>
      </c>
      <c r="O1023" s="253">
        <v>19609798</v>
      </c>
      <c r="P1023" s="253">
        <v>7707466</v>
      </c>
      <c r="Q1023" s="253">
        <v>10601104</v>
      </c>
      <c r="R1023" s="253">
        <v>13345783</v>
      </c>
      <c r="S1023" s="253">
        <v>2091563</v>
      </c>
      <c r="T1023" s="253">
        <v>17840260</v>
      </c>
      <c r="U1023" s="253">
        <v>7536666</v>
      </c>
      <c r="V1023" s="253">
        <v>47409060</v>
      </c>
      <c r="W1023" s="253">
        <v>12426418</v>
      </c>
      <c r="X1023" s="253">
        <v>40645399</v>
      </c>
      <c r="Y1023" s="253">
        <v>26193736</v>
      </c>
      <c r="Z1023" s="245">
        <f ca="1">[1]ExtEntry!$P24</f>
        <v>26193736</v>
      </c>
      <c r="AB1023" s="273">
        <v>38</v>
      </c>
      <c r="AC1023" s="273">
        <v>34</v>
      </c>
      <c r="AD1023" s="273">
        <v>44</v>
      </c>
      <c r="AE1023" s="249">
        <v>38</v>
      </c>
      <c r="AF1023" s="249">
        <v>34</v>
      </c>
      <c r="AG1023" s="249">
        <v>26</v>
      </c>
      <c r="AH1023" s="249">
        <v>28</v>
      </c>
      <c r="AI1023" s="249">
        <v>50</v>
      </c>
      <c r="AJ1023" s="249">
        <v>44</v>
      </c>
      <c r="AK1023" s="249">
        <v>43</v>
      </c>
      <c r="AL1023" s="249">
        <v>45</v>
      </c>
      <c r="AM1023" s="249">
        <v>45</v>
      </c>
      <c r="AN1023" s="249">
        <v>52</v>
      </c>
      <c r="AO1023" s="273">
        <v>62</v>
      </c>
      <c r="AP1023" s="273">
        <v>57</v>
      </c>
      <c r="AQ1023" s="273">
        <v>66</v>
      </c>
      <c r="AR1023" s="273">
        <v>66</v>
      </c>
      <c r="AS1023" s="273">
        <v>73</v>
      </c>
      <c r="AT1023" s="273">
        <v>76</v>
      </c>
      <c r="AU1023" s="273">
        <v>80</v>
      </c>
      <c r="AV1023" s="273">
        <f t="shared" si="85"/>
        <v>80</v>
      </c>
      <c r="AX1023" s="86" t="str">
        <f t="shared" ca="1" si="84"/>
        <v>HPE</v>
      </c>
    </row>
    <row r="1024" spans="1:50" hidden="1">
      <c r="A1024" s="86" t="str">
        <f t="shared" ca="1" si="83"/>
        <v>HPQ</v>
      </c>
      <c r="C1024" s="1">
        <v>25</v>
      </c>
      <c r="F1024" s="253">
        <v>12247048</v>
      </c>
      <c r="G1024" s="253">
        <v>6895284</v>
      </c>
      <c r="H1024" s="253">
        <v>6260866</v>
      </c>
      <c r="I1024" s="253">
        <v>9788078</v>
      </c>
      <c r="J1024" s="253">
        <v>346</v>
      </c>
      <c r="K1024" s="253">
        <v>3121413</v>
      </c>
      <c r="L1024" s="253">
        <v>5644604</v>
      </c>
      <c r="M1024" s="253">
        <v>12928508</v>
      </c>
      <c r="N1024" s="253">
        <v>14089904</v>
      </c>
      <c r="O1024" s="253">
        <v>22163257</v>
      </c>
      <c r="P1024" s="253">
        <v>6872513</v>
      </c>
      <c r="Q1024" s="253">
        <v>4895310</v>
      </c>
      <c r="R1024" s="253">
        <v>11599165</v>
      </c>
      <c r="S1024" s="253">
        <v>2089580</v>
      </c>
      <c r="T1024" s="253">
        <v>11970501</v>
      </c>
      <c r="U1024" s="253">
        <v>3235172</v>
      </c>
      <c r="V1024" s="253">
        <v>10225377</v>
      </c>
      <c r="W1024" s="253">
        <v>4207941</v>
      </c>
      <c r="X1024" s="253">
        <v>11979861</v>
      </c>
      <c r="Y1024" s="253">
        <v>10347653</v>
      </c>
      <c r="Z1024" s="245">
        <f ca="1">[1]ExtEntry!$P25</f>
        <v>10347653</v>
      </c>
      <c r="AB1024" s="273">
        <v>63</v>
      </c>
      <c r="AC1024" s="273">
        <v>54</v>
      </c>
      <c r="AD1024" s="273">
        <v>33</v>
      </c>
      <c r="AE1024" s="249">
        <v>35</v>
      </c>
      <c r="AF1024" s="249">
        <v>32</v>
      </c>
      <c r="AG1024" s="249">
        <v>37</v>
      </c>
      <c r="AH1024" s="249">
        <v>35</v>
      </c>
      <c r="AI1024" s="249">
        <v>28</v>
      </c>
      <c r="AJ1024" s="249">
        <v>33</v>
      </c>
      <c r="AK1024" s="249">
        <v>28</v>
      </c>
      <c r="AL1024" s="249">
        <v>28</v>
      </c>
      <c r="AM1024" s="249">
        <v>25</v>
      </c>
      <c r="AN1024" s="249">
        <v>20</v>
      </c>
      <c r="AO1024" s="273">
        <v>23</v>
      </c>
      <c r="AP1024" s="273">
        <v>22</v>
      </c>
      <c r="AQ1024" s="273">
        <v>23</v>
      </c>
      <c r="AR1024" s="273">
        <v>46</v>
      </c>
      <c r="AS1024" s="273">
        <v>50</v>
      </c>
      <c r="AT1024" s="273">
        <v>49</v>
      </c>
      <c r="AU1024" s="273">
        <v>55</v>
      </c>
      <c r="AV1024" s="273">
        <f t="shared" si="85"/>
        <v>55</v>
      </c>
      <c r="AX1024" s="86" t="str">
        <f t="shared" ca="1" si="84"/>
        <v>HPQ</v>
      </c>
    </row>
    <row r="1025" spans="1:50" hidden="1">
      <c r="A1025" s="86" t="str">
        <f t="shared" ca="1" si="83"/>
        <v>IAG</v>
      </c>
      <c r="C1025" s="1">
        <v>26</v>
      </c>
      <c r="F1025" s="253">
        <v>10087501</v>
      </c>
      <c r="G1025" s="253">
        <v>21023096</v>
      </c>
      <c r="H1025" s="253">
        <v>51664851</v>
      </c>
      <c r="I1025" s="253">
        <v>11225097</v>
      </c>
      <c r="J1025" s="253">
        <v>1384879</v>
      </c>
      <c r="K1025" s="253">
        <v>17364599</v>
      </c>
      <c r="L1025" s="253">
        <v>11445087</v>
      </c>
      <c r="M1025" s="253">
        <v>9637073</v>
      </c>
      <c r="N1025" s="253">
        <v>11517265</v>
      </c>
      <c r="O1025" s="253">
        <v>9108259</v>
      </c>
      <c r="P1025" s="253">
        <v>7928402</v>
      </c>
      <c r="Q1025" s="253">
        <v>30720554</v>
      </c>
      <c r="R1025" s="253">
        <v>30765190</v>
      </c>
      <c r="S1025" s="253">
        <v>20272543</v>
      </c>
      <c r="T1025" s="253">
        <v>44568697</v>
      </c>
      <c r="U1025" s="253">
        <v>7303745</v>
      </c>
      <c r="V1025" s="253">
        <v>4530697</v>
      </c>
      <c r="W1025" s="253">
        <v>9694531</v>
      </c>
      <c r="X1025" s="253">
        <v>5879904</v>
      </c>
      <c r="Y1025" s="253">
        <v>15161710</v>
      </c>
      <c r="Z1025" s="245">
        <f ca="1">[1]ExtEntry!$P26</f>
        <v>15161710</v>
      </c>
      <c r="AB1025" s="273">
        <v>41</v>
      </c>
      <c r="AC1025" s="273">
        <v>43</v>
      </c>
      <c r="AD1025" s="273">
        <v>53</v>
      </c>
      <c r="AE1025" s="249">
        <v>57</v>
      </c>
      <c r="AF1025" s="249">
        <v>61</v>
      </c>
      <c r="AG1025" s="249">
        <v>70</v>
      </c>
      <c r="AH1025" s="249">
        <v>59</v>
      </c>
      <c r="AI1025" s="249">
        <v>57</v>
      </c>
      <c r="AJ1025" s="249">
        <v>62</v>
      </c>
      <c r="AK1025" s="249">
        <v>73</v>
      </c>
      <c r="AL1025" s="249">
        <v>72</v>
      </c>
      <c r="AM1025" s="249">
        <v>76</v>
      </c>
      <c r="AN1025" s="249">
        <v>76</v>
      </c>
      <c r="AO1025" s="273">
        <v>74</v>
      </c>
      <c r="AP1025" s="273">
        <v>72</v>
      </c>
      <c r="AQ1025" s="273">
        <v>53</v>
      </c>
      <c r="AR1025" s="273">
        <v>46</v>
      </c>
      <c r="AS1025" s="273">
        <v>40</v>
      </c>
      <c r="AT1025" s="273">
        <v>28</v>
      </c>
      <c r="AU1025" s="273">
        <v>33</v>
      </c>
      <c r="AV1025" s="273">
        <f t="shared" si="85"/>
        <v>33</v>
      </c>
      <c r="AX1025" s="86" t="str">
        <f t="shared" ca="1" si="84"/>
        <v>IAG</v>
      </c>
    </row>
    <row r="1026" spans="1:50" hidden="1">
      <c r="A1026" s="86" t="str">
        <f t="shared" ca="1" si="83"/>
        <v>KR</v>
      </c>
      <c r="C1026" s="1">
        <v>27</v>
      </c>
      <c r="F1026" s="253">
        <v>6734624</v>
      </c>
      <c r="G1026" s="253">
        <v>3578910</v>
      </c>
      <c r="H1026" s="253">
        <v>5363760</v>
      </c>
      <c r="I1026" s="253">
        <v>5323955</v>
      </c>
      <c r="J1026" s="253">
        <v>55</v>
      </c>
      <c r="K1026" s="253">
        <v>2271073</v>
      </c>
      <c r="L1026" s="253">
        <v>4457412</v>
      </c>
      <c r="M1026" s="253">
        <v>3874270</v>
      </c>
      <c r="N1026" s="253">
        <v>2716249</v>
      </c>
      <c r="O1026" s="253">
        <v>5379740</v>
      </c>
      <c r="P1026" s="253">
        <v>2270441</v>
      </c>
      <c r="Q1026" s="253">
        <v>2345293</v>
      </c>
      <c r="R1026" s="253">
        <v>5505322</v>
      </c>
      <c r="S1026" s="253">
        <v>1114995</v>
      </c>
      <c r="T1026" s="253">
        <v>7222019</v>
      </c>
      <c r="U1026" s="253">
        <v>13243763</v>
      </c>
      <c r="V1026" s="253">
        <v>8883142</v>
      </c>
      <c r="W1026" s="253">
        <v>1586122</v>
      </c>
      <c r="X1026" s="253">
        <v>8126881</v>
      </c>
      <c r="Y1026" s="253">
        <v>7327448</v>
      </c>
      <c r="Z1026" s="245">
        <f ca="1">[1]ExtEntry!$P27</f>
        <v>7327448</v>
      </c>
      <c r="AB1026" s="273">
        <v>53</v>
      </c>
      <c r="AC1026" s="273">
        <v>40</v>
      </c>
      <c r="AD1026" s="273">
        <v>27</v>
      </c>
      <c r="AE1026" s="249">
        <v>26</v>
      </c>
      <c r="AF1026" s="249">
        <v>19</v>
      </c>
      <c r="AG1026" s="249">
        <v>22</v>
      </c>
      <c r="AH1026" s="249">
        <v>21</v>
      </c>
      <c r="AI1026" s="249">
        <v>26</v>
      </c>
      <c r="AJ1026" s="249">
        <v>33</v>
      </c>
      <c r="AK1026" s="249">
        <v>38</v>
      </c>
      <c r="AL1026" s="249">
        <v>37</v>
      </c>
      <c r="AM1026" s="249">
        <v>41</v>
      </c>
      <c r="AN1026" s="249">
        <v>40</v>
      </c>
      <c r="AO1026" s="273">
        <v>41</v>
      </c>
      <c r="AP1026" s="273">
        <v>40</v>
      </c>
      <c r="AQ1026" s="273">
        <v>54</v>
      </c>
      <c r="AR1026" s="273">
        <v>67</v>
      </c>
      <c r="AS1026" s="273">
        <v>72</v>
      </c>
      <c r="AT1026" s="273">
        <v>74</v>
      </c>
      <c r="AU1026" s="273">
        <v>71</v>
      </c>
      <c r="AV1026" s="273">
        <f t="shared" si="85"/>
        <v>71</v>
      </c>
      <c r="AX1026" s="86" t="str">
        <f t="shared" ca="1" si="84"/>
        <v>KR</v>
      </c>
    </row>
    <row r="1027" spans="1:50" hidden="1">
      <c r="A1027" s="86" t="str">
        <f t="shared" ca="1" si="83"/>
        <v>LNSR</v>
      </c>
      <c r="C1027" s="1">
        <v>28</v>
      </c>
      <c r="F1027" s="253">
        <v>22099</v>
      </c>
      <c r="G1027" s="253">
        <v>232288</v>
      </c>
      <c r="H1027" s="253">
        <v>146278</v>
      </c>
      <c r="I1027" s="253">
        <v>46035</v>
      </c>
      <c r="J1027" s="253">
        <v>64921</v>
      </c>
      <c r="K1027" s="253">
        <v>16590</v>
      </c>
      <c r="L1027" s="253">
        <v>19098</v>
      </c>
      <c r="M1027" s="253">
        <v>18553</v>
      </c>
      <c r="N1027" s="253">
        <v>13253</v>
      </c>
      <c r="O1027" s="253">
        <v>45874</v>
      </c>
      <c r="P1027" s="253">
        <v>24316</v>
      </c>
      <c r="Q1027" s="253">
        <v>8110</v>
      </c>
      <c r="R1027" s="253">
        <v>14731</v>
      </c>
      <c r="S1027" s="253">
        <v>634</v>
      </c>
      <c r="T1027" s="253">
        <v>72153</v>
      </c>
      <c r="U1027" s="253">
        <v>71987</v>
      </c>
      <c r="V1027" s="253">
        <v>74742</v>
      </c>
      <c r="W1027" s="253">
        <v>11671</v>
      </c>
      <c r="X1027" s="253">
        <v>44556</v>
      </c>
      <c r="Y1027" s="253">
        <v>45968</v>
      </c>
      <c r="Z1027" s="245">
        <f ca="1">[1]ExtEntry!$P28</f>
        <v>45968</v>
      </c>
      <c r="AB1027" s="273">
        <v>61</v>
      </c>
      <c r="AC1027" s="273">
        <v>59</v>
      </c>
      <c r="AD1027" s="273">
        <v>57</v>
      </c>
      <c r="AE1027" s="249">
        <v>57</v>
      </c>
      <c r="AF1027" s="249">
        <v>51</v>
      </c>
      <c r="AG1027" s="249">
        <v>50</v>
      </c>
      <c r="AH1027" s="249">
        <v>50</v>
      </c>
      <c r="AI1027" s="249">
        <v>53</v>
      </c>
      <c r="AJ1027" s="249">
        <v>48</v>
      </c>
      <c r="AK1027" s="249">
        <v>46</v>
      </c>
      <c r="AL1027" s="249">
        <v>32</v>
      </c>
      <c r="AM1027" s="249">
        <v>21</v>
      </c>
      <c r="AN1027" s="249">
        <v>41</v>
      </c>
      <c r="AO1027" s="273">
        <v>57</v>
      </c>
      <c r="AP1027" s="273">
        <v>58</v>
      </c>
      <c r="AQ1027" s="273">
        <v>50</v>
      </c>
      <c r="AR1027" s="273">
        <v>49</v>
      </c>
      <c r="AS1027" s="273">
        <v>51</v>
      </c>
      <c r="AT1027" s="273">
        <v>61</v>
      </c>
      <c r="AU1027" s="273">
        <v>62</v>
      </c>
      <c r="AV1027" s="273">
        <f t="shared" si="85"/>
        <v>62</v>
      </c>
      <c r="AX1027" s="86" t="str">
        <f t="shared" ca="1" si="84"/>
        <v>LNSR</v>
      </c>
    </row>
    <row r="1028" spans="1:50" hidden="1">
      <c r="A1028" s="86" t="str">
        <f t="shared" ca="1" si="83"/>
        <v>LUMN</v>
      </c>
      <c r="C1028" s="1">
        <v>29</v>
      </c>
      <c r="F1028" s="253">
        <v>17809520</v>
      </c>
      <c r="G1028" s="253">
        <v>16671690</v>
      </c>
      <c r="H1028" s="253">
        <v>17577716</v>
      </c>
      <c r="I1028" s="253">
        <v>17258817</v>
      </c>
      <c r="J1028" s="253">
        <v>41</v>
      </c>
      <c r="K1028" s="253">
        <v>5048226</v>
      </c>
      <c r="L1028" s="253">
        <v>9699454</v>
      </c>
      <c r="M1028" s="253">
        <v>8783458</v>
      </c>
      <c r="N1028" s="253">
        <v>5271104</v>
      </c>
      <c r="O1028" s="253">
        <v>12443676</v>
      </c>
      <c r="P1028" s="253">
        <v>5914193</v>
      </c>
      <c r="Q1028" s="253">
        <v>6779329</v>
      </c>
      <c r="R1028" s="253">
        <v>17832111</v>
      </c>
      <c r="S1028" s="253">
        <v>3253775</v>
      </c>
      <c r="T1028" s="253">
        <v>17520927</v>
      </c>
      <c r="U1028" s="253">
        <v>7392303</v>
      </c>
      <c r="V1028" s="253">
        <v>16074863</v>
      </c>
      <c r="W1028" s="253">
        <v>3270230</v>
      </c>
      <c r="X1028" s="253">
        <v>15265193</v>
      </c>
      <c r="Y1028" s="253">
        <v>9451100</v>
      </c>
      <c r="Z1028" s="245">
        <f ca="1">[1]ExtEntry!$P29</f>
        <v>9451100</v>
      </c>
      <c r="AB1028" s="273">
        <v>52</v>
      </c>
      <c r="AC1028" s="273">
        <v>48</v>
      </c>
      <c r="AD1028" s="273">
        <v>51</v>
      </c>
      <c r="AE1028" s="249">
        <v>56</v>
      </c>
      <c r="AF1028" s="249">
        <v>51</v>
      </c>
      <c r="AG1028" s="249">
        <v>46</v>
      </c>
      <c r="AH1028" s="249">
        <v>43</v>
      </c>
      <c r="AI1028" s="249">
        <v>52</v>
      </c>
      <c r="AJ1028" s="249">
        <v>55</v>
      </c>
      <c r="AK1028" s="249">
        <v>54</v>
      </c>
      <c r="AL1028" s="249">
        <v>58</v>
      </c>
      <c r="AM1028" s="249">
        <v>57</v>
      </c>
      <c r="AN1028" s="249">
        <v>39</v>
      </c>
      <c r="AO1028" s="273">
        <v>49</v>
      </c>
      <c r="AP1028" s="273">
        <v>56</v>
      </c>
      <c r="AQ1028" s="273">
        <v>57</v>
      </c>
      <c r="AR1028" s="273">
        <v>65</v>
      </c>
      <c r="AS1028" s="273">
        <v>67</v>
      </c>
      <c r="AT1028" s="273">
        <v>68</v>
      </c>
      <c r="AU1028" s="273">
        <v>74</v>
      </c>
      <c r="AV1028" s="273">
        <f t="shared" si="85"/>
        <v>74</v>
      </c>
      <c r="AX1028" s="86" t="str">
        <f t="shared" ca="1" si="84"/>
        <v>LUMN</v>
      </c>
    </row>
    <row r="1029" spans="1:50" hidden="1">
      <c r="A1029" s="86" t="str">
        <f t="shared" ca="1" si="83"/>
        <v>MRNA</v>
      </c>
      <c r="C1029" s="1">
        <v>30</v>
      </c>
      <c r="F1029" s="253">
        <v>11126437</v>
      </c>
      <c r="G1029" s="253">
        <v>15307030</v>
      </c>
      <c r="H1029" s="253">
        <v>8648447</v>
      </c>
      <c r="I1029" s="253">
        <v>8942005</v>
      </c>
      <c r="J1029" s="253">
        <v>1941</v>
      </c>
      <c r="K1029" s="253">
        <v>3247192</v>
      </c>
      <c r="L1029" s="253">
        <v>11361520</v>
      </c>
      <c r="M1029" s="253">
        <v>10207838</v>
      </c>
      <c r="N1029" s="253">
        <v>3906263</v>
      </c>
      <c r="O1029" s="253">
        <v>6495360</v>
      </c>
      <c r="P1029" s="253">
        <v>4273694</v>
      </c>
      <c r="Q1029" s="253">
        <v>5592483</v>
      </c>
      <c r="R1029" s="253">
        <v>9093592</v>
      </c>
      <c r="S1029" s="253">
        <v>2041725</v>
      </c>
      <c r="T1029" s="253">
        <v>7730144</v>
      </c>
      <c r="U1029" s="253">
        <v>4855161</v>
      </c>
      <c r="V1029" s="253">
        <v>16532117</v>
      </c>
      <c r="W1029" s="253">
        <v>3517878</v>
      </c>
      <c r="X1029" s="253">
        <v>7679466</v>
      </c>
      <c r="Y1029" s="253">
        <v>8110170</v>
      </c>
      <c r="Z1029" s="245">
        <f ca="1">[1]ExtEntry!$P30</f>
        <v>8110170</v>
      </c>
      <c r="AB1029" s="273">
        <v>53</v>
      </c>
      <c r="AC1029" s="273">
        <v>46</v>
      </c>
      <c r="AD1029" s="273">
        <v>48</v>
      </c>
      <c r="AE1029" s="249">
        <v>52</v>
      </c>
      <c r="AF1029" s="249">
        <v>41</v>
      </c>
      <c r="AG1029" s="249">
        <v>37</v>
      </c>
      <c r="AH1029" s="249">
        <v>33</v>
      </c>
      <c r="AI1029" s="249">
        <v>30</v>
      </c>
      <c r="AJ1029" s="249">
        <v>36</v>
      </c>
      <c r="AK1029" s="249">
        <v>39</v>
      </c>
      <c r="AL1029" s="249">
        <v>38</v>
      </c>
      <c r="AM1029" s="249">
        <v>30</v>
      </c>
      <c r="AN1029" s="249">
        <v>38</v>
      </c>
      <c r="AO1029" s="273">
        <v>37</v>
      </c>
      <c r="AP1029" s="273">
        <v>35</v>
      </c>
      <c r="AQ1029" s="273">
        <v>39</v>
      </c>
      <c r="AR1029" s="273">
        <v>41</v>
      </c>
      <c r="AS1029" s="273">
        <v>36</v>
      </c>
      <c r="AT1029" s="273">
        <v>35</v>
      </c>
      <c r="AU1029" s="273">
        <v>43</v>
      </c>
      <c r="AV1029" s="273">
        <f t="shared" si="85"/>
        <v>43</v>
      </c>
      <c r="AX1029" s="86" t="str">
        <f t="shared" ca="1" si="84"/>
        <v>MRNA</v>
      </c>
    </row>
    <row r="1030" spans="1:50" hidden="1">
      <c r="A1030" s="86" t="str">
        <f t="shared" ca="1" si="83"/>
        <v>MSFT</v>
      </c>
      <c r="C1030" s="1">
        <v>31</v>
      </c>
      <c r="F1030" s="253">
        <v>22992329</v>
      </c>
      <c r="G1030" s="253">
        <v>17920471</v>
      </c>
      <c r="H1030" s="253">
        <v>16615200</v>
      </c>
      <c r="I1030" s="253">
        <v>28496047</v>
      </c>
      <c r="J1030" s="253">
        <v>9606</v>
      </c>
      <c r="K1030" s="253">
        <v>8441927</v>
      </c>
      <c r="L1030" s="253">
        <v>14437870</v>
      </c>
      <c r="M1030" s="253">
        <v>21641392</v>
      </c>
      <c r="N1030" s="253">
        <v>14070585</v>
      </c>
      <c r="O1030" s="253">
        <v>25709079</v>
      </c>
      <c r="P1030" s="253">
        <v>14379607</v>
      </c>
      <c r="Q1030" s="253">
        <v>8970603</v>
      </c>
      <c r="R1030" s="253">
        <v>11815616</v>
      </c>
      <c r="S1030" s="253">
        <v>11071842</v>
      </c>
      <c r="T1030" s="253">
        <v>33526240</v>
      </c>
      <c r="U1030" s="253">
        <v>7907096</v>
      </c>
      <c r="V1030" s="253">
        <v>22608710</v>
      </c>
      <c r="W1030" s="253">
        <v>4777847</v>
      </c>
      <c r="X1030" s="253">
        <v>35723895</v>
      </c>
      <c r="Y1030" s="253">
        <v>21881028</v>
      </c>
      <c r="Z1030" s="245">
        <f ca="1">[1]ExtEntry!$P31</f>
        <v>21881028</v>
      </c>
      <c r="AB1030" s="273">
        <v>41</v>
      </c>
      <c r="AC1030" s="273">
        <v>36</v>
      </c>
      <c r="AD1030" s="273">
        <v>47</v>
      </c>
      <c r="AE1030" s="249">
        <v>48</v>
      </c>
      <c r="AF1030" s="249">
        <v>43</v>
      </c>
      <c r="AG1030" s="249">
        <v>46</v>
      </c>
      <c r="AH1030" s="249">
        <v>53</v>
      </c>
      <c r="AI1030" s="249">
        <v>55</v>
      </c>
      <c r="AJ1030" s="249">
        <v>56</v>
      </c>
      <c r="AK1030" s="249">
        <v>54</v>
      </c>
      <c r="AL1030" s="249">
        <v>50</v>
      </c>
      <c r="AM1030" s="249">
        <v>56</v>
      </c>
      <c r="AN1030" s="249">
        <v>57</v>
      </c>
      <c r="AO1030" s="273">
        <v>66</v>
      </c>
      <c r="AP1030" s="273">
        <v>65</v>
      </c>
      <c r="AQ1030" s="273">
        <v>55</v>
      </c>
      <c r="AR1030" s="273">
        <v>45</v>
      </c>
      <c r="AS1030" s="273">
        <v>45</v>
      </c>
      <c r="AT1030" s="273">
        <v>59</v>
      </c>
      <c r="AU1030" s="273">
        <v>58</v>
      </c>
      <c r="AV1030" s="273">
        <f t="shared" si="85"/>
        <v>58</v>
      </c>
      <c r="AX1030" s="86" t="str">
        <f t="shared" ca="1" si="84"/>
        <v>MSFT</v>
      </c>
    </row>
    <row r="1031" spans="1:50" hidden="1">
      <c r="A1031" s="86" t="str">
        <f t="shared" ca="1" si="83"/>
        <v>NEE</v>
      </c>
      <c r="C1031" s="1">
        <v>32</v>
      </c>
      <c r="F1031" s="253">
        <v>7290654</v>
      </c>
      <c r="G1031" s="253">
        <v>3861324</v>
      </c>
      <c r="H1031" s="253">
        <v>6767531</v>
      </c>
      <c r="I1031" s="253">
        <v>8352265</v>
      </c>
      <c r="J1031" s="253">
        <v>310</v>
      </c>
      <c r="K1031" s="253">
        <v>3576045</v>
      </c>
      <c r="L1031" s="253">
        <v>6991619</v>
      </c>
      <c r="M1031" s="253">
        <v>9341508</v>
      </c>
      <c r="N1031" s="253">
        <v>2909950</v>
      </c>
      <c r="O1031" s="253">
        <v>6550698</v>
      </c>
      <c r="P1031" s="253">
        <v>4122317</v>
      </c>
      <c r="Q1031" s="253">
        <v>3570068</v>
      </c>
      <c r="R1031" s="253">
        <v>4865126</v>
      </c>
      <c r="S1031" s="253">
        <v>1254387</v>
      </c>
      <c r="T1031" s="253">
        <v>9036654</v>
      </c>
      <c r="U1031" s="253">
        <v>4188872</v>
      </c>
      <c r="V1031" s="253">
        <v>8194564</v>
      </c>
      <c r="W1031" s="253">
        <v>4999345</v>
      </c>
      <c r="X1031" s="253">
        <v>13339770</v>
      </c>
      <c r="Y1031" s="253">
        <v>9211732</v>
      </c>
      <c r="Z1031" s="245">
        <f ca="1">[1]ExtEntry!$P32</f>
        <v>9211732</v>
      </c>
      <c r="AB1031" s="273">
        <v>42</v>
      </c>
      <c r="AC1031" s="273">
        <v>39</v>
      </c>
      <c r="AD1031" s="273">
        <v>34</v>
      </c>
      <c r="AE1031" s="249">
        <v>39</v>
      </c>
      <c r="AF1031" s="249">
        <v>31</v>
      </c>
      <c r="AG1031" s="249">
        <v>44</v>
      </c>
      <c r="AH1031" s="249">
        <v>36</v>
      </c>
      <c r="AI1031" s="249">
        <v>38</v>
      </c>
      <c r="AJ1031" s="249">
        <v>43</v>
      </c>
      <c r="AK1031" s="249">
        <v>57</v>
      </c>
      <c r="AL1031" s="249">
        <v>66</v>
      </c>
      <c r="AM1031" s="249">
        <v>67</v>
      </c>
      <c r="AN1031" s="249">
        <v>61</v>
      </c>
      <c r="AO1031" s="273">
        <v>68</v>
      </c>
      <c r="AP1031" s="273">
        <v>62</v>
      </c>
      <c r="AQ1031" s="273">
        <v>62</v>
      </c>
      <c r="AR1031" s="273">
        <v>58</v>
      </c>
      <c r="AS1031" s="273">
        <v>69</v>
      </c>
      <c r="AT1031" s="273">
        <v>70</v>
      </c>
      <c r="AU1031" s="273">
        <v>74</v>
      </c>
      <c r="AV1031" s="273">
        <f t="shared" si="85"/>
        <v>74</v>
      </c>
      <c r="AX1031" s="86" t="str">
        <f t="shared" ca="1" si="84"/>
        <v>NEE</v>
      </c>
    </row>
    <row r="1032" spans="1:50" hidden="1">
      <c r="A1032" s="86" t="str">
        <f t="shared" ca="1" si="83"/>
        <v>NEM</v>
      </c>
      <c r="C1032" s="1">
        <v>33</v>
      </c>
      <c r="F1032" s="253">
        <v>8681630</v>
      </c>
      <c r="G1032" s="253">
        <v>7197853</v>
      </c>
      <c r="H1032" s="253">
        <v>4841213</v>
      </c>
      <c r="I1032" s="253">
        <v>9588692</v>
      </c>
      <c r="J1032" s="253">
        <v>6080</v>
      </c>
      <c r="K1032" s="253">
        <v>3065450</v>
      </c>
      <c r="L1032" s="253">
        <v>5095817</v>
      </c>
      <c r="M1032" s="253">
        <v>6111860</v>
      </c>
      <c r="N1032" s="253">
        <v>4044226</v>
      </c>
      <c r="O1032" s="253">
        <v>7259121</v>
      </c>
      <c r="P1032" s="253">
        <v>4817085</v>
      </c>
      <c r="Q1032" s="253">
        <v>3947752</v>
      </c>
      <c r="R1032" s="253">
        <v>5651568</v>
      </c>
      <c r="S1032" s="253">
        <v>2377596</v>
      </c>
      <c r="T1032" s="253">
        <v>7430796</v>
      </c>
      <c r="U1032" s="253">
        <v>3814715</v>
      </c>
      <c r="V1032" s="253">
        <v>6500403</v>
      </c>
      <c r="W1032" s="253">
        <v>3336090</v>
      </c>
      <c r="X1032" s="253">
        <v>13127421</v>
      </c>
      <c r="Y1032" s="253">
        <v>11250923</v>
      </c>
      <c r="Z1032" s="245">
        <f ca="1">[1]ExtEntry!$P33</f>
        <v>11250923</v>
      </c>
      <c r="AB1032" s="273">
        <v>18</v>
      </c>
      <c r="AC1032" s="273">
        <v>18</v>
      </c>
      <c r="AD1032" s="273">
        <v>19</v>
      </c>
      <c r="AE1032" s="249">
        <v>14</v>
      </c>
      <c r="AF1032" s="249">
        <v>6</v>
      </c>
      <c r="AG1032" s="249">
        <v>5</v>
      </c>
      <c r="AH1032" s="249">
        <v>7</v>
      </c>
      <c r="AI1032" s="249">
        <v>16</v>
      </c>
      <c r="AJ1032" s="249">
        <v>17</v>
      </c>
      <c r="AK1032" s="249">
        <v>22</v>
      </c>
      <c r="AL1032" s="249">
        <v>23</v>
      </c>
      <c r="AM1032" s="249">
        <v>18</v>
      </c>
      <c r="AN1032" s="249">
        <v>21</v>
      </c>
      <c r="AO1032" s="273">
        <v>22</v>
      </c>
      <c r="AP1032" s="273">
        <v>15</v>
      </c>
      <c r="AQ1032" s="273">
        <v>16</v>
      </c>
      <c r="AR1032" s="273">
        <v>13</v>
      </c>
      <c r="AS1032" s="273">
        <v>27</v>
      </c>
      <c r="AT1032" s="273">
        <v>17</v>
      </c>
      <c r="AU1032" s="273">
        <v>23</v>
      </c>
      <c r="AV1032" s="273">
        <f t="shared" si="85"/>
        <v>23</v>
      </c>
      <c r="AX1032" s="86" t="str">
        <f t="shared" ca="1" si="84"/>
        <v>NEM</v>
      </c>
    </row>
    <row r="1033" spans="1:50" hidden="1">
      <c r="A1033" s="86" t="str">
        <f t="shared" ca="1" si="83"/>
        <v>NFLX</v>
      </c>
      <c r="C1033" s="1">
        <v>34</v>
      </c>
      <c r="F1033" s="253">
        <v>3549693</v>
      </c>
      <c r="G1033" s="253">
        <v>2736040</v>
      </c>
      <c r="H1033" s="253">
        <v>3093411</v>
      </c>
      <c r="I1033" s="253">
        <v>4750133</v>
      </c>
      <c r="J1033" s="253">
        <v>18051</v>
      </c>
      <c r="K1033" s="253">
        <v>14860493</v>
      </c>
      <c r="L1033" s="253">
        <v>22677019</v>
      </c>
      <c r="M1033" s="253">
        <v>23872849</v>
      </c>
      <c r="N1033" s="253">
        <v>15700407</v>
      </c>
      <c r="O1033" s="253">
        <v>27951013</v>
      </c>
      <c r="P1033" s="253">
        <v>14994342</v>
      </c>
      <c r="Q1033" s="253">
        <v>10548664</v>
      </c>
      <c r="R1033" s="253">
        <v>18584350</v>
      </c>
      <c r="S1033" s="253">
        <v>18349711</v>
      </c>
      <c r="T1033" s="253">
        <v>53016082</v>
      </c>
      <c r="U1033" s="253">
        <v>27969110</v>
      </c>
      <c r="V1033" s="253">
        <v>133363601</v>
      </c>
      <c r="W1033" s="253">
        <v>21507141</v>
      </c>
      <c r="X1033" s="253">
        <v>74013246</v>
      </c>
      <c r="Y1033" s="253">
        <v>43020135</v>
      </c>
      <c r="Z1033" s="245">
        <f ca="1">[1]ExtEntry!$P34</f>
        <v>43020135</v>
      </c>
      <c r="AB1033" s="273">
        <v>18</v>
      </c>
      <c r="AC1033" s="273">
        <v>16</v>
      </c>
      <c r="AD1033" s="273">
        <v>20</v>
      </c>
      <c r="AE1033" s="249">
        <v>21</v>
      </c>
      <c r="AF1033" s="249">
        <v>13</v>
      </c>
      <c r="AG1033" s="249">
        <v>11</v>
      </c>
      <c r="AH1033" s="249">
        <v>12</v>
      </c>
      <c r="AI1033" s="249">
        <v>16</v>
      </c>
      <c r="AJ1033" s="249">
        <v>7</v>
      </c>
      <c r="AK1033" s="249">
        <v>11</v>
      </c>
      <c r="AL1033" s="249">
        <v>14</v>
      </c>
      <c r="AM1033" s="249">
        <v>14</v>
      </c>
      <c r="AN1033" s="249">
        <v>13</v>
      </c>
      <c r="AO1033" s="273">
        <v>14</v>
      </c>
      <c r="AP1033" s="273">
        <v>18</v>
      </c>
      <c r="AQ1033" s="273">
        <v>24</v>
      </c>
      <c r="AR1033" s="273">
        <v>18</v>
      </c>
      <c r="AS1033" s="273">
        <v>17</v>
      </c>
      <c r="AT1033" s="273">
        <v>19</v>
      </c>
      <c r="AU1033" s="273">
        <v>21</v>
      </c>
      <c r="AV1033" s="273">
        <f t="shared" si="85"/>
        <v>21</v>
      </c>
      <c r="AX1033" s="86" t="str">
        <f t="shared" ca="1" si="84"/>
        <v>NFLX</v>
      </c>
    </row>
    <row r="1034" spans="1:50" hidden="1">
      <c r="A1034" s="86" t="str">
        <f t="shared" ca="1" si="83"/>
        <v>NOTE</v>
      </c>
      <c r="C1034" s="1">
        <v>35</v>
      </c>
      <c r="F1034" s="253">
        <v>455990</v>
      </c>
      <c r="G1034" s="253">
        <v>296040</v>
      </c>
      <c r="H1034" s="253">
        <v>444563</v>
      </c>
      <c r="I1034" s="253">
        <v>278839</v>
      </c>
      <c r="J1034" s="253">
        <v>20</v>
      </c>
      <c r="K1034" s="253">
        <v>103226</v>
      </c>
      <c r="L1034" s="253">
        <v>123903</v>
      </c>
      <c r="M1034" s="253">
        <v>130650</v>
      </c>
      <c r="N1034" s="253">
        <v>39503</v>
      </c>
      <c r="O1034" s="253">
        <v>104516</v>
      </c>
      <c r="P1034" s="253">
        <v>141282</v>
      </c>
      <c r="Q1034" s="253">
        <v>122315</v>
      </c>
      <c r="R1034" s="253">
        <v>247034</v>
      </c>
      <c r="S1034" s="253">
        <v>101133</v>
      </c>
      <c r="T1034" s="253">
        <v>312809</v>
      </c>
      <c r="U1034" s="253">
        <v>176738</v>
      </c>
      <c r="V1034" s="253">
        <v>255848</v>
      </c>
      <c r="W1034" s="253">
        <v>118398</v>
      </c>
      <c r="X1034" s="253">
        <v>229817</v>
      </c>
      <c r="Y1034" s="253">
        <v>165800</v>
      </c>
      <c r="Z1034" s="245">
        <f ca="1">[1]ExtEntry!$P35</f>
        <v>165800</v>
      </c>
      <c r="AB1034" s="273">
        <v>37</v>
      </c>
      <c r="AC1034" s="273">
        <v>31</v>
      </c>
      <c r="AD1034" s="273">
        <v>30</v>
      </c>
      <c r="AE1034" s="249">
        <v>38</v>
      </c>
      <c r="AF1034" s="249">
        <v>37</v>
      </c>
      <c r="AG1034" s="249">
        <v>57</v>
      </c>
      <c r="AH1034" s="249">
        <v>41</v>
      </c>
      <c r="AI1034" s="249">
        <v>42</v>
      </c>
      <c r="AJ1034" s="249">
        <v>53</v>
      </c>
      <c r="AK1034" s="249">
        <v>62</v>
      </c>
      <c r="AL1034" s="249">
        <v>74</v>
      </c>
      <c r="AM1034" s="249">
        <v>74</v>
      </c>
      <c r="AN1034" s="249">
        <v>68</v>
      </c>
      <c r="AO1034" s="273">
        <v>74</v>
      </c>
      <c r="AP1034" s="273">
        <v>72</v>
      </c>
      <c r="AQ1034" s="273">
        <v>71</v>
      </c>
      <c r="AR1034" s="273">
        <v>70</v>
      </c>
      <c r="AS1034" s="273">
        <v>79</v>
      </c>
      <c r="AT1034" s="273">
        <v>78</v>
      </c>
      <c r="AU1034" s="273">
        <v>80</v>
      </c>
      <c r="AV1034" s="273">
        <f t="shared" si="85"/>
        <v>80</v>
      </c>
      <c r="AX1034" s="86" t="str">
        <f t="shared" ca="1" si="84"/>
        <v>NOTE</v>
      </c>
    </row>
    <row r="1035" spans="1:50" hidden="1">
      <c r="A1035" s="86" t="str">
        <f t="shared" ca="1" si="83"/>
        <v>PAAS</v>
      </c>
      <c r="C1035" s="1">
        <v>36</v>
      </c>
      <c r="F1035" s="253">
        <v>4192698</v>
      </c>
      <c r="G1035" s="253">
        <v>3290139</v>
      </c>
      <c r="H1035" s="253">
        <v>2923976</v>
      </c>
      <c r="I1035" s="253">
        <v>6310664</v>
      </c>
      <c r="J1035" s="253">
        <v>5206</v>
      </c>
      <c r="K1035" s="253">
        <v>2447487</v>
      </c>
      <c r="L1035" s="253">
        <v>3435828</v>
      </c>
      <c r="M1035" s="253">
        <v>3110354</v>
      </c>
      <c r="N1035" s="253">
        <v>5220643</v>
      </c>
      <c r="O1035" s="253">
        <v>7993643</v>
      </c>
      <c r="P1035" s="253">
        <v>7246916</v>
      </c>
      <c r="Q1035" s="253">
        <v>6255429</v>
      </c>
      <c r="R1035" s="253">
        <v>5257633</v>
      </c>
      <c r="S1035" s="253">
        <v>1529641</v>
      </c>
      <c r="T1035" s="253">
        <v>4128135</v>
      </c>
      <c r="U1035" s="253">
        <v>1465463</v>
      </c>
      <c r="V1035" s="253">
        <v>4561173</v>
      </c>
      <c r="W1035" s="253">
        <v>10426775</v>
      </c>
      <c r="X1035" s="253">
        <v>7419591</v>
      </c>
      <c r="Y1035" s="253">
        <v>7955244</v>
      </c>
      <c r="Z1035" s="245">
        <f ca="1">[1]ExtEntry!$P36</f>
        <v>7955244</v>
      </c>
      <c r="AB1035" s="273">
        <v>43</v>
      </c>
      <c r="AC1035" s="273">
        <v>47</v>
      </c>
      <c r="AD1035" s="273">
        <v>53</v>
      </c>
      <c r="AE1035" s="249">
        <v>61</v>
      </c>
      <c r="AF1035" s="249">
        <v>53</v>
      </c>
      <c r="AG1035" s="249">
        <v>47</v>
      </c>
      <c r="AH1035" s="249">
        <v>52</v>
      </c>
      <c r="AI1035" s="249">
        <v>62</v>
      </c>
      <c r="AJ1035" s="249">
        <v>64</v>
      </c>
      <c r="AK1035" s="249">
        <v>60</v>
      </c>
      <c r="AL1035" s="249">
        <v>63</v>
      </c>
      <c r="AM1035" s="249">
        <v>41</v>
      </c>
      <c r="AN1035" s="249">
        <v>36</v>
      </c>
      <c r="AO1035" s="273">
        <v>44</v>
      </c>
      <c r="AP1035" s="273">
        <v>58</v>
      </c>
      <c r="AQ1035" s="273">
        <v>57</v>
      </c>
      <c r="AR1035" s="273">
        <v>53</v>
      </c>
      <c r="AS1035" s="273">
        <v>48</v>
      </c>
      <c r="AT1035" s="273">
        <v>54</v>
      </c>
      <c r="AU1035" s="273">
        <v>63</v>
      </c>
      <c r="AV1035" s="273">
        <f t="shared" si="85"/>
        <v>63</v>
      </c>
      <c r="AX1035" s="86" t="str">
        <f t="shared" ca="1" si="84"/>
        <v>PAAS</v>
      </c>
    </row>
    <row r="1036" spans="1:50" hidden="1">
      <c r="A1036" s="86" t="str">
        <f t="shared" ca="1" si="83"/>
        <v>PROF</v>
      </c>
      <c r="C1036" s="1">
        <v>37</v>
      </c>
      <c r="F1036" s="253">
        <v>46966</v>
      </c>
      <c r="G1036" s="253">
        <v>18611</v>
      </c>
      <c r="H1036" s="253">
        <v>32510</v>
      </c>
      <c r="I1036" s="253">
        <v>350345</v>
      </c>
      <c r="J1036" s="253">
        <v>91513</v>
      </c>
      <c r="K1036" s="253">
        <v>17650</v>
      </c>
      <c r="L1036" s="253">
        <v>35240</v>
      </c>
      <c r="M1036" s="253">
        <v>56987</v>
      </c>
      <c r="N1036" s="253">
        <v>36179</v>
      </c>
      <c r="O1036" s="253">
        <v>51002</v>
      </c>
      <c r="P1036" s="253">
        <v>84384</v>
      </c>
      <c r="Q1036" s="253">
        <v>18071</v>
      </c>
      <c r="R1036" s="253">
        <v>41135</v>
      </c>
      <c r="S1036" s="253">
        <v>18186</v>
      </c>
      <c r="T1036" s="253">
        <v>162517</v>
      </c>
      <c r="U1036" s="253">
        <v>31393</v>
      </c>
      <c r="V1036" s="253">
        <v>45667</v>
      </c>
      <c r="W1036" s="253">
        <v>95147</v>
      </c>
      <c r="X1036" s="253">
        <v>70162</v>
      </c>
      <c r="Y1036" s="253">
        <v>67402</v>
      </c>
      <c r="Z1036" s="245">
        <f ca="1">[1]ExtEntry!$P37</f>
        <v>67402</v>
      </c>
      <c r="AB1036" s="273">
        <v>26</v>
      </c>
      <c r="AC1036" s="273">
        <v>26</v>
      </c>
      <c r="AD1036" s="273">
        <v>30</v>
      </c>
      <c r="AE1036" s="249">
        <v>32</v>
      </c>
      <c r="AF1036" s="249">
        <v>25</v>
      </c>
      <c r="AG1036" s="249">
        <v>25</v>
      </c>
      <c r="AH1036" s="249">
        <v>26</v>
      </c>
      <c r="AI1036" s="249">
        <v>28</v>
      </c>
      <c r="AJ1036" s="249">
        <v>29</v>
      </c>
      <c r="AK1036" s="249">
        <v>16</v>
      </c>
      <c r="AL1036" s="249">
        <v>23</v>
      </c>
      <c r="AM1036" s="249">
        <v>24</v>
      </c>
      <c r="AN1036" s="249">
        <v>27</v>
      </c>
      <c r="AO1036" s="273">
        <v>52</v>
      </c>
      <c r="AP1036" s="273">
        <v>67</v>
      </c>
      <c r="AQ1036" s="273">
        <v>83</v>
      </c>
      <c r="AR1036" s="273">
        <v>76</v>
      </c>
      <c r="AS1036" s="273">
        <v>85</v>
      </c>
      <c r="AT1036" s="273">
        <v>85</v>
      </c>
      <c r="AU1036" s="273">
        <v>87</v>
      </c>
      <c r="AV1036" s="273">
        <f t="shared" si="85"/>
        <v>87</v>
      </c>
      <c r="AX1036" s="86" t="str">
        <f t="shared" ca="1" si="84"/>
        <v>PROF</v>
      </c>
    </row>
    <row r="1037" spans="1:50" hidden="1">
      <c r="A1037" s="86" t="str">
        <f t="shared" ca="1" si="83"/>
        <v>POET</v>
      </c>
      <c r="C1037" s="1">
        <v>38</v>
      </c>
      <c r="F1037" s="253">
        <v>7813883</v>
      </c>
      <c r="G1037" s="253">
        <v>11945794</v>
      </c>
      <c r="H1037" s="253">
        <v>9984437</v>
      </c>
      <c r="I1037" s="253">
        <v>11068063</v>
      </c>
      <c r="J1037" s="253">
        <v>1015</v>
      </c>
      <c r="K1037" s="253">
        <v>3530104</v>
      </c>
      <c r="L1037" s="253">
        <v>6461850</v>
      </c>
      <c r="M1037" s="253">
        <v>6120870</v>
      </c>
      <c r="N1037" s="253">
        <v>2746698</v>
      </c>
      <c r="O1037" s="253">
        <v>4911450</v>
      </c>
      <c r="P1037" s="253">
        <v>3680112</v>
      </c>
      <c r="Q1037" s="253">
        <v>2088879</v>
      </c>
      <c r="R1037" s="253">
        <v>4212389</v>
      </c>
      <c r="S1037" s="253">
        <v>7979873</v>
      </c>
      <c r="T1037" s="253">
        <v>22431242</v>
      </c>
      <c r="U1037" s="253">
        <v>9041184</v>
      </c>
      <c r="V1037" s="253">
        <v>8477375</v>
      </c>
      <c r="W1037" s="253">
        <v>5688129</v>
      </c>
      <c r="X1037" s="253">
        <v>10073427</v>
      </c>
      <c r="Y1037" s="253">
        <v>8674853</v>
      </c>
      <c r="Z1037" s="245">
        <f ca="1">[1]ExtEntry!$P38</f>
        <v>8674853</v>
      </c>
      <c r="AB1037" s="273">
        <v>35</v>
      </c>
      <c r="AC1037" s="273">
        <v>32</v>
      </c>
      <c r="AD1037" s="273">
        <v>31</v>
      </c>
      <c r="AE1037" s="249">
        <v>47</v>
      </c>
      <c r="AF1037" s="249">
        <v>44</v>
      </c>
      <c r="AG1037" s="249">
        <v>44</v>
      </c>
      <c r="AH1037" s="249">
        <v>47</v>
      </c>
      <c r="AI1037" s="249">
        <v>59</v>
      </c>
      <c r="AJ1037" s="249">
        <v>71</v>
      </c>
      <c r="AK1037" s="249">
        <v>75</v>
      </c>
      <c r="AL1037" s="249">
        <v>59</v>
      </c>
      <c r="AM1037" s="249">
        <v>62</v>
      </c>
      <c r="AN1037" s="249">
        <v>66</v>
      </c>
      <c r="AO1037" s="273">
        <v>65</v>
      </c>
      <c r="AP1037" s="273">
        <v>64</v>
      </c>
      <c r="AQ1037" s="273">
        <v>66</v>
      </c>
      <c r="AR1037" s="273">
        <v>66</v>
      </c>
      <c r="AS1037" s="273">
        <v>64</v>
      </c>
      <c r="AT1037" s="273">
        <v>66</v>
      </c>
      <c r="AU1037" s="273">
        <v>65</v>
      </c>
      <c r="AV1037" s="273">
        <f t="shared" si="85"/>
        <v>65</v>
      </c>
      <c r="AX1037" s="86" t="str">
        <f t="shared" ca="1" si="84"/>
        <v>POET</v>
      </c>
    </row>
    <row r="1038" spans="1:50" hidden="1">
      <c r="A1038" s="86" t="str">
        <f t="shared" ca="1" si="83"/>
        <v>PW</v>
      </c>
      <c r="C1038" s="1">
        <v>39</v>
      </c>
      <c r="F1038" s="253">
        <v>61947</v>
      </c>
      <c r="G1038" s="253">
        <v>35274</v>
      </c>
      <c r="H1038" s="253">
        <v>18255</v>
      </c>
      <c r="I1038" s="253">
        <v>197926</v>
      </c>
      <c r="J1038" s="253">
        <v>82529</v>
      </c>
      <c r="K1038" s="253">
        <v>11405</v>
      </c>
      <c r="L1038" s="253">
        <v>40058</v>
      </c>
      <c r="M1038" s="253">
        <v>62217</v>
      </c>
      <c r="N1038" s="253">
        <v>33174582</v>
      </c>
      <c r="O1038" s="253">
        <v>35173863</v>
      </c>
      <c r="P1038" s="253">
        <v>1027788</v>
      </c>
      <c r="Q1038" s="253">
        <v>331886</v>
      </c>
      <c r="R1038" s="253">
        <v>369291</v>
      </c>
      <c r="S1038" s="253">
        <v>43561</v>
      </c>
      <c r="T1038" s="253">
        <v>157301</v>
      </c>
      <c r="U1038" s="253">
        <v>44748</v>
      </c>
      <c r="V1038" s="253">
        <v>99959</v>
      </c>
      <c r="W1038" s="253">
        <v>32569</v>
      </c>
      <c r="X1038" s="253">
        <v>75419</v>
      </c>
      <c r="Y1038" s="253">
        <v>51696</v>
      </c>
      <c r="Z1038" s="245">
        <f ca="1">[1]ExtEntry!$P39</f>
        <v>51696</v>
      </c>
      <c r="AB1038" s="273">
        <v>80</v>
      </c>
      <c r="AC1038" s="273">
        <v>72</v>
      </c>
      <c r="AD1038" s="273">
        <v>70</v>
      </c>
      <c r="AE1038" s="249">
        <v>73</v>
      </c>
      <c r="AF1038" s="249">
        <v>75</v>
      </c>
      <c r="AG1038" s="249">
        <v>64</v>
      </c>
      <c r="AH1038" s="249">
        <v>67</v>
      </c>
      <c r="AI1038" s="249">
        <v>70</v>
      </c>
      <c r="AJ1038" s="249">
        <v>74</v>
      </c>
      <c r="AK1038" s="249">
        <v>74</v>
      </c>
      <c r="AL1038" s="249">
        <v>74</v>
      </c>
      <c r="AM1038" s="249">
        <v>68</v>
      </c>
      <c r="AN1038" s="249">
        <v>62</v>
      </c>
      <c r="AO1038" s="273">
        <v>67</v>
      </c>
      <c r="AP1038" s="273">
        <v>60</v>
      </c>
      <c r="AQ1038" s="273">
        <v>63</v>
      </c>
      <c r="AR1038" s="273">
        <v>67</v>
      </c>
      <c r="AS1038" s="273">
        <v>63</v>
      </c>
      <c r="AT1038" s="273">
        <v>55</v>
      </c>
      <c r="AU1038" s="273">
        <v>67</v>
      </c>
      <c r="AV1038" s="273">
        <f t="shared" si="85"/>
        <v>67</v>
      </c>
      <c r="AX1038" s="86" t="str">
        <f t="shared" ca="1" si="84"/>
        <v>PW</v>
      </c>
    </row>
    <row r="1039" spans="1:50" hidden="1">
      <c r="A1039" s="86" t="str">
        <f t="shared" ca="1" si="83"/>
        <v>RIGL</v>
      </c>
      <c r="C1039" s="1">
        <v>40</v>
      </c>
      <c r="F1039" s="253">
        <v>2321405</v>
      </c>
      <c r="G1039" s="253">
        <v>609151</v>
      </c>
      <c r="H1039" s="253">
        <v>467069</v>
      </c>
      <c r="I1039" s="253">
        <v>714166</v>
      </c>
      <c r="J1039" s="253">
        <v>44</v>
      </c>
      <c r="K1039" s="253">
        <v>531091</v>
      </c>
      <c r="L1039" s="253">
        <v>459632</v>
      </c>
      <c r="M1039" s="253">
        <v>343694</v>
      </c>
      <c r="N1039" s="253">
        <v>268962</v>
      </c>
      <c r="O1039" s="253">
        <v>470257</v>
      </c>
      <c r="P1039" s="253">
        <v>275643</v>
      </c>
      <c r="Q1039" s="253">
        <v>314710</v>
      </c>
      <c r="R1039" s="253">
        <v>660020</v>
      </c>
      <c r="S1039" s="253">
        <v>107577</v>
      </c>
      <c r="T1039" s="253">
        <v>473365</v>
      </c>
      <c r="U1039" s="253">
        <v>153378</v>
      </c>
      <c r="V1039" s="253">
        <v>447489</v>
      </c>
      <c r="W1039" s="253">
        <v>162859</v>
      </c>
      <c r="X1039" s="253">
        <v>415717</v>
      </c>
      <c r="Y1039" s="253">
        <v>398713</v>
      </c>
      <c r="Z1039" s="245">
        <f ca="1">[1]ExtEntry!$P40</f>
        <v>398713</v>
      </c>
      <c r="AB1039" s="273">
        <v>57</v>
      </c>
      <c r="AC1039" s="273">
        <v>60</v>
      </c>
      <c r="AD1039" s="273">
        <v>52</v>
      </c>
      <c r="AE1039" s="249">
        <v>54</v>
      </c>
      <c r="AF1039" s="249">
        <v>51</v>
      </c>
      <c r="AG1039" s="249">
        <v>46</v>
      </c>
      <c r="AH1039" s="249">
        <v>58</v>
      </c>
      <c r="AI1039" s="249">
        <v>55</v>
      </c>
      <c r="AJ1039" s="249">
        <v>62</v>
      </c>
      <c r="AK1039" s="249">
        <v>53</v>
      </c>
      <c r="AL1039" s="249">
        <v>54</v>
      </c>
      <c r="AM1039" s="249">
        <v>47</v>
      </c>
      <c r="AN1039" s="249">
        <v>42</v>
      </c>
      <c r="AO1039" s="273">
        <v>52</v>
      </c>
      <c r="AP1039" s="273">
        <v>52</v>
      </c>
      <c r="AQ1039" s="273">
        <v>47</v>
      </c>
      <c r="AR1039" s="273">
        <v>45</v>
      </c>
      <c r="AS1039" s="273">
        <v>50</v>
      </c>
      <c r="AT1039" s="273">
        <v>52</v>
      </c>
      <c r="AU1039" s="273">
        <v>59</v>
      </c>
      <c r="AV1039" s="273">
        <f t="shared" si="85"/>
        <v>59</v>
      </c>
      <c r="AX1039" s="86" t="str">
        <f t="shared" ca="1" si="84"/>
        <v>RIGL</v>
      </c>
    </row>
    <row r="1040" spans="1:50" hidden="1">
      <c r="A1040" s="86" t="str">
        <f t="shared" ca="1" si="83"/>
        <v>RWE</v>
      </c>
      <c r="C1040" s="1">
        <v>41</v>
      </c>
      <c r="F1040" s="253">
        <v>5600</v>
      </c>
      <c r="G1040" s="253">
        <v>9386</v>
      </c>
      <c r="H1040" s="253">
        <v>8208</v>
      </c>
      <c r="I1040" s="253">
        <v>6308</v>
      </c>
      <c r="J1040" s="253">
        <v>4470</v>
      </c>
      <c r="K1040" s="253">
        <v>13072</v>
      </c>
      <c r="L1040" s="253">
        <v>6276</v>
      </c>
      <c r="M1040" s="253">
        <v>3971</v>
      </c>
      <c r="N1040" s="253">
        <v>2785</v>
      </c>
      <c r="O1040" s="253">
        <v>1710</v>
      </c>
      <c r="P1040" s="253">
        <v>1391</v>
      </c>
      <c r="Q1040" s="253">
        <v>1922</v>
      </c>
      <c r="R1040" s="253">
        <v>1203</v>
      </c>
      <c r="S1040" s="253">
        <v>1142</v>
      </c>
      <c r="T1040" s="253">
        <v>1288</v>
      </c>
      <c r="U1040" s="253">
        <v>1813</v>
      </c>
      <c r="V1040" s="253">
        <v>2427</v>
      </c>
      <c r="W1040" s="253">
        <v>1484</v>
      </c>
      <c r="X1040" s="253">
        <v>3059</v>
      </c>
      <c r="Y1040" s="253">
        <v>4584</v>
      </c>
      <c r="Z1040" s="245">
        <f ca="1">[1]ExtEntry!$P41</f>
        <v>4584</v>
      </c>
      <c r="AB1040" s="273">
        <v>48</v>
      </c>
      <c r="AC1040" s="273">
        <v>37</v>
      </c>
      <c r="AD1040" s="273">
        <v>36</v>
      </c>
      <c r="AE1040" s="249">
        <v>33</v>
      </c>
      <c r="AF1040" s="249">
        <v>24</v>
      </c>
      <c r="AG1040" s="249">
        <v>21</v>
      </c>
      <c r="AH1040" s="249">
        <v>25</v>
      </c>
      <c r="AI1040" s="249">
        <v>26</v>
      </c>
      <c r="AJ1040" s="249">
        <v>20</v>
      </c>
      <c r="AK1040" s="249">
        <v>26</v>
      </c>
      <c r="AL1040" s="249">
        <v>25</v>
      </c>
      <c r="AM1040" s="249">
        <v>27</v>
      </c>
      <c r="AN1040" s="249">
        <v>22</v>
      </c>
      <c r="AO1040" s="273">
        <v>24</v>
      </c>
      <c r="AP1040" s="273">
        <v>18</v>
      </c>
      <c r="AQ1040" s="273">
        <v>39</v>
      </c>
      <c r="AR1040" s="273">
        <v>51</v>
      </c>
      <c r="AS1040" s="273">
        <v>71</v>
      </c>
      <c r="AT1040" s="273">
        <v>73</v>
      </c>
      <c r="AU1040" s="273">
        <v>66</v>
      </c>
      <c r="AV1040" s="273">
        <f t="shared" si="85"/>
        <v>66</v>
      </c>
      <c r="AX1040" s="86" t="str">
        <f t="shared" ca="1" si="84"/>
        <v>RWE</v>
      </c>
    </row>
    <row r="1041" spans="1:50" hidden="1">
      <c r="A1041" s="86" t="str">
        <f t="shared" ca="1" si="83"/>
        <v>SAP</v>
      </c>
      <c r="C1041" s="1">
        <v>42</v>
      </c>
      <c r="F1041" s="253">
        <v>944453</v>
      </c>
      <c r="G1041" s="253">
        <v>1263039</v>
      </c>
      <c r="H1041" s="253">
        <v>1495029</v>
      </c>
      <c r="I1041" s="253">
        <v>2184437</v>
      </c>
      <c r="J1041" s="253">
        <v>186591</v>
      </c>
      <c r="K1041" s="253">
        <v>1173122</v>
      </c>
      <c r="L1041" s="253">
        <v>1092550</v>
      </c>
      <c r="M1041" s="253">
        <v>1520744</v>
      </c>
      <c r="N1041" s="253">
        <v>1239164</v>
      </c>
      <c r="O1041" s="253">
        <v>473852</v>
      </c>
      <c r="P1041" s="253">
        <v>901070</v>
      </c>
      <c r="Q1041" s="253">
        <v>1068929</v>
      </c>
      <c r="R1041" s="253">
        <v>902520</v>
      </c>
      <c r="S1041" s="253">
        <v>403597</v>
      </c>
      <c r="T1041" s="253">
        <v>997604</v>
      </c>
      <c r="U1041" s="253">
        <v>1760376</v>
      </c>
      <c r="V1041" s="253">
        <v>1025075</v>
      </c>
      <c r="W1041" s="253">
        <v>798525</v>
      </c>
      <c r="X1041" s="253">
        <v>1275692</v>
      </c>
      <c r="Y1041" s="253">
        <v>1724153</v>
      </c>
      <c r="Z1041" s="245">
        <f ca="1">[1]ExtEntry!$P42</f>
        <v>1724153</v>
      </c>
      <c r="AB1041" s="273">
        <v>9</v>
      </c>
      <c r="AC1041" s="273">
        <v>8</v>
      </c>
      <c r="AD1041" s="273">
        <v>17</v>
      </c>
      <c r="AE1041" s="249">
        <v>21</v>
      </c>
      <c r="AF1041" s="249">
        <v>19</v>
      </c>
      <c r="AG1041" s="249">
        <v>19</v>
      </c>
      <c r="AH1041" s="249">
        <v>17</v>
      </c>
      <c r="AI1041" s="249">
        <v>36</v>
      </c>
      <c r="AJ1041" s="249">
        <v>39</v>
      </c>
      <c r="AK1041" s="249">
        <v>50</v>
      </c>
      <c r="AL1041" s="249">
        <v>56</v>
      </c>
      <c r="AM1041" s="249">
        <v>55</v>
      </c>
      <c r="AN1041" s="249">
        <v>59</v>
      </c>
      <c r="AO1041" s="273">
        <v>57</v>
      </c>
      <c r="AP1041" s="273">
        <v>57</v>
      </c>
      <c r="AQ1041" s="273">
        <v>68</v>
      </c>
      <c r="AR1041" s="273">
        <v>65</v>
      </c>
      <c r="AS1041" s="273">
        <v>62</v>
      </c>
      <c r="AT1041" s="273">
        <v>71</v>
      </c>
      <c r="AU1041" s="273">
        <v>63</v>
      </c>
      <c r="AV1041" s="273">
        <f t="shared" si="85"/>
        <v>63</v>
      </c>
      <c r="AX1041" s="86" t="str">
        <f t="shared" ca="1" si="84"/>
        <v>SAP</v>
      </c>
    </row>
    <row r="1042" spans="1:50" hidden="1">
      <c r="A1042" s="86" t="str">
        <f t="shared" ca="1" si="83"/>
        <v>SHECY</v>
      </c>
      <c r="C1042" s="1">
        <v>43</v>
      </c>
      <c r="F1042" s="253">
        <v>380683</v>
      </c>
      <c r="G1042" s="253">
        <v>355325</v>
      </c>
      <c r="H1042" s="253">
        <v>392172</v>
      </c>
      <c r="I1042" s="253">
        <v>797890</v>
      </c>
      <c r="J1042" s="253">
        <v>606341</v>
      </c>
      <c r="K1042" s="253">
        <v>90441</v>
      </c>
      <c r="L1042" s="253">
        <v>314062</v>
      </c>
      <c r="M1042" s="253">
        <v>495478</v>
      </c>
      <c r="N1042" s="253">
        <v>185862</v>
      </c>
      <c r="O1042" s="253">
        <v>292575</v>
      </c>
      <c r="P1042" s="253">
        <v>330677</v>
      </c>
      <c r="Q1042" s="253">
        <v>272579</v>
      </c>
      <c r="R1042" s="253">
        <v>780963</v>
      </c>
      <c r="S1042" s="253">
        <v>282359</v>
      </c>
      <c r="T1042" s="253">
        <v>624504</v>
      </c>
      <c r="U1042" s="253">
        <v>1698086</v>
      </c>
      <c r="V1042" s="253">
        <v>608474</v>
      </c>
      <c r="W1042" s="253">
        <v>108470</v>
      </c>
      <c r="X1042" s="253">
        <v>520311</v>
      </c>
      <c r="Y1042" s="253">
        <v>526769</v>
      </c>
      <c r="Z1042" s="245">
        <f ca="1">[1]ExtEntry!$P43</f>
        <v>526769</v>
      </c>
      <c r="AB1042" s="273">
        <v>39</v>
      </c>
      <c r="AC1042" s="273">
        <v>32</v>
      </c>
      <c r="AD1042" s="273">
        <v>32</v>
      </c>
      <c r="AE1042" s="249">
        <v>33</v>
      </c>
      <c r="AF1042" s="249">
        <v>13</v>
      </c>
      <c r="AG1042" s="249">
        <v>13</v>
      </c>
      <c r="AH1042" s="249">
        <v>16</v>
      </c>
      <c r="AI1042" s="249">
        <v>29</v>
      </c>
      <c r="AJ1042" s="249">
        <v>20</v>
      </c>
      <c r="AK1042" s="249">
        <v>17</v>
      </c>
      <c r="AL1042" s="249">
        <v>21</v>
      </c>
      <c r="AM1042" s="249">
        <v>23</v>
      </c>
      <c r="AN1042" s="249">
        <v>30</v>
      </c>
      <c r="AO1042" s="273">
        <v>40</v>
      </c>
      <c r="AP1042" s="273">
        <v>47</v>
      </c>
      <c r="AQ1042" s="273">
        <v>61</v>
      </c>
      <c r="AR1042" s="273">
        <v>57</v>
      </c>
      <c r="AS1042" s="273">
        <v>74</v>
      </c>
      <c r="AT1042" s="273">
        <v>76</v>
      </c>
      <c r="AU1042" s="273">
        <v>80</v>
      </c>
      <c r="AV1042" s="273">
        <f t="shared" si="85"/>
        <v>80</v>
      </c>
      <c r="AX1042" s="86" t="str">
        <f t="shared" ca="1" si="84"/>
        <v>SHECY</v>
      </c>
    </row>
    <row r="1043" spans="1:50" hidden="1">
      <c r="A1043" s="86" t="str">
        <f t="shared" ca="1" si="83"/>
        <v>SSYS</v>
      </c>
      <c r="C1043" s="1">
        <v>44</v>
      </c>
      <c r="F1043" s="253">
        <v>592982</v>
      </c>
      <c r="G1043" s="253">
        <v>571818</v>
      </c>
      <c r="H1043" s="253">
        <v>524493</v>
      </c>
      <c r="I1043" s="253">
        <v>1268811</v>
      </c>
      <c r="J1043" s="253">
        <v>1</v>
      </c>
      <c r="K1043" s="253">
        <v>202937</v>
      </c>
      <c r="L1043" s="253">
        <v>416155</v>
      </c>
      <c r="M1043" s="253">
        <v>647519</v>
      </c>
      <c r="N1043" s="253">
        <v>186888</v>
      </c>
      <c r="O1043" s="253">
        <v>366680</v>
      </c>
      <c r="P1043" s="253">
        <v>343480</v>
      </c>
      <c r="Q1043" s="253">
        <v>533390</v>
      </c>
      <c r="R1043" s="253">
        <v>361374</v>
      </c>
      <c r="S1043" s="253">
        <v>86864</v>
      </c>
      <c r="T1043" s="253">
        <v>515537</v>
      </c>
      <c r="U1043" s="253">
        <v>270982</v>
      </c>
      <c r="V1043" s="253">
        <v>389827</v>
      </c>
      <c r="W1043" s="253">
        <v>259413</v>
      </c>
      <c r="X1043" s="253">
        <v>584614</v>
      </c>
      <c r="Y1043" s="253">
        <v>1005429</v>
      </c>
      <c r="Z1043" s="245">
        <f ca="1">[1]ExtEntry!$P44</f>
        <v>1005429</v>
      </c>
      <c r="AB1043" s="273">
        <v>50</v>
      </c>
      <c r="AC1043" s="273">
        <v>43</v>
      </c>
      <c r="AD1043" s="273">
        <v>41</v>
      </c>
      <c r="AE1043" s="249">
        <v>38</v>
      </c>
      <c r="AF1043" s="249">
        <v>33</v>
      </c>
      <c r="AG1043" s="249">
        <v>35</v>
      </c>
      <c r="AH1043" s="249">
        <v>35</v>
      </c>
      <c r="AI1043" s="249">
        <v>37</v>
      </c>
      <c r="AJ1043" s="249">
        <v>34</v>
      </c>
      <c r="AK1043" s="249">
        <v>41</v>
      </c>
      <c r="AL1043" s="249">
        <v>34</v>
      </c>
      <c r="AM1043" s="249">
        <v>30</v>
      </c>
      <c r="AN1043" s="249">
        <v>35</v>
      </c>
      <c r="AO1043" s="273">
        <v>52</v>
      </c>
      <c r="AP1043" s="273">
        <v>52</v>
      </c>
      <c r="AQ1043" s="273">
        <v>64</v>
      </c>
      <c r="AR1043" s="273">
        <v>78</v>
      </c>
      <c r="AS1043" s="273">
        <v>80</v>
      </c>
      <c r="AT1043" s="273">
        <v>90</v>
      </c>
      <c r="AU1043" s="273">
        <v>84</v>
      </c>
      <c r="AV1043" s="273">
        <f t="shared" si="85"/>
        <v>84</v>
      </c>
      <c r="AX1043" s="86" t="str">
        <f t="shared" ca="1" si="84"/>
        <v>SSYS</v>
      </c>
    </row>
    <row r="1044" spans="1:50" hidden="1">
      <c r="A1044" s="86" t="str">
        <f t="shared" ca="1" si="83"/>
        <v>TSLA</v>
      </c>
      <c r="C1044" s="1">
        <v>45</v>
      </c>
      <c r="F1044" s="253">
        <v>85406218</v>
      </c>
      <c r="G1044" s="253">
        <v>92518948</v>
      </c>
      <c r="H1044" s="253">
        <v>94942022</v>
      </c>
      <c r="I1044" s="253">
        <v>105336865</v>
      </c>
      <c r="J1044" s="253">
        <v>99461</v>
      </c>
      <c r="K1044" s="253">
        <v>41299931</v>
      </c>
      <c r="L1044" s="253">
        <v>85096857</v>
      </c>
      <c r="M1044" s="253">
        <v>86310102</v>
      </c>
      <c r="N1044" s="253">
        <v>43994083</v>
      </c>
      <c r="O1044" s="253">
        <v>63462996</v>
      </c>
      <c r="P1044" s="253">
        <v>36190175</v>
      </c>
      <c r="Q1044" s="253">
        <v>38797236</v>
      </c>
      <c r="R1044" s="253">
        <v>64031500</v>
      </c>
      <c r="S1044" s="253">
        <v>28794764</v>
      </c>
      <c r="T1044" s="253">
        <v>86962202</v>
      </c>
      <c r="U1044" s="253">
        <v>42195761</v>
      </c>
      <c r="V1044" s="253">
        <v>56427522</v>
      </c>
      <c r="W1044" s="253">
        <v>34265194</v>
      </c>
      <c r="X1044" s="253">
        <v>63137840</v>
      </c>
      <c r="Y1044" s="253">
        <v>54638160</v>
      </c>
      <c r="Z1044" s="245">
        <f ca="1">[1]ExtEntry!$P45</f>
        <v>54638160</v>
      </c>
      <c r="AB1044" s="273">
        <v>40</v>
      </c>
      <c r="AC1044" s="273">
        <v>27</v>
      </c>
      <c r="AD1044" s="273">
        <v>28</v>
      </c>
      <c r="AE1044" s="249">
        <v>35</v>
      </c>
      <c r="AF1044" s="249">
        <v>28</v>
      </c>
      <c r="AG1044" s="249">
        <v>33</v>
      </c>
      <c r="AH1044" s="249">
        <v>35</v>
      </c>
      <c r="AI1044" s="249">
        <v>38</v>
      </c>
      <c r="AJ1044" s="249">
        <v>45</v>
      </c>
      <c r="AK1044" s="249">
        <v>46</v>
      </c>
      <c r="AL1044" s="249">
        <v>44</v>
      </c>
      <c r="AM1044" s="249">
        <v>39</v>
      </c>
      <c r="AN1044" s="249">
        <v>47</v>
      </c>
      <c r="AO1044" s="273">
        <v>60</v>
      </c>
      <c r="AP1044" s="273">
        <v>63</v>
      </c>
      <c r="AQ1044" s="273">
        <v>65</v>
      </c>
      <c r="AR1044" s="273">
        <v>72</v>
      </c>
      <c r="AS1044" s="273">
        <v>70</v>
      </c>
      <c r="AT1044" s="273">
        <v>82</v>
      </c>
      <c r="AU1044" s="273">
        <v>73</v>
      </c>
      <c r="AV1044" s="273">
        <f t="shared" si="85"/>
        <v>73</v>
      </c>
      <c r="AX1044" s="86" t="str">
        <f t="shared" ca="1" si="84"/>
        <v>TSLA</v>
      </c>
    </row>
    <row r="1045" spans="1:50" hidden="1">
      <c r="A1045" s="86" t="str">
        <f t="shared" ca="1" si="83"/>
        <v>TSM</v>
      </c>
      <c r="C1045" s="1">
        <v>46</v>
      </c>
      <c r="F1045" s="253">
        <v>10491376</v>
      </c>
      <c r="G1045" s="253">
        <v>9702637</v>
      </c>
      <c r="H1045" s="253">
        <v>13720680</v>
      </c>
      <c r="I1045" s="253">
        <v>11477120</v>
      </c>
      <c r="J1045" s="253">
        <v>30473</v>
      </c>
      <c r="K1045" s="253">
        <v>5487822</v>
      </c>
      <c r="L1045" s="253">
        <v>9996174</v>
      </c>
      <c r="M1045" s="253">
        <v>17098051</v>
      </c>
      <c r="N1045" s="253">
        <v>7778469</v>
      </c>
      <c r="O1045" s="253">
        <v>12220253</v>
      </c>
      <c r="P1045" s="253">
        <v>5508156</v>
      </c>
      <c r="Q1045" s="253">
        <v>4561799</v>
      </c>
      <c r="R1045" s="253">
        <v>9347688</v>
      </c>
      <c r="S1045" s="253">
        <v>3097840</v>
      </c>
      <c r="T1045" s="253">
        <v>9556595</v>
      </c>
      <c r="U1045" s="253">
        <v>3407976</v>
      </c>
      <c r="V1045" s="253">
        <v>10275297</v>
      </c>
      <c r="W1045" s="253">
        <v>3857276</v>
      </c>
      <c r="X1045" s="253">
        <v>12403820</v>
      </c>
      <c r="Y1045" s="253">
        <v>14837329</v>
      </c>
      <c r="Z1045" s="245">
        <f ca="1">[1]ExtEntry!$P46</f>
        <v>14837329</v>
      </c>
      <c r="AB1045" s="273">
        <v>37</v>
      </c>
      <c r="AC1045" s="273">
        <v>30</v>
      </c>
      <c r="AD1045" s="273">
        <v>33</v>
      </c>
      <c r="AE1045" s="249">
        <v>34</v>
      </c>
      <c r="AF1045" s="249">
        <v>18</v>
      </c>
      <c r="AG1045" s="249">
        <v>21</v>
      </c>
      <c r="AH1045" s="249">
        <v>24</v>
      </c>
      <c r="AI1045" s="249">
        <v>25</v>
      </c>
      <c r="AJ1045" s="249">
        <v>40</v>
      </c>
      <c r="AK1045" s="249">
        <v>51</v>
      </c>
      <c r="AL1045" s="249">
        <v>47</v>
      </c>
      <c r="AM1045" s="249">
        <v>51</v>
      </c>
      <c r="AN1045" s="249">
        <v>49</v>
      </c>
      <c r="AO1045" s="273">
        <v>50</v>
      </c>
      <c r="AP1045" s="273">
        <v>51</v>
      </c>
      <c r="AQ1045" s="273">
        <v>68</v>
      </c>
      <c r="AR1045" s="273">
        <v>65</v>
      </c>
      <c r="AS1045" s="273">
        <v>75</v>
      </c>
      <c r="AT1045" s="273">
        <v>82</v>
      </c>
      <c r="AU1045" s="273">
        <v>81</v>
      </c>
      <c r="AV1045" s="273">
        <f t="shared" si="85"/>
        <v>81</v>
      </c>
      <c r="AX1045" s="86" t="str">
        <f t="shared" ca="1" si="84"/>
        <v>TSM</v>
      </c>
    </row>
    <row r="1046" spans="1:50" hidden="1">
      <c r="A1046" s="86" t="str">
        <f t="shared" ca="1" si="83"/>
        <v>UN0</v>
      </c>
      <c r="C1046" s="1">
        <v>47</v>
      </c>
      <c r="F1046" s="253">
        <v>464</v>
      </c>
      <c r="G1046" s="253">
        <v>270</v>
      </c>
      <c r="H1046" s="253">
        <v>60</v>
      </c>
      <c r="I1046" s="253">
        <v>64</v>
      </c>
      <c r="J1046" s="253">
        <v>1694</v>
      </c>
      <c r="K1046" s="253">
        <v>5</v>
      </c>
      <c r="L1046" s="253">
        <v>12</v>
      </c>
      <c r="M1046" s="253">
        <v>101</v>
      </c>
      <c r="N1046" s="253">
        <v>92</v>
      </c>
      <c r="O1046" s="253">
        <v>80</v>
      </c>
      <c r="P1046" s="253">
        <v>76</v>
      </c>
      <c r="Q1046" s="253">
        <v>104</v>
      </c>
      <c r="R1046" s="253">
        <v>2205</v>
      </c>
      <c r="S1046" s="253">
        <v>15</v>
      </c>
      <c r="T1046" s="253">
        <v>15</v>
      </c>
      <c r="U1046" s="253">
        <v>89</v>
      </c>
      <c r="V1046" s="253">
        <v>64</v>
      </c>
      <c r="W1046" s="253">
        <v>1210</v>
      </c>
      <c r="X1046" s="253">
        <v>1244</v>
      </c>
      <c r="Y1046" s="253">
        <v>49</v>
      </c>
      <c r="Z1046" s="245">
        <f ca="1">[1]ExtEntry!$P47</f>
        <v>49</v>
      </c>
      <c r="AB1046" s="273">
        <v>74</v>
      </c>
      <c r="AC1046" s="273">
        <v>63</v>
      </c>
      <c r="AD1046" s="273">
        <v>73</v>
      </c>
      <c r="AE1046" s="249">
        <v>75</v>
      </c>
      <c r="AF1046" s="249">
        <v>72</v>
      </c>
      <c r="AG1046" s="249">
        <v>65</v>
      </c>
      <c r="AH1046" s="249">
        <v>67</v>
      </c>
      <c r="AI1046" s="249">
        <v>71</v>
      </c>
      <c r="AJ1046" s="249">
        <v>70</v>
      </c>
      <c r="AK1046" s="249">
        <v>68</v>
      </c>
      <c r="AL1046" s="249">
        <v>65</v>
      </c>
      <c r="AM1046" s="249">
        <v>72</v>
      </c>
      <c r="AN1046" s="249">
        <v>75</v>
      </c>
      <c r="AO1046" s="273">
        <v>76</v>
      </c>
      <c r="AP1046" s="273">
        <v>71</v>
      </c>
      <c r="AQ1046" s="273">
        <v>78</v>
      </c>
      <c r="AR1046" s="273">
        <v>66</v>
      </c>
      <c r="AS1046" s="273">
        <v>58</v>
      </c>
      <c r="AT1046" s="273">
        <v>70</v>
      </c>
      <c r="AU1046" s="273">
        <v>87</v>
      </c>
      <c r="AV1046" s="273">
        <f t="shared" si="85"/>
        <v>87</v>
      </c>
      <c r="AX1046" s="86" t="str">
        <f t="shared" ca="1" si="84"/>
        <v>UN0</v>
      </c>
    </row>
    <row r="1047" spans="1:50" hidden="1">
      <c r="A1047" s="86" t="str">
        <f t="shared" ca="1" si="83"/>
        <v>UNIT</v>
      </c>
      <c r="C1047" s="1">
        <v>48</v>
      </c>
      <c r="F1047" s="253">
        <v>4479962</v>
      </c>
      <c r="G1047" s="253">
        <v>2182606</v>
      </c>
      <c r="H1047" s="253">
        <v>2428859</v>
      </c>
      <c r="I1047" s="253">
        <v>2479441</v>
      </c>
      <c r="J1047" s="253">
        <v>2136022</v>
      </c>
      <c r="K1047" s="253">
        <v>718508</v>
      </c>
      <c r="L1047" s="253">
        <v>852615</v>
      </c>
      <c r="M1047" s="253">
        <v>1436313</v>
      </c>
      <c r="N1047" s="253">
        <v>1061393</v>
      </c>
      <c r="O1047" s="253">
        <v>2922817</v>
      </c>
      <c r="P1047" s="253">
        <v>870093</v>
      </c>
      <c r="Q1047" s="253">
        <v>431061</v>
      </c>
      <c r="R1047" s="253">
        <v>2507281</v>
      </c>
      <c r="S1047" s="253">
        <v>229599</v>
      </c>
      <c r="T1047" s="253">
        <v>1694094</v>
      </c>
      <c r="U1047" s="253">
        <v>460171</v>
      </c>
      <c r="V1047" s="253">
        <v>1611784</v>
      </c>
      <c r="W1047" s="253">
        <v>396809</v>
      </c>
      <c r="X1047" s="253">
        <v>2112411</v>
      </c>
      <c r="Y1047" s="253">
        <v>4517091</v>
      </c>
      <c r="Z1047" s="245">
        <f ca="1">[1]ExtEntry!$P48</f>
        <v>4517091</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4"/>
        <v>UNIT</v>
      </c>
    </row>
    <row r="1048" spans="1:50" hidden="1">
      <c r="A1048" s="86" t="str">
        <f t="shared" ca="1" si="83"/>
        <v>VLVLY</v>
      </c>
      <c r="C1048" s="1">
        <v>49</v>
      </c>
      <c r="F1048" s="253">
        <v>89619</v>
      </c>
      <c r="G1048" s="253">
        <v>98634</v>
      </c>
      <c r="H1048" s="253">
        <v>57199</v>
      </c>
      <c r="I1048" s="253">
        <v>76921</v>
      </c>
      <c r="J1048" s="253">
        <v>121808</v>
      </c>
      <c r="K1048" s="253">
        <v>25290</v>
      </c>
      <c r="L1048" s="253">
        <v>70678</v>
      </c>
      <c r="M1048" s="253">
        <v>115576</v>
      </c>
      <c r="N1048" s="253">
        <v>35278</v>
      </c>
      <c r="O1048" s="253">
        <v>55094</v>
      </c>
      <c r="P1048" s="253">
        <v>39637</v>
      </c>
      <c r="Q1048" s="253">
        <v>37929</v>
      </c>
      <c r="R1048" s="253">
        <v>60217</v>
      </c>
      <c r="S1048" s="253">
        <v>9804</v>
      </c>
      <c r="T1048" s="253">
        <v>56942</v>
      </c>
      <c r="U1048" s="253">
        <v>22391</v>
      </c>
      <c r="V1048" s="253">
        <v>144688</v>
      </c>
      <c r="W1048" s="253">
        <v>17608</v>
      </c>
      <c r="X1048" s="253">
        <v>158000</v>
      </c>
      <c r="Y1048" s="253">
        <v>39855</v>
      </c>
      <c r="Z1048" s="245">
        <f ca="1">[1]ExtEntry!$P49</f>
        <v>39855</v>
      </c>
      <c r="AB1048" s="273">
        <v>51</v>
      </c>
      <c r="AC1048" s="273">
        <v>46</v>
      </c>
      <c r="AD1048" s="273">
        <v>45</v>
      </c>
      <c r="AE1048" s="249">
        <v>61</v>
      </c>
      <c r="AF1048" s="249">
        <v>52</v>
      </c>
      <c r="AG1048" s="249">
        <v>55</v>
      </c>
      <c r="AH1048" s="249">
        <v>48</v>
      </c>
      <c r="AI1048" s="249">
        <v>61</v>
      </c>
      <c r="AJ1048" s="249">
        <v>60</v>
      </c>
      <c r="AK1048" s="249">
        <v>59</v>
      </c>
      <c r="AL1048" s="249">
        <v>59</v>
      </c>
      <c r="AM1048" s="249">
        <v>60</v>
      </c>
      <c r="AN1048" s="249">
        <v>64</v>
      </c>
      <c r="AO1048" s="273">
        <v>65</v>
      </c>
      <c r="AP1048" s="273">
        <v>57</v>
      </c>
      <c r="AQ1048" s="273">
        <v>68</v>
      </c>
      <c r="AR1048" s="273">
        <v>73</v>
      </c>
      <c r="AS1048" s="273">
        <v>70</v>
      </c>
      <c r="AT1048" s="273">
        <v>73</v>
      </c>
      <c r="AU1048" s="273">
        <v>74</v>
      </c>
      <c r="AV1048" s="273">
        <f t="shared" ref="AV1048:AV1091" si="86">INT(100-100/(1+(19*SUMIF(L651:Y651,"&gt;0",L651:Y651)+IF(Y651&gt;0,Y651,0))/ABS(19*SUMIF(L651:Y651,"&lt;0",L651:Y651)+IF(Y651&lt;0,Y651,0))))</f>
        <v>74</v>
      </c>
      <c r="AX1048" s="86" t="str">
        <f t="shared" ca="1" si="84"/>
        <v>VLVLY</v>
      </c>
    </row>
    <row r="1049" spans="1:50" hidden="1">
      <c r="A1049" s="86" t="str">
        <f t="shared" ca="1" si="83"/>
        <v>VONN</v>
      </c>
      <c r="C1049" s="1">
        <v>50</v>
      </c>
      <c r="F1049" s="253">
        <v>29757</v>
      </c>
      <c r="G1049" s="253">
        <v>35740</v>
      </c>
      <c r="H1049" s="253">
        <v>29983</v>
      </c>
      <c r="I1049" s="253">
        <v>28125</v>
      </c>
      <c r="J1049" s="253">
        <v>14844</v>
      </c>
      <c r="K1049" s="253">
        <v>44698</v>
      </c>
      <c r="L1049" s="253">
        <v>40397</v>
      </c>
      <c r="M1049" s="253">
        <v>29632</v>
      </c>
      <c r="N1049" s="253">
        <v>31279</v>
      </c>
      <c r="O1049" s="253">
        <v>28567</v>
      </c>
      <c r="P1049" s="253">
        <v>33320</v>
      </c>
      <c r="Q1049" s="253">
        <v>51070</v>
      </c>
      <c r="R1049" s="253">
        <v>29702</v>
      </c>
      <c r="S1049" s="253">
        <v>13604</v>
      </c>
      <c r="T1049" s="253">
        <v>33060</v>
      </c>
      <c r="U1049" s="253">
        <v>39609</v>
      </c>
      <c r="V1049" s="253">
        <v>42247</v>
      </c>
      <c r="W1049" s="253">
        <v>49075</v>
      </c>
      <c r="X1049" s="253">
        <v>37801</v>
      </c>
      <c r="Y1049" s="253">
        <v>56044</v>
      </c>
      <c r="Z1049" s="245">
        <f ca="1">[1]ExtEntry!$P50</f>
        <v>56044</v>
      </c>
      <c r="AB1049" s="273">
        <v>55</v>
      </c>
      <c r="AC1049" s="273">
        <v>52</v>
      </c>
      <c r="AD1049" s="273">
        <v>56</v>
      </c>
      <c r="AE1049" s="249">
        <v>59</v>
      </c>
      <c r="AF1049" s="249">
        <v>58</v>
      </c>
      <c r="AG1049" s="249">
        <v>63</v>
      </c>
      <c r="AH1049" s="249">
        <v>58</v>
      </c>
      <c r="AI1049" s="249">
        <v>45</v>
      </c>
      <c r="AJ1049" s="249">
        <v>42</v>
      </c>
      <c r="AK1049" s="249">
        <v>46</v>
      </c>
      <c r="AL1049" s="249">
        <v>47</v>
      </c>
      <c r="AM1049" s="249">
        <v>56</v>
      </c>
      <c r="AN1049" s="249">
        <v>52</v>
      </c>
      <c r="AO1049" s="273">
        <v>50</v>
      </c>
      <c r="AP1049" s="273">
        <v>47</v>
      </c>
      <c r="AQ1049" s="273">
        <v>62</v>
      </c>
      <c r="AR1049" s="273">
        <v>62</v>
      </c>
      <c r="AS1049" s="273">
        <v>64</v>
      </c>
      <c r="AT1049" s="273">
        <v>59</v>
      </c>
      <c r="AU1049" s="273">
        <v>59</v>
      </c>
      <c r="AV1049" s="273">
        <f t="shared" si="86"/>
        <v>59</v>
      </c>
      <c r="AX1049" s="86" t="str">
        <f t="shared" ca="1" si="84"/>
        <v>VONN</v>
      </c>
    </row>
    <row r="1050" spans="1:50" hidden="1">
      <c r="A1050" s="86" t="str">
        <f t="shared" ca="1" si="83"/>
        <v>VTRS</v>
      </c>
      <c r="C1050" s="1">
        <v>51</v>
      </c>
      <c r="F1050" s="253">
        <v>17838532</v>
      </c>
      <c r="G1050" s="253">
        <v>14226685</v>
      </c>
      <c r="H1050" s="253">
        <v>9388510</v>
      </c>
      <c r="I1050" s="253">
        <v>7397953</v>
      </c>
      <c r="J1050" s="253">
        <v>7719839</v>
      </c>
      <c r="K1050" s="253">
        <v>2163996</v>
      </c>
      <c r="L1050" s="253">
        <v>3195163</v>
      </c>
      <c r="M1050" s="253">
        <v>4779796</v>
      </c>
      <c r="N1050" s="253">
        <v>2962120</v>
      </c>
      <c r="O1050" s="253">
        <v>6559645</v>
      </c>
      <c r="P1050" s="253">
        <v>2714929</v>
      </c>
      <c r="Q1050" s="253">
        <v>2616030</v>
      </c>
      <c r="R1050" s="253">
        <v>4948711</v>
      </c>
      <c r="S1050" s="253">
        <v>812864</v>
      </c>
      <c r="T1050" s="253">
        <v>5616086</v>
      </c>
      <c r="U1050" s="253">
        <v>1614256</v>
      </c>
      <c r="V1050" s="253">
        <v>5855860</v>
      </c>
      <c r="W1050" s="253">
        <v>4563405</v>
      </c>
      <c r="X1050" s="253">
        <v>9779134</v>
      </c>
      <c r="Y1050" s="253">
        <v>6325372</v>
      </c>
      <c r="Z1050" s="245">
        <f ca="1">[1]ExtEntry!$P51</f>
        <v>6325372</v>
      </c>
      <c r="AB1050" s="273">
        <v>80</v>
      </c>
      <c r="AC1050" s="273">
        <v>52</v>
      </c>
      <c r="AD1050" s="273">
        <v>49</v>
      </c>
      <c r="AE1050" s="249">
        <v>41</v>
      </c>
      <c r="AF1050" s="249">
        <v>38</v>
      </c>
      <c r="AG1050" s="249">
        <v>31</v>
      </c>
      <c r="AH1050" s="249">
        <v>27</v>
      </c>
      <c r="AI1050" s="249">
        <v>36</v>
      </c>
      <c r="AJ1050" s="249">
        <v>40</v>
      </c>
      <c r="AK1050" s="249">
        <v>41</v>
      </c>
      <c r="AL1050" s="249">
        <v>40</v>
      </c>
      <c r="AM1050" s="249">
        <v>44</v>
      </c>
      <c r="AN1050" s="249">
        <v>42</v>
      </c>
      <c r="AO1050" s="273">
        <v>46</v>
      </c>
      <c r="AP1050" s="273">
        <v>43</v>
      </c>
      <c r="AQ1050" s="273">
        <v>55</v>
      </c>
      <c r="AR1050" s="273">
        <v>60</v>
      </c>
      <c r="AS1050" s="273">
        <v>70</v>
      </c>
      <c r="AT1050" s="273">
        <v>76</v>
      </c>
      <c r="AU1050" s="273">
        <v>81</v>
      </c>
      <c r="AV1050" s="273">
        <f t="shared" si="86"/>
        <v>81</v>
      </c>
      <c r="AX1050" s="86" t="str">
        <f t="shared" ca="1" si="84"/>
        <v>VTRS</v>
      </c>
    </row>
    <row r="1051" spans="1:50" hidden="1">
      <c r="A1051" s="86" t="str">
        <f t="shared" ca="1" si="83"/>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6"/>
        <v>#DIV/0!</v>
      </c>
      <c r="AX1051" s="86" t="str">
        <f t="shared" ca="1" si="84"/>
        <v>WBA</v>
      </c>
    </row>
    <row r="1052" spans="1:50" hidden="1">
      <c r="A1052" s="86" t="str">
        <f t="shared" ca="1" si="83"/>
        <v>XOM</v>
      </c>
      <c r="C1052" s="1">
        <v>53</v>
      </c>
      <c r="F1052" s="253">
        <v>12399753</v>
      </c>
      <c r="G1052" s="253">
        <v>8146065</v>
      </c>
      <c r="H1052" s="253">
        <v>10244297</v>
      </c>
      <c r="I1052" s="253">
        <v>17062862</v>
      </c>
      <c r="J1052" s="253">
        <v>241</v>
      </c>
      <c r="K1052" s="253">
        <v>5274637</v>
      </c>
      <c r="L1052" s="253">
        <v>6974279</v>
      </c>
      <c r="M1052" s="253">
        <v>8652200</v>
      </c>
      <c r="N1052" s="253">
        <v>5095874</v>
      </c>
      <c r="O1052" s="253">
        <v>11650597</v>
      </c>
      <c r="P1052" s="253">
        <v>7239384</v>
      </c>
      <c r="Q1052" s="253">
        <v>5385445</v>
      </c>
      <c r="R1052" s="253">
        <v>11559375</v>
      </c>
      <c r="S1052" s="253">
        <v>4072856</v>
      </c>
      <c r="T1052" s="253">
        <v>15212945</v>
      </c>
      <c r="U1052" s="253">
        <v>4929027</v>
      </c>
      <c r="V1052" s="253">
        <v>12516864</v>
      </c>
      <c r="W1052" s="253">
        <v>13086928</v>
      </c>
      <c r="X1052" s="253">
        <v>19834886</v>
      </c>
      <c r="Y1052" s="253">
        <v>13613822</v>
      </c>
      <c r="Z1052" s="245">
        <f ca="1">[1]ExtEntry!$P53</f>
        <v>13613822</v>
      </c>
      <c r="AB1052" s="273">
        <v>61</v>
      </c>
      <c r="AC1052" s="273">
        <v>67</v>
      </c>
      <c r="AD1052" s="273">
        <v>77</v>
      </c>
      <c r="AE1052" s="249">
        <v>77</v>
      </c>
      <c r="AF1052" s="249">
        <v>78</v>
      </c>
      <c r="AG1052" s="249">
        <v>71</v>
      </c>
      <c r="AH1052" s="249">
        <v>66</v>
      </c>
      <c r="AI1052" s="249">
        <v>62</v>
      </c>
      <c r="AJ1052" s="249">
        <v>61</v>
      </c>
      <c r="AK1052" s="249">
        <v>64</v>
      </c>
      <c r="AL1052" s="249">
        <v>66</v>
      </c>
      <c r="AM1052" s="249">
        <v>73</v>
      </c>
      <c r="AN1052" s="249">
        <v>75</v>
      </c>
      <c r="AO1052" s="273">
        <v>77</v>
      </c>
      <c r="AP1052" s="273">
        <v>82</v>
      </c>
      <c r="AQ1052" s="273">
        <v>79</v>
      </c>
      <c r="AR1052" s="273">
        <v>72</v>
      </c>
      <c r="AS1052" s="273">
        <v>75</v>
      </c>
      <c r="AT1052" s="273">
        <v>75</v>
      </c>
      <c r="AU1052" s="273">
        <v>82</v>
      </c>
      <c r="AV1052" s="273">
        <f t="shared" si="86"/>
        <v>82</v>
      </c>
      <c r="AX1052" s="86" t="str">
        <f t="shared" ca="1" si="84"/>
        <v>XOM</v>
      </c>
    </row>
    <row r="1053" spans="1:50" hidden="1">
      <c r="A1053" s="86" t="str">
        <f t="shared" ca="1" si="83"/>
        <v>XPER</v>
      </c>
      <c r="C1053" s="1">
        <v>54</v>
      </c>
      <c r="F1053" s="253">
        <v>731648</v>
      </c>
      <c r="G1053" s="253">
        <v>795005</v>
      </c>
      <c r="H1053" s="253">
        <v>380699</v>
      </c>
      <c r="I1053" s="253">
        <v>533655</v>
      </c>
      <c r="J1053" s="253">
        <v>502313</v>
      </c>
      <c r="K1053" s="253">
        <v>198908</v>
      </c>
      <c r="L1053" s="253">
        <v>264423</v>
      </c>
      <c r="M1053" s="253">
        <v>240849</v>
      </c>
      <c r="N1053" s="253">
        <v>149114</v>
      </c>
      <c r="O1053" s="253">
        <v>389951</v>
      </c>
      <c r="P1053" s="253">
        <v>177802</v>
      </c>
      <c r="Q1053" s="253">
        <v>311659</v>
      </c>
      <c r="R1053" s="253">
        <v>312633</v>
      </c>
      <c r="S1053" s="253">
        <v>26516</v>
      </c>
      <c r="T1053" s="253">
        <v>376792</v>
      </c>
      <c r="U1053" s="253">
        <v>113253</v>
      </c>
      <c r="V1053" s="253">
        <v>513577</v>
      </c>
      <c r="W1053" s="253">
        <v>96025</v>
      </c>
      <c r="X1053" s="253">
        <v>499787</v>
      </c>
      <c r="Y1053" s="253">
        <v>331454</v>
      </c>
      <c r="Z1053" s="245">
        <f ca="1">[1]ExtEntry!$P54</f>
        <v>331454</v>
      </c>
      <c r="AB1053" s="273">
        <v>48</v>
      </c>
      <c r="AC1053" s="273">
        <v>50</v>
      </c>
      <c r="AD1053" s="273">
        <v>44</v>
      </c>
      <c r="AE1053" s="249">
        <v>44</v>
      </c>
      <c r="AF1053" s="249">
        <v>38</v>
      </c>
      <c r="AG1053" s="249">
        <v>34</v>
      </c>
      <c r="AH1053" s="249">
        <v>36</v>
      </c>
      <c r="AI1053" s="249">
        <v>47</v>
      </c>
      <c r="AJ1053" s="249">
        <v>46</v>
      </c>
      <c r="AK1053" s="249">
        <v>44</v>
      </c>
      <c r="AL1053" s="249">
        <v>46</v>
      </c>
      <c r="AM1053" s="249">
        <v>42</v>
      </c>
      <c r="AN1053" s="249">
        <v>48</v>
      </c>
      <c r="AO1053" s="273">
        <v>53</v>
      </c>
      <c r="AP1053" s="273">
        <v>48</v>
      </c>
      <c r="AQ1053" s="273">
        <v>39</v>
      </c>
      <c r="AR1053" s="273">
        <v>53</v>
      </c>
      <c r="AS1053" s="273">
        <v>60</v>
      </c>
      <c r="AT1053" s="273">
        <v>69</v>
      </c>
      <c r="AU1053" s="273">
        <v>70</v>
      </c>
      <c r="AV1053" s="273">
        <f t="shared" si="86"/>
        <v>70</v>
      </c>
      <c r="AX1053" s="86" t="str">
        <f t="shared" ca="1" si="84"/>
        <v>XPER</v>
      </c>
    </row>
    <row r="1054" spans="1:50" hidden="1">
      <c r="A1054" s="86" t="str">
        <f t="shared" ca="1" si="83"/>
        <v>MVEALDNE</v>
      </c>
      <c r="C1054" s="1">
        <v>55</v>
      </c>
      <c r="F1054" s="253">
        <v>2729</v>
      </c>
      <c r="G1054" s="253">
        <v>1977</v>
      </c>
      <c r="H1054" s="253">
        <v>2114</v>
      </c>
      <c r="I1054" s="253">
        <v>12233</v>
      </c>
      <c r="J1054" s="253">
        <v>3351</v>
      </c>
      <c r="K1054" s="253">
        <v>3776</v>
      </c>
      <c r="L1054" s="253">
        <v>4711</v>
      </c>
      <c r="M1054" s="253">
        <v>29827</v>
      </c>
      <c r="N1054" s="253">
        <v>35769</v>
      </c>
      <c r="O1054" s="253">
        <v>14347</v>
      </c>
      <c r="P1054" s="253">
        <v>9118</v>
      </c>
      <c r="Q1054" s="253">
        <v>6334</v>
      </c>
      <c r="R1054" s="253">
        <v>357</v>
      </c>
      <c r="S1054" s="253">
        <v>1695</v>
      </c>
      <c r="T1054" s="253">
        <v>1875</v>
      </c>
      <c r="U1054" s="253">
        <v>1313</v>
      </c>
      <c r="V1054" s="253">
        <v>3016</v>
      </c>
      <c r="W1054" s="253">
        <v>4879</v>
      </c>
      <c r="X1054" s="253">
        <v>22225</v>
      </c>
      <c r="Y1054" s="253">
        <v>8530</v>
      </c>
      <c r="Z1054" s="245">
        <f ca="1">[1]ExtEntry!$P55</f>
        <v>8530</v>
      </c>
      <c r="AB1054" s="273">
        <v>56</v>
      </c>
      <c r="AC1054" s="273">
        <v>53</v>
      </c>
      <c r="AD1054" s="273">
        <v>56</v>
      </c>
      <c r="AE1054" s="249">
        <v>36</v>
      </c>
      <c r="AF1054" s="249">
        <v>37</v>
      </c>
      <c r="AG1054" s="249">
        <v>36</v>
      </c>
      <c r="AH1054" s="249">
        <v>27</v>
      </c>
      <c r="AI1054" s="249">
        <v>21</v>
      </c>
      <c r="AJ1054" s="249">
        <v>19</v>
      </c>
      <c r="AK1054" s="249">
        <v>18</v>
      </c>
      <c r="AL1054" s="249">
        <v>17</v>
      </c>
      <c r="AM1054" s="249">
        <v>22</v>
      </c>
      <c r="AN1054" s="249">
        <v>13</v>
      </c>
      <c r="AO1054" s="273">
        <v>17</v>
      </c>
      <c r="AP1054" s="273">
        <v>18</v>
      </c>
      <c r="AQ1054" s="273">
        <v>18</v>
      </c>
      <c r="AR1054" s="273">
        <v>18</v>
      </c>
      <c r="AS1054" s="273">
        <v>25</v>
      </c>
      <c r="AT1054" s="273">
        <v>31</v>
      </c>
      <c r="AU1054" s="273">
        <v>20</v>
      </c>
      <c r="AV1054" s="273">
        <f t="shared" si="86"/>
        <v>20</v>
      </c>
      <c r="AX1054" s="86" t="str">
        <f t="shared" ca="1" si="84"/>
        <v>MVEALDNE</v>
      </c>
    </row>
    <row r="1055" spans="1:50" hidden="1">
      <c r="A1055" s="86" t="str">
        <f t="shared" ca="1" si="83"/>
        <v>MVEDDD</v>
      </c>
      <c r="C1055" s="1">
        <v>56</v>
      </c>
      <c r="F1055" s="253">
        <v>5452199</v>
      </c>
      <c r="G1055" s="253">
        <v>3698414</v>
      </c>
      <c r="H1055" s="253">
        <v>2472948</v>
      </c>
      <c r="I1055" s="253">
        <v>1688130</v>
      </c>
      <c r="J1055" s="253">
        <v>10</v>
      </c>
      <c r="K1055" s="253">
        <v>740466</v>
      </c>
      <c r="L1055" s="253">
        <v>2211108</v>
      </c>
      <c r="M1055" s="253">
        <v>4238259</v>
      </c>
      <c r="N1055" s="253">
        <v>741389</v>
      </c>
      <c r="O1055" s="253">
        <v>1427107</v>
      </c>
      <c r="P1055" s="253">
        <v>820581</v>
      </c>
      <c r="Q1055" s="253">
        <v>656227</v>
      </c>
      <c r="R1055" s="253">
        <v>1065063</v>
      </c>
      <c r="S1055" s="253">
        <v>282358</v>
      </c>
      <c r="T1055" s="253">
        <v>1563430</v>
      </c>
      <c r="U1055" s="253">
        <v>633490</v>
      </c>
      <c r="V1055" s="253">
        <v>1290358</v>
      </c>
      <c r="W1055" s="253">
        <v>9242459</v>
      </c>
      <c r="X1055" s="253">
        <v>5347521</v>
      </c>
      <c r="Y1055" s="253">
        <v>4567106</v>
      </c>
      <c r="Z1055" s="245">
        <f ca="1">[1]ExtEntry!$P56</f>
        <v>4567106</v>
      </c>
      <c r="AB1055" s="273">
        <v>37</v>
      </c>
      <c r="AC1055" s="273">
        <v>30</v>
      </c>
      <c r="AD1055" s="273">
        <v>30</v>
      </c>
      <c r="AE1055" s="249">
        <v>31</v>
      </c>
      <c r="AF1055" s="249">
        <v>10</v>
      </c>
      <c r="AG1055" s="249">
        <v>12</v>
      </c>
      <c r="AH1055" s="249">
        <v>15</v>
      </c>
      <c r="AI1055" s="249">
        <v>24</v>
      </c>
      <c r="AJ1055" s="249">
        <v>21</v>
      </c>
      <c r="AK1055" s="249">
        <v>20</v>
      </c>
      <c r="AL1055" s="249">
        <v>24</v>
      </c>
      <c r="AM1055" s="249">
        <v>14</v>
      </c>
      <c r="AN1055" s="249">
        <v>21</v>
      </c>
      <c r="AO1055" s="273">
        <v>29</v>
      </c>
      <c r="AP1055" s="273">
        <v>42</v>
      </c>
      <c r="AQ1055" s="273">
        <v>64</v>
      </c>
      <c r="AR1055" s="273">
        <v>57</v>
      </c>
      <c r="AS1055" s="273">
        <v>38</v>
      </c>
      <c r="AT1055" s="273">
        <v>38</v>
      </c>
      <c r="AU1055" s="273">
        <v>49</v>
      </c>
      <c r="AV1055" s="273">
        <f t="shared" si="86"/>
        <v>49</v>
      </c>
      <c r="AX1055" s="86" t="str">
        <f t="shared" ca="1" si="84"/>
        <v>MVEDDD</v>
      </c>
    </row>
    <row r="1056" spans="1:50" hidden="1">
      <c r="A1056" s="86" t="str">
        <f t="shared" ca="1" si="83"/>
        <v>MVEDSY</v>
      </c>
      <c r="C1056" s="1">
        <v>57</v>
      </c>
      <c r="F1056" s="253">
        <v>1361709</v>
      </c>
      <c r="G1056" s="253">
        <v>1938122</v>
      </c>
      <c r="H1056" s="253">
        <v>2490088</v>
      </c>
      <c r="I1056" s="253">
        <v>2292624</v>
      </c>
      <c r="J1056" s="253">
        <v>198159</v>
      </c>
      <c r="K1056" s="253">
        <v>2756148</v>
      </c>
      <c r="L1056" s="253">
        <v>2427506</v>
      </c>
      <c r="M1056" s="253">
        <v>3865674</v>
      </c>
      <c r="N1056" s="253">
        <v>2556960</v>
      </c>
      <c r="O1056" s="253">
        <v>1199289</v>
      </c>
      <c r="P1056" s="253">
        <v>1324558</v>
      </c>
      <c r="Q1056" s="253">
        <v>2167184</v>
      </c>
      <c r="R1056" s="253">
        <v>2795063</v>
      </c>
      <c r="S1056" s="253">
        <v>900391</v>
      </c>
      <c r="T1056" s="253">
        <v>2241010</v>
      </c>
      <c r="U1056" s="253">
        <v>2435126</v>
      </c>
      <c r="V1056" s="253">
        <v>2616091</v>
      </c>
      <c r="W1056" s="253">
        <v>1750206</v>
      </c>
      <c r="X1056" s="253">
        <v>1933792</v>
      </c>
      <c r="Y1056" s="253">
        <v>2277813</v>
      </c>
      <c r="Z1056" s="245">
        <f ca="1">[1]ExtEntry!$P57</f>
        <v>2277813</v>
      </c>
      <c r="AB1056" s="273">
        <v>25</v>
      </c>
      <c r="AC1056" s="273">
        <v>18</v>
      </c>
      <c r="AD1056" s="273">
        <v>13</v>
      </c>
      <c r="AE1056" s="249">
        <v>13</v>
      </c>
      <c r="AF1056" s="249">
        <v>7</v>
      </c>
      <c r="AG1056" s="249">
        <v>4</v>
      </c>
      <c r="AH1056" s="249">
        <v>4</v>
      </c>
      <c r="AI1056" s="249">
        <v>6</v>
      </c>
      <c r="AJ1056" s="249">
        <v>20</v>
      </c>
      <c r="AK1056" s="249">
        <v>23</v>
      </c>
      <c r="AL1056" s="249">
        <v>25</v>
      </c>
      <c r="AM1056" s="249">
        <v>27</v>
      </c>
      <c r="AN1056" s="249">
        <v>22</v>
      </c>
      <c r="AO1056" s="273">
        <v>25</v>
      </c>
      <c r="AP1056" s="273">
        <v>26</v>
      </c>
      <c r="AQ1056" s="273">
        <v>48</v>
      </c>
      <c r="AR1056" s="273">
        <v>46</v>
      </c>
      <c r="AS1056" s="273">
        <v>48</v>
      </c>
      <c r="AT1056" s="273">
        <v>41</v>
      </c>
      <c r="AU1056" s="273">
        <v>39</v>
      </c>
      <c r="AV1056" s="273">
        <f t="shared" si="86"/>
        <v>39</v>
      </c>
      <c r="AX1056" s="86" t="str">
        <f t="shared" ca="1" si="84"/>
        <v>MVEDSY</v>
      </c>
    </row>
    <row r="1057" spans="1:50" hidden="1">
      <c r="A1057" s="86" t="str">
        <f t="shared" ca="1" si="83"/>
        <v>MVEEOAN</v>
      </c>
      <c r="C1057" s="1">
        <v>58</v>
      </c>
      <c r="F1057" s="253">
        <v>4253</v>
      </c>
      <c r="G1057" s="253">
        <v>3978</v>
      </c>
      <c r="H1057" s="253">
        <v>3946</v>
      </c>
      <c r="I1057" s="253">
        <v>18670</v>
      </c>
      <c r="J1057" s="253">
        <v>502</v>
      </c>
      <c r="K1057" s="253">
        <v>1575</v>
      </c>
      <c r="L1057" s="253">
        <v>82487</v>
      </c>
      <c r="M1057" s="253">
        <v>25470</v>
      </c>
      <c r="N1057" s="253">
        <v>7313</v>
      </c>
      <c r="O1057" s="253">
        <v>12137</v>
      </c>
      <c r="P1057" s="253">
        <v>2746</v>
      </c>
      <c r="Q1057" s="253">
        <v>4498</v>
      </c>
      <c r="R1057" s="253">
        <v>7584</v>
      </c>
      <c r="S1057" s="253">
        <v>5526</v>
      </c>
      <c r="T1057" s="253">
        <v>5962</v>
      </c>
      <c r="U1057" s="253">
        <v>14245</v>
      </c>
      <c r="V1057" s="253">
        <v>4737</v>
      </c>
      <c r="W1057" s="253">
        <v>2320</v>
      </c>
      <c r="X1057" s="253">
        <v>8677</v>
      </c>
      <c r="Y1057" s="253">
        <v>29923</v>
      </c>
      <c r="Z1057" s="245">
        <f ca="1">[1]ExtEntry!$P58</f>
        <v>29923</v>
      </c>
      <c r="AB1057" s="273">
        <v>42</v>
      </c>
      <c r="AC1057" s="273">
        <v>46</v>
      </c>
      <c r="AD1057" s="273">
        <v>46</v>
      </c>
      <c r="AE1057" s="249">
        <v>46</v>
      </c>
      <c r="AF1057" s="249">
        <v>38</v>
      </c>
      <c r="AG1057" s="249">
        <v>38</v>
      </c>
      <c r="AH1057" s="249">
        <v>49</v>
      </c>
      <c r="AI1057" s="249">
        <v>64</v>
      </c>
      <c r="AJ1057" s="249">
        <v>72</v>
      </c>
      <c r="AK1057" s="249">
        <v>62</v>
      </c>
      <c r="AL1057" s="249">
        <v>62</v>
      </c>
      <c r="AM1057" s="249">
        <v>53</v>
      </c>
      <c r="AN1057" s="249">
        <v>57</v>
      </c>
      <c r="AO1057" s="273">
        <v>75</v>
      </c>
      <c r="AP1057" s="273">
        <v>79</v>
      </c>
      <c r="AQ1057" s="273">
        <v>68</v>
      </c>
      <c r="AR1057" s="273">
        <v>63</v>
      </c>
      <c r="AS1057" s="273">
        <v>64</v>
      </c>
      <c r="AT1057" s="273">
        <v>66</v>
      </c>
      <c r="AU1057" s="273">
        <v>54</v>
      </c>
      <c r="AV1057" s="273">
        <f t="shared" si="86"/>
        <v>54</v>
      </c>
      <c r="AX1057" s="86" t="str">
        <f t="shared" ca="1" si="84"/>
        <v>MVEEOAN</v>
      </c>
    </row>
    <row r="1058" spans="1:50" hidden="1">
      <c r="A1058" s="86" t="str">
        <f t="shared" ca="1" si="83"/>
        <v>MVEENI</v>
      </c>
      <c r="C1058" s="1">
        <v>59</v>
      </c>
      <c r="F1058" s="253">
        <v>7194438</v>
      </c>
      <c r="G1058" s="253">
        <v>7509064</v>
      </c>
      <c r="H1058" s="253">
        <v>7401986</v>
      </c>
      <c r="I1058" s="253">
        <v>7839107</v>
      </c>
      <c r="J1058" s="253">
        <v>1322075</v>
      </c>
      <c r="K1058" s="253">
        <v>8051185</v>
      </c>
      <c r="L1058" s="253">
        <v>7107536</v>
      </c>
      <c r="M1058" s="253">
        <v>12320520</v>
      </c>
      <c r="N1058" s="253">
        <v>8440055</v>
      </c>
      <c r="O1058" s="253">
        <v>5003577</v>
      </c>
      <c r="P1058" s="253">
        <v>7406356</v>
      </c>
      <c r="Q1058" s="253">
        <v>7710953</v>
      </c>
      <c r="R1058" s="253">
        <v>7439096</v>
      </c>
      <c r="S1058" s="253">
        <v>4831081</v>
      </c>
      <c r="T1058" s="253">
        <v>7741521</v>
      </c>
      <c r="U1058" s="253">
        <v>6650581</v>
      </c>
      <c r="V1058" s="253">
        <v>13631804</v>
      </c>
      <c r="W1058" s="253">
        <v>6634646</v>
      </c>
      <c r="X1058" s="253">
        <v>7780999</v>
      </c>
      <c r="Y1058" s="253">
        <v>8646456</v>
      </c>
      <c r="Z1058" s="245">
        <f ca="1">[1]ExtEntry!$P59</f>
        <v>8646456</v>
      </c>
      <c r="AB1058" s="273">
        <v>91</v>
      </c>
      <c r="AC1058" s="273">
        <v>90</v>
      </c>
      <c r="AD1058" s="273">
        <v>89</v>
      </c>
      <c r="AE1058" s="249">
        <v>88</v>
      </c>
      <c r="AF1058" s="249">
        <v>88</v>
      </c>
      <c r="AG1058" s="249">
        <v>82</v>
      </c>
      <c r="AH1058" s="249">
        <v>81</v>
      </c>
      <c r="AI1058" s="249">
        <v>66</v>
      </c>
      <c r="AJ1058" s="249">
        <v>63</v>
      </c>
      <c r="AK1058" s="249">
        <v>52</v>
      </c>
      <c r="AL1058" s="249">
        <v>56</v>
      </c>
      <c r="AM1058" s="249">
        <v>60</v>
      </c>
      <c r="AN1058" s="249">
        <v>62</v>
      </c>
      <c r="AO1058" s="273">
        <v>68</v>
      </c>
      <c r="AP1058" s="273">
        <v>70</v>
      </c>
      <c r="AQ1058" s="273">
        <v>71</v>
      </c>
      <c r="AR1058" s="273">
        <v>60</v>
      </c>
      <c r="AS1058" s="273">
        <v>61</v>
      </c>
      <c r="AT1058" s="273">
        <v>57</v>
      </c>
      <c r="AU1058" s="273">
        <v>57</v>
      </c>
      <c r="AV1058" s="273">
        <f t="shared" si="86"/>
        <v>57</v>
      </c>
      <c r="AX1058" s="86" t="str">
        <f t="shared" ca="1" si="84"/>
        <v>MVEENI</v>
      </c>
    </row>
    <row r="1059" spans="1:50" hidden="1">
      <c r="A1059" s="86" t="str">
        <f t="shared" ca="1" si="83"/>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6"/>
        <v>#DIV/0!</v>
      </c>
      <c r="AX1059" s="86" t="str">
        <f t="shared" ca="1" si="84"/>
        <v>MVEEPIX</v>
      </c>
    </row>
    <row r="1060" spans="1:50" hidden="1">
      <c r="A1060" s="86" t="str">
        <f t="shared" ca="1" si="83"/>
        <v>MVEGLE</v>
      </c>
      <c r="C1060" s="1">
        <v>61</v>
      </c>
      <c r="F1060" s="253">
        <v>1640478</v>
      </c>
      <c r="G1060" s="253">
        <v>2318629</v>
      </c>
      <c r="H1060" s="253">
        <v>1484276</v>
      </c>
      <c r="I1060" s="253">
        <v>1943311</v>
      </c>
      <c r="J1060" s="253">
        <v>253031</v>
      </c>
      <c r="K1060" s="253">
        <v>2132855</v>
      </c>
      <c r="L1060" s="253">
        <v>1868857</v>
      </c>
      <c r="M1060" s="253">
        <v>2007996</v>
      </c>
      <c r="N1060" s="253">
        <v>1989932</v>
      </c>
      <c r="O1060" s="253">
        <v>1503782</v>
      </c>
      <c r="P1060" s="253">
        <v>1441206</v>
      </c>
      <c r="Q1060" s="253">
        <v>1506099</v>
      </c>
      <c r="R1060" s="253">
        <v>1639869</v>
      </c>
      <c r="S1060" s="253">
        <v>737300</v>
      </c>
      <c r="T1060" s="253">
        <v>2011282</v>
      </c>
      <c r="U1060" s="253">
        <v>3337077</v>
      </c>
      <c r="V1060" s="253">
        <v>1653265</v>
      </c>
      <c r="W1060" s="253">
        <v>1226248</v>
      </c>
      <c r="X1060" s="253">
        <v>1412130</v>
      </c>
      <c r="Y1060" s="253">
        <v>1857536</v>
      </c>
      <c r="Z1060" s="245">
        <f ca="1">[1]ExtEntry!$P61</f>
        <v>1857536</v>
      </c>
      <c r="AB1060" s="273">
        <v>33</v>
      </c>
      <c r="AC1060" s="273">
        <v>38</v>
      </c>
      <c r="AD1060" s="273">
        <v>27</v>
      </c>
      <c r="AE1060" s="249">
        <v>32</v>
      </c>
      <c r="AF1060" s="249">
        <v>34</v>
      </c>
      <c r="AG1060" s="249">
        <v>36</v>
      </c>
      <c r="AH1060" s="249">
        <v>41</v>
      </c>
      <c r="AI1060" s="249">
        <v>38</v>
      </c>
      <c r="AJ1060" s="249">
        <v>42</v>
      </c>
      <c r="AK1060" s="249">
        <v>43</v>
      </c>
      <c r="AL1060" s="249">
        <v>44</v>
      </c>
      <c r="AM1060" s="249">
        <v>39</v>
      </c>
      <c r="AN1060" s="249">
        <v>57</v>
      </c>
      <c r="AO1060" s="273">
        <v>55</v>
      </c>
      <c r="AP1060" s="273">
        <v>51</v>
      </c>
      <c r="AQ1060" s="273">
        <v>56</v>
      </c>
      <c r="AR1060" s="273">
        <v>56</v>
      </c>
      <c r="AS1060" s="273">
        <v>65</v>
      </c>
      <c r="AT1060" s="273">
        <v>69</v>
      </c>
      <c r="AU1060" s="273">
        <v>70</v>
      </c>
      <c r="AV1060" s="273">
        <f t="shared" si="86"/>
        <v>70</v>
      </c>
      <c r="AX1060" s="86" t="str">
        <f t="shared" ca="1" si="84"/>
        <v>MVEGLE</v>
      </c>
    </row>
    <row r="1061" spans="1:50" hidden="1">
      <c r="A1061" s="86" t="str">
        <f t="shared" ca="1" si="83"/>
        <v>MVEORA</v>
      </c>
      <c r="C1061" s="1">
        <v>62</v>
      </c>
      <c r="F1061" s="253">
        <v>3380269</v>
      </c>
      <c r="G1061" s="253">
        <v>3643038</v>
      </c>
      <c r="H1061" s="253">
        <v>3771241</v>
      </c>
      <c r="I1061" s="253">
        <v>4351291</v>
      </c>
      <c r="J1061" s="253">
        <v>558000</v>
      </c>
      <c r="K1061" s="253">
        <v>4293347</v>
      </c>
      <c r="L1061" s="253">
        <v>3226589</v>
      </c>
      <c r="M1061" s="253">
        <v>3561601</v>
      </c>
      <c r="N1061" s="253">
        <v>3722618</v>
      </c>
      <c r="O1061" s="253">
        <v>1745571</v>
      </c>
      <c r="P1061" s="253">
        <v>2887638</v>
      </c>
      <c r="Q1061" s="253">
        <v>2912499</v>
      </c>
      <c r="R1061" s="253">
        <v>3830400</v>
      </c>
      <c r="S1061" s="253">
        <v>922368</v>
      </c>
      <c r="T1061" s="253">
        <v>4254491</v>
      </c>
      <c r="U1061" s="253">
        <v>3635732</v>
      </c>
      <c r="V1061" s="253">
        <v>3626633</v>
      </c>
      <c r="W1061" s="253">
        <v>3524422</v>
      </c>
      <c r="X1061" s="253">
        <v>3353854</v>
      </c>
      <c r="Y1061" s="253">
        <v>2323755</v>
      </c>
      <c r="Z1061" s="245">
        <f ca="1">[1]ExtEntry!$P62</f>
        <v>2323755</v>
      </c>
      <c r="AB1061" s="273">
        <v>57</v>
      </c>
      <c r="AC1061" s="273">
        <v>51</v>
      </c>
      <c r="AD1061" s="273">
        <v>56</v>
      </c>
      <c r="AE1061" s="249">
        <v>39</v>
      </c>
      <c r="AF1061" s="249">
        <v>37</v>
      </c>
      <c r="AG1061" s="249">
        <v>34</v>
      </c>
      <c r="AH1061" s="249">
        <v>33</v>
      </c>
      <c r="AI1061" s="249">
        <v>43</v>
      </c>
      <c r="AJ1061" s="249">
        <v>43</v>
      </c>
      <c r="AK1061" s="249">
        <v>48</v>
      </c>
      <c r="AL1061" s="249">
        <v>52</v>
      </c>
      <c r="AM1061" s="249">
        <v>50</v>
      </c>
      <c r="AN1061" s="249">
        <v>52</v>
      </c>
      <c r="AO1061" s="273">
        <v>55</v>
      </c>
      <c r="AP1061" s="273">
        <v>56</v>
      </c>
      <c r="AQ1061" s="273">
        <v>49</v>
      </c>
      <c r="AR1061" s="273">
        <v>36</v>
      </c>
      <c r="AS1061" s="273">
        <v>43</v>
      </c>
      <c r="AT1061" s="273">
        <v>49</v>
      </c>
      <c r="AU1061" s="273">
        <v>59</v>
      </c>
      <c r="AV1061" s="273">
        <f t="shared" si="86"/>
        <v>59</v>
      </c>
      <c r="AX1061" s="86" t="str">
        <f t="shared" ca="1" si="84"/>
        <v>MVEORA</v>
      </c>
    </row>
    <row r="1062" spans="1:50" hidden="1">
      <c r="A1062" s="86" t="str">
        <f t="shared" ca="1" si="83"/>
        <v>MVERWE</v>
      </c>
      <c r="C1062" s="1">
        <v>63</v>
      </c>
      <c r="F1062" s="253">
        <v>5600</v>
      </c>
      <c r="G1062" s="253">
        <v>9386</v>
      </c>
      <c r="H1062" s="253">
        <v>8208</v>
      </c>
      <c r="I1062" s="253">
        <v>6308</v>
      </c>
      <c r="J1062" s="253">
        <v>4470</v>
      </c>
      <c r="K1062" s="253">
        <v>13072</v>
      </c>
      <c r="L1062" s="253">
        <v>6276</v>
      </c>
      <c r="M1062" s="253">
        <v>3971</v>
      </c>
      <c r="N1062" s="253">
        <v>2785</v>
      </c>
      <c r="O1062" s="253">
        <v>1710</v>
      </c>
      <c r="P1062" s="253">
        <v>1391</v>
      </c>
      <c r="Q1062" s="253">
        <v>1922</v>
      </c>
      <c r="R1062" s="253">
        <v>1203</v>
      </c>
      <c r="S1062" s="253">
        <v>1142</v>
      </c>
      <c r="T1062" s="253">
        <v>1288</v>
      </c>
      <c r="U1062" s="253">
        <v>1813</v>
      </c>
      <c r="V1062" s="253">
        <v>2427</v>
      </c>
      <c r="W1062" s="253">
        <v>1484</v>
      </c>
      <c r="X1062" s="253">
        <v>3059</v>
      </c>
      <c r="Y1062" s="253">
        <v>4584</v>
      </c>
      <c r="Z1062" s="245">
        <f ca="1">[1]ExtEntry!$P63</f>
        <v>4584</v>
      </c>
      <c r="AB1062" s="273">
        <v>57</v>
      </c>
      <c r="AC1062" s="273">
        <v>60</v>
      </c>
      <c r="AD1062" s="273">
        <v>52</v>
      </c>
      <c r="AE1062" s="249">
        <v>54</v>
      </c>
      <c r="AF1062" s="249">
        <v>51</v>
      </c>
      <c r="AG1062" s="249">
        <v>46</v>
      </c>
      <c r="AH1062" s="249">
        <v>58</v>
      </c>
      <c r="AI1062" s="249">
        <v>55</v>
      </c>
      <c r="AJ1062" s="249">
        <v>62</v>
      </c>
      <c r="AK1062" s="249">
        <v>53</v>
      </c>
      <c r="AL1062" s="249">
        <v>54</v>
      </c>
      <c r="AM1062" s="249">
        <v>47</v>
      </c>
      <c r="AN1062" s="249">
        <v>42</v>
      </c>
      <c r="AO1062" s="273">
        <v>52</v>
      </c>
      <c r="AP1062" s="273">
        <v>52</v>
      </c>
      <c r="AQ1062" s="273">
        <v>47</v>
      </c>
      <c r="AR1062" s="273">
        <v>45</v>
      </c>
      <c r="AS1062" s="273">
        <v>50</v>
      </c>
      <c r="AT1062" s="273">
        <v>52</v>
      </c>
      <c r="AU1062" s="273">
        <v>59</v>
      </c>
      <c r="AV1062" s="273">
        <f t="shared" si="86"/>
        <v>59</v>
      </c>
      <c r="AX1062" s="86" t="str">
        <f t="shared" ca="1" si="84"/>
        <v>MVERWE</v>
      </c>
    </row>
    <row r="1063" spans="1:50" hidden="1">
      <c r="A1063" s="86" t="str">
        <f t="shared" ca="1" si="83"/>
        <v>MVESAP</v>
      </c>
      <c r="C1063" s="1">
        <v>64</v>
      </c>
      <c r="F1063" s="253">
        <v>944453</v>
      </c>
      <c r="G1063" s="253">
        <v>1263039</v>
      </c>
      <c r="H1063" s="253">
        <v>1495029</v>
      </c>
      <c r="I1063" s="253">
        <v>2184437</v>
      </c>
      <c r="J1063" s="253">
        <v>186591</v>
      </c>
      <c r="K1063" s="253">
        <v>1173122</v>
      </c>
      <c r="L1063" s="253">
        <v>1092550</v>
      </c>
      <c r="M1063" s="253">
        <v>1520744</v>
      </c>
      <c r="N1063" s="253">
        <v>1239164</v>
      </c>
      <c r="O1063" s="253">
        <v>473852</v>
      </c>
      <c r="P1063" s="253">
        <v>901070</v>
      </c>
      <c r="Q1063" s="253">
        <v>1068929</v>
      </c>
      <c r="R1063" s="253">
        <v>902520</v>
      </c>
      <c r="S1063" s="253">
        <v>403597</v>
      </c>
      <c r="T1063" s="253">
        <v>997604</v>
      </c>
      <c r="U1063" s="253">
        <v>1760376</v>
      </c>
      <c r="V1063" s="253">
        <v>1025075</v>
      </c>
      <c r="W1063" s="253">
        <v>798525</v>
      </c>
      <c r="X1063" s="253">
        <v>1275692</v>
      </c>
      <c r="Y1063" s="253">
        <v>1724153</v>
      </c>
      <c r="Z1063" s="245">
        <f ca="1">[1]ExtEntry!$P64</f>
        <v>1724153</v>
      </c>
      <c r="AB1063" s="273">
        <v>48</v>
      </c>
      <c r="AC1063" s="273">
        <v>37</v>
      </c>
      <c r="AD1063" s="273">
        <v>36</v>
      </c>
      <c r="AE1063" s="249">
        <v>33</v>
      </c>
      <c r="AF1063" s="249">
        <v>24</v>
      </c>
      <c r="AG1063" s="249">
        <v>21</v>
      </c>
      <c r="AH1063" s="249">
        <v>25</v>
      </c>
      <c r="AI1063" s="249">
        <v>26</v>
      </c>
      <c r="AJ1063" s="249">
        <v>20</v>
      </c>
      <c r="AK1063" s="249">
        <v>26</v>
      </c>
      <c r="AL1063" s="249">
        <v>25</v>
      </c>
      <c r="AM1063" s="249">
        <v>27</v>
      </c>
      <c r="AN1063" s="249">
        <v>22</v>
      </c>
      <c r="AO1063" s="273">
        <v>24</v>
      </c>
      <c r="AP1063" s="273">
        <v>18</v>
      </c>
      <c r="AQ1063" s="273">
        <v>39</v>
      </c>
      <c r="AR1063" s="273">
        <v>51</v>
      </c>
      <c r="AS1063" s="273">
        <v>71</v>
      </c>
      <c r="AT1063" s="273">
        <v>73</v>
      </c>
      <c r="AU1063" s="273">
        <v>66</v>
      </c>
      <c r="AV1063" s="273">
        <f t="shared" si="86"/>
        <v>66</v>
      </c>
      <c r="AX1063" s="86" t="str">
        <f t="shared" ca="1" si="84"/>
        <v>MVESAP</v>
      </c>
    </row>
    <row r="1064" spans="1:50" hidden="1">
      <c r="A1064" s="86" t="str">
        <f t="shared" ca="1" si="83"/>
        <v>MVEUN0</v>
      </c>
      <c r="C1064" s="1">
        <v>65</v>
      </c>
      <c r="F1064" s="253">
        <v>464</v>
      </c>
      <c r="G1064" s="253">
        <v>270</v>
      </c>
      <c r="H1064" s="253">
        <v>60</v>
      </c>
      <c r="I1064" s="253">
        <v>64</v>
      </c>
      <c r="J1064" s="253">
        <v>1694</v>
      </c>
      <c r="K1064" s="253">
        <v>5</v>
      </c>
      <c r="L1064" s="253">
        <v>12</v>
      </c>
      <c r="M1064" s="253">
        <v>101</v>
      </c>
      <c r="N1064" s="253">
        <v>92</v>
      </c>
      <c r="O1064" s="253">
        <v>80</v>
      </c>
      <c r="P1064" s="253">
        <v>76</v>
      </c>
      <c r="Q1064" s="253">
        <v>104</v>
      </c>
      <c r="R1064" s="253">
        <v>2205</v>
      </c>
      <c r="S1064" s="253">
        <v>15</v>
      </c>
      <c r="T1064" s="253">
        <v>15</v>
      </c>
      <c r="U1064" s="253">
        <v>89</v>
      </c>
      <c r="V1064" s="253">
        <v>64</v>
      </c>
      <c r="W1064" s="253">
        <v>1210</v>
      </c>
      <c r="X1064" s="253">
        <v>1244</v>
      </c>
      <c r="Y1064" s="253">
        <v>49</v>
      </c>
      <c r="Z1064" s="245">
        <f ca="1">[1]ExtEntry!$P65</f>
        <v>49</v>
      </c>
      <c r="AB1064" s="273">
        <v>37</v>
      </c>
      <c r="AC1064" s="273">
        <v>30</v>
      </c>
      <c r="AD1064" s="273">
        <v>33</v>
      </c>
      <c r="AE1064" s="249">
        <v>34</v>
      </c>
      <c r="AF1064" s="249">
        <v>18</v>
      </c>
      <c r="AG1064" s="249">
        <v>21</v>
      </c>
      <c r="AH1064" s="249">
        <v>24</v>
      </c>
      <c r="AI1064" s="249">
        <v>25</v>
      </c>
      <c r="AJ1064" s="249">
        <v>40</v>
      </c>
      <c r="AK1064" s="249">
        <v>51</v>
      </c>
      <c r="AL1064" s="249">
        <v>47</v>
      </c>
      <c r="AM1064" s="249">
        <v>51</v>
      </c>
      <c r="AN1064" s="249">
        <v>49</v>
      </c>
      <c r="AO1064" s="273">
        <v>50</v>
      </c>
      <c r="AP1064" s="273">
        <v>51</v>
      </c>
      <c r="AQ1064" s="273">
        <v>68</v>
      </c>
      <c r="AR1064" s="273">
        <v>65</v>
      </c>
      <c r="AS1064" s="273">
        <v>75</v>
      </c>
      <c r="AT1064" s="273">
        <v>82</v>
      </c>
      <c r="AU1064" s="273">
        <v>81</v>
      </c>
      <c r="AV1064" s="273">
        <f t="shared" si="86"/>
        <v>81</v>
      </c>
      <c r="AX1064" s="86" t="str">
        <f t="shared" ca="1" si="84"/>
        <v>MVEUN0</v>
      </c>
    </row>
    <row r="1065" spans="1:50" hidden="1">
      <c r="A1065" s="86" t="str">
        <f t="shared" ca="1" si="83"/>
        <v>SAFAAPL</v>
      </c>
      <c r="C1065" s="1">
        <v>66</v>
      </c>
      <c r="F1065" s="253">
        <v>43644546</v>
      </c>
      <c r="G1065" s="253">
        <v>32298934</v>
      </c>
      <c r="H1065" s="253">
        <v>36177947</v>
      </c>
      <c r="I1065" s="253">
        <v>47409237</v>
      </c>
      <c r="J1065" s="253">
        <v>13278</v>
      </c>
      <c r="K1065" s="253">
        <v>15109120</v>
      </c>
      <c r="L1065" s="253">
        <v>27858628</v>
      </c>
      <c r="M1065" s="253">
        <v>39067327</v>
      </c>
      <c r="N1065" s="253">
        <v>17385092</v>
      </c>
      <c r="O1065" s="253">
        <v>33431423</v>
      </c>
      <c r="P1065" s="253">
        <v>20107579</v>
      </c>
      <c r="Q1065" s="253">
        <v>16988295</v>
      </c>
      <c r="R1065" s="253">
        <v>39167130</v>
      </c>
      <c r="S1065" s="253">
        <v>10089088</v>
      </c>
      <c r="T1065" s="253">
        <v>43153560</v>
      </c>
      <c r="U1065" s="253">
        <v>15533619</v>
      </c>
      <c r="V1065" s="253">
        <v>47265845</v>
      </c>
      <c r="W1065" s="253">
        <v>12711263</v>
      </c>
      <c r="X1065" s="253">
        <v>33014935</v>
      </c>
      <c r="Y1065" s="253">
        <v>31286071</v>
      </c>
      <c r="Z1065" s="245">
        <f ca="1">[1]ExtEntry!$P66</f>
        <v>31286071</v>
      </c>
      <c r="AB1065" s="273">
        <v>74</v>
      </c>
      <c r="AC1065" s="273">
        <v>73</v>
      </c>
      <c r="AD1065" s="273">
        <v>73</v>
      </c>
      <c r="AE1065" s="249">
        <v>68</v>
      </c>
      <c r="AF1065" s="249">
        <v>56</v>
      </c>
      <c r="AG1065" s="249">
        <v>59</v>
      </c>
      <c r="AH1065" s="249">
        <v>65</v>
      </c>
      <c r="AI1065" s="249">
        <v>84</v>
      </c>
      <c r="AJ1065" s="249">
        <v>84</v>
      </c>
      <c r="AK1065" s="249">
        <v>82</v>
      </c>
      <c r="AL1065" s="249">
        <v>78</v>
      </c>
      <c r="AM1065" s="249">
        <v>80</v>
      </c>
      <c r="AN1065" s="249">
        <v>81</v>
      </c>
      <c r="AO1065" s="273">
        <v>81</v>
      </c>
      <c r="AP1065" s="273">
        <v>73</v>
      </c>
      <c r="AQ1065" s="273">
        <v>62</v>
      </c>
      <c r="AR1065" s="273">
        <v>62</v>
      </c>
      <c r="AS1065" s="273">
        <v>62</v>
      </c>
      <c r="AT1065" s="273">
        <v>65</v>
      </c>
      <c r="AU1065" s="273">
        <v>59</v>
      </c>
      <c r="AV1065" s="273">
        <f t="shared" si="86"/>
        <v>59</v>
      </c>
      <c r="AX1065" s="86" t="str">
        <f t="shared" ca="1" si="84"/>
        <v>SAFAAPL</v>
      </c>
    </row>
    <row r="1066" spans="1:50" hidden="1">
      <c r="A1066" s="86" t="str">
        <f t="shared" ca="1" si="83"/>
        <v>SAFAMZN</v>
      </c>
      <c r="C1066" s="1">
        <v>67</v>
      </c>
      <c r="F1066" s="253">
        <v>40552606</v>
      </c>
      <c r="G1066" s="253">
        <v>33222962</v>
      </c>
      <c r="H1066" s="253">
        <v>37371756</v>
      </c>
      <c r="I1066" s="253">
        <v>38914244</v>
      </c>
      <c r="J1066" s="253">
        <v>43305</v>
      </c>
      <c r="K1066" s="253">
        <v>29090882</v>
      </c>
      <c r="L1066" s="253">
        <v>31273950</v>
      </c>
      <c r="M1066" s="253">
        <v>51196319</v>
      </c>
      <c r="N1066" s="253">
        <v>20416295</v>
      </c>
      <c r="O1066" s="253">
        <v>38497922</v>
      </c>
      <c r="P1066" s="253">
        <v>20261134</v>
      </c>
      <c r="Q1066" s="253">
        <v>21800118</v>
      </c>
      <c r="R1066" s="253">
        <v>37429469</v>
      </c>
      <c r="S1066" s="253">
        <v>10067421</v>
      </c>
      <c r="T1066" s="253">
        <v>35274256</v>
      </c>
      <c r="U1066" s="253">
        <v>23532032</v>
      </c>
      <c r="V1066" s="253">
        <v>33117377</v>
      </c>
      <c r="W1066" s="253">
        <v>10374258</v>
      </c>
      <c r="X1066" s="253">
        <v>38754460</v>
      </c>
      <c r="Y1066" s="253">
        <v>26757613</v>
      </c>
      <c r="Z1066" s="245">
        <f ca="1">[1]ExtEntry!$P67</f>
        <v>26757613</v>
      </c>
      <c r="AB1066" s="273">
        <v>46</v>
      </c>
      <c r="AC1066" s="273">
        <v>41</v>
      </c>
      <c r="AD1066" s="273">
        <v>44</v>
      </c>
      <c r="AE1066" s="249">
        <v>42</v>
      </c>
      <c r="AF1066" s="249">
        <v>31</v>
      </c>
      <c r="AG1066" s="249">
        <v>24</v>
      </c>
      <c r="AH1066" s="249">
        <v>24</v>
      </c>
      <c r="AI1066" s="249">
        <v>32</v>
      </c>
      <c r="AJ1066" s="249">
        <v>28</v>
      </c>
      <c r="AK1066" s="249">
        <v>23</v>
      </c>
      <c r="AL1066" s="249">
        <v>25</v>
      </c>
      <c r="AM1066" s="249">
        <v>24</v>
      </c>
      <c r="AN1066" s="249">
        <v>29</v>
      </c>
      <c r="AO1066" s="273">
        <v>31</v>
      </c>
      <c r="AP1066" s="273">
        <v>28</v>
      </c>
      <c r="AQ1066" s="273">
        <v>29</v>
      </c>
      <c r="AR1066" s="273">
        <v>27</v>
      </c>
      <c r="AS1066" s="273">
        <v>31</v>
      </c>
      <c r="AT1066" s="273">
        <v>50</v>
      </c>
      <c r="AU1066" s="273">
        <v>49</v>
      </c>
      <c r="AV1066" s="273">
        <f t="shared" si="86"/>
        <v>49</v>
      </c>
      <c r="AX1066" s="86" t="str">
        <f t="shared" ca="1" si="84"/>
        <v>SAFAMZN</v>
      </c>
    </row>
    <row r="1067" spans="1:50" hidden="1">
      <c r="A1067" s="86" t="str">
        <f t="shared" ref="A1067:A1094" ca="1" si="87">A70</f>
        <v>SAFASML</v>
      </c>
      <c r="C1067" s="1">
        <v>68</v>
      </c>
      <c r="F1067" s="253">
        <v>663558</v>
      </c>
      <c r="G1067" s="253">
        <v>481131</v>
      </c>
      <c r="H1067" s="253">
        <v>767828</v>
      </c>
      <c r="I1067" s="253">
        <v>667623</v>
      </c>
      <c r="J1067" s="253">
        <v>43298</v>
      </c>
      <c r="K1067" s="253">
        <v>569186</v>
      </c>
      <c r="L1067" s="253">
        <v>673609</v>
      </c>
      <c r="M1067" s="253">
        <v>976903</v>
      </c>
      <c r="N1067" s="253">
        <v>684564</v>
      </c>
      <c r="O1067" s="253">
        <v>243660</v>
      </c>
      <c r="P1067" s="253">
        <v>477234</v>
      </c>
      <c r="Q1067" s="253">
        <v>646367</v>
      </c>
      <c r="R1067" s="253">
        <v>584118</v>
      </c>
      <c r="S1067" s="253">
        <v>323364</v>
      </c>
      <c r="T1067" s="253">
        <v>590665</v>
      </c>
      <c r="U1067" s="253">
        <v>471505</v>
      </c>
      <c r="V1067" s="253">
        <v>359247</v>
      </c>
      <c r="W1067" s="253">
        <v>333490</v>
      </c>
      <c r="X1067" s="253">
        <v>380308</v>
      </c>
      <c r="Y1067" s="253">
        <v>465132</v>
      </c>
      <c r="Z1067" s="245">
        <f ca="1">[1]ExtEntry!$P68</f>
        <v>465132</v>
      </c>
      <c r="AB1067" s="273">
        <v>61</v>
      </c>
      <c r="AC1067" s="273">
        <v>50</v>
      </c>
      <c r="AD1067" s="273">
        <v>42</v>
      </c>
      <c r="AE1067" s="249">
        <v>41</v>
      </c>
      <c r="AF1067" s="249">
        <v>32</v>
      </c>
      <c r="AG1067" s="249">
        <v>42</v>
      </c>
      <c r="AH1067" s="249">
        <v>47</v>
      </c>
      <c r="AI1067" s="249">
        <v>38</v>
      </c>
      <c r="AJ1067" s="249">
        <v>47</v>
      </c>
      <c r="AK1067" s="249">
        <v>43</v>
      </c>
      <c r="AL1067" s="249">
        <v>41</v>
      </c>
      <c r="AM1067" s="249">
        <v>47</v>
      </c>
      <c r="AN1067" s="249">
        <v>45</v>
      </c>
      <c r="AO1067" s="273">
        <v>50</v>
      </c>
      <c r="AP1067" s="273">
        <v>57</v>
      </c>
      <c r="AQ1067" s="273">
        <v>58</v>
      </c>
      <c r="AR1067" s="273">
        <v>62</v>
      </c>
      <c r="AS1067" s="273">
        <v>61</v>
      </c>
      <c r="AT1067" s="273">
        <v>61</v>
      </c>
      <c r="AU1067" s="273">
        <v>57</v>
      </c>
      <c r="AV1067" s="273">
        <f t="shared" si="86"/>
        <v>57</v>
      </c>
      <c r="AX1067" s="86" t="str">
        <f t="shared" ref="AX1067:AX1095" ca="1" si="88">A70</f>
        <v>SAFASML</v>
      </c>
    </row>
    <row r="1068" spans="1:50" hidden="1">
      <c r="A1068" s="86" t="str">
        <f t="shared" ca="1" si="87"/>
        <v>SAFDDD</v>
      </c>
      <c r="C1068" s="1">
        <v>69</v>
      </c>
      <c r="F1068" s="253">
        <v>5452199</v>
      </c>
      <c r="G1068" s="253">
        <v>3698414</v>
      </c>
      <c r="H1068" s="253">
        <v>2472948</v>
      </c>
      <c r="I1068" s="253">
        <v>1688130</v>
      </c>
      <c r="J1068" s="253">
        <v>10</v>
      </c>
      <c r="K1068" s="253">
        <v>740466</v>
      </c>
      <c r="L1068" s="253">
        <v>2211108</v>
      </c>
      <c r="M1068" s="253">
        <v>4238259</v>
      </c>
      <c r="N1068" s="253">
        <v>741389</v>
      </c>
      <c r="O1068" s="253">
        <v>1427107</v>
      </c>
      <c r="P1068" s="253">
        <v>820581</v>
      </c>
      <c r="Q1068" s="253">
        <v>656227</v>
      </c>
      <c r="R1068" s="253">
        <v>1065063</v>
      </c>
      <c r="S1068" s="253">
        <v>282358</v>
      </c>
      <c r="T1068" s="253">
        <v>1563430</v>
      </c>
      <c r="U1068" s="253">
        <v>633490</v>
      </c>
      <c r="V1068" s="253">
        <v>1290358</v>
      </c>
      <c r="W1068" s="253">
        <v>9242459</v>
      </c>
      <c r="X1068" s="253">
        <v>5347521</v>
      </c>
      <c r="Y1068" s="253">
        <v>4567106</v>
      </c>
      <c r="Z1068" s="245">
        <f ca="1">[1]ExtEntry!$P69</f>
        <v>4567106</v>
      </c>
      <c r="AB1068" s="273">
        <v>37</v>
      </c>
      <c r="AC1068" s="273">
        <v>30</v>
      </c>
      <c r="AD1068" s="273">
        <v>30</v>
      </c>
      <c r="AE1068" s="249">
        <v>31</v>
      </c>
      <c r="AF1068" s="249">
        <v>10</v>
      </c>
      <c r="AG1068" s="249">
        <v>12</v>
      </c>
      <c r="AH1068" s="249">
        <v>15</v>
      </c>
      <c r="AI1068" s="249">
        <v>24</v>
      </c>
      <c r="AJ1068" s="249">
        <v>21</v>
      </c>
      <c r="AK1068" s="249">
        <v>20</v>
      </c>
      <c r="AL1068" s="249">
        <v>24</v>
      </c>
      <c r="AM1068" s="249">
        <v>14</v>
      </c>
      <c r="AN1068" s="249">
        <v>21</v>
      </c>
      <c r="AO1068" s="273">
        <v>29</v>
      </c>
      <c r="AP1068" s="273">
        <v>42</v>
      </c>
      <c r="AQ1068" s="273">
        <v>64</v>
      </c>
      <c r="AR1068" s="273">
        <v>57</v>
      </c>
      <c r="AS1068" s="273">
        <v>38</v>
      </c>
      <c r="AT1068" s="273">
        <v>38</v>
      </c>
      <c r="AU1068" s="273">
        <v>49</v>
      </c>
      <c r="AV1068" s="273">
        <f t="shared" si="86"/>
        <v>49</v>
      </c>
      <c r="AX1068" s="86" t="str">
        <f t="shared" ca="1" si="88"/>
        <v>SAFDDD</v>
      </c>
    </row>
    <row r="1069" spans="1:50" hidden="1">
      <c r="A1069" s="86" t="str">
        <f t="shared" ca="1" si="87"/>
        <v>SAFDIS</v>
      </c>
      <c r="C1069" s="1">
        <v>70</v>
      </c>
      <c r="F1069" s="253">
        <v>5745085</v>
      </c>
      <c r="G1069" s="253">
        <v>7417653</v>
      </c>
      <c r="H1069" s="253">
        <v>6540930</v>
      </c>
      <c r="I1069" s="253">
        <v>16641122</v>
      </c>
      <c r="J1069" s="253">
        <v>1321</v>
      </c>
      <c r="K1069" s="253">
        <v>4473165</v>
      </c>
      <c r="L1069" s="253">
        <v>5729614</v>
      </c>
      <c r="M1069" s="253">
        <v>7174500</v>
      </c>
      <c r="N1069" s="253">
        <v>4880464</v>
      </c>
      <c r="O1069" s="253">
        <v>10130217</v>
      </c>
      <c r="P1069" s="253">
        <v>6522648</v>
      </c>
      <c r="Q1069" s="253">
        <v>6010372</v>
      </c>
      <c r="R1069" s="253">
        <v>5751818</v>
      </c>
      <c r="S1069" s="253">
        <v>1662759</v>
      </c>
      <c r="T1069" s="253">
        <v>9816057</v>
      </c>
      <c r="U1069" s="253">
        <v>3308022</v>
      </c>
      <c r="V1069" s="253">
        <v>10680060</v>
      </c>
      <c r="W1069" s="253">
        <v>3642304</v>
      </c>
      <c r="X1069" s="253">
        <v>11236614</v>
      </c>
      <c r="Y1069" s="253">
        <v>11811435</v>
      </c>
      <c r="Z1069" s="245">
        <f ca="1">[1]ExtEntry!$P70</f>
        <v>11811435</v>
      </c>
      <c r="AB1069" s="273">
        <v>50</v>
      </c>
      <c r="AC1069" s="273">
        <v>44</v>
      </c>
      <c r="AD1069" s="273">
        <v>51</v>
      </c>
      <c r="AE1069" s="249">
        <v>41</v>
      </c>
      <c r="AF1069" s="249">
        <v>39</v>
      </c>
      <c r="AG1069" s="249">
        <v>24</v>
      </c>
      <c r="AH1069" s="249">
        <v>23</v>
      </c>
      <c r="AI1069" s="249">
        <v>35</v>
      </c>
      <c r="AJ1069" s="249">
        <v>38</v>
      </c>
      <c r="AK1069" s="249">
        <v>42</v>
      </c>
      <c r="AL1069" s="249">
        <v>44</v>
      </c>
      <c r="AM1069" s="249">
        <v>54</v>
      </c>
      <c r="AN1069" s="249">
        <v>42</v>
      </c>
      <c r="AO1069" s="273">
        <v>44</v>
      </c>
      <c r="AP1069" s="273">
        <v>48</v>
      </c>
      <c r="AQ1069" s="273">
        <v>49</v>
      </c>
      <c r="AR1069" s="273">
        <v>47</v>
      </c>
      <c r="AS1069" s="273">
        <v>50</v>
      </c>
      <c r="AT1069" s="273">
        <v>55</v>
      </c>
      <c r="AU1069" s="273">
        <v>65</v>
      </c>
      <c r="AV1069" s="273">
        <f t="shared" si="86"/>
        <v>65</v>
      </c>
      <c r="AX1069" s="86" t="str">
        <f t="shared" ca="1" si="88"/>
        <v>SAFDIS</v>
      </c>
    </row>
    <row r="1070" spans="1:50" hidden="1">
      <c r="A1070" s="86" t="str">
        <f t="shared" ca="1" si="87"/>
        <v>SAFGM</v>
      </c>
      <c r="C1070" s="1">
        <v>71</v>
      </c>
      <c r="F1070" s="253">
        <v>7806815</v>
      </c>
      <c r="G1070" s="253">
        <v>4247020</v>
      </c>
      <c r="H1070" s="253">
        <v>5637542</v>
      </c>
      <c r="I1070" s="253">
        <v>7099967</v>
      </c>
      <c r="J1070" s="253">
        <v>396</v>
      </c>
      <c r="K1070" s="253">
        <v>3146190</v>
      </c>
      <c r="L1070" s="253">
        <v>5591197</v>
      </c>
      <c r="M1070" s="253">
        <v>6758356</v>
      </c>
      <c r="N1070" s="253">
        <v>3837954</v>
      </c>
      <c r="O1070" s="253">
        <v>7704267</v>
      </c>
      <c r="P1070" s="253">
        <v>3754231</v>
      </c>
      <c r="Q1070" s="253">
        <v>4346049</v>
      </c>
      <c r="R1070" s="253">
        <v>6455583</v>
      </c>
      <c r="S1070" s="253">
        <v>1322162</v>
      </c>
      <c r="T1070" s="253">
        <v>8384603</v>
      </c>
      <c r="U1070" s="253">
        <v>4194348</v>
      </c>
      <c r="V1070" s="253">
        <v>8817795</v>
      </c>
      <c r="W1070" s="253">
        <v>3737138</v>
      </c>
      <c r="X1070" s="253">
        <v>14418498</v>
      </c>
      <c r="Y1070" s="253">
        <v>9647869</v>
      </c>
      <c r="Z1070" s="245">
        <f ca="1">[1]ExtEntry!$P71</f>
        <v>9647869</v>
      </c>
      <c r="AB1070" s="273">
        <v>83</v>
      </c>
      <c r="AC1070" s="273">
        <v>83</v>
      </c>
      <c r="AD1070" s="273">
        <v>86</v>
      </c>
      <c r="AE1070" s="249">
        <v>79</v>
      </c>
      <c r="AF1070" s="249">
        <v>81</v>
      </c>
      <c r="AG1070" s="249">
        <v>71</v>
      </c>
      <c r="AH1070" s="249">
        <v>69</v>
      </c>
      <c r="AI1070" s="249">
        <v>72</v>
      </c>
      <c r="AJ1070" s="249">
        <v>75</v>
      </c>
      <c r="AK1070" s="249">
        <v>69</v>
      </c>
      <c r="AL1070" s="249">
        <v>73</v>
      </c>
      <c r="AM1070" s="249">
        <v>72</v>
      </c>
      <c r="AN1070" s="249">
        <v>76</v>
      </c>
      <c r="AO1070" s="273">
        <v>86</v>
      </c>
      <c r="AP1070" s="273">
        <v>85</v>
      </c>
      <c r="AQ1070" s="273">
        <v>86</v>
      </c>
      <c r="AR1070" s="273">
        <v>85</v>
      </c>
      <c r="AS1070" s="273">
        <v>98</v>
      </c>
      <c r="AT1070" s="273">
        <v>98</v>
      </c>
      <c r="AU1070" s="273">
        <v>98</v>
      </c>
      <c r="AV1070" s="273">
        <f t="shared" si="86"/>
        <v>98</v>
      </c>
      <c r="AX1070" s="86" t="str">
        <f t="shared" ca="1" si="88"/>
        <v>SAFGM</v>
      </c>
    </row>
    <row r="1071" spans="1:50" hidden="1">
      <c r="A1071" s="86" t="str">
        <f t="shared" ca="1" si="87"/>
        <v>SAFIAG</v>
      </c>
      <c r="C1071" s="1">
        <v>72</v>
      </c>
      <c r="F1071" s="253">
        <v>10087501</v>
      </c>
      <c r="G1071" s="253">
        <v>21023096</v>
      </c>
      <c r="H1071" s="253">
        <v>51664851</v>
      </c>
      <c r="I1071" s="253">
        <v>11225097</v>
      </c>
      <c r="J1071" s="253">
        <v>1384879</v>
      </c>
      <c r="K1071" s="253">
        <v>17364599</v>
      </c>
      <c r="L1071" s="253">
        <v>11445087</v>
      </c>
      <c r="M1071" s="253">
        <v>9637073</v>
      </c>
      <c r="N1071" s="253">
        <v>11517265</v>
      </c>
      <c r="O1071" s="253">
        <v>9108259</v>
      </c>
      <c r="P1071" s="253">
        <v>7928402</v>
      </c>
      <c r="Q1071" s="253">
        <v>30720554</v>
      </c>
      <c r="R1071" s="253">
        <v>30765190</v>
      </c>
      <c r="S1071" s="253">
        <v>20272543</v>
      </c>
      <c r="T1071" s="253">
        <v>44568697</v>
      </c>
      <c r="U1071" s="253">
        <v>7303745</v>
      </c>
      <c r="V1071" s="253">
        <v>4530697</v>
      </c>
      <c r="W1071" s="253">
        <v>9694531</v>
      </c>
      <c r="X1071" s="253">
        <v>5879904</v>
      </c>
      <c r="Y1071" s="253">
        <v>15161710</v>
      </c>
      <c r="Z1071" s="245">
        <f ca="1">[1]ExtEntry!$P72</f>
        <v>15161710</v>
      </c>
      <c r="AB1071" s="273">
        <v>63</v>
      </c>
      <c r="AC1071" s="273">
        <v>54</v>
      </c>
      <c r="AD1071" s="273">
        <v>33</v>
      </c>
      <c r="AE1071" s="249">
        <v>35</v>
      </c>
      <c r="AF1071" s="249">
        <v>32</v>
      </c>
      <c r="AG1071" s="249">
        <v>37</v>
      </c>
      <c r="AH1071" s="249">
        <v>35</v>
      </c>
      <c r="AI1071" s="249">
        <v>28</v>
      </c>
      <c r="AJ1071" s="249">
        <v>33</v>
      </c>
      <c r="AK1071" s="249">
        <v>28</v>
      </c>
      <c r="AL1071" s="249">
        <v>28</v>
      </c>
      <c r="AM1071" s="249">
        <v>25</v>
      </c>
      <c r="AN1071" s="249">
        <v>20</v>
      </c>
      <c r="AO1071" s="273">
        <v>23</v>
      </c>
      <c r="AP1071" s="273">
        <v>22</v>
      </c>
      <c r="AQ1071" s="273">
        <v>23</v>
      </c>
      <c r="AR1071" s="273">
        <v>46</v>
      </c>
      <c r="AS1071" s="273">
        <v>50</v>
      </c>
      <c r="AT1071" s="273">
        <v>49</v>
      </c>
      <c r="AU1071" s="273">
        <v>55</v>
      </c>
      <c r="AV1071" s="273">
        <f t="shared" si="86"/>
        <v>55</v>
      </c>
      <c r="AX1071" s="86" t="str">
        <f t="shared" ca="1" si="88"/>
        <v>SAFIAG</v>
      </c>
    </row>
    <row r="1072" spans="1:50" hidden="1">
      <c r="A1072" s="86" t="str">
        <f t="shared" ca="1" si="87"/>
        <v>SAFMRNA</v>
      </c>
      <c r="C1072" s="1">
        <v>73</v>
      </c>
      <c r="F1072" s="253">
        <v>11126437</v>
      </c>
      <c r="G1072" s="253">
        <v>15307030</v>
      </c>
      <c r="H1072" s="253">
        <v>8648447</v>
      </c>
      <c r="I1072" s="253">
        <v>8942005</v>
      </c>
      <c r="J1072" s="253">
        <v>1941</v>
      </c>
      <c r="K1072" s="253">
        <v>3247192</v>
      </c>
      <c r="L1072" s="253">
        <v>11361520</v>
      </c>
      <c r="M1072" s="253">
        <v>10207838</v>
      </c>
      <c r="N1072" s="253">
        <v>3906263</v>
      </c>
      <c r="O1072" s="253">
        <v>6495360</v>
      </c>
      <c r="P1072" s="253">
        <v>4273694</v>
      </c>
      <c r="Q1072" s="253">
        <v>5592483</v>
      </c>
      <c r="R1072" s="253">
        <v>9093592</v>
      </c>
      <c r="S1072" s="253">
        <v>2041725</v>
      </c>
      <c r="T1072" s="253">
        <v>7730144</v>
      </c>
      <c r="U1072" s="253">
        <v>4855161</v>
      </c>
      <c r="V1072" s="253">
        <v>16532117</v>
      </c>
      <c r="W1072" s="253">
        <v>3517878</v>
      </c>
      <c r="X1072" s="253">
        <v>7679466</v>
      </c>
      <c r="Y1072" s="253">
        <v>8110170</v>
      </c>
      <c r="Z1072" s="245">
        <f ca="1">[1]ExtEntry!$P73</f>
        <v>8110170</v>
      </c>
      <c r="AB1072" s="273">
        <v>52</v>
      </c>
      <c r="AC1072" s="273">
        <v>48</v>
      </c>
      <c r="AD1072" s="273">
        <v>51</v>
      </c>
      <c r="AE1072" s="249">
        <v>56</v>
      </c>
      <c r="AF1072" s="249">
        <v>51</v>
      </c>
      <c r="AG1072" s="249">
        <v>46</v>
      </c>
      <c r="AH1072" s="249">
        <v>43</v>
      </c>
      <c r="AI1072" s="249">
        <v>52</v>
      </c>
      <c r="AJ1072" s="249">
        <v>55</v>
      </c>
      <c r="AK1072" s="249">
        <v>54</v>
      </c>
      <c r="AL1072" s="249">
        <v>58</v>
      </c>
      <c r="AM1072" s="249">
        <v>57</v>
      </c>
      <c r="AN1072" s="249">
        <v>39</v>
      </c>
      <c r="AO1072" s="273">
        <v>49</v>
      </c>
      <c r="AP1072" s="273">
        <v>56</v>
      </c>
      <c r="AQ1072" s="273">
        <v>57</v>
      </c>
      <c r="AR1072" s="273">
        <v>65</v>
      </c>
      <c r="AS1072" s="273">
        <v>67</v>
      </c>
      <c r="AT1072" s="273">
        <v>68</v>
      </c>
      <c r="AU1072" s="273">
        <v>74</v>
      </c>
      <c r="AV1072" s="273">
        <f t="shared" si="86"/>
        <v>74</v>
      </c>
      <c r="AX1072" s="86" t="str">
        <f t="shared" ca="1" si="88"/>
        <v>SAFMRNA</v>
      </c>
    </row>
    <row r="1073" spans="1:50" hidden="1">
      <c r="A1073" s="86" t="str">
        <f t="shared" ca="1" si="87"/>
        <v>BLNK</v>
      </c>
      <c r="C1073" s="1">
        <v>74</v>
      </c>
      <c r="F1073" s="253">
        <v>2549783</v>
      </c>
      <c r="G1073" s="253">
        <v>2443346</v>
      </c>
      <c r="H1073" s="253">
        <v>2753308</v>
      </c>
      <c r="I1073" s="253">
        <v>2304377</v>
      </c>
      <c r="J1073" s="253">
        <v>500</v>
      </c>
      <c r="K1073" s="253">
        <v>809666</v>
      </c>
      <c r="L1073" s="253">
        <v>1636912</v>
      </c>
      <c r="M1073" s="253">
        <v>3503754</v>
      </c>
      <c r="N1073" s="253">
        <v>934430</v>
      </c>
      <c r="O1073" s="253">
        <v>1566349</v>
      </c>
      <c r="P1073" s="253">
        <v>995566</v>
      </c>
      <c r="Q1073" s="253">
        <v>821567</v>
      </c>
      <c r="R1073" s="253">
        <v>1059537</v>
      </c>
      <c r="S1073" s="253">
        <v>200066</v>
      </c>
      <c r="T1073" s="253">
        <v>1689557</v>
      </c>
      <c r="U1073" s="253">
        <v>907673</v>
      </c>
      <c r="V1073" s="253">
        <v>7913264</v>
      </c>
      <c r="W1073" s="253">
        <v>6717229</v>
      </c>
      <c r="X1073" s="253">
        <v>24713777</v>
      </c>
      <c r="Y1073" s="253">
        <v>18434541</v>
      </c>
      <c r="Z1073" s="245">
        <f ca="1">[1]ExtEntry!$P74</f>
        <v>18434541</v>
      </c>
      <c r="AB1073" s="273">
        <v>31</v>
      </c>
      <c r="AC1073" s="273">
        <v>30</v>
      </c>
      <c r="AD1073" s="273">
        <v>41</v>
      </c>
      <c r="AE1073" s="249">
        <v>42</v>
      </c>
      <c r="AF1073" s="249">
        <v>39</v>
      </c>
      <c r="AG1073" s="249">
        <v>42</v>
      </c>
      <c r="AH1073" s="249">
        <v>40</v>
      </c>
      <c r="AI1073" s="249">
        <v>38</v>
      </c>
      <c r="AJ1073" s="249">
        <v>39</v>
      </c>
      <c r="AK1073" s="249">
        <v>30</v>
      </c>
      <c r="AL1073" s="249">
        <v>36</v>
      </c>
      <c r="AM1073" s="249">
        <v>40</v>
      </c>
      <c r="AN1073" s="249">
        <v>45</v>
      </c>
      <c r="AO1073" s="273">
        <v>49</v>
      </c>
      <c r="AP1073" s="273">
        <v>44</v>
      </c>
      <c r="AQ1073" s="273">
        <v>62</v>
      </c>
      <c r="AR1073" s="273">
        <v>34</v>
      </c>
      <c r="AS1073" s="273">
        <v>33</v>
      </c>
      <c r="AT1073" s="273">
        <v>29</v>
      </c>
      <c r="AU1073" s="273">
        <v>28</v>
      </c>
      <c r="AV1073" s="273">
        <f t="shared" si="86"/>
        <v>28</v>
      </c>
      <c r="AX1073" s="86" t="str">
        <f t="shared" ca="1" si="88"/>
        <v>BLNK</v>
      </c>
    </row>
    <row r="1074" spans="1:50" hidden="1">
      <c r="A1074" s="86" t="str">
        <f t="shared" ca="1" si="87"/>
        <v>ENI</v>
      </c>
      <c r="C1074" s="1">
        <v>75</v>
      </c>
      <c r="F1074" s="253">
        <v>7194438</v>
      </c>
      <c r="G1074" s="253">
        <v>7509064</v>
      </c>
      <c r="H1074" s="253">
        <v>7401986</v>
      </c>
      <c r="I1074" s="253">
        <v>7839107</v>
      </c>
      <c r="J1074" s="253">
        <v>1322075</v>
      </c>
      <c r="K1074" s="253">
        <v>8051185</v>
      </c>
      <c r="L1074" s="253">
        <v>7107536</v>
      </c>
      <c r="M1074" s="253">
        <v>12320520</v>
      </c>
      <c r="N1074" s="253">
        <v>8440055</v>
      </c>
      <c r="O1074" s="253">
        <v>5003577</v>
      </c>
      <c r="P1074" s="253">
        <v>7406356</v>
      </c>
      <c r="Q1074" s="253">
        <v>7710953</v>
      </c>
      <c r="R1074" s="253">
        <v>7439096</v>
      </c>
      <c r="S1074" s="253">
        <v>4831081</v>
      </c>
      <c r="T1074" s="253">
        <v>7741521</v>
      </c>
      <c r="U1074" s="253">
        <v>6650581</v>
      </c>
      <c r="V1074" s="253">
        <v>13631804</v>
      </c>
      <c r="W1074" s="253">
        <v>6634646</v>
      </c>
      <c r="X1074" s="253">
        <v>7780999</v>
      </c>
      <c r="Y1074" s="253">
        <v>8646456</v>
      </c>
      <c r="Z1074" s="245">
        <f ca="1">[1]ExtEntry!$P75</f>
        <v>8646456</v>
      </c>
      <c r="AB1074" s="273">
        <v>91</v>
      </c>
      <c r="AC1074" s="273">
        <v>90</v>
      </c>
      <c r="AD1074" s="273">
        <v>89</v>
      </c>
      <c r="AE1074" s="249">
        <v>88</v>
      </c>
      <c r="AF1074" s="249">
        <v>88</v>
      </c>
      <c r="AG1074" s="249">
        <v>82</v>
      </c>
      <c r="AH1074" s="249">
        <v>81</v>
      </c>
      <c r="AI1074" s="249">
        <v>66</v>
      </c>
      <c r="AJ1074" s="249">
        <v>63</v>
      </c>
      <c r="AK1074" s="249">
        <v>52</v>
      </c>
      <c r="AL1074" s="249">
        <v>56</v>
      </c>
      <c r="AM1074" s="249">
        <v>60</v>
      </c>
      <c r="AN1074" s="249">
        <v>62</v>
      </c>
      <c r="AO1074" s="273">
        <v>68</v>
      </c>
      <c r="AP1074" s="273">
        <v>70</v>
      </c>
      <c r="AQ1074" s="273">
        <v>71</v>
      </c>
      <c r="AR1074" s="273">
        <v>60</v>
      </c>
      <c r="AS1074" s="273">
        <v>61</v>
      </c>
      <c r="AT1074" s="273">
        <v>57</v>
      </c>
      <c r="AU1074" s="273">
        <v>57</v>
      </c>
      <c r="AV1074" s="273">
        <f t="shared" si="86"/>
        <v>57</v>
      </c>
      <c r="AX1074" s="86" t="str">
        <f t="shared" ca="1" si="88"/>
        <v>ENI</v>
      </c>
    </row>
    <row r="1075" spans="1:50" hidden="1">
      <c r="A1075" s="86" t="str">
        <f t="shared" ca="1" si="87"/>
        <v>EZJ</v>
      </c>
      <c r="C1075" s="1">
        <v>76</v>
      </c>
      <c r="F1075" s="253">
        <v>2648697</v>
      </c>
      <c r="G1075" s="253">
        <v>3359223</v>
      </c>
      <c r="H1075" s="253">
        <v>3447479</v>
      </c>
      <c r="I1075" s="253">
        <v>2656522</v>
      </c>
      <c r="J1075" s="253">
        <v>223538</v>
      </c>
      <c r="K1075" s="253">
        <v>3452670</v>
      </c>
      <c r="L1075" s="253">
        <v>2555565</v>
      </c>
      <c r="M1075" s="253">
        <v>2283101</v>
      </c>
      <c r="N1075" s="253">
        <v>4912315</v>
      </c>
      <c r="O1075" s="253">
        <v>2169901</v>
      </c>
      <c r="P1075" s="253">
        <v>5513834</v>
      </c>
      <c r="Q1075" s="253">
        <v>3945628</v>
      </c>
      <c r="R1075" s="253">
        <v>7616080</v>
      </c>
      <c r="S1075" s="253">
        <v>1028162</v>
      </c>
      <c r="T1075" s="253">
        <v>2273322</v>
      </c>
      <c r="U1075" s="253">
        <v>2119774</v>
      </c>
      <c r="V1075" s="253">
        <v>1933343</v>
      </c>
      <c r="W1075" s="253">
        <v>2223898</v>
      </c>
      <c r="X1075" s="253">
        <v>3173667</v>
      </c>
      <c r="Y1075" s="253">
        <v>2083140</v>
      </c>
      <c r="Z1075" s="245">
        <f ca="1">[1]ExtEntry!$P76</f>
        <v>2083140</v>
      </c>
      <c r="AB1075" s="273">
        <v>45</v>
      </c>
      <c r="AC1075" s="273">
        <v>52</v>
      </c>
      <c r="AD1075" s="273">
        <v>44</v>
      </c>
      <c r="AE1075" s="249">
        <v>41</v>
      </c>
      <c r="AF1075" s="249">
        <v>41</v>
      </c>
      <c r="AG1075" s="249">
        <v>47</v>
      </c>
      <c r="AH1075" s="249">
        <v>37</v>
      </c>
      <c r="AI1075" s="249">
        <v>32</v>
      </c>
      <c r="AJ1075" s="249">
        <v>47</v>
      </c>
      <c r="AK1075" s="249">
        <v>43</v>
      </c>
      <c r="AL1075" s="249">
        <v>53</v>
      </c>
      <c r="AM1075" s="249">
        <v>51</v>
      </c>
      <c r="AN1075" s="249">
        <v>48</v>
      </c>
      <c r="AO1075" s="273">
        <v>53</v>
      </c>
      <c r="AP1075" s="273">
        <v>46</v>
      </c>
      <c r="AQ1075" s="273">
        <v>52</v>
      </c>
      <c r="AR1075" s="273">
        <v>57</v>
      </c>
      <c r="AS1075" s="273">
        <v>58</v>
      </c>
      <c r="AT1075" s="273">
        <v>58</v>
      </c>
      <c r="AU1075" s="273">
        <v>60</v>
      </c>
      <c r="AV1075" s="273">
        <f t="shared" si="86"/>
        <v>60</v>
      </c>
      <c r="AX1075" s="86" t="str">
        <f t="shared" ca="1" si="88"/>
        <v>EZJ</v>
      </c>
    </row>
    <row r="1076" spans="1:50" hidden="1">
      <c r="A1076" s="86" t="str">
        <f t="shared" ca="1" si="87"/>
        <v>F</v>
      </c>
      <c r="C1076" s="1">
        <v>77</v>
      </c>
      <c r="F1076" s="253">
        <v>79114426</v>
      </c>
      <c r="G1076" s="253">
        <v>71310987</v>
      </c>
      <c r="H1076" s="253">
        <v>69094524</v>
      </c>
      <c r="I1076" s="253">
        <v>67913483</v>
      </c>
      <c r="J1076" s="253">
        <v>450</v>
      </c>
      <c r="K1076" s="253">
        <v>19319093</v>
      </c>
      <c r="L1076" s="253">
        <v>70707007</v>
      </c>
      <c r="M1076" s="253">
        <v>59106078</v>
      </c>
      <c r="N1076" s="253">
        <v>27439714</v>
      </c>
      <c r="O1076" s="253">
        <v>44942203</v>
      </c>
      <c r="P1076" s="253">
        <v>29523456</v>
      </c>
      <c r="Q1076" s="253">
        <v>30966517</v>
      </c>
      <c r="R1076" s="253">
        <v>52017232</v>
      </c>
      <c r="S1076" s="253">
        <v>6567937</v>
      </c>
      <c r="T1076" s="253">
        <v>45190980</v>
      </c>
      <c r="U1076" s="253">
        <v>18943268</v>
      </c>
      <c r="V1076" s="253">
        <v>54099362</v>
      </c>
      <c r="W1076" s="253">
        <v>14420653</v>
      </c>
      <c r="X1076" s="253">
        <v>72189755</v>
      </c>
      <c r="Y1076" s="253">
        <v>58435838</v>
      </c>
      <c r="Z1076" s="245">
        <f ca="1">[1]ExtEntry!$P77</f>
        <v>58435838</v>
      </c>
      <c r="AB1076" s="273">
        <v>65</v>
      </c>
      <c r="AC1076" s="273">
        <v>65</v>
      </c>
      <c r="AD1076" s="273">
        <v>67</v>
      </c>
      <c r="AE1076" s="249">
        <v>64</v>
      </c>
      <c r="AF1076" s="249">
        <v>65</v>
      </c>
      <c r="AG1076" s="249">
        <v>59</v>
      </c>
      <c r="AH1076" s="249">
        <v>55</v>
      </c>
      <c r="AI1076" s="249">
        <v>61</v>
      </c>
      <c r="AJ1076" s="249">
        <v>63</v>
      </c>
      <c r="AK1076" s="249">
        <v>45</v>
      </c>
      <c r="AL1076" s="249">
        <v>58</v>
      </c>
      <c r="AM1076" s="249">
        <v>60</v>
      </c>
      <c r="AN1076" s="249">
        <v>59</v>
      </c>
      <c r="AO1076" s="273">
        <v>65</v>
      </c>
      <c r="AP1076" s="273">
        <v>62</v>
      </c>
      <c r="AQ1076" s="273">
        <v>60</v>
      </c>
      <c r="AR1076" s="273">
        <v>51</v>
      </c>
      <c r="AS1076" s="273">
        <v>55</v>
      </c>
      <c r="AT1076" s="273">
        <v>60</v>
      </c>
      <c r="AU1076" s="273">
        <v>64</v>
      </c>
      <c r="AV1076" s="273">
        <f t="shared" si="86"/>
        <v>64</v>
      </c>
      <c r="AX1076" s="86" t="str">
        <f t="shared" ca="1" si="88"/>
        <v>F</v>
      </c>
    </row>
    <row r="1077" spans="1:50" hidden="1">
      <c r="A1077" s="86" t="str">
        <f t="shared" ca="1" si="87"/>
        <v>GLE</v>
      </c>
      <c r="C1077" s="1">
        <v>78</v>
      </c>
      <c r="F1077" s="253">
        <v>1640478</v>
      </c>
      <c r="G1077" s="253">
        <v>2318629</v>
      </c>
      <c r="H1077" s="253">
        <v>1484276</v>
      </c>
      <c r="I1077" s="253">
        <v>1943311</v>
      </c>
      <c r="J1077" s="253">
        <v>253031</v>
      </c>
      <c r="K1077" s="253">
        <v>2132855</v>
      </c>
      <c r="L1077" s="253">
        <v>1868857</v>
      </c>
      <c r="M1077" s="253">
        <v>2007996</v>
      </c>
      <c r="N1077" s="253">
        <v>1989932</v>
      </c>
      <c r="O1077" s="253">
        <v>1503782</v>
      </c>
      <c r="P1077" s="253">
        <v>1441206</v>
      </c>
      <c r="Q1077" s="253">
        <v>1506099</v>
      </c>
      <c r="R1077" s="253">
        <v>1639869</v>
      </c>
      <c r="S1077" s="253">
        <v>737300</v>
      </c>
      <c r="T1077" s="253">
        <v>2011282</v>
      </c>
      <c r="U1077" s="253">
        <v>3337077</v>
      </c>
      <c r="V1077" s="253">
        <v>1653265</v>
      </c>
      <c r="W1077" s="253">
        <v>1226248</v>
      </c>
      <c r="X1077" s="253">
        <v>1412130</v>
      </c>
      <c r="Y1077" s="253">
        <v>1857536</v>
      </c>
      <c r="Z1077" s="245">
        <f ca="1">[1]ExtEntry!$P78</f>
        <v>1857536</v>
      </c>
      <c r="AB1077" s="273">
        <v>33</v>
      </c>
      <c r="AC1077" s="273">
        <v>38</v>
      </c>
      <c r="AD1077" s="273">
        <v>27</v>
      </c>
      <c r="AE1077" s="249">
        <v>32</v>
      </c>
      <c r="AF1077" s="249">
        <v>34</v>
      </c>
      <c r="AG1077" s="249">
        <v>36</v>
      </c>
      <c r="AH1077" s="249">
        <v>41</v>
      </c>
      <c r="AI1077" s="249">
        <v>38</v>
      </c>
      <c r="AJ1077" s="249">
        <v>42</v>
      </c>
      <c r="AK1077" s="249">
        <v>43</v>
      </c>
      <c r="AL1077" s="249">
        <v>44</v>
      </c>
      <c r="AM1077" s="249">
        <v>39</v>
      </c>
      <c r="AN1077" s="249">
        <v>57</v>
      </c>
      <c r="AO1077" s="273">
        <v>55</v>
      </c>
      <c r="AP1077" s="273">
        <v>51</v>
      </c>
      <c r="AQ1077" s="273">
        <v>56</v>
      </c>
      <c r="AR1077" s="273">
        <v>56</v>
      </c>
      <c r="AS1077" s="273">
        <v>65</v>
      </c>
      <c r="AT1077" s="273">
        <v>69</v>
      </c>
      <c r="AU1077" s="273">
        <v>70</v>
      </c>
      <c r="AV1077" s="273">
        <f t="shared" si="86"/>
        <v>70</v>
      </c>
      <c r="AX1077" s="86" t="str">
        <f t="shared" ca="1" si="88"/>
        <v>GLE</v>
      </c>
    </row>
    <row r="1078" spans="1:50" hidden="1">
      <c r="A1078" s="86" t="str">
        <f t="shared" ca="1" si="87"/>
        <v>GNRC</v>
      </c>
      <c r="C1078" s="1">
        <v>79</v>
      </c>
      <c r="F1078" s="253">
        <v>897057</v>
      </c>
      <c r="G1078" s="253">
        <v>915974</v>
      </c>
      <c r="H1078" s="253">
        <v>952915</v>
      </c>
      <c r="I1078" s="253">
        <v>1276767</v>
      </c>
      <c r="J1078" s="253">
        <v>1574126</v>
      </c>
      <c r="K1078" s="253">
        <v>427351</v>
      </c>
      <c r="L1078" s="253">
        <v>810453</v>
      </c>
      <c r="M1078" s="253">
        <v>861237</v>
      </c>
      <c r="N1078" s="253">
        <v>209980</v>
      </c>
      <c r="O1078" s="253">
        <v>559560</v>
      </c>
      <c r="P1078" s="253">
        <v>294130</v>
      </c>
      <c r="Q1078" s="253">
        <v>194955</v>
      </c>
      <c r="R1078" s="253">
        <v>1137486</v>
      </c>
      <c r="S1078" s="253">
        <v>138194</v>
      </c>
      <c r="T1078" s="253">
        <v>822137</v>
      </c>
      <c r="U1078" s="253">
        <v>222012</v>
      </c>
      <c r="V1078" s="253">
        <v>763930</v>
      </c>
      <c r="W1078" s="253">
        <v>142684</v>
      </c>
      <c r="X1078" s="253">
        <v>772720</v>
      </c>
      <c r="Y1078" s="253">
        <v>470528</v>
      </c>
      <c r="Z1078" s="245">
        <f ca="1">[1]ExtEntry!$P79</f>
        <v>470528</v>
      </c>
      <c r="AB1078" s="273">
        <v>36</v>
      </c>
      <c r="AC1078" s="273">
        <v>24</v>
      </c>
      <c r="AD1078" s="273">
        <v>24</v>
      </c>
      <c r="AE1078" s="249">
        <v>24</v>
      </c>
      <c r="AF1078" s="249">
        <v>20</v>
      </c>
      <c r="AG1078" s="249">
        <v>26</v>
      </c>
      <c r="AH1078" s="249">
        <v>28</v>
      </c>
      <c r="AI1078" s="249">
        <v>40</v>
      </c>
      <c r="AJ1078" s="249">
        <v>35</v>
      </c>
      <c r="AK1078" s="249">
        <v>32</v>
      </c>
      <c r="AL1078" s="249">
        <v>36</v>
      </c>
      <c r="AM1078" s="249">
        <v>36</v>
      </c>
      <c r="AN1078" s="249">
        <v>56</v>
      </c>
      <c r="AO1078" s="273">
        <v>67</v>
      </c>
      <c r="AP1078" s="273">
        <v>68</v>
      </c>
      <c r="AQ1078" s="273">
        <v>80</v>
      </c>
      <c r="AR1078" s="273">
        <v>78</v>
      </c>
      <c r="AS1078" s="273">
        <v>80</v>
      </c>
      <c r="AT1078" s="273">
        <v>82</v>
      </c>
      <c r="AU1078" s="273">
        <v>81</v>
      </c>
      <c r="AV1078" s="273">
        <f t="shared" si="86"/>
        <v>81</v>
      </c>
      <c r="AX1078" s="86" t="str">
        <f t="shared" ca="1" si="88"/>
        <v>GNRC</v>
      </c>
    </row>
    <row r="1079" spans="1:50" hidden="1">
      <c r="A1079" s="86" t="str">
        <f t="shared" ca="1" si="87"/>
        <v>GS</v>
      </c>
      <c r="C1079" s="1">
        <v>80</v>
      </c>
      <c r="F1079" s="253">
        <v>1832800</v>
      </c>
      <c r="G1079" s="253">
        <v>1082754</v>
      </c>
      <c r="H1079" s="253">
        <v>1676214</v>
      </c>
      <c r="I1079" s="253">
        <v>2552271</v>
      </c>
      <c r="J1079" s="253">
        <v>25</v>
      </c>
      <c r="K1079" s="253">
        <v>623073</v>
      </c>
      <c r="L1079" s="253">
        <v>1732849</v>
      </c>
      <c r="M1079" s="253">
        <v>1658263</v>
      </c>
      <c r="N1079" s="253">
        <v>751252</v>
      </c>
      <c r="O1079" s="253">
        <v>1862897</v>
      </c>
      <c r="P1079" s="253">
        <v>867982</v>
      </c>
      <c r="Q1079" s="253">
        <v>967250</v>
      </c>
      <c r="R1079" s="253">
        <v>1484122</v>
      </c>
      <c r="S1079" s="253">
        <v>309408</v>
      </c>
      <c r="T1079" s="253">
        <v>2239894</v>
      </c>
      <c r="U1079" s="253">
        <v>808925</v>
      </c>
      <c r="V1079" s="253">
        <v>2277520</v>
      </c>
      <c r="W1079" s="253">
        <v>793002</v>
      </c>
      <c r="X1079" s="253">
        <v>2394005</v>
      </c>
      <c r="Y1079" s="253">
        <v>2660838</v>
      </c>
      <c r="Z1079" s="245">
        <f ca="1">[1]ExtEntry!$P80</f>
        <v>2660838</v>
      </c>
      <c r="AB1079" s="273">
        <v>57</v>
      </c>
      <c r="AC1079" s="273">
        <v>57</v>
      </c>
      <c r="AD1079" s="273">
        <v>60</v>
      </c>
      <c r="AE1079" s="249">
        <v>57</v>
      </c>
      <c r="AF1079" s="249">
        <v>53</v>
      </c>
      <c r="AG1079" s="249">
        <v>57</v>
      </c>
      <c r="AH1079" s="249">
        <v>60</v>
      </c>
      <c r="AI1079" s="249">
        <v>70</v>
      </c>
      <c r="AJ1079" s="249">
        <v>72</v>
      </c>
      <c r="AK1079" s="249">
        <v>66</v>
      </c>
      <c r="AL1079" s="249">
        <v>67</v>
      </c>
      <c r="AM1079" s="249">
        <v>58</v>
      </c>
      <c r="AN1079" s="249">
        <v>59</v>
      </c>
      <c r="AO1079" s="273">
        <v>60</v>
      </c>
      <c r="AP1079" s="273">
        <v>66</v>
      </c>
      <c r="AQ1079" s="273">
        <v>69</v>
      </c>
      <c r="AR1079" s="273">
        <v>74</v>
      </c>
      <c r="AS1079" s="273">
        <v>84</v>
      </c>
      <c r="AT1079" s="273">
        <v>85</v>
      </c>
      <c r="AU1079" s="273">
        <v>87</v>
      </c>
      <c r="AV1079" s="273">
        <f t="shared" si="86"/>
        <v>87</v>
      </c>
      <c r="AX1079" s="86" t="str">
        <f t="shared" ca="1" si="88"/>
        <v>GS</v>
      </c>
    </row>
    <row r="1080" spans="1:50" hidden="1">
      <c r="A1080" s="86" t="str">
        <f t="shared" ca="1" si="87"/>
        <v>LAZR</v>
      </c>
      <c r="C1080" s="1">
        <v>81</v>
      </c>
      <c r="F1080" s="253">
        <v>7163373</v>
      </c>
      <c r="G1080" s="253">
        <v>4973848</v>
      </c>
      <c r="H1080" s="253">
        <v>4135053</v>
      </c>
      <c r="I1080" s="253">
        <v>10066705</v>
      </c>
      <c r="J1080" s="253">
        <v>303</v>
      </c>
      <c r="K1080" s="253">
        <v>3481539</v>
      </c>
      <c r="L1080" s="253">
        <v>7437815</v>
      </c>
      <c r="M1080" s="253">
        <v>3026081</v>
      </c>
      <c r="N1080" s="253">
        <v>2176763</v>
      </c>
      <c r="O1080" s="253">
        <v>3429017</v>
      </c>
      <c r="P1080" s="253">
        <v>3391048</v>
      </c>
      <c r="Q1080" s="253">
        <v>1344708</v>
      </c>
      <c r="R1080" s="253">
        <v>1273379</v>
      </c>
      <c r="S1080" s="253">
        <v>792884</v>
      </c>
      <c r="T1080" s="253">
        <v>2207609</v>
      </c>
      <c r="U1080" s="253">
        <v>13236943</v>
      </c>
      <c r="V1080" s="253">
        <v>8161925</v>
      </c>
      <c r="W1080" s="253">
        <v>1511252</v>
      </c>
      <c r="X1080" s="253">
        <v>2275695</v>
      </c>
      <c r="Y1080" s="253">
        <v>8820713</v>
      </c>
      <c r="Z1080" s="245">
        <f ca="1">[1]ExtEntry!$P81</f>
        <v>8820713</v>
      </c>
      <c r="AB1080" s="273">
        <v>43</v>
      </c>
      <c r="AC1080" s="273">
        <v>44</v>
      </c>
      <c r="AD1080" s="273">
        <v>51</v>
      </c>
      <c r="AE1080" s="249">
        <v>48</v>
      </c>
      <c r="AF1080" s="249">
        <v>45</v>
      </c>
      <c r="AG1080" s="249">
        <v>51</v>
      </c>
      <c r="AH1080" s="249">
        <v>55</v>
      </c>
      <c r="AI1080" s="249">
        <v>58</v>
      </c>
      <c r="AJ1080" s="249">
        <v>60</v>
      </c>
      <c r="AK1080" s="249">
        <v>37</v>
      </c>
      <c r="AL1080" s="249">
        <v>36</v>
      </c>
      <c r="AM1080" s="249">
        <v>50</v>
      </c>
      <c r="AN1080" s="249">
        <v>45</v>
      </c>
      <c r="AO1080" s="273">
        <v>44</v>
      </c>
      <c r="AP1080" s="273">
        <v>59</v>
      </c>
      <c r="AQ1080" s="273">
        <v>75</v>
      </c>
      <c r="AR1080" s="273">
        <v>61</v>
      </c>
      <c r="AS1080" s="273">
        <v>66</v>
      </c>
      <c r="AT1080" s="273">
        <v>71</v>
      </c>
      <c r="AU1080" s="273">
        <v>74</v>
      </c>
      <c r="AV1080" s="273">
        <f t="shared" si="86"/>
        <v>74</v>
      </c>
      <c r="AX1080" s="86" t="str">
        <f t="shared" ca="1" si="88"/>
        <v>LAZR</v>
      </c>
    </row>
    <row r="1081" spans="1:50" hidden="1">
      <c r="A1081" s="86" t="str">
        <f t="shared" ca="1" si="87"/>
        <v>LUV</v>
      </c>
      <c r="C1081" s="1">
        <v>82</v>
      </c>
      <c r="F1081" s="253">
        <v>9058688</v>
      </c>
      <c r="G1081" s="253">
        <v>5309100</v>
      </c>
      <c r="H1081" s="253">
        <v>6397522</v>
      </c>
      <c r="I1081" s="253">
        <v>7673552</v>
      </c>
      <c r="J1081" s="253">
        <v>150</v>
      </c>
      <c r="K1081" s="253">
        <v>2017435</v>
      </c>
      <c r="L1081" s="253">
        <v>3809518</v>
      </c>
      <c r="M1081" s="253">
        <v>4393093</v>
      </c>
      <c r="N1081" s="253">
        <v>2544062</v>
      </c>
      <c r="O1081" s="253">
        <v>4766205</v>
      </c>
      <c r="P1081" s="253">
        <v>2545936</v>
      </c>
      <c r="Q1081" s="253">
        <v>2990267</v>
      </c>
      <c r="R1081" s="253">
        <v>4580232</v>
      </c>
      <c r="S1081" s="253">
        <v>945746</v>
      </c>
      <c r="T1081" s="253">
        <v>6539232</v>
      </c>
      <c r="U1081" s="253">
        <v>3164395</v>
      </c>
      <c r="V1081" s="253">
        <v>15212320</v>
      </c>
      <c r="W1081" s="253">
        <v>3114830</v>
      </c>
      <c r="X1081" s="253">
        <v>17174644</v>
      </c>
      <c r="Y1081" s="253">
        <v>22693270</v>
      </c>
      <c r="Z1081" s="245">
        <f ca="1">[1]ExtEntry!$P82</f>
        <v>22693270</v>
      </c>
      <c r="AB1081" s="273">
        <v>38</v>
      </c>
      <c r="AC1081" s="273">
        <v>35</v>
      </c>
      <c r="AD1081" s="273">
        <v>41</v>
      </c>
      <c r="AE1081" s="249">
        <v>39</v>
      </c>
      <c r="AF1081" s="249">
        <v>35</v>
      </c>
      <c r="AG1081" s="249">
        <v>33</v>
      </c>
      <c r="AH1081" s="249">
        <v>34</v>
      </c>
      <c r="AI1081" s="249">
        <v>48</v>
      </c>
      <c r="AJ1081" s="249">
        <v>62</v>
      </c>
      <c r="AK1081" s="249">
        <v>63</v>
      </c>
      <c r="AL1081" s="249">
        <v>61</v>
      </c>
      <c r="AM1081" s="249">
        <v>69</v>
      </c>
      <c r="AN1081" s="249">
        <v>76</v>
      </c>
      <c r="AO1081" s="273">
        <v>84</v>
      </c>
      <c r="AP1081" s="273">
        <v>80</v>
      </c>
      <c r="AQ1081" s="273">
        <v>83</v>
      </c>
      <c r="AR1081" s="273">
        <v>85</v>
      </c>
      <c r="AS1081" s="273">
        <v>88</v>
      </c>
      <c r="AT1081" s="273">
        <v>90</v>
      </c>
      <c r="AU1081" s="273">
        <v>92</v>
      </c>
      <c r="AV1081" s="273">
        <f t="shared" si="86"/>
        <v>92</v>
      </c>
      <c r="AX1081" s="86" t="str">
        <f t="shared" ca="1" si="88"/>
        <v>LUV</v>
      </c>
    </row>
    <row r="1082" spans="1:50" hidden="1">
      <c r="A1082" s="86" t="str">
        <f t="shared" ca="1" si="87"/>
        <v>MA</v>
      </c>
      <c r="C1082" s="1">
        <v>83</v>
      </c>
      <c r="F1082" s="253">
        <v>2198524</v>
      </c>
      <c r="G1082" s="253">
        <v>1542947</v>
      </c>
      <c r="H1082" s="253">
        <v>1662970</v>
      </c>
      <c r="I1082" s="253">
        <v>2567801</v>
      </c>
      <c r="J1082" s="253">
        <v>299</v>
      </c>
      <c r="K1082" s="253">
        <v>987038</v>
      </c>
      <c r="L1082" s="253">
        <v>1188779</v>
      </c>
      <c r="M1082" s="253">
        <v>2381229</v>
      </c>
      <c r="N1082" s="253">
        <v>864468</v>
      </c>
      <c r="O1082" s="253">
        <v>2185287</v>
      </c>
      <c r="P1082" s="253">
        <v>1254694</v>
      </c>
      <c r="Q1082" s="253">
        <v>793020</v>
      </c>
      <c r="R1082" s="253">
        <v>2144758</v>
      </c>
      <c r="S1082" s="253">
        <v>428066</v>
      </c>
      <c r="T1082" s="253">
        <v>2664226</v>
      </c>
      <c r="U1082" s="253">
        <v>1056548</v>
      </c>
      <c r="V1082" s="253">
        <v>2126670</v>
      </c>
      <c r="W1082" s="253">
        <v>672080</v>
      </c>
      <c r="X1082" s="253">
        <v>3023505</v>
      </c>
      <c r="Y1082" s="253">
        <v>3279418</v>
      </c>
      <c r="Z1082" s="245">
        <f ca="1">[1]ExtEntry!$P83</f>
        <v>3279418</v>
      </c>
      <c r="AB1082" s="273">
        <v>56</v>
      </c>
      <c r="AC1082" s="273">
        <v>59</v>
      </c>
      <c r="AD1082" s="273">
        <v>72</v>
      </c>
      <c r="AE1082" s="249">
        <v>50</v>
      </c>
      <c r="AF1082" s="249">
        <v>35</v>
      </c>
      <c r="AG1082" s="249">
        <v>27</v>
      </c>
      <c r="AH1082" s="249">
        <v>35</v>
      </c>
      <c r="AI1082" s="249">
        <v>49</v>
      </c>
      <c r="AJ1082" s="249">
        <v>47</v>
      </c>
      <c r="AK1082" s="249">
        <v>46</v>
      </c>
      <c r="AL1082" s="249">
        <v>51</v>
      </c>
      <c r="AM1082" s="249">
        <v>54</v>
      </c>
      <c r="AN1082" s="249">
        <v>56</v>
      </c>
      <c r="AO1082" s="273">
        <v>53</v>
      </c>
      <c r="AP1082" s="273">
        <v>58</v>
      </c>
      <c r="AQ1082" s="273">
        <v>50</v>
      </c>
      <c r="AR1082" s="273">
        <v>54</v>
      </c>
      <c r="AS1082" s="273">
        <v>60</v>
      </c>
      <c r="AT1082" s="273">
        <v>71</v>
      </c>
      <c r="AU1082" s="273">
        <v>81</v>
      </c>
      <c r="AV1082" s="273">
        <f t="shared" si="86"/>
        <v>81</v>
      </c>
      <c r="AX1082" s="86" t="str">
        <f t="shared" ca="1" si="88"/>
        <v>MA</v>
      </c>
    </row>
    <row r="1083" spans="1:50" hidden="1">
      <c r="A1083" s="86" t="str">
        <f t="shared" ca="1" si="87"/>
        <v>NVAX</v>
      </c>
      <c r="C1083" s="1">
        <v>84</v>
      </c>
      <c r="F1083" s="253">
        <v>5035610</v>
      </c>
      <c r="G1083" s="253">
        <v>4529726</v>
      </c>
      <c r="H1083" s="253">
        <v>3913201</v>
      </c>
      <c r="I1083" s="253">
        <v>3486845</v>
      </c>
      <c r="J1083" s="253">
        <v>334</v>
      </c>
      <c r="K1083" s="253">
        <v>3171158</v>
      </c>
      <c r="L1083" s="253">
        <v>2454553</v>
      </c>
      <c r="M1083" s="253">
        <v>2959424</v>
      </c>
      <c r="N1083" s="253">
        <v>1332413</v>
      </c>
      <c r="O1083" s="253">
        <v>2720105</v>
      </c>
      <c r="P1083" s="253">
        <v>1523519</v>
      </c>
      <c r="Q1083" s="253">
        <v>1414795</v>
      </c>
      <c r="R1083" s="253">
        <v>2125997</v>
      </c>
      <c r="S1083" s="253">
        <v>835001</v>
      </c>
      <c r="T1083" s="253">
        <v>3383167</v>
      </c>
      <c r="U1083" s="253">
        <v>808533</v>
      </c>
      <c r="V1083" s="253">
        <v>3721839</v>
      </c>
      <c r="W1083" s="253">
        <v>826767</v>
      </c>
      <c r="X1083" s="253">
        <v>3162027</v>
      </c>
      <c r="Y1083" s="253">
        <v>2623077</v>
      </c>
      <c r="Z1083" s="245">
        <f ca="1">[1]ExtEntry!$P84</f>
        <v>2623077</v>
      </c>
      <c r="AB1083" s="273">
        <v>42</v>
      </c>
      <c r="AC1083" s="273">
        <v>39</v>
      </c>
      <c r="AD1083" s="273">
        <v>42</v>
      </c>
      <c r="AE1083" s="249">
        <v>47</v>
      </c>
      <c r="AF1083" s="249">
        <v>26</v>
      </c>
      <c r="AG1083" s="249">
        <v>26</v>
      </c>
      <c r="AH1083" s="249">
        <v>26</v>
      </c>
      <c r="AI1083" s="249">
        <v>37</v>
      </c>
      <c r="AJ1083" s="249">
        <v>43</v>
      </c>
      <c r="AK1083" s="249">
        <v>45</v>
      </c>
      <c r="AL1083" s="249">
        <v>43</v>
      </c>
      <c r="AM1083" s="249">
        <v>41</v>
      </c>
      <c r="AN1083" s="249">
        <v>39</v>
      </c>
      <c r="AO1083" s="273">
        <v>50</v>
      </c>
      <c r="AP1083" s="273">
        <v>52</v>
      </c>
      <c r="AQ1083" s="273">
        <v>51</v>
      </c>
      <c r="AR1083" s="273">
        <v>56</v>
      </c>
      <c r="AS1083" s="273">
        <v>59</v>
      </c>
      <c r="AT1083" s="273">
        <v>67</v>
      </c>
      <c r="AU1083" s="273">
        <v>71</v>
      </c>
      <c r="AV1083" s="273">
        <f t="shared" si="86"/>
        <v>71</v>
      </c>
      <c r="AX1083" s="86" t="str">
        <f t="shared" ca="1" si="88"/>
        <v>NVAX</v>
      </c>
    </row>
    <row r="1084" spans="1:50" hidden="1">
      <c r="A1084" s="86" t="str">
        <f t="shared" ca="1" si="87"/>
        <v>NVS</v>
      </c>
      <c r="C1084" s="1">
        <v>85</v>
      </c>
      <c r="F1084" s="253">
        <v>1260129</v>
      </c>
      <c r="G1084" s="253">
        <v>907529</v>
      </c>
      <c r="H1084" s="253">
        <v>1208864</v>
      </c>
      <c r="I1084" s="253">
        <v>1822789</v>
      </c>
      <c r="J1084" s="253">
        <v>3050</v>
      </c>
      <c r="K1084" s="253">
        <v>742944</v>
      </c>
      <c r="L1084" s="253">
        <v>1698834</v>
      </c>
      <c r="M1084" s="253">
        <v>1757379</v>
      </c>
      <c r="N1084" s="253">
        <v>864539</v>
      </c>
      <c r="O1084" s="253">
        <v>1312012</v>
      </c>
      <c r="P1084" s="253">
        <v>1514178</v>
      </c>
      <c r="Q1084" s="253">
        <v>987404</v>
      </c>
      <c r="R1084" s="253">
        <v>1691421</v>
      </c>
      <c r="S1084" s="253">
        <v>270251</v>
      </c>
      <c r="T1084" s="253">
        <v>1258476</v>
      </c>
      <c r="U1084" s="253">
        <v>580216</v>
      </c>
      <c r="V1084" s="253">
        <v>1997207</v>
      </c>
      <c r="W1084" s="253">
        <v>879616</v>
      </c>
      <c r="X1084" s="253">
        <v>2068185</v>
      </c>
      <c r="Y1084" s="253">
        <v>2062182</v>
      </c>
      <c r="Z1084" s="245">
        <f ca="1">[1]ExtEntry!$P85</f>
        <v>2062182</v>
      </c>
      <c r="AB1084" s="273">
        <v>33</v>
      </c>
      <c r="AC1084" s="273">
        <v>39</v>
      </c>
      <c r="AD1084" s="273">
        <v>35</v>
      </c>
      <c r="AE1084" s="249">
        <v>30</v>
      </c>
      <c r="AF1084" s="249">
        <v>22</v>
      </c>
      <c r="AG1084" s="249">
        <v>21</v>
      </c>
      <c r="AH1084" s="249">
        <v>18</v>
      </c>
      <c r="AI1084" s="249">
        <v>30</v>
      </c>
      <c r="AJ1084" s="249">
        <v>29</v>
      </c>
      <c r="AK1084" s="249">
        <v>31</v>
      </c>
      <c r="AL1084" s="249">
        <v>34</v>
      </c>
      <c r="AM1084" s="249">
        <v>43</v>
      </c>
      <c r="AN1084" s="249">
        <v>51</v>
      </c>
      <c r="AO1084" s="273">
        <v>53</v>
      </c>
      <c r="AP1084" s="273">
        <v>55</v>
      </c>
      <c r="AQ1084" s="273">
        <v>51</v>
      </c>
      <c r="AR1084" s="273">
        <v>50</v>
      </c>
      <c r="AS1084" s="273">
        <v>56</v>
      </c>
      <c r="AT1084" s="273">
        <v>68</v>
      </c>
      <c r="AU1084" s="273">
        <v>75</v>
      </c>
      <c r="AV1084" s="273">
        <f t="shared" si="86"/>
        <v>75</v>
      </c>
      <c r="AX1084" s="86" t="str">
        <f t="shared" ca="1" si="88"/>
        <v>NVS</v>
      </c>
    </row>
    <row r="1085" spans="1:50" hidden="1">
      <c r="A1085" s="86" t="str">
        <f t="shared" ca="1" si="87"/>
        <v>ORA</v>
      </c>
      <c r="C1085" s="1">
        <v>86</v>
      </c>
      <c r="F1085" s="253">
        <v>3380269</v>
      </c>
      <c r="G1085" s="253">
        <v>3643038</v>
      </c>
      <c r="H1085" s="253">
        <v>3771241</v>
      </c>
      <c r="I1085" s="253">
        <v>4351291</v>
      </c>
      <c r="J1085" s="253">
        <v>558000</v>
      </c>
      <c r="K1085" s="253">
        <v>4293347</v>
      </c>
      <c r="L1085" s="253">
        <v>3226589</v>
      </c>
      <c r="M1085" s="253">
        <v>3561601</v>
      </c>
      <c r="N1085" s="253">
        <v>3722618</v>
      </c>
      <c r="O1085" s="253">
        <v>1745571</v>
      </c>
      <c r="P1085" s="253">
        <v>2887638</v>
      </c>
      <c r="Q1085" s="253">
        <v>2912499</v>
      </c>
      <c r="R1085" s="253">
        <v>3830400</v>
      </c>
      <c r="S1085" s="253">
        <v>922368</v>
      </c>
      <c r="T1085" s="253">
        <v>4254491</v>
      </c>
      <c r="U1085" s="253">
        <v>3635732</v>
      </c>
      <c r="V1085" s="253">
        <v>3626633</v>
      </c>
      <c r="W1085" s="253">
        <v>3524422</v>
      </c>
      <c r="X1085" s="253">
        <v>3353854</v>
      </c>
      <c r="Y1085" s="253">
        <v>2323755</v>
      </c>
      <c r="Z1085" s="245">
        <f ca="1">[1]ExtEntry!$P86</f>
        <v>2323755</v>
      </c>
      <c r="AB1085" s="273">
        <v>57</v>
      </c>
      <c r="AC1085" s="273">
        <v>51</v>
      </c>
      <c r="AD1085" s="273">
        <v>56</v>
      </c>
      <c r="AE1085" s="249">
        <v>39</v>
      </c>
      <c r="AF1085" s="249">
        <v>37</v>
      </c>
      <c r="AG1085" s="249">
        <v>34</v>
      </c>
      <c r="AH1085" s="249">
        <v>33</v>
      </c>
      <c r="AI1085" s="249">
        <v>43</v>
      </c>
      <c r="AJ1085" s="249">
        <v>43</v>
      </c>
      <c r="AK1085" s="249">
        <v>48</v>
      </c>
      <c r="AL1085" s="249">
        <v>52</v>
      </c>
      <c r="AM1085" s="249">
        <v>50</v>
      </c>
      <c r="AN1085" s="249">
        <v>52</v>
      </c>
      <c r="AO1085" s="273">
        <v>55</v>
      </c>
      <c r="AP1085" s="273">
        <v>56</v>
      </c>
      <c r="AQ1085" s="273">
        <v>49</v>
      </c>
      <c r="AR1085" s="273">
        <v>36</v>
      </c>
      <c r="AS1085" s="273">
        <v>43</v>
      </c>
      <c r="AT1085" s="273">
        <v>49</v>
      </c>
      <c r="AU1085" s="273">
        <v>59</v>
      </c>
      <c r="AV1085" s="273">
        <f t="shared" si="86"/>
        <v>59</v>
      </c>
      <c r="AX1085" s="86" t="str">
        <f t="shared" ca="1" si="88"/>
        <v>ORA</v>
      </c>
    </row>
    <row r="1086" spans="1:50" hidden="1">
      <c r="A1086" s="86" t="str">
        <f t="shared" ca="1" si="87"/>
        <v>OXY</v>
      </c>
      <c r="C1086" s="1">
        <v>87</v>
      </c>
      <c r="F1086" s="253">
        <v>8239909</v>
      </c>
      <c r="G1086" s="253">
        <v>7270388</v>
      </c>
      <c r="H1086" s="253">
        <v>7457657</v>
      </c>
      <c r="I1086" s="253">
        <v>8612182</v>
      </c>
      <c r="J1086" s="253">
        <v>2170</v>
      </c>
      <c r="K1086" s="253">
        <v>3444891</v>
      </c>
      <c r="L1086" s="253">
        <v>6276235</v>
      </c>
      <c r="M1086" s="253">
        <v>5884392</v>
      </c>
      <c r="N1086" s="253">
        <v>4310107</v>
      </c>
      <c r="O1086" s="253">
        <v>7116381</v>
      </c>
      <c r="P1086" s="253">
        <v>4153295</v>
      </c>
      <c r="Q1086" s="253">
        <v>3936411</v>
      </c>
      <c r="R1086" s="253">
        <v>6893923</v>
      </c>
      <c r="S1086" s="253">
        <v>1158604</v>
      </c>
      <c r="T1086" s="253">
        <v>7048165</v>
      </c>
      <c r="U1086" s="253">
        <v>2305340</v>
      </c>
      <c r="V1086" s="253">
        <v>10015025</v>
      </c>
      <c r="W1086" s="253">
        <v>3372762</v>
      </c>
      <c r="X1086" s="253">
        <v>9375327</v>
      </c>
      <c r="Y1086" s="253">
        <v>7855392</v>
      </c>
      <c r="Z1086" s="245">
        <f ca="1">[1]ExtEntry!$P87</f>
        <v>7855392</v>
      </c>
      <c r="AB1086" s="273">
        <v>39</v>
      </c>
      <c r="AC1086" s="273">
        <v>45</v>
      </c>
      <c r="AD1086" s="273">
        <v>56</v>
      </c>
      <c r="AE1086" s="249">
        <v>61</v>
      </c>
      <c r="AF1086" s="249">
        <v>64</v>
      </c>
      <c r="AG1086" s="249">
        <v>58</v>
      </c>
      <c r="AH1086" s="249">
        <v>54</v>
      </c>
      <c r="AI1086" s="249">
        <v>50</v>
      </c>
      <c r="AJ1086" s="249">
        <v>44</v>
      </c>
      <c r="AK1086" s="249">
        <v>46</v>
      </c>
      <c r="AL1086" s="249">
        <v>52</v>
      </c>
      <c r="AM1086" s="249">
        <v>67</v>
      </c>
      <c r="AN1086" s="249">
        <v>63</v>
      </c>
      <c r="AO1086" s="273">
        <v>73</v>
      </c>
      <c r="AP1086" s="273">
        <v>78</v>
      </c>
      <c r="AQ1086" s="273">
        <v>77</v>
      </c>
      <c r="AR1086" s="273">
        <v>70</v>
      </c>
      <c r="AS1086" s="273">
        <v>68</v>
      </c>
      <c r="AT1086" s="273">
        <v>66</v>
      </c>
      <c r="AU1086" s="273">
        <v>72</v>
      </c>
      <c r="AV1086" s="273">
        <f t="shared" si="86"/>
        <v>72</v>
      </c>
      <c r="AX1086" s="86" t="str">
        <f t="shared" ca="1" si="88"/>
        <v>OXY</v>
      </c>
    </row>
    <row r="1087" spans="1:50" hidden="1">
      <c r="A1087" s="86" t="str">
        <f t="shared" ca="1" si="87"/>
        <v>PFE</v>
      </c>
      <c r="C1087" s="1">
        <v>88</v>
      </c>
      <c r="F1087" s="253">
        <v>107154048</v>
      </c>
      <c r="G1087" s="253">
        <v>101306071</v>
      </c>
      <c r="H1087" s="253">
        <v>105832530</v>
      </c>
      <c r="I1087" s="253">
        <v>96452447</v>
      </c>
      <c r="J1087" s="253">
        <v>20388</v>
      </c>
      <c r="K1087" s="253">
        <v>24018212</v>
      </c>
      <c r="L1087" s="253">
        <v>33637225</v>
      </c>
      <c r="M1087" s="253">
        <v>55894195</v>
      </c>
      <c r="N1087" s="253">
        <v>18722825</v>
      </c>
      <c r="O1087" s="253">
        <v>33461046</v>
      </c>
      <c r="P1087" s="253">
        <v>22620452</v>
      </c>
      <c r="Q1087" s="253">
        <v>29458687</v>
      </c>
      <c r="R1087" s="253">
        <v>37423561</v>
      </c>
      <c r="S1087" s="253">
        <v>10450011</v>
      </c>
      <c r="T1087" s="253">
        <v>51324235</v>
      </c>
      <c r="U1087" s="253">
        <v>10425923</v>
      </c>
      <c r="V1087" s="253">
        <v>47443701</v>
      </c>
      <c r="W1087" s="253">
        <v>15560459</v>
      </c>
      <c r="X1087" s="253">
        <v>43620208</v>
      </c>
      <c r="Y1087" s="253">
        <v>34533129</v>
      </c>
      <c r="Z1087" s="245">
        <f ca="1">[1]ExtEntry!$P88</f>
        <v>34533129</v>
      </c>
      <c r="AB1087" s="273">
        <v>47</v>
      </c>
      <c r="AC1087" s="273">
        <v>56</v>
      </c>
      <c r="AD1087" s="273">
        <v>59</v>
      </c>
      <c r="AE1087" s="249">
        <v>38</v>
      </c>
      <c r="AF1087" s="249">
        <v>43</v>
      </c>
      <c r="AG1087" s="249">
        <v>34</v>
      </c>
      <c r="AH1087" s="249">
        <v>31</v>
      </c>
      <c r="AI1087" s="249">
        <v>43</v>
      </c>
      <c r="AJ1087" s="249">
        <v>43</v>
      </c>
      <c r="AK1087" s="249">
        <v>41</v>
      </c>
      <c r="AL1087" s="249">
        <v>41</v>
      </c>
      <c r="AM1087" s="249">
        <v>40</v>
      </c>
      <c r="AN1087" s="249">
        <v>39</v>
      </c>
      <c r="AO1087" s="273">
        <v>50</v>
      </c>
      <c r="AP1087" s="273">
        <v>51</v>
      </c>
      <c r="AQ1087" s="273">
        <v>48</v>
      </c>
      <c r="AR1087" s="273">
        <v>53</v>
      </c>
      <c r="AS1087" s="273">
        <v>59</v>
      </c>
      <c r="AT1087" s="273">
        <v>60</v>
      </c>
      <c r="AU1087" s="273">
        <v>67</v>
      </c>
      <c r="AV1087" s="273">
        <f t="shared" si="86"/>
        <v>67</v>
      </c>
      <c r="AX1087" s="86" t="str">
        <f t="shared" ca="1" si="88"/>
        <v>PFE</v>
      </c>
    </row>
    <row r="1088" spans="1:50" hidden="1">
      <c r="A1088" s="86" t="str">
        <f t="shared" ca="1" si="87"/>
        <v>RIG</v>
      </c>
      <c r="C1088" s="1">
        <v>89</v>
      </c>
      <c r="F1088" s="253">
        <v>41839795</v>
      </c>
      <c r="G1088" s="253">
        <v>35250721</v>
      </c>
      <c r="H1088" s="253">
        <v>35429579</v>
      </c>
      <c r="I1088" s="253">
        <v>29356537</v>
      </c>
      <c r="J1088" s="253">
        <v>39681509</v>
      </c>
      <c r="K1088" s="253">
        <v>16087870</v>
      </c>
      <c r="L1088" s="253">
        <v>30922951</v>
      </c>
      <c r="M1088" s="253">
        <v>33665629</v>
      </c>
      <c r="N1088" s="253">
        <v>25495051</v>
      </c>
      <c r="O1088" s="253">
        <v>35923808</v>
      </c>
      <c r="P1088" s="253">
        <v>19311928</v>
      </c>
      <c r="Q1088" s="253">
        <v>20594540</v>
      </c>
      <c r="R1088" s="253">
        <v>24973536</v>
      </c>
      <c r="S1088" s="253">
        <v>3801439</v>
      </c>
      <c r="T1088" s="253">
        <v>31712364</v>
      </c>
      <c r="U1088" s="253">
        <v>11196868</v>
      </c>
      <c r="V1088" s="253">
        <v>20598533</v>
      </c>
      <c r="W1088" s="253">
        <v>9731160</v>
      </c>
      <c r="X1088" s="253">
        <v>50754711</v>
      </c>
      <c r="Y1088" s="253">
        <v>31076109</v>
      </c>
      <c r="Z1088" s="245">
        <f ca="1">[1]ExtEntry!$P89</f>
        <v>31076109</v>
      </c>
      <c r="AB1088" s="273">
        <v>77</v>
      </c>
      <c r="AC1088" s="273">
        <v>74</v>
      </c>
      <c r="AD1088" s="273">
        <v>81</v>
      </c>
      <c r="AE1088" s="249">
        <v>81</v>
      </c>
      <c r="AF1088" s="249">
        <v>81</v>
      </c>
      <c r="AG1088" s="249">
        <v>78</v>
      </c>
      <c r="AH1088" s="249">
        <v>63</v>
      </c>
      <c r="AI1088" s="249">
        <v>61</v>
      </c>
      <c r="AJ1088" s="249">
        <v>52</v>
      </c>
      <c r="AK1088" s="249">
        <v>62</v>
      </c>
      <c r="AL1088" s="249">
        <v>67</v>
      </c>
      <c r="AM1088" s="249">
        <v>74</v>
      </c>
      <c r="AN1088" s="249">
        <v>69</v>
      </c>
      <c r="AO1088" s="273">
        <v>76</v>
      </c>
      <c r="AP1088" s="273">
        <v>78</v>
      </c>
      <c r="AQ1088" s="273">
        <v>78</v>
      </c>
      <c r="AR1088" s="273">
        <v>77</v>
      </c>
      <c r="AS1088" s="273">
        <v>79</v>
      </c>
      <c r="AT1088" s="273">
        <v>70</v>
      </c>
      <c r="AU1088" s="273">
        <v>71</v>
      </c>
      <c r="AV1088" s="273">
        <f t="shared" si="86"/>
        <v>71</v>
      </c>
      <c r="AX1088" s="86" t="str">
        <f t="shared" ca="1" si="88"/>
        <v>RIG</v>
      </c>
    </row>
    <row r="1089" spans="1:50">
      <c r="A1089" s="86" t="str">
        <f t="shared" ca="1" si="87"/>
        <v>RRC</v>
      </c>
      <c r="C1089" s="1">
        <v>90</v>
      </c>
      <c r="F1089" s="253">
        <v>2583155</v>
      </c>
      <c r="G1089" s="253">
        <v>1455657</v>
      </c>
      <c r="H1089" s="253">
        <v>1497331</v>
      </c>
      <c r="I1089" s="253">
        <v>1953406</v>
      </c>
      <c r="J1089" s="253">
        <v>2781457</v>
      </c>
      <c r="K1089" s="253">
        <v>691724</v>
      </c>
      <c r="L1089" s="253">
        <v>1559675</v>
      </c>
      <c r="M1089" s="253">
        <v>1488457</v>
      </c>
      <c r="N1089" s="253">
        <v>1247612</v>
      </c>
      <c r="O1089" s="253">
        <v>2745908</v>
      </c>
      <c r="P1089" s="253">
        <v>1547223</v>
      </c>
      <c r="Q1089" s="253">
        <v>1020447</v>
      </c>
      <c r="R1089" s="253">
        <v>2231469</v>
      </c>
      <c r="S1089" s="253">
        <v>235935</v>
      </c>
      <c r="T1089" s="253">
        <v>3030332</v>
      </c>
      <c r="U1089" s="253">
        <v>1117773</v>
      </c>
      <c r="V1089" s="253">
        <v>4951585</v>
      </c>
      <c r="W1089" s="253">
        <v>915735</v>
      </c>
      <c r="X1089" s="253">
        <v>4557075</v>
      </c>
      <c r="Y1089" s="253">
        <v>4054894</v>
      </c>
      <c r="Z1089" s="245">
        <f ca="1">[1]ExtEntry!$P90</f>
        <v>4054894</v>
      </c>
      <c r="AB1089" s="273">
        <v>50</v>
      </c>
      <c r="AC1089" s="273">
        <v>41</v>
      </c>
      <c r="AD1089" s="273">
        <v>57</v>
      </c>
      <c r="AE1089" s="249">
        <v>56</v>
      </c>
      <c r="AF1089" s="249">
        <v>55</v>
      </c>
      <c r="AG1089" s="249">
        <v>58</v>
      </c>
      <c r="AH1089" s="249">
        <v>57</v>
      </c>
      <c r="AI1089" s="249">
        <v>64</v>
      </c>
      <c r="AJ1089" s="249">
        <v>62</v>
      </c>
      <c r="AK1089" s="249">
        <v>66</v>
      </c>
      <c r="AL1089" s="249">
        <v>74</v>
      </c>
      <c r="AM1089" s="249">
        <v>76</v>
      </c>
      <c r="AN1089" s="249">
        <v>67</v>
      </c>
      <c r="AO1089" s="273">
        <v>71</v>
      </c>
      <c r="AP1089" s="273">
        <v>76</v>
      </c>
      <c r="AQ1089" s="273">
        <v>79</v>
      </c>
      <c r="AR1089" s="273">
        <v>77</v>
      </c>
      <c r="AS1089" s="273">
        <v>77</v>
      </c>
      <c r="AT1089" s="273">
        <v>72</v>
      </c>
      <c r="AU1089" s="273">
        <v>64</v>
      </c>
      <c r="AV1089" s="273">
        <f t="shared" si="86"/>
        <v>64</v>
      </c>
      <c r="AX1089" s="86" t="str">
        <f t="shared" ca="1" si="88"/>
        <v>RRC</v>
      </c>
    </row>
    <row r="1090" spans="1:50">
      <c r="A1090" s="86" t="str">
        <f t="shared" ca="1" si="87"/>
        <v>XYZ</v>
      </c>
      <c r="C1090" s="1">
        <v>91</v>
      </c>
      <c r="F1090" s="245">
        <v>5305822</v>
      </c>
      <c r="G1090" s="245">
        <v>6298756</v>
      </c>
      <c r="H1090" s="245">
        <v>19040626</v>
      </c>
      <c r="I1090" s="245">
        <v>9187030</v>
      </c>
      <c r="J1090" s="245">
        <v>321</v>
      </c>
      <c r="K1090" s="245">
        <v>4231796</v>
      </c>
      <c r="L1090" s="245">
        <v>11072400</v>
      </c>
      <c r="M1090" s="245">
        <v>9686629</v>
      </c>
      <c r="N1090" s="245">
        <v>4150562</v>
      </c>
      <c r="O1090" s="245">
        <v>6770474</v>
      </c>
      <c r="P1090" s="245">
        <v>3459202</v>
      </c>
      <c r="Q1090" s="245">
        <v>3396326</v>
      </c>
      <c r="R1090" s="245">
        <v>18173072</v>
      </c>
      <c r="S1090" s="245">
        <v>3641315</v>
      </c>
      <c r="T1090" s="245">
        <v>13061997</v>
      </c>
      <c r="U1090" s="245">
        <v>2665745</v>
      </c>
      <c r="V1090" s="245">
        <v>6670947</v>
      </c>
      <c r="W1090" s="245">
        <v>2163750</v>
      </c>
      <c r="X1090" s="245">
        <v>5488082</v>
      </c>
      <c r="Y1090" s="245">
        <v>5883152</v>
      </c>
      <c r="Z1090" s="245">
        <f ca="1">[1]ExtEntry!$P91</f>
        <v>5883152</v>
      </c>
      <c r="AB1090" s="273">
        <v>47</v>
      </c>
      <c r="AC1090" s="273">
        <v>41</v>
      </c>
      <c r="AD1090" s="273">
        <v>34</v>
      </c>
      <c r="AE1090" s="249">
        <v>30</v>
      </c>
      <c r="AF1090" s="249">
        <v>25</v>
      </c>
      <c r="AG1090" s="249">
        <v>22</v>
      </c>
      <c r="AH1090" s="249">
        <v>27</v>
      </c>
      <c r="AI1090" s="249">
        <v>30</v>
      </c>
      <c r="AJ1090" s="249">
        <v>29</v>
      </c>
      <c r="AK1090" s="249">
        <v>30</v>
      </c>
      <c r="AL1090" s="249">
        <v>33</v>
      </c>
      <c r="AM1090" s="249">
        <v>32</v>
      </c>
      <c r="AN1090" s="249">
        <v>30</v>
      </c>
      <c r="AO1090" s="273">
        <v>37</v>
      </c>
      <c r="AP1090" s="273">
        <v>37</v>
      </c>
      <c r="AQ1090" s="273">
        <v>40</v>
      </c>
      <c r="AR1090" s="273">
        <v>50</v>
      </c>
      <c r="AS1090" s="273">
        <v>57</v>
      </c>
      <c r="AT1090" s="273">
        <v>65</v>
      </c>
      <c r="AU1090" s="273">
        <v>66</v>
      </c>
      <c r="AV1090" s="273">
        <f t="shared" si="86"/>
        <v>66</v>
      </c>
      <c r="AX1090" s="86" t="str">
        <f t="shared" ca="1" si="88"/>
        <v>XYZ</v>
      </c>
    </row>
    <row r="1091" spans="1:50">
      <c r="A1091" s="86" t="str">
        <f t="shared" ca="1" si="87"/>
        <v>THC</v>
      </c>
      <c r="C1091" s="1">
        <v>92</v>
      </c>
      <c r="F1091" s="253">
        <v>981993</v>
      </c>
      <c r="G1091" s="253">
        <v>286103</v>
      </c>
      <c r="H1091" s="253">
        <v>362753</v>
      </c>
      <c r="I1091" s="253">
        <v>936644</v>
      </c>
      <c r="J1091" s="253">
        <v>109</v>
      </c>
      <c r="K1091" s="253">
        <v>357504</v>
      </c>
      <c r="L1091" s="253">
        <v>271402</v>
      </c>
      <c r="M1091" s="253">
        <v>441086</v>
      </c>
      <c r="N1091" s="253">
        <v>247727</v>
      </c>
      <c r="O1091" s="253">
        <v>856602</v>
      </c>
      <c r="P1091" s="253">
        <v>189636</v>
      </c>
      <c r="Q1091" s="253">
        <v>265995</v>
      </c>
      <c r="R1091" s="253">
        <v>525098</v>
      </c>
      <c r="S1091" s="253">
        <v>49552</v>
      </c>
      <c r="T1091" s="253">
        <v>945646</v>
      </c>
      <c r="U1091" s="253">
        <v>230061</v>
      </c>
      <c r="V1091" s="253">
        <v>571744</v>
      </c>
      <c r="W1091" s="253">
        <v>195281</v>
      </c>
      <c r="X1091" s="253">
        <v>1424085</v>
      </c>
      <c r="Y1091" s="253">
        <v>793642</v>
      </c>
      <c r="Z1091" s="245">
        <f ca="1">[1]ExtEntry!$P92</f>
        <v>793642</v>
      </c>
      <c r="AB1091" s="273">
        <v>70</v>
      </c>
      <c r="AC1091" s="273">
        <v>64</v>
      </c>
      <c r="AD1091" s="273">
        <v>65</v>
      </c>
      <c r="AE1091" s="249">
        <v>59</v>
      </c>
      <c r="AF1091" s="249">
        <v>58</v>
      </c>
      <c r="AG1091" s="249">
        <v>58</v>
      </c>
      <c r="AH1091" s="249">
        <v>48</v>
      </c>
      <c r="AI1091" s="249">
        <v>53</v>
      </c>
      <c r="AJ1091" s="249">
        <v>52</v>
      </c>
      <c r="AK1091" s="249">
        <v>47</v>
      </c>
      <c r="AL1091" s="249">
        <v>39</v>
      </c>
      <c r="AM1091" s="249">
        <v>56</v>
      </c>
      <c r="AN1091" s="249">
        <v>56</v>
      </c>
      <c r="AO1091" s="273">
        <v>44</v>
      </c>
      <c r="AP1091" s="273">
        <v>37</v>
      </c>
      <c r="AQ1091" s="273">
        <v>43</v>
      </c>
      <c r="AR1091" s="273">
        <v>39</v>
      </c>
      <c r="AS1091" s="273">
        <v>37</v>
      </c>
      <c r="AT1091" s="273">
        <v>31</v>
      </c>
      <c r="AU1091" s="273">
        <v>31</v>
      </c>
      <c r="AV1091" s="273">
        <f t="shared" si="86"/>
        <v>31</v>
      </c>
      <c r="AX1091" s="86" t="str">
        <f t="shared" ca="1" si="88"/>
        <v>THC</v>
      </c>
    </row>
    <row r="1092" spans="1:50">
      <c r="A1092" s="86" t="str">
        <f t="shared" ca="1" si="87"/>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89">INT(100-100/(1+(19*SUMIF(L695:Y695,"&gt;0",L695:Y695)+IF(Y695&gt;0,Y695,0))/ABS(19*SUMIF(L695:Y695,"&lt;0",L695:Y695)+IF(Y695&lt;0,Y695,0))))</f>
        <v>#DIV/0!</v>
      </c>
      <c r="AX1092" s="86" t="str">
        <f t="shared" ca="1" si="88"/>
        <v>X</v>
      </c>
    </row>
    <row r="1093" spans="1:50">
      <c r="A1093" s="86" t="str">
        <f t="shared" ca="1" si="87"/>
        <v>LOCK</v>
      </c>
      <c r="C1093" s="1">
        <v>94</v>
      </c>
      <c r="F1093" s="346">
        <v>34017</v>
      </c>
      <c r="G1093" s="346">
        <v>41393</v>
      </c>
      <c r="H1093" s="346">
        <v>20677</v>
      </c>
      <c r="I1093" s="346">
        <v>5474</v>
      </c>
      <c r="J1093" s="346">
        <v>3735</v>
      </c>
      <c r="K1093" s="346">
        <v>5775</v>
      </c>
      <c r="L1093" s="346">
        <v>1464</v>
      </c>
      <c r="M1093" s="346">
        <v>3202</v>
      </c>
      <c r="N1093" s="346">
        <v>1744</v>
      </c>
      <c r="O1093" s="346">
        <v>606</v>
      </c>
      <c r="P1093" s="346">
        <v>452</v>
      </c>
      <c r="Q1093" s="346">
        <v>2919</v>
      </c>
      <c r="R1093" s="346">
        <v>34108</v>
      </c>
      <c r="S1093" s="346">
        <v>678</v>
      </c>
      <c r="T1093" s="346">
        <v>678</v>
      </c>
      <c r="U1093" s="346">
        <v>512</v>
      </c>
      <c r="V1093" s="346">
        <v>3052</v>
      </c>
      <c r="W1093" s="346">
        <v>2025</v>
      </c>
      <c r="X1093" s="346">
        <v>6146</v>
      </c>
      <c r="Y1093" s="346">
        <v>4454</v>
      </c>
      <c r="Z1093" s="245">
        <f ca="1">[1]ExtEntry!$P94</f>
        <v>4454</v>
      </c>
      <c r="AB1093" s="273">
        <v>49</v>
      </c>
      <c r="AC1093" s="273">
        <v>40</v>
      </c>
      <c r="AD1093" s="273">
        <v>39</v>
      </c>
      <c r="AE1093" s="273">
        <v>39</v>
      </c>
      <c r="AF1093" s="273">
        <v>39</v>
      </c>
      <c r="AG1093" s="273">
        <v>32</v>
      </c>
      <c r="AH1093" s="273">
        <v>42</v>
      </c>
      <c r="AI1093" s="273">
        <v>33</v>
      </c>
      <c r="AJ1093" s="273">
        <v>37</v>
      </c>
      <c r="AK1093" s="273">
        <v>30</v>
      </c>
      <c r="AL1093" s="273">
        <v>27</v>
      </c>
      <c r="AM1093" s="273">
        <v>28</v>
      </c>
      <c r="AN1093" s="273">
        <v>34</v>
      </c>
      <c r="AO1093" s="273">
        <v>37</v>
      </c>
      <c r="AP1093" s="273">
        <v>38</v>
      </c>
      <c r="AQ1093" s="273">
        <v>44</v>
      </c>
      <c r="AR1093" s="273">
        <v>46</v>
      </c>
      <c r="AS1093" s="273">
        <v>58</v>
      </c>
      <c r="AT1093" s="273">
        <v>55</v>
      </c>
      <c r="AU1093" s="273">
        <v>56</v>
      </c>
      <c r="AV1093" s="273">
        <f t="shared" si="89"/>
        <v>56</v>
      </c>
      <c r="AX1093" s="86" t="str">
        <f t="shared" ca="1" si="88"/>
        <v>LOCK</v>
      </c>
    </row>
    <row r="1094" spans="1:50">
      <c r="A1094" s="86" t="str">
        <f t="shared" ca="1" si="87"/>
        <v>JBASML</v>
      </c>
      <c r="C1094" s="1">
        <v>95</v>
      </c>
      <c r="F1094" s="1070">
        <v>663558</v>
      </c>
      <c r="G1094" s="1070">
        <v>481131</v>
      </c>
      <c r="H1094" s="1070">
        <v>767828</v>
      </c>
      <c r="I1094" s="1070">
        <v>667623</v>
      </c>
      <c r="J1094" s="1070">
        <v>43298</v>
      </c>
      <c r="K1094" s="1070">
        <v>569186</v>
      </c>
      <c r="L1094" s="973">
        <v>673609</v>
      </c>
      <c r="M1094" s="1063">
        <v>976903</v>
      </c>
      <c r="N1094" s="1070">
        <v>684564</v>
      </c>
      <c r="O1094" s="1070">
        <v>243660</v>
      </c>
      <c r="P1094" s="1070">
        <v>477234</v>
      </c>
      <c r="Q1094" s="1070">
        <v>646367</v>
      </c>
      <c r="R1094" s="346">
        <v>584118</v>
      </c>
      <c r="S1094" s="1070">
        <v>323364</v>
      </c>
      <c r="T1094" s="1070">
        <v>590665</v>
      </c>
      <c r="U1094" s="1070">
        <v>471505</v>
      </c>
      <c r="V1094" s="1070">
        <v>359247</v>
      </c>
      <c r="W1094" s="973">
        <v>333490</v>
      </c>
      <c r="X1094" s="1077">
        <v>380308</v>
      </c>
      <c r="Y1094" s="1070">
        <v>465132</v>
      </c>
      <c r="Z1094" s="245">
        <f ca="1">[1]ExtEntry!$P95</f>
        <v>465132</v>
      </c>
      <c r="AB1094" s="273">
        <v>61</v>
      </c>
      <c r="AC1094" s="273">
        <v>50</v>
      </c>
      <c r="AD1094" s="273">
        <v>42</v>
      </c>
      <c r="AE1094" s="273">
        <v>41</v>
      </c>
      <c r="AF1094" s="273">
        <v>32</v>
      </c>
      <c r="AG1094" s="273">
        <v>42</v>
      </c>
      <c r="AH1094" s="273">
        <v>47</v>
      </c>
      <c r="AI1094" s="273">
        <v>38</v>
      </c>
      <c r="AJ1094" s="273">
        <v>47</v>
      </c>
      <c r="AK1094" s="273">
        <v>43</v>
      </c>
      <c r="AL1094" s="273">
        <v>41</v>
      </c>
      <c r="AM1094" s="273">
        <v>47</v>
      </c>
      <c r="AN1094" s="273">
        <v>45</v>
      </c>
      <c r="AO1094" s="273">
        <v>50</v>
      </c>
      <c r="AP1094" s="273">
        <v>57</v>
      </c>
      <c r="AQ1094" s="273">
        <v>58</v>
      </c>
      <c r="AR1094" s="273">
        <v>62</v>
      </c>
      <c r="AS1094" s="273">
        <v>61</v>
      </c>
      <c r="AT1094" s="273">
        <v>61</v>
      </c>
      <c r="AU1094" s="273">
        <v>57</v>
      </c>
      <c r="AV1094" s="273">
        <f t="shared" si="89"/>
        <v>57</v>
      </c>
      <c r="AX1094" s="86" t="str">
        <f t="shared" ca="1" si="88"/>
        <v>JBASML</v>
      </c>
    </row>
    <row r="1095" spans="1:50">
      <c r="A1095" s="86" t="str">
        <f ca="1">A98</f>
        <v>JBEOAN</v>
      </c>
      <c r="C1095" s="1">
        <v>96</v>
      </c>
      <c r="F1095" s="346">
        <v>4253</v>
      </c>
      <c r="G1095" s="346">
        <v>3978</v>
      </c>
      <c r="H1095" s="346">
        <v>3946</v>
      </c>
      <c r="I1095" s="346">
        <v>18670</v>
      </c>
      <c r="J1095" s="346">
        <v>502</v>
      </c>
      <c r="K1095" s="346">
        <v>1575</v>
      </c>
      <c r="L1095" s="346">
        <v>82487</v>
      </c>
      <c r="M1095" s="346">
        <v>25470</v>
      </c>
      <c r="N1095" s="346">
        <v>7313</v>
      </c>
      <c r="O1095" s="346">
        <v>12137</v>
      </c>
      <c r="P1095" s="346">
        <v>2746</v>
      </c>
      <c r="Q1095" s="346">
        <v>4498</v>
      </c>
      <c r="R1095" s="346">
        <v>7584</v>
      </c>
      <c r="S1095" s="346">
        <v>5526</v>
      </c>
      <c r="T1095" s="346">
        <v>5962</v>
      </c>
      <c r="U1095" s="346">
        <v>14245</v>
      </c>
      <c r="V1095" s="346">
        <v>4737</v>
      </c>
      <c r="W1095" s="346">
        <v>2320</v>
      </c>
      <c r="X1095" s="346">
        <v>8677</v>
      </c>
      <c r="Y1095" s="346">
        <v>29923</v>
      </c>
      <c r="Z1095" s="245">
        <f ca="1">[1]ExtEntry!$P96</f>
        <v>29923</v>
      </c>
      <c r="AB1095" s="273">
        <v>42</v>
      </c>
      <c r="AC1095" s="273">
        <v>46</v>
      </c>
      <c r="AD1095" s="273">
        <v>46</v>
      </c>
      <c r="AE1095" s="273">
        <v>46</v>
      </c>
      <c r="AF1095" s="273">
        <v>38</v>
      </c>
      <c r="AG1095" s="273">
        <v>38</v>
      </c>
      <c r="AH1095" s="273">
        <v>49</v>
      </c>
      <c r="AI1095" s="273">
        <v>64</v>
      </c>
      <c r="AJ1095" s="273">
        <v>72</v>
      </c>
      <c r="AK1095" s="273">
        <v>62</v>
      </c>
      <c r="AL1095" s="273">
        <v>62</v>
      </c>
      <c r="AM1095" s="273">
        <v>53</v>
      </c>
      <c r="AN1095" s="273">
        <v>57</v>
      </c>
      <c r="AO1095" s="273">
        <v>75</v>
      </c>
      <c r="AP1095" s="273">
        <v>79</v>
      </c>
      <c r="AQ1095" s="273">
        <v>68</v>
      </c>
      <c r="AR1095" s="273">
        <v>63</v>
      </c>
      <c r="AS1095" s="273">
        <v>64</v>
      </c>
      <c r="AT1095" s="273">
        <v>66</v>
      </c>
      <c r="AU1095" s="273">
        <v>54</v>
      </c>
      <c r="AV1095" s="273">
        <f t="shared" si="89"/>
        <v>54</v>
      </c>
      <c r="AX1095" s="86" t="str">
        <f t="shared" ca="1" si="88"/>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0">F1000</f>
        <v>45974</v>
      </c>
      <c r="G1099" s="115">
        <f t="shared" ca="1" si="90"/>
        <v>45975</v>
      </c>
      <c r="H1099" s="115">
        <f t="shared" ca="1" si="90"/>
        <v>45978</v>
      </c>
      <c r="I1099" s="115">
        <f t="shared" ca="1" si="90"/>
        <v>45979</v>
      </c>
      <c r="J1099" s="115">
        <f t="shared" ca="1" si="90"/>
        <v>45980</v>
      </c>
      <c r="K1099" s="115">
        <f t="shared" ca="1" si="90"/>
        <v>45981</v>
      </c>
      <c r="L1099" s="115">
        <f t="shared" ca="1" si="90"/>
        <v>45982</v>
      </c>
      <c r="M1099" s="115">
        <f t="shared" ca="1" si="90"/>
        <v>45985</v>
      </c>
      <c r="N1099" s="115">
        <f t="shared" ca="1" si="90"/>
        <v>45986</v>
      </c>
      <c r="O1099" s="115">
        <f t="shared" ca="1" si="90"/>
        <v>45987</v>
      </c>
      <c r="P1099" s="115">
        <f t="shared" ca="1" si="90"/>
        <v>45988</v>
      </c>
      <c r="Q1099" s="115">
        <f t="shared" ca="1" si="90"/>
        <v>45989</v>
      </c>
      <c r="R1099" s="115">
        <f t="shared" ca="1" si="90"/>
        <v>45992</v>
      </c>
      <c r="S1099" s="115">
        <f t="shared" ca="1" si="90"/>
        <v>45993</v>
      </c>
      <c r="T1099" s="115">
        <f t="shared" ca="1" si="90"/>
        <v>45994</v>
      </c>
      <c r="U1099" s="115">
        <f t="shared" ca="1" si="90"/>
        <v>45995</v>
      </c>
      <c r="V1099" s="115">
        <f t="shared" ca="1" si="90"/>
        <v>45996</v>
      </c>
      <c r="W1099" s="115">
        <f t="shared" ca="1" si="90"/>
        <v>45999</v>
      </c>
      <c r="X1099" s="115">
        <f t="shared" ca="1" si="90"/>
        <v>46000</v>
      </c>
      <c r="Y1099" s="115">
        <f t="shared" ca="1" si="90"/>
        <v>46001</v>
      </c>
      <c r="Z1099" s="115">
        <f t="shared" ca="1" si="90"/>
        <v>46002</v>
      </c>
      <c r="AB1099" s="115">
        <f t="shared" ref="AB1099:AV1099" ca="1" si="91">F1000</f>
        <v>45974</v>
      </c>
      <c r="AC1099" s="115">
        <f t="shared" ca="1" si="91"/>
        <v>45975</v>
      </c>
      <c r="AD1099" s="115">
        <f t="shared" ca="1" si="91"/>
        <v>45978</v>
      </c>
      <c r="AE1099" s="115">
        <f t="shared" ca="1" si="91"/>
        <v>45979</v>
      </c>
      <c r="AF1099" s="115">
        <f t="shared" ca="1" si="91"/>
        <v>45980</v>
      </c>
      <c r="AG1099" s="115">
        <f t="shared" ca="1" si="91"/>
        <v>45981</v>
      </c>
      <c r="AH1099" s="115">
        <f t="shared" ca="1" si="91"/>
        <v>45982</v>
      </c>
      <c r="AI1099" s="115">
        <f t="shared" ca="1" si="91"/>
        <v>45985</v>
      </c>
      <c r="AJ1099" s="115">
        <f t="shared" ca="1" si="91"/>
        <v>45986</v>
      </c>
      <c r="AK1099" s="115">
        <f t="shared" ca="1" si="91"/>
        <v>45987</v>
      </c>
      <c r="AL1099" s="115">
        <f t="shared" ca="1" si="91"/>
        <v>45988</v>
      </c>
      <c r="AM1099" s="115">
        <f t="shared" ca="1" si="91"/>
        <v>45989</v>
      </c>
      <c r="AN1099" s="115">
        <f t="shared" ca="1" si="91"/>
        <v>45992</v>
      </c>
      <c r="AO1099" s="115">
        <f t="shared" ca="1" si="91"/>
        <v>45993</v>
      </c>
      <c r="AP1099" s="115">
        <f t="shared" ca="1" si="91"/>
        <v>45994</v>
      </c>
      <c r="AQ1099" s="115">
        <f t="shared" ca="1" si="91"/>
        <v>45995</v>
      </c>
      <c r="AR1099" s="115">
        <f t="shared" ca="1" si="91"/>
        <v>45996</v>
      </c>
      <c r="AS1099" s="115">
        <f t="shared" ca="1" si="91"/>
        <v>45999</v>
      </c>
      <c r="AT1099" s="115">
        <f t="shared" ca="1" si="91"/>
        <v>46000</v>
      </c>
      <c r="AU1099" s="115">
        <f t="shared" ca="1" si="91"/>
        <v>46001</v>
      </c>
      <c r="AV1099" s="115">
        <f t="shared" ca="1" si="91"/>
        <v>46002</v>
      </c>
      <c r="AX1099" s="86"/>
    </row>
    <row r="1100" spans="1:50">
      <c r="A1100" s="86"/>
      <c r="F1100" s="278" t="s">
        <v>434</v>
      </c>
      <c r="G1100" s="278" t="s">
        <v>435</v>
      </c>
      <c r="H1100" s="278" t="s">
        <v>436</v>
      </c>
      <c r="I1100" s="278" t="s">
        <v>437</v>
      </c>
      <c r="J1100" s="278" t="s">
        <v>438</v>
      </c>
      <c r="K1100" s="278" t="s">
        <v>439</v>
      </c>
      <c r="L1100" s="278" t="s">
        <v>440</v>
      </c>
      <c r="M1100" s="278" t="s">
        <v>441</v>
      </c>
      <c r="N1100" s="278" t="s">
        <v>442</v>
      </c>
      <c r="O1100" s="278" t="s">
        <v>443</v>
      </c>
      <c r="P1100" s="278" t="s">
        <v>444</v>
      </c>
      <c r="Q1100" s="278" t="s">
        <v>445</v>
      </c>
      <c r="R1100" s="278" t="s">
        <v>446</v>
      </c>
      <c r="S1100" s="278" t="s">
        <v>447</v>
      </c>
      <c r="T1100" s="278" t="s">
        <v>448</v>
      </c>
      <c r="U1100" s="278" t="s">
        <v>449</v>
      </c>
      <c r="V1100" s="278" t="s">
        <v>450</v>
      </c>
      <c r="W1100" s="278" t="s">
        <v>451</v>
      </c>
      <c r="X1100" s="278" t="s">
        <v>452</v>
      </c>
      <c r="Y1100" s="278" t="s">
        <v>453</v>
      </c>
      <c r="Z1100" s="278" t="s">
        <v>454</v>
      </c>
      <c r="AB1100" s="277" t="s">
        <v>1450</v>
      </c>
      <c r="AC1100" s="277" t="s">
        <v>1451</v>
      </c>
      <c r="AD1100" s="277" t="s">
        <v>1452</v>
      </c>
      <c r="AE1100" s="277" t="s">
        <v>1453</v>
      </c>
      <c r="AF1100" s="277" t="s">
        <v>1454</v>
      </c>
      <c r="AG1100" s="277" t="s">
        <v>1455</v>
      </c>
      <c r="AH1100" s="277" t="s">
        <v>1456</v>
      </c>
      <c r="AI1100" s="277" t="s">
        <v>1457</v>
      </c>
      <c r="AJ1100" s="277" t="s">
        <v>1458</v>
      </c>
      <c r="AK1100" s="277" t="s">
        <v>1459</v>
      </c>
      <c r="AL1100" s="277" t="s">
        <v>1460</v>
      </c>
      <c r="AM1100" s="277" t="s">
        <v>1461</v>
      </c>
      <c r="AN1100" s="277" t="s">
        <v>1462</v>
      </c>
      <c r="AO1100" s="277" t="s">
        <v>1463</v>
      </c>
      <c r="AP1100" s="277" t="s">
        <v>1464</v>
      </c>
      <c r="AQ1100" s="277" t="s">
        <v>1465</v>
      </c>
      <c r="AR1100" s="277" t="s">
        <v>1466</v>
      </c>
      <c r="AS1100" s="277" t="s">
        <v>1467</v>
      </c>
      <c r="AT1100" s="277" t="s">
        <v>1468</v>
      </c>
      <c r="AU1100" s="277" t="s">
        <v>1469</v>
      </c>
      <c r="AV1100" s="277" t="s">
        <v>1470</v>
      </c>
      <c r="AX1100" s="86"/>
    </row>
    <row r="1101" spans="1:50">
      <c r="A1101" s="86" t="str">
        <f ca="1">A5</f>
        <v>AAPL</v>
      </c>
      <c r="C1101" s="1" cm="1">
        <f t="array" ref="C1101:C1194">_xlfn.SEQUENCE(94,,3,1)</f>
        <v>3</v>
      </c>
      <c r="F1101" s="245">
        <v>47864472</v>
      </c>
      <c r="G1101" s="245">
        <v>47663237</v>
      </c>
      <c r="H1101" s="245">
        <v>48006189</v>
      </c>
      <c r="I1101" s="245">
        <v>49332368</v>
      </c>
      <c r="J1101" s="245">
        <v>49024670</v>
      </c>
      <c r="K1101" s="245">
        <v>49432641</v>
      </c>
      <c r="L1101" s="245">
        <v>49693876</v>
      </c>
      <c r="M1101" s="245">
        <v>49935740</v>
      </c>
      <c r="N1101" s="245">
        <v>49343937</v>
      </c>
      <c r="O1101" s="245">
        <v>49343937</v>
      </c>
      <c r="P1101" s="245">
        <v>48880583</v>
      </c>
      <c r="Q1101" s="245">
        <v>48375811</v>
      </c>
      <c r="R1101" s="245">
        <v>48709171</v>
      </c>
      <c r="S1101" s="245">
        <v>49060426</v>
      </c>
      <c r="T1101" s="245">
        <v>49060426</v>
      </c>
      <c r="U1101" s="245">
        <v>49140583</v>
      </c>
      <c r="V1101" s="245">
        <v>48856676</v>
      </c>
      <c r="W1101" s="245">
        <v>46033636</v>
      </c>
      <c r="X1101" s="245">
        <v>45313583</v>
      </c>
      <c r="Y1101" s="245">
        <v>44664122</v>
      </c>
      <c r="Z1101" s="245">
        <f ca="1">[1]ExtEntry!$Q3</f>
        <v>44664122</v>
      </c>
      <c r="AB1101" s="316">
        <v>-874190.14499999979</v>
      </c>
      <c r="AC1101" s="316">
        <v>-874190.14499999979</v>
      </c>
      <c r="AD1101" s="316">
        <v>-874190.14499999979</v>
      </c>
      <c r="AE1101" s="316">
        <v>-874190.14499999979</v>
      </c>
      <c r="AF1101" s="316">
        <v>-874190.14499999979</v>
      </c>
      <c r="AG1101" s="316">
        <v>-877863.65152499964</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2">A1101</f>
        <v>AAPL</v>
      </c>
    </row>
    <row r="1102" spans="1:50">
      <c r="A1102" s="86" t="str">
        <f t="shared" ref="A1102:A1165" ca="1" si="93">A6</f>
        <v>ADEA</v>
      </c>
      <c r="C1102" s="1">
        <v>4</v>
      </c>
      <c r="F1102" s="253">
        <v>681700</v>
      </c>
      <c r="G1102" s="253">
        <v>730867</v>
      </c>
      <c r="H1102" s="253">
        <v>757199</v>
      </c>
      <c r="I1102" s="253">
        <v>836940</v>
      </c>
      <c r="J1102" s="253">
        <v>863526</v>
      </c>
      <c r="K1102" s="253">
        <v>874950</v>
      </c>
      <c r="L1102" s="253">
        <v>882549</v>
      </c>
      <c r="M1102" s="253">
        <v>889768</v>
      </c>
      <c r="N1102" s="253">
        <v>937698</v>
      </c>
      <c r="O1102" s="253">
        <v>937698</v>
      </c>
      <c r="P1102" s="253">
        <v>967604</v>
      </c>
      <c r="Q1102" s="253">
        <v>968087</v>
      </c>
      <c r="R1102" s="253">
        <v>981497</v>
      </c>
      <c r="S1102" s="253">
        <v>981238</v>
      </c>
      <c r="T1102" s="253">
        <v>981238</v>
      </c>
      <c r="U1102" s="253">
        <v>983475</v>
      </c>
      <c r="V1102" s="253">
        <v>980107</v>
      </c>
      <c r="W1102" s="253">
        <v>968322</v>
      </c>
      <c r="X1102" s="253">
        <v>903651</v>
      </c>
      <c r="Y1102" s="253">
        <v>877160</v>
      </c>
      <c r="Z1102" s="245">
        <f ca="1">[1]ExtEntry!$Q4</f>
        <v>877160</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2"/>
        <v>ADEA</v>
      </c>
    </row>
    <row r="1103" spans="1:50">
      <c r="A1103" s="86" t="str">
        <f t="shared" ca="1" si="93"/>
        <v>AET</v>
      </c>
      <c r="C1103" s="1">
        <v>5</v>
      </c>
      <c r="F1103" s="245">
        <v>418370</v>
      </c>
      <c r="G1103" s="245">
        <v>366710</v>
      </c>
      <c r="H1103" s="245">
        <v>312510</v>
      </c>
      <c r="I1103" s="245">
        <v>318410</v>
      </c>
      <c r="J1103" s="245">
        <v>310980</v>
      </c>
      <c r="K1103" s="245">
        <v>310980</v>
      </c>
      <c r="L1103" s="245">
        <v>379790</v>
      </c>
      <c r="M1103" s="245">
        <v>427440</v>
      </c>
      <c r="N1103" s="245">
        <v>548770</v>
      </c>
      <c r="O1103" s="245">
        <v>605140</v>
      </c>
      <c r="P1103" s="245">
        <v>605140</v>
      </c>
      <c r="Q1103" s="245">
        <v>715730</v>
      </c>
      <c r="R1103" s="245">
        <v>715730</v>
      </c>
      <c r="S1103" s="245">
        <v>849990</v>
      </c>
      <c r="T1103" s="245">
        <v>849990</v>
      </c>
      <c r="U1103" s="245">
        <v>766730</v>
      </c>
      <c r="V1103" s="245">
        <v>725680</v>
      </c>
      <c r="W1103" s="245">
        <v>699390</v>
      </c>
      <c r="X1103" s="245">
        <v>704790</v>
      </c>
      <c r="Y1103" s="245">
        <v>720220</v>
      </c>
      <c r="Z1103" s="245">
        <f ca="1">[1]ExtEntry!$Q5</f>
        <v>720220</v>
      </c>
      <c r="AB1103" s="316">
        <v>-180574.13640880003</v>
      </c>
      <c r="AC1103" s="316">
        <v>-180574.13640880003</v>
      </c>
      <c r="AD1103" s="316">
        <v>-180574.13640880003</v>
      </c>
      <c r="AE1103" s="316">
        <v>-180574.13640880003</v>
      </c>
      <c r="AF1103" s="316">
        <v>-180574.13640880003</v>
      </c>
      <c r="AG1103" s="316">
        <v>-181465.31510189822</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2"/>
        <v>AET</v>
      </c>
    </row>
    <row r="1104" spans="1:50">
      <c r="A1104" s="86" t="str">
        <f t="shared" ca="1" si="93"/>
        <v>AMZN</v>
      </c>
      <c r="C1104" s="1">
        <v>6</v>
      </c>
      <c r="F1104" s="253">
        <v>53776835</v>
      </c>
      <c r="G1104" s="253">
        <v>53643910</v>
      </c>
      <c r="H1104" s="253">
        <v>53833734</v>
      </c>
      <c r="I1104" s="253">
        <v>52529093</v>
      </c>
      <c r="J1104" s="253">
        <v>52077035</v>
      </c>
      <c r="K1104" s="253">
        <v>52674749</v>
      </c>
      <c r="L1104" s="253">
        <v>53171796</v>
      </c>
      <c r="M1104" s="253">
        <v>53487571</v>
      </c>
      <c r="N1104" s="253">
        <v>54560526</v>
      </c>
      <c r="O1104" s="253">
        <v>54560526</v>
      </c>
      <c r="P1104" s="253">
        <v>54328101</v>
      </c>
      <c r="Q1104" s="253">
        <v>53878194</v>
      </c>
      <c r="R1104" s="253">
        <v>54046950</v>
      </c>
      <c r="S1104" s="253">
        <v>54347685</v>
      </c>
      <c r="T1104" s="253">
        <v>54347685</v>
      </c>
      <c r="U1104" s="253">
        <v>53883486</v>
      </c>
      <c r="V1104" s="253">
        <v>53629369</v>
      </c>
      <c r="W1104" s="253">
        <v>45611081</v>
      </c>
      <c r="X1104" s="253">
        <v>42804838</v>
      </c>
      <c r="Y1104" s="253">
        <v>42294615</v>
      </c>
      <c r="Z1104" s="245">
        <f ca="1">[1]ExtEntry!$Q6</f>
        <v>42294615</v>
      </c>
      <c r="AB1104" s="316">
        <v>-899207.17999999993</v>
      </c>
      <c r="AC1104" s="316">
        <v>-899207.17999999993</v>
      </c>
      <c r="AD1104" s="316">
        <v>-899207.17999999993</v>
      </c>
      <c r="AE1104" s="316">
        <v>-899207.17999999993</v>
      </c>
      <c r="AF1104" s="316">
        <v>-899207.17999999993</v>
      </c>
      <c r="AG1104" s="316">
        <v>-904309.32697199984</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2"/>
        <v>AMZN</v>
      </c>
    </row>
    <row r="1105" spans="1:50">
      <c r="A1105" s="86" t="str">
        <f t="shared" ca="1" si="93"/>
        <v>ALDNE</v>
      </c>
      <c r="C1105" s="1">
        <v>7</v>
      </c>
      <c r="F1105" s="245">
        <v>6780</v>
      </c>
      <c r="G1105" s="245">
        <v>6780</v>
      </c>
      <c r="H1105" s="245">
        <v>6470</v>
      </c>
      <c r="I1105" s="245">
        <v>6080</v>
      </c>
      <c r="J1105" s="245">
        <v>6820</v>
      </c>
      <c r="K1105" s="245">
        <v>6820</v>
      </c>
      <c r="L1105" s="245">
        <v>6010</v>
      </c>
      <c r="M1105" s="245">
        <v>6390</v>
      </c>
      <c r="N1105" s="245">
        <v>9970</v>
      </c>
      <c r="O1105" s="245">
        <v>11730</v>
      </c>
      <c r="P1105" s="245">
        <v>11730</v>
      </c>
      <c r="Q1105" s="245">
        <v>11870</v>
      </c>
      <c r="R1105" s="245">
        <v>11870</v>
      </c>
      <c r="S1105" s="245">
        <v>12380</v>
      </c>
      <c r="T1105" s="245">
        <v>12380</v>
      </c>
      <c r="U1105" s="245">
        <v>12270</v>
      </c>
      <c r="V1105" s="245">
        <v>11740</v>
      </c>
      <c r="W1105" s="245">
        <v>9060</v>
      </c>
      <c r="X1105" s="245">
        <v>9230</v>
      </c>
      <c r="Y1105" s="245">
        <v>8930</v>
      </c>
      <c r="Z1105" s="245">
        <f ca="1">[1]ExtEntry!$Q7</f>
        <v>8930</v>
      </c>
      <c r="AB1105" s="316">
        <v>-86284.773039214313</v>
      </c>
      <c r="AC1105" s="316">
        <v>-86284.773039214313</v>
      </c>
      <c r="AD1105" s="316">
        <v>-86284.773039214313</v>
      </c>
      <c r="AE1105" s="316">
        <v>-86284.773039214313</v>
      </c>
      <c r="AF1105" s="316">
        <v>-86284.773039214313</v>
      </c>
      <c r="AG1105" s="316">
        <v>-93961.067746500019</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2"/>
        <v>ALDNE</v>
      </c>
    </row>
    <row r="1106" spans="1:50">
      <c r="A1106" s="86" t="str">
        <f t="shared" ca="1" si="93"/>
        <v>ASML</v>
      </c>
      <c r="C1106" s="1">
        <v>8</v>
      </c>
      <c r="F1106" s="253">
        <v>547460</v>
      </c>
      <c r="G1106" s="253">
        <v>553620</v>
      </c>
      <c r="H1106" s="253">
        <v>539670</v>
      </c>
      <c r="I1106" s="253">
        <v>546390</v>
      </c>
      <c r="J1106" s="253">
        <v>557280</v>
      </c>
      <c r="K1106" s="253">
        <v>557280</v>
      </c>
      <c r="L1106" s="253">
        <v>565440</v>
      </c>
      <c r="M1106" s="253">
        <v>556010</v>
      </c>
      <c r="N1106" s="253">
        <v>684710</v>
      </c>
      <c r="O1106" s="253">
        <v>706730</v>
      </c>
      <c r="P1106" s="253">
        <v>706730</v>
      </c>
      <c r="Q1106" s="253">
        <v>653900</v>
      </c>
      <c r="R1106" s="253">
        <v>671380</v>
      </c>
      <c r="S1106" s="253">
        <v>671380</v>
      </c>
      <c r="T1106" s="253">
        <v>670410</v>
      </c>
      <c r="U1106" s="253">
        <v>670410</v>
      </c>
      <c r="V1106" s="253">
        <v>672550</v>
      </c>
      <c r="W1106" s="253">
        <v>590580</v>
      </c>
      <c r="X1106" s="253">
        <v>497650</v>
      </c>
      <c r="Y1106" s="253">
        <v>479820</v>
      </c>
      <c r="Z1106" s="245">
        <f ca="1">[1]ExtEntry!$Q8</f>
        <v>479820</v>
      </c>
      <c r="AB1106" s="316">
        <v>-1966164.26</v>
      </c>
      <c r="AC1106" s="316">
        <v>-1468104.26</v>
      </c>
      <c r="AD1106" s="316">
        <v>-1468104.26</v>
      </c>
      <c r="AE1106" s="316">
        <v>-1379434.26</v>
      </c>
      <c r="AF1106" s="316">
        <v>-1827484.26</v>
      </c>
      <c r="AG1106" s="316">
        <v>-1833403.6778939997</v>
      </c>
      <c r="AH1106" s="316">
        <v>-1833403.6778939997</v>
      </c>
      <c r="AI1106" s="316">
        <v>-1833403.6778939997</v>
      </c>
      <c r="AJ1106" s="316">
        <v>-1554470.3318939998</v>
      </c>
      <c r="AK1106" s="316">
        <v>-1554470.3318939998</v>
      </c>
      <c r="AL1106" s="316">
        <v>-1554470.3318939998</v>
      </c>
      <c r="AM1106" s="316">
        <v>-1554470.3318939998</v>
      </c>
      <c r="AN1106" s="316">
        <v>-1363886.0978939999</v>
      </c>
      <c r="AO1106" s="316">
        <v>-1171201.4168939998</v>
      </c>
      <c r="AP1106" s="316">
        <v>-1171201.4168939998</v>
      </c>
      <c r="AQ1106" s="316">
        <v>-1171201.4168939998</v>
      </c>
      <c r="AR1106" s="316">
        <v>-1171201.4168939998</v>
      </c>
      <c r="AS1106" s="316">
        <v>-1171201.4168939998</v>
      </c>
      <c r="AT1106" s="316">
        <v>-1171201.4168939998</v>
      </c>
      <c r="AU1106" s="316">
        <v>-1171201.4168939998</v>
      </c>
      <c r="AV1106" s="316">
        <f ca="1">Calc!BH8</f>
        <v>-1171201.4168939998</v>
      </c>
      <c r="AX1106" s="86" t="str">
        <f t="shared" ca="1" si="92"/>
        <v>ASML</v>
      </c>
    </row>
    <row r="1107" spans="1:50">
      <c r="A1107" s="86" t="str">
        <f t="shared" ca="1" si="93"/>
        <v>AVGO</v>
      </c>
      <c r="C1107" s="1">
        <v>9</v>
      </c>
      <c r="F1107" s="253">
        <v>21075301</v>
      </c>
      <c r="G1107" s="253">
        <v>20913899</v>
      </c>
      <c r="H1107" s="253">
        <v>20913068</v>
      </c>
      <c r="I1107" s="253">
        <v>20878767</v>
      </c>
      <c r="J1107" s="253">
        <v>19213773</v>
      </c>
      <c r="K1107" s="253">
        <v>19199725</v>
      </c>
      <c r="L1107" s="253">
        <v>19117059</v>
      </c>
      <c r="M1107" s="253">
        <v>19459048</v>
      </c>
      <c r="N1107" s="253">
        <v>21794232</v>
      </c>
      <c r="O1107" s="253">
        <v>21794232</v>
      </c>
      <c r="P1107" s="253">
        <v>22171199</v>
      </c>
      <c r="Q1107" s="253">
        <v>22191453</v>
      </c>
      <c r="R1107" s="253">
        <v>22475782</v>
      </c>
      <c r="S1107" s="253">
        <v>22561429</v>
      </c>
      <c r="T1107" s="253">
        <v>22561429</v>
      </c>
      <c r="U1107" s="253">
        <v>22572642</v>
      </c>
      <c r="V1107" s="253">
        <v>22207468</v>
      </c>
      <c r="W1107" s="253">
        <v>22579339</v>
      </c>
      <c r="X1107" s="253">
        <v>22873221</v>
      </c>
      <c r="Y1107" s="253">
        <v>23172561</v>
      </c>
      <c r="Z1107" s="245">
        <f ca="1">[1]ExtEntry!$Q9</f>
        <v>23172561</v>
      </c>
      <c r="AB1107" s="316">
        <v>-46552.706239920037</v>
      </c>
      <c r="AC1107" s="316">
        <v>-46552.706239920037</v>
      </c>
      <c r="AD1107" s="316">
        <v>-46552.706239920037</v>
      </c>
      <c r="AE1107" s="316">
        <v>-46552.706239920037</v>
      </c>
      <c r="AF1107" s="316">
        <v>0</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4">A1107</f>
        <v>AVGO</v>
      </c>
    </row>
    <row r="1108" spans="1:50" hidden="1">
      <c r="A1108" s="86" t="str">
        <f t="shared" ca="1" si="93"/>
        <v>AZN</v>
      </c>
      <c r="C1108" s="1">
        <v>10</v>
      </c>
      <c r="F1108" s="253">
        <v>5461602</v>
      </c>
      <c r="G1108" s="253">
        <v>5101497</v>
      </c>
      <c r="H1108" s="253">
        <v>5161133</v>
      </c>
      <c r="I1108" s="253">
        <v>4906172</v>
      </c>
      <c r="J1108" s="253">
        <v>4404108</v>
      </c>
      <c r="K1108" s="253">
        <v>4462337</v>
      </c>
      <c r="L1108" s="253">
        <v>4557104</v>
      </c>
      <c r="M1108" s="253">
        <v>4618591</v>
      </c>
      <c r="N1108" s="253">
        <v>4810410</v>
      </c>
      <c r="O1108" s="253">
        <v>4810410</v>
      </c>
      <c r="P1108" s="253">
        <v>4864131</v>
      </c>
      <c r="Q1108" s="253">
        <v>4928056</v>
      </c>
      <c r="R1108" s="253">
        <v>5087503</v>
      </c>
      <c r="S1108" s="253">
        <v>5097780</v>
      </c>
      <c r="T1108" s="253">
        <v>5097780</v>
      </c>
      <c r="U1108" s="253">
        <v>5224790</v>
      </c>
      <c r="V1108" s="253">
        <v>5292023</v>
      </c>
      <c r="W1108" s="253">
        <v>5440799</v>
      </c>
      <c r="X1108" s="253">
        <v>5514063</v>
      </c>
      <c r="Y1108" s="253">
        <v>5571931</v>
      </c>
      <c r="Z1108" s="245">
        <f ca="1">[1]ExtEntry!$Q10</f>
        <v>5571931</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4"/>
        <v>AZN</v>
      </c>
    </row>
    <row r="1109" spans="1:50" hidden="1">
      <c r="A1109" s="86" t="str">
        <f t="shared" ca="1" si="93"/>
        <v>BLDP</v>
      </c>
      <c r="C1109" s="1">
        <v>11</v>
      </c>
      <c r="F1109" s="253">
        <v>8884901</v>
      </c>
      <c r="G1109" s="253">
        <v>8797877</v>
      </c>
      <c r="H1109" s="253">
        <v>8843858</v>
      </c>
      <c r="I1109" s="253">
        <v>7460161</v>
      </c>
      <c r="J1109" s="253">
        <v>7168732</v>
      </c>
      <c r="K1109" s="253">
        <v>6790641</v>
      </c>
      <c r="L1109" s="253">
        <v>6599926</v>
      </c>
      <c r="M1109" s="253">
        <v>6553936</v>
      </c>
      <c r="N1109" s="253">
        <v>7112955</v>
      </c>
      <c r="O1109" s="253">
        <v>7112955</v>
      </c>
      <c r="P1109" s="253">
        <v>6874486</v>
      </c>
      <c r="Q1109" s="253">
        <v>6771657</v>
      </c>
      <c r="R1109" s="253">
        <v>6791548</v>
      </c>
      <c r="S1109" s="253">
        <v>6776920</v>
      </c>
      <c r="T1109" s="253">
        <v>6776920</v>
      </c>
      <c r="U1109" s="253">
        <v>6719780</v>
      </c>
      <c r="V1109" s="253">
        <v>6541060</v>
      </c>
      <c r="W1109" s="253">
        <v>6345765</v>
      </c>
      <c r="X1109" s="253">
        <v>6225199</v>
      </c>
      <c r="Y1109" s="253">
        <v>6051686</v>
      </c>
      <c r="Z1109" s="245">
        <f ca="1">[1]ExtEntry!$Q11</f>
        <v>6051686</v>
      </c>
      <c r="AB1109" s="316">
        <v>-4713.8750000000109</v>
      </c>
      <c r="AC1109" s="316">
        <v>-4713.8750000000109</v>
      </c>
      <c r="AD1109" s="316">
        <v>-4713.8750000000109</v>
      </c>
      <c r="AE1109" s="316">
        <v>-4713.8750000000109</v>
      </c>
      <c r="AF1109" s="316">
        <v>-4713.8750000000109</v>
      </c>
      <c r="AG1109" s="316">
        <v>-4796.2529190000096</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4"/>
        <v>BLDP</v>
      </c>
    </row>
    <row r="1110" spans="1:50" hidden="1">
      <c r="A1110" s="86" t="str">
        <f t="shared" ca="1" si="93"/>
        <v>BMRA</v>
      </c>
      <c r="C1110" s="1">
        <v>12</v>
      </c>
      <c r="F1110" s="253">
        <v>204947</v>
      </c>
      <c r="G1110" s="253">
        <v>204092</v>
      </c>
      <c r="H1110" s="253">
        <v>203830</v>
      </c>
      <c r="I1110" s="253">
        <v>198775</v>
      </c>
      <c r="J1110" s="253">
        <v>197459</v>
      </c>
      <c r="K1110" s="253">
        <v>195851</v>
      </c>
      <c r="L1110" s="253">
        <v>195281</v>
      </c>
      <c r="M1110" s="253">
        <v>32752</v>
      </c>
      <c r="N1110" s="253">
        <v>23438</v>
      </c>
      <c r="O1110" s="253">
        <v>23438</v>
      </c>
      <c r="P1110" s="253">
        <v>20217</v>
      </c>
      <c r="Q1110" s="253">
        <v>19615</v>
      </c>
      <c r="R1110" s="253">
        <v>19734</v>
      </c>
      <c r="S1110" s="253">
        <v>18871</v>
      </c>
      <c r="T1110" s="253">
        <v>18871</v>
      </c>
      <c r="U1110" s="253">
        <v>19220</v>
      </c>
      <c r="V1110" s="253">
        <v>18632</v>
      </c>
      <c r="W1110" s="253">
        <v>20274</v>
      </c>
      <c r="X1110" s="253">
        <v>20084</v>
      </c>
      <c r="Y1110" s="253">
        <v>19039</v>
      </c>
      <c r="Z1110" s="245">
        <f ca="1">[1]ExtEntry!$Q12</f>
        <v>19039</v>
      </c>
      <c r="AB1110" s="316">
        <v>-158677.7752</v>
      </c>
      <c r="AC1110" s="316">
        <v>-55177.775200000004</v>
      </c>
      <c r="AD1110" s="316">
        <v>-55177.775200000004</v>
      </c>
      <c r="AE1110" s="316">
        <v>-55177.775200000004</v>
      </c>
      <c r="AF1110" s="316">
        <v>-55177.775200000004</v>
      </c>
      <c r="AG1110" s="316">
        <v>-55591.162199999992</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4"/>
        <v>BMRA</v>
      </c>
    </row>
    <row r="1111" spans="1:50" hidden="1">
      <c r="A1111" s="86" t="str">
        <f t="shared" ca="1" si="93"/>
        <v>C</v>
      </c>
      <c r="C1111" s="1">
        <v>13</v>
      </c>
      <c r="F1111" s="253">
        <v>13407839</v>
      </c>
      <c r="G1111" s="253">
        <v>13255800</v>
      </c>
      <c r="H1111" s="253">
        <v>13046626</v>
      </c>
      <c r="I1111" s="253">
        <v>13435274</v>
      </c>
      <c r="J1111" s="253">
        <v>12812913</v>
      </c>
      <c r="K1111" s="253">
        <v>11904879</v>
      </c>
      <c r="L1111" s="253">
        <v>11612749</v>
      </c>
      <c r="M1111" s="253">
        <v>11296737</v>
      </c>
      <c r="N1111" s="253">
        <v>11625360</v>
      </c>
      <c r="O1111" s="253">
        <v>11625360</v>
      </c>
      <c r="P1111" s="253">
        <v>11505965</v>
      </c>
      <c r="Q1111" s="253">
        <v>11413009</v>
      </c>
      <c r="R1111" s="253">
        <v>11324731</v>
      </c>
      <c r="S1111" s="253">
        <v>11118440</v>
      </c>
      <c r="T1111" s="253">
        <v>11118440</v>
      </c>
      <c r="U1111" s="253">
        <v>11327931</v>
      </c>
      <c r="V1111" s="253">
        <v>11365233</v>
      </c>
      <c r="W1111" s="253">
        <v>11587503</v>
      </c>
      <c r="X1111" s="253">
        <v>11787249</v>
      </c>
      <c r="Y1111" s="253">
        <v>11912658</v>
      </c>
      <c r="Z1111" s="245">
        <f ca="1">[1]ExtEntry!$Q13</f>
        <v>11912658</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4"/>
        <v>C</v>
      </c>
    </row>
    <row r="1112" spans="1:50" hidden="1">
      <c r="A1112" s="86" t="str">
        <f t="shared" ca="1" si="93"/>
        <v>CSCO</v>
      </c>
      <c r="C1112" s="1">
        <v>14</v>
      </c>
      <c r="F1112" s="253">
        <v>17757580</v>
      </c>
      <c r="G1112" s="253">
        <v>17780891</v>
      </c>
      <c r="H1112" s="253">
        <v>17811359</v>
      </c>
      <c r="I1112" s="253">
        <v>20641088</v>
      </c>
      <c r="J1112" s="253">
        <v>21939098</v>
      </c>
      <c r="K1112" s="253">
        <v>22364036</v>
      </c>
      <c r="L1112" s="253">
        <v>22704001</v>
      </c>
      <c r="M1112" s="253">
        <v>23241250</v>
      </c>
      <c r="N1112" s="253">
        <v>24269459</v>
      </c>
      <c r="O1112" s="253">
        <v>24269459</v>
      </c>
      <c r="P1112" s="253">
        <v>24309674</v>
      </c>
      <c r="Q1112" s="253">
        <v>24017945</v>
      </c>
      <c r="R1112" s="253">
        <v>24116106</v>
      </c>
      <c r="S1112" s="253">
        <v>24061398</v>
      </c>
      <c r="T1112" s="253">
        <v>24061398</v>
      </c>
      <c r="U1112" s="253">
        <v>23909064</v>
      </c>
      <c r="V1112" s="253">
        <v>23691146</v>
      </c>
      <c r="W1112" s="253">
        <v>23208108</v>
      </c>
      <c r="X1112" s="253">
        <v>22968271</v>
      </c>
      <c r="Y1112" s="253">
        <v>22926579</v>
      </c>
      <c r="Z1112" s="245">
        <f ca="1">[1]ExtEntry!$Q14</f>
        <v>22926579</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4"/>
        <v>CSCO</v>
      </c>
    </row>
    <row r="1113" spans="1:50" hidden="1">
      <c r="A1113" s="86" t="str">
        <f t="shared" ca="1" si="93"/>
        <v>CVS</v>
      </c>
      <c r="C1113" s="1">
        <v>15</v>
      </c>
      <c r="F1113" s="253">
        <v>8003629</v>
      </c>
      <c r="G1113" s="253">
        <v>7802982</v>
      </c>
      <c r="H1113" s="253">
        <v>7839054</v>
      </c>
      <c r="I1113" s="253">
        <v>8043744</v>
      </c>
      <c r="J1113" s="253">
        <v>7926685</v>
      </c>
      <c r="K1113" s="253">
        <v>7675262</v>
      </c>
      <c r="L1113" s="253">
        <v>7499659</v>
      </c>
      <c r="M1113" s="253">
        <v>7407268</v>
      </c>
      <c r="N1113" s="253">
        <v>7495015</v>
      </c>
      <c r="O1113" s="253">
        <v>7495015</v>
      </c>
      <c r="P1113" s="253">
        <v>7559628</v>
      </c>
      <c r="Q1113" s="253">
        <v>7410277</v>
      </c>
      <c r="R1113" s="253">
        <v>7454756</v>
      </c>
      <c r="S1113" s="253">
        <v>7517629</v>
      </c>
      <c r="T1113" s="253">
        <v>7517629</v>
      </c>
      <c r="U1113" s="253">
        <v>7450098</v>
      </c>
      <c r="V1113" s="253">
        <v>7213667</v>
      </c>
      <c r="W1113" s="253">
        <v>6914350</v>
      </c>
      <c r="X1113" s="253">
        <v>7088852</v>
      </c>
      <c r="Y1113" s="253">
        <v>7398482</v>
      </c>
      <c r="Z1113" s="245">
        <f ca="1">[1]ExtEntry!$Q15</f>
        <v>7398482</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4"/>
        <v>CVS</v>
      </c>
    </row>
    <row r="1114" spans="1:50" hidden="1">
      <c r="A1114" s="86" t="str">
        <f t="shared" ca="1" si="93"/>
        <v>DDD</v>
      </c>
      <c r="C1114" s="1">
        <v>16</v>
      </c>
      <c r="F1114" s="253">
        <v>4450047</v>
      </c>
      <c r="G1114" s="253">
        <v>4543958</v>
      </c>
      <c r="H1114" s="253">
        <v>4513661</v>
      </c>
      <c r="I1114" s="253">
        <v>4033910</v>
      </c>
      <c r="J1114" s="253">
        <v>3760873</v>
      </c>
      <c r="K1114" s="253">
        <v>3699877</v>
      </c>
      <c r="L1114" s="253">
        <v>3671487</v>
      </c>
      <c r="M1114" s="253">
        <v>3597281</v>
      </c>
      <c r="N1114" s="253">
        <v>3259135</v>
      </c>
      <c r="O1114" s="253">
        <v>3259135</v>
      </c>
      <c r="P1114" s="253">
        <v>3119017</v>
      </c>
      <c r="Q1114" s="253">
        <v>3038524</v>
      </c>
      <c r="R1114" s="253">
        <v>2965305</v>
      </c>
      <c r="S1114" s="253">
        <v>2799130</v>
      </c>
      <c r="T1114" s="253">
        <v>2799130</v>
      </c>
      <c r="U1114" s="253">
        <v>2621476</v>
      </c>
      <c r="V1114" s="253">
        <v>2562157</v>
      </c>
      <c r="W1114" s="253">
        <v>2358455</v>
      </c>
      <c r="X1114" s="253">
        <v>2902021</v>
      </c>
      <c r="Y1114" s="253">
        <v>2976675</v>
      </c>
      <c r="Z1114" s="245">
        <f ca="1">[1]ExtEntry!$Q16</f>
        <v>2976675</v>
      </c>
      <c r="AB1114" s="316">
        <v>-97142.073000000033</v>
      </c>
      <c r="AC1114" s="316">
        <v>-97142.073000000033</v>
      </c>
      <c r="AD1114" s="316">
        <v>-97142.073000000033</v>
      </c>
      <c r="AE1114" s="316">
        <v>-97142.073000000033</v>
      </c>
      <c r="AF1114" s="316">
        <v>-97142.073000000033</v>
      </c>
      <c r="AG1114" s="316">
        <v>-98474.870700000029</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4"/>
        <v>DDD</v>
      </c>
    </row>
    <row r="1115" spans="1:50" hidden="1">
      <c r="A1115" s="86" t="str">
        <f t="shared" ca="1" si="93"/>
        <v>DIS</v>
      </c>
      <c r="C1115" s="1">
        <v>17</v>
      </c>
      <c r="F1115" s="253">
        <v>7629637</v>
      </c>
      <c r="G1115" s="253">
        <v>7470025</v>
      </c>
      <c r="H1115" s="253">
        <v>7533891</v>
      </c>
      <c r="I1115" s="253">
        <v>9720774</v>
      </c>
      <c r="J1115" s="253">
        <v>10197474</v>
      </c>
      <c r="K1115" s="253">
        <v>10353403</v>
      </c>
      <c r="L1115" s="253">
        <v>10584501</v>
      </c>
      <c r="M1115" s="253">
        <v>10787648</v>
      </c>
      <c r="N1115" s="253">
        <v>11190990</v>
      </c>
      <c r="O1115" s="253">
        <v>11190990</v>
      </c>
      <c r="P1115" s="253">
        <v>11293429</v>
      </c>
      <c r="Q1115" s="253">
        <v>11276635</v>
      </c>
      <c r="R1115" s="253">
        <v>11532384</v>
      </c>
      <c r="S1115" s="253">
        <v>11633129</v>
      </c>
      <c r="T1115" s="253">
        <v>11633129</v>
      </c>
      <c r="U1115" s="253">
        <v>11766664</v>
      </c>
      <c r="V1115" s="253">
        <v>11941638</v>
      </c>
      <c r="W1115" s="253">
        <v>12237473</v>
      </c>
      <c r="X1115" s="253">
        <v>12237758</v>
      </c>
      <c r="Y1115" s="253">
        <v>12369271</v>
      </c>
      <c r="Z1115" s="245">
        <f ca="1">[1]ExtEntry!$Q17</f>
        <v>12369271</v>
      </c>
      <c r="AB1115" s="316">
        <v>-31792.172026000044</v>
      </c>
      <c r="AC1115" s="316">
        <v>-31792.172026000044</v>
      </c>
      <c r="AD1115" s="316">
        <v>-31792.172026000044</v>
      </c>
      <c r="AE1115" s="316">
        <v>-31792.172026000044</v>
      </c>
      <c r="AF1115" s="316">
        <v>-31792.172026000044</v>
      </c>
      <c r="AG1115" s="316">
        <v>-32030.585557200044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4"/>
        <v>DIS</v>
      </c>
    </row>
    <row r="1116" spans="1:50" hidden="1">
      <c r="A1116" s="86" t="str">
        <f t="shared" ca="1" si="93"/>
        <v>DSY</v>
      </c>
      <c r="C1116" s="1">
        <v>18</v>
      </c>
      <c r="F1116" s="253">
        <v>2619000</v>
      </c>
      <c r="G1116" s="253">
        <v>2619000</v>
      </c>
      <c r="H1116" s="253">
        <v>2566620</v>
      </c>
      <c r="I1116" s="253">
        <v>1854740</v>
      </c>
      <c r="J1116" s="253">
        <v>1917280</v>
      </c>
      <c r="K1116" s="253">
        <v>1917280</v>
      </c>
      <c r="L1116" s="253">
        <v>1999200</v>
      </c>
      <c r="M1116" s="253">
        <v>2187590</v>
      </c>
      <c r="N1116" s="253">
        <v>2455090</v>
      </c>
      <c r="O1116" s="253">
        <v>2541180</v>
      </c>
      <c r="P1116" s="253">
        <v>2541180</v>
      </c>
      <c r="Q1116" s="253">
        <v>2388280</v>
      </c>
      <c r="R1116" s="253">
        <v>2388280</v>
      </c>
      <c r="S1116" s="253">
        <v>2438590</v>
      </c>
      <c r="T1116" s="253">
        <v>2438590</v>
      </c>
      <c r="U1116" s="253">
        <v>2478700</v>
      </c>
      <c r="V1116" s="253">
        <v>2427950</v>
      </c>
      <c r="W1116" s="253">
        <v>2302990</v>
      </c>
      <c r="X1116" s="253">
        <v>2076480</v>
      </c>
      <c r="Y1116" s="253">
        <v>2028040</v>
      </c>
      <c r="Z1116" s="245">
        <f ca="1">[1]ExtEntry!$Q18</f>
        <v>2028040</v>
      </c>
      <c r="AB1116" s="316">
        <v>-105596.94200000007</v>
      </c>
      <c r="AC1116" s="316">
        <v>-105596.94200000007</v>
      </c>
      <c r="AD1116" s="316">
        <v>-105596.94200000007</v>
      </c>
      <c r="AE1116" s="316">
        <v>-105596.94200000007</v>
      </c>
      <c r="AF1116" s="316">
        <v>-105596.94200000007</v>
      </c>
      <c r="AG1116" s="316">
        <v>-105872.14573920006</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4"/>
        <v>DSY</v>
      </c>
    </row>
    <row r="1117" spans="1:50" hidden="1">
      <c r="A1117" s="86" t="str">
        <f t="shared" ca="1" si="93"/>
        <v>DVA</v>
      </c>
      <c r="C1117" s="1">
        <v>19</v>
      </c>
      <c r="F1117" s="253">
        <v>818913</v>
      </c>
      <c r="G1117" s="253">
        <v>826829</v>
      </c>
      <c r="H1117" s="253">
        <v>838102</v>
      </c>
      <c r="I1117" s="253">
        <v>880480</v>
      </c>
      <c r="J1117" s="253">
        <v>903405</v>
      </c>
      <c r="K1117" s="253">
        <v>905387</v>
      </c>
      <c r="L1117" s="253">
        <v>903487</v>
      </c>
      <c r="M1117" s="253">
        <v>912746</v>
      </c>
      <c r="N1117" s="253">
        <v>1132691</v>
      </c>
      <c r="O1117" s="253">
        <v>1132691</v>
      </c>
      <c r="P1117" s="253">
        <v>1129884</v>
      </c>
      <c r="Q1117" s="253">
        <v>1128531</v>
      </c>
      <c r="R1117" s="253">
        <v>1133802</v>
      </c>
      <c r="S1117" s="253">
        <v>1146345</v>
      </c>
      <c r="T1117" s="253">
        <v>1146345</v>
      </c>
      <c r="U1117" s="253">
        <v>1153468</v>
      </c>
      <c r="V1117" s="253">
        <v>1117201</v>
      </c>
      <c r="W1117" s="253">
        <v>1012961</v>
      </c>
      <c r="X1117" s="253">
        <v>981348</v>
      </c>
      <c r="Y1117" s="253">
        <v>966537</v>
      </c>
      <c r="Z1117" s="245">
        <f ca="1">[1]ExtEntry!$Q19</f>
        <v>966537</v>
      </c>
      <c r="AB1117" s="316">
        <v>-253194.29000000007</v>
      </c>
      <c r="AC1117" s="316">
        <v>-253194.29000000007</v>
      </c>
      <c r="AD1117" s="316">
        <v>-55690.290000000066</v>
      </c>
      <c r="AE1117" s="316">
        <v>-48986.290000000066</v>
      </c>
      <c r="AF1117" s="316">
        <v>-48986.290000000066</v>
      </c>
      <c r="AG1117" s="316">
        <v>-49322.716506000055</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4"/>
        <v>DVA</v>
      </c>
    </row>
    <row r="1118" spans="1:50" hidden="1">
      <c r="A1118" s="86" t="str">
        <f t="shared" ca="1" si="93"/>
        <v>DXC</v>
      </c>
      <c r="C1118" s="1">
        <v>20</v>
      </c>
      <c r="F1118" s="253">
        <v>1948566</v>
      </c>
      <c r="G1118" s="253">
        <v>1976394</v>
      </c>
      <c r="H1118" s="253">
        <v>1987627</v>
      </c>
      <c r="I1118" s="253">
        <v>1999441</v>
      </c>
      <c r="J1118" s="253">
        <v>2056058</v>
      </c>
      <c r="K1118" s="253">
        <v>2090201</v>
      </c>
      <c r="L1118" s="253">
        <v>2120530</v>
      </c>
      <c r="M1118" s="253">
        <v>2130708</v>
      </c>
      <c r="N1118" s="253">
        <v>2243642</v>
      </c>
      <c r="O1118" s="253">
        <v>2243642</v>
      </c>
      <c r="P1118" s="253">
        <v>2255989</v>
      </c>
      <c r="Q1118" s="253">
        <v>2233636</v>
      </c>
      <c r="R1118" s="253">
        <v>2237253</v>
      </c>
      <c r="S1118" s="253">
        <v>2274486</v>
      </c>
      <c r="T1118" s="253">
        <v>2274486</v>
      </c>
      <c r="U1118" s="253">
        <v>2250986</v>
      </c>
      <c r="V1118" s="253">
        <v>2278767</v>
      </c>
      <c r="W1118" s="253">
        <v>2155113</v>
      </c>
      <c r="X1118" s="253">
        <v>2150180</v>
      </c>
      <c r="Y1118" s="253">
        <v>2148050</v>
      </c>
      <c r="Z1118" s="245">
        <f ca="1">[1]ExtEntry!$Q20</f>
        <v>2148050</v>
      </c>
      <c r="AB1118" s="316">
        <v>-39290.497531999979</v>
      </c>
      <c r="AC1118" s="316">
        <v>-39290.497531999979</v>
      </c>
      <c r="AD1118" s="316">
        <v>-39290.497531999979</v>
      </c>
      <c r="AE1118" s="316">
        <v>-39290.497531999979</v>
      </c>
      <c r="AF1118" s="316">
        <v>-39290.497531999979</v>
      </c>
      <c r="AG1118" s="316">
        <v>-39622.217614199966</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4"/>
        <v>DXC</v>
      </c>
    </row>
    <row r="1119" spans="1:50" hidden="1">
      <c r="A1119" s="86" t="str">
        <f t="shared" ca="1" si="93"/>
        <v>EOAN</v>
      </c>
      <c r="C1119" s="1">
        <v>21</v>
      </c>
      <c r="F1119" s="253">
        <v>2907640</v>
      </c>
      <c r="G1119" s="253">
        <v>2964880</v>
      </c>
      <c r="H1119" s="253">
        <v>2864900</v>
      </c>
      <c r="I1119" s="253">
        <v>4392490</v>
      </c>
      <c r="J1119" s="253">
        <v>4593700</v>
      </c>
      <c r="K1119" s="253">
        <v>4593700</v>
      </c>
      <c r="L1119" s="253">
        <v>4898240</v>
      </c>
      <c r="M1119" s="253">
        <v>4988260</v>
      </c>
      <c r="N1119" s="253">
        <v>5317710</v>
      </c>
      <c r="O1119" s="253">
        <v>4499960</v>
      </c>
      <c r="P1119" s="253">
        <v>4499960</v>
      </c>
      <c r="Q1119" s="253">
        <v>4103520</v>
      </c>
      <c r="R1119" s="253">
        <v>4103520</v>
      </c>
      <c r="S1119" s="253">
        <v>4136060</v>
      </c>
      <c r="T1119" s="253">
        <v>4136060</v>
      </c>
      <c r="U1119" s="253">
        <v>3880660</v>
      </c>
      <c r="V1119" s="253">
        <v>4077280</v>
      </c>
      <c r="W1119" s="253">
        <v>4099730</v>
      </c>
      <c r="X1119" s="253">
        <v>3687760</v>
      </c>
      <c r="Y1119" s="253">
        <v>3704520</v>
      </c>
      <c r="Z1119" s="245">
        <f ca="1">[1]ExtEntry!$Q21</f>
        <v>3704520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4"/>
        <v>EOAN</v>
      </c>
    </row>
    <row r="1120" spans="1:50" hidden="1">
      <c r="A1120" s="86" t="str">
        <f t="shared" ca="1" si="93"/>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4"/>
        <v>EPIX</v>
      </c>
    </row>
    <row r="1121" spans="1:50" hidden="1">
      <c r="A1121" s="86" t="str">
        <f t="shared" ca="1" si="93"/>
        <v>GM</v>
      </c>
      <c r="C1121" s="1">
        <v>23</v>
      </c>
      <c r="F1121" s="253">
        <v>10651288</v>
      </c>
      <c r="G1121" s="253">
        <v>10639792</v>
      </c>
      <c r="H1121" s="253">
        <v>10498677</v>
      </c>
      <c r="I1121" s="253">
        <v>10411022</v>
      </c>
      <c r="J1121" s="253">
        <v>10638421</v>
      </c>
      <c r="K1121" s="253">
        <v>10521927</v>
      </c>
      <c r="L1121" s="253">
        <v>10625135</v>
      </c>
      <c r="M1121" s="253">
        <v>10758093</v>
      </c>
      <c r="N1121" s="253">
        <v>9752610</v>
      </c>
      <c r="O1121" s="253">
        <v>9752610</v>
      </c>
      <c r="P1121" s="253">
        <v>9307506</v>
      </c>
      <c r="Q1121" s="253">
        <v>8951818</v>
      </c>
      <c r="R1121" s="253">
        <v>8842053</v>
      </c>
      <c r="S1121" s="253">
        <v>8812010</v>
      </c>
      <c r="T1121" s="253">
        <v>8812010</v>
      </c>
      <c r="U1121" s="253">
        <v>8624815</v>
      </c>
      <c r="V1121" s="253">
        <v>8708142</v>
      </c>
      <c r="W1121" s="253">
        <v>8879455</v>
      </c>
      <c r="X1121" s="253">
        <v>8788168</v>
      </c>
      <c r="Y1121" s="253">
        <v>9025892</v>
      </c>
      <c r="Z1121" s="245">
        <f ca="1">[1]ExtEntry!$Q23</f>
        <v>9025892</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4"/>
        <v>GM</v>
      </c>
    </row>
    <row r="1122" spans="1:50" hidden="1">
      <c r="A1122" s="86" t="str">
        <f t="shared" ca="1" si="93"/>
        <v>HPE</v>
      </c>
      <c r="C1122" s="1">
        <v>24</v>
      </c>
      <c r="F1122" s="253">
        <v>37677726</v>
      </c>
      <c r="G1122" s="253">
        <v>37657140</v>
      </c>
      <c r="H1122" s="253">
        <v>37867308</v>
      </c>
      <c r="I1122" s="253">
        <v>40139437</v>
      </c>
      <c r="J1122" s="253">
        <v>40503688</v>
      </c>
      <c r="K1122" s="253">
        <v>40852455</v>
      </c>
      <c r="L1122" s="253">
        <v>39904675</v>
      </c>
      <c r="M1122" s="253">
        <v>37722829</v>
      </c>
      <c r="N1122" s="253">
        <v>32616908</v>
      </c>
      <c r="O1122" s="253">
        <v>32616908</v>
      </c>
      <c r="P1122" s="253">
        <v>31383285</v>
      </c>
      <c r="Q1122" s="253">
        <v>30463329</v>
      </c>
      <c r="R1122" s="253">
        <v>30674364</v>
      </c>
      <c r="S1122" s="253">
        <v>29923443</v>
      </c>
      <c r="T1122" s="253">
        <v>29923443</v>
      </c>
      <c r="U1122" s="253">
        <v>29155258</v>
      </c>
      <c r="V1122" s="253">
        <v>29098850</v>
      </c>
      <c r="W1122" s="253">
        <v>29126683</v>
      </c>
      <c r="X1122" s="253">
        <v>29254973</v>
      </c>
      <c r="Y1122" s="253">
        <v>29465794</v>
      </c>
      <c r="Z1122" s="245">
        <f ca="1">[1]ExtEntry!$Q24</f>
        <v>29465794</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-12201.642000000022</v>
      </c>
      <c r="AP1122" s="316">
        <v>-12201.642000000022</v>
      </c>
      <c r="AQ1122" s="316">
        <v>-12201.642000000022</v>
      </c>
      <c r="AR1122" s="316">
        <v>-12201.642000000022</v>
      </c>
      <c r="AS1122" s="316">
        <v>-12201.642000000022</v>
      </c>
      <c r="AT1122" s="316">
        <v>-12201.642000000022</v>
      </c>
      <c r="AU1122" s="316">
        <v>-12201.642000000022</v>
      </c>
      <c r="AV1122" s="316">
        <f ca="1">Calc!BH24</f>
        <v>-12201.642000000022</v>
      </c>
      <c r="AX1122" s="86" t="str">
        <f t="shared" ca="1" si="94"/>
        <v>HPE</v>
      </c>
    </row>
    <row r="1123" spans="1:50" hidden="1">
      <c r="A1123" s="86" t="str">
        <f t="shared" ca="1" si="93"/>
        <v>HPQ</v>
      </c>
      <c r="C1123" s="1">
        <v>25</v>
      </c>
      <c r="F1123" s="253">
        <v>12451001</v>
      </c>
      <c r="G1123" s="253">
        <v>12365290</v>
      </c>
      <c r="H1123" s="253">
        <v>12289307</v>
      </c>
      <c r="I1123" s="253">
        <v>12233776</v>
      </c>
      <c r="J1123" s="253">
        <v>12223223</v>
      </c>
      <c r="K1123" s="253">
        <v>11835083</v>
      </c>
      <c r="L1123" s="253">
        <v>11466223</v>
      </c>
      <c r="M1123" s="253">
        <v>11098982</v>
      </c>
      <c r="N1123" s="253">
        <v>12491257</v>
      </c>
      <c r="O1123" s="253">
        <v>12491257</v>
      </c>
      <c r="P1123" s="253">
        <v>13018713</v>
      </c>
      <c r="Q1123" s="253">
        <v>12821681</v>
      </c>
      <c r="R1123" s="253">
        <v>13043935</v>
      </c>
      <c r="S1123" s="253">
        <v>13231262</v>
      </c>
      <c r="T1123" s="253">
        <v>13231262</v>
      </c>
      <c r="U1123" s="253">
        <v>13413254</v>
      </c>
      <c r="V1123" s="253">
        <v>13522639</v>
      </c>
      <c r="W1123" s="253">
        <v>13570545</v>
      </c>
      <c r="X1123" s="253">
        <v>13574433</v>
      </c>
      <c r="Y1123" s="253">
        <v>13650387</v>
      </c>
      <c r="Z1123" s="245">
        <f ca="1">[1]ExtEntry!$Q25</f>
        <v>13650387</v>
      </c>
      <c r="AB1123" s="316">
        <v>-68214.971999999951</v>
      </c>
      <c r="AC1123" s="316">
        <v>-68214.971999999951</v>
      </c>
      <c r="AD1123" s="316">
        <v>-68214.971999999951</v>
      </c>
      <c r="AE1123" s="316">
        <v>-68214.971999999951</v>
      </c>
      <c r="AF1123" s="316">
        <v>-68214.971999999951</v>
      </c>
      <c r="AG1123" s="316">
        <v>-68433.257059199939</v>
      </c>
      <c r="AH1123" s="316">
        <v>-68433.257059199939</v>
      </c>
      <c r="AI1123" s="316">
        <v>-68433.257059199939</v>
      </c>
      <c r="AJ1123" s="316">
        <v>-68433.257059199939</v>
      </c>
      <c r="AK1123" s="316">
        <v>-68433.257059199939</v>
      </c>
      <c r="AL1123" s="316">
        <v>-68433.257059199939</v>
      </c>
      <c r="AM1123" s="316">
        <v>-68433.257059199939</v>
      </c>
      <c r="AN1123" s="316">
        <v>-178518.73705919995</v>
      </c>
      <c r="AO1123" s="316">
        <v>-68433.257059199939</v>
      </c>
      <c r="AP1123" s="316">
        <v>-169816.16905919995</v>
      </c>
      <c r="AQ1123" s="316">
        <v>-169816.16905919995</v>
      </c>
      <c r="AR1123" s="316">
        <v>-169816.16905919995</v>
      </c>
      <c r="AS1123" s="316">
        <v>-169816.16905919995</v>
      </c>
      <c r="AT1123" s="316">
        <v>-169816.16905919995</v>
      </c>
      <c r="AU1123" s="316">
        <v>-169816.16905919995</v>
      </c>
      <c r="AV1123" s="316">
        <f ca="1">Calc!BH25</f>
        <v>-169816.16905919995</v>
      </c>
      <c r="AX1123" s="86" t="str">
        <f t="shared" ca="1" si="94"/>
        <v>HPQ</v>
      </c>
    </row>
    <row r="1124" spans="1:50" hidden="1">
      <c r="A1124" s="86" t="str">
        <f t="shared" ca="1" si="93"/>
        <v>IAG</v>
      </c>
      <c r="C1124" s="1">
        <v>26</v>
      </c>
      <c r="F1124" s="253">
        <v>11911510</v>
      </c>
      <c r="G1124" s="253">
        <v>12562640</v>
      </c>
      <c r="H1124" s="253">
        <v>13416260</v>
      </c>
      <c r="I1124" s="253">
        <v>19125750</v>
      </c>
      <c r="J1124" s="253">
        <v>20721960</v>
      </c>
      <c r="K1124" s="253">
        <v>20721960</v>
      </c>
      <c r="L1124" s="253">
        <v>22703920</v>
      </c>
      <c r="M1124" s="253">
        <v>23450410</v>
      </c>
      <c r="N1124" s="253">
        <v>17488240</v>
      </c>
      <c r="O1124" s="253">
        <v>16477970</v>
      </c>
      <c r="P1124" s="253">
        <v>16302150</v>
      </c>
      <c r="Q1124" s="253">
        <v>15972480</v>
      </c>
      <c r="R1124" s="253">
        <v>15309740</v>
      </c>
      <c r="S1124" s="253">
        <v>15309740</v>
      </c>
      <c r="T1124" s="253">
        <v>15006610</v>
      </c>
      <c r="U1124" s="253">
        <v>15006610</v>
      </c>
      <c r="V1124" s="253">
        <v>18478500</v>
      </c>
      <c r="W1124" s="253">
        <v>17561230</v>
      </c>
      <c r="X1124" s="253">
        <v>17663020</v>
      </c>
      <c r="Y1124" s="253">
        <v>18071670</v>
      </c>
      <c r="Z1124" s="245">
        <f ca="1">[1]ExtEntry!$Q26</f>
        <v>18071670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4"/>
        <v>IAG</v>
      </c>
    </row>
    <row r="1125" spans="1:50" hidden="1">
      <c r="A1125" s="86" t="str">
        <f t="shared" ca="1" si="93"/>
        <v>KR</v>
      </c>
      <c r="C1125" s="1">
        <v>27</v>
      </c>
      <c r="F1125" s="253">
        <v>6243449</v>
      </c>
      <c r="G1125" s="253">
        <v>6199306</v>
      </c>
      <c r="H1125" s="253">
        <v>6237663</v>
      </c>
      <c r="I1125" s="253">
        <v>6004714</v>
      </c>
      <c r="J1125" s="253">
        <v>5909189</v>
      </c>
      <c r="K1125" s="253">
        <v>5986728</v>
      </c>
      <c r="L1125" s="253">
        <v>5997939</v>
      </c>
      <c r="M1125" s="253">
        <v>6111990</v>
      </c>
      <c r="N1125" s="253">
        <v>6329635</v>
      </c>
      <c r="O1125" s="253">
        <v>6329635</v>
      </c>
      <c r="P1125" s="253">
        <v>6279783</v>
      </c>
      <c r="Q1125" s="253">
        <v>6168263</v>
      </c>
      <c r="R1125" s="253">
        <v>6209750</v>
      </c>
      <c r="S1125" s="253">
        <v>6293500</v>
      </c>
      <c r="T1125" s="253">
        <v>6293500</v>
      </c>
      <c r="U1125" s="253">
        <v>6409367</v>
      </c>
      <c r="V1125" s="253">
        <v>7067415</v>
      </c>
      <c r="W1125" s="253">
        <v>6988398</v>
      </c>
      <c r="X1125" s="253">
        <v>6890699</v>
      </c>
      <c r="Y1125" s="253">
        <v>6958005</v>
      </c>
      <c r="Z1125" s="245">
        <f ca="1">[1]ExtEntry!$Q27</f>
        <v>6958005</v>
      </c>
      <c r="AB1125" s="316">
        <v>-175449.99000000002</v>
      </c>
      <c r="AC1125" s="316">
        <v>-175449.99000000002</v>
      </c>
      <c r="AD1125" s="316">
        <v>-110549.99000000002</v>
      </c>
      <c r="AE1125" s="316">
        <v>-110549.99000000002</v>
      </c>
      <c r="AF1125" s="316">
        <v>-110549.99000000002</v>
      </c>
      <c r="AG1125" s="316">
        <v>-111300.64122600001</v>
      </c>
      <c r="AH1125" s="316">
        <v>-111300.64122600001</v>
      </c>
      <c r="AI1125" s="316">
        <v>-111300.64122600001</v>
      </c>
      <c r="AJ1125" s="316">
        <v>-111300.64122600001</v>
      </c>
      <c r="AK1125" s="316">
        <v>-43775.531225999992</v>
      </c>
      <c r="AL1125" s="316">
        <v>-43775.531225999992</v>
      </c>
      <c r="AM1125" s="316">
        <v>-43775.531225999992</v>
      </c>
      <c r="AN1125" s="316">
        <v>-43775.531225999992</v>
      </c>
      <c r="AO1125" s="316">
        <v>-43775.531225999992</v>
      </c>
      <c r="AP1125" s="316">
        <v>-43775.531225999992</v>
      </c>
      <c r="AQ1125" s="316">
        <v>-168057.82722599999</v>
      </c>
      <c r="AR1125" s="316">
        <v>-168057.82722599999</v>
      </c>
      <c r="AS1125" s="316">
        <v>-168057.82722599999</v>
      </c>
      <c r="AT1125" s="316">
        <v>-168057.82722599999</v>
      </c>
      <c r="AU1125" s="316">
        <v>-168057.82722599999</v>
      </c>
      <c r="AV1125" s="316">
        <f ca="1">Calc!BH27</f>
        <v>-168057.82722599999</v>
      </c>
      <c r="AX1125" s="86" t="str">
        <f t="shared" ca="1" si="94"/>
        <v>KR</v>
      </c>
    </row>
    <row r="1126" spans="1:50" hidden="1">
      <c r="A1126" s="86" t="str">
        <f t="shared" ca="1" si="93"/>
        <v>LNSR</v>
      </c>
      <c r="C1126" s="1">
        <v>28</v>
      </c>
      <c r="F1126" s="253">
        <v>44007</v>
      </c>
      <c r="G1126" s="253">
        <v>43311</v>
      </c>
      <c r="H1126" s="253">
        <v>52953</v>
      </c>
      <c r="I1126" s="253">
        <v>68392</v>
      </c>
      <c r="J1126" s="253">
        <v>70594</v>
      </c>
      <c r="K1126" s="253">
        <v>71039</v>
      </c>
      <c r="L1126" s="253">
        <v>70541</v>
      </c>
      <c r="M1126" s="253">
        <v>71496</v>
      </c>
      <c r="N1126" s="253">
        <v>70730</v>
      </c>
      <c r="O1126" s="253">
        <v>70730</v>
      </c>
      <c r="P1126" s="253">
        <v>69915</v>
      </c>
      <c r="Q1126" s="253">
        <v>69514</v>
      </c>
      <c r="R1126" s="253">
        <v>68590</v>
      </c>
      <c r="S1126" s="253">
        <v>67779</v>
      </c>
      <c r="T1126" s="253">
        <v>67779</v>
      </c>
      <c r="U1126" s="253">
        <v>68789</v>
      </c>
      <c r="V1126" s="253">
        <v>71669</v>
      </c>
      <c r="W1126" s="253">
        <v>72400</v>
      </c>
      <c r="X1126" s="253">
        <v>72073</v>
      </c>
      <c r="Y1126" s="253">
        <v>72612</v>
      </c>
      <c r="Z1126" s="245">
        <f ca="1">[1]ExtEntry!$Q28</f>
        <v>72612</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4"/>
        <v>LNSR</v>
      </c>
    </row>
    <row r="1127" spans="1:50" hidden="1">
      <c r="A1127" s="86" t="str">
        <f t="shared" ca="1" si="93"/>
        <v>LUMN</v>
      </c>
      <c r="C1127" s="1">
        <v>29</v>
      </c>
      <c r="F1127" s="253">
        <v>22271874</v>
      </c>
      <c r="G1127" s="253">
        <v>22492332</v>
      </c>
      <c r="H1127" s="253">
        <v>22671701</v>
      </c>
      <c r="I1127" s="253">
        <v>24277563</v>
      </c>
      <c r="J1127" s="253">
        <v>24568482</v>
      </c>
      <c r="K1127" s="253">
        <v>24955017</v>
      </c>
      <c r="L1127" s="253">
        <v>24895255</v>
      </c>
      <c r="M1127" s="253">
        <v>25112837</v>
      </c>
      <c r="N1127" s="253">
        <v>25547999</v>
      </c>
      <c r="O1127" s="253">
        <v>25547999</v>
      </c>
      <c r="P1127" s="253">
        <v>25544720</v>
      </c>
      <c r="Q1127" s="253">
        <v>24812185</v>
      </c>
      <c r="R1127" s="253">
        <v>24363039</v>
      </c>
      <c r="S1127" s="253">
        <v>23583260</v>
      </c>
      <c r="T1127" s="253">
        <v>23583260</v>
      </c>
      <c r="U1127" s="253">
        <v>22510432</v>
      </c>
      <c r="V1127" s="253">
        <v>20655133</v>
      </c>
      <c r="W1127" s="253">
        <v>18074846</v>
      </c>
      <c r="X1127" s="253">
        <v>16670436</v>
      </c>
      <c r="Y1127" s="253">
        <v>15966749</v>
      </c>
      <c r="Z1127" s="245">
        <f ca="1">[1]ExtEntry!$Q29</f>
        <v>15966749</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4"/>
        <v>LUMN</v>
      </c>
    </row>
    <row r="1128" spans="1:50" hidden="1">
      <c r="A1128" s="86" t="str">
        <f t="shared" ca="1" si="93"/>
        <v>MRNA</v>
      </c>
      <c r="C1128" s="1">
        <v>30</v>
      </c>
      <c r="F1128" s="253">
        <v>11157159</v>
      </c>
      <c r="G1128" s="253">
        <v>10899842</v>
      </c>
      <c r="H1128" s="253">
        <v>11202589</v>
      </c>
      <c r="I1128" s="253">
        <v>11556520</v>
      </c>
      <c r="J1128" s="253">
        <v>11472975</v>
      </c>
      <c r="K1128" s="253">
        <v>11525715</v>
      </c>
      <c r="L1128" s="253">
        <v>11560564</v>
      </c>
      <c r="M1128" s="253">
        <v>11990010</v>
      </c>
      <c r="N1128" s="253">
        <v>12086790</v>
      </c>
      <c r="O1128" s="253">
        <v>12086790</v>
      </c>
      <c r="P1128" s="253">
        <v>12031737</v>
      </c>
      <c r="Q1128" s="253">
        <v>11854267</v>
      </c>
      <c r="R1128" s="253">
        <v>11978861</v>
      </c>
      <c r="S1128" s="253">
        <v>12124473</v>
      </c>
      <c r="T1128" s="253">
        <v>12124473</v>
      </c>
      <c r="U1128" s="253">
        <v>12082377</v>
      </c>
      <c r="V1128" s="253">
        <v>12073536</v>
      </c>
      <c r="W1128" s="253">
        <v>10597929</v>
      </c>
      <c r="X1128" s="253">
        <v>10477823</v>
      </c>
      <c r="Y1128" s="253">
        <v>10285607</v>
      </c>
      <c r="Z1128" s="245">
        <f ca="1">[1]ExtEntry!$Q30</f>
        <v>10285607</v>
      </c>
      <c r="AB1128" s="316">
        <v>-788105.81921799993</v>
      </c>
      <c r="AC1128" s="316">
        <v>-788105.81921799993</v>
      </c>
      <c r="AD1128" s="316">
        <v>-788105.81921799993</v>
      </c>
      <c r="AE1128" s="316">
        <v>-788105.81921799993</v>
      </c>
      <c r="AF1128" s="316">
        <v>-788105.81921799993</v>
      </c>
      <c r="AG1128" s="316">
        <v>-790220.14433999988</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4"/>
        <v>MRNA</v>
      </c>
    </row>
    <row r="1129" spans="1:50" hidden="1">
      <c r="A1129" s="86" t="str">
        <f t="shared" ca="1" si="93"/>
        <v>MSFT</v>
      </c>
      <c r="C1129" s="1">
        <v>31</v>
      </c>
      <c r="F1129" s="253">
        <v>20471219</v>
      </c>
      <c r="G1129" s="253">
        <v>20486899</v>
      </c>
      <c r="H1129" s="253">
        <v>20734244</v>
      </c>
      <c r="I1129" s="253">
        <v>22219286</v>
      </c>
      <c r="J1129" s="253">
        <v>22586503</v>
      </c>
      <c r="K1129" s="253">
        <v>23351736</v>
      </c>
      <c r="L1129" s="253">
        <v>23693762</v>
      </c>
      <c r="M1129" s="253">
        <v>24143481</v>
      </c>
      <c r="N1129" s="253">
        <v>25907101</v>
      </c>
      <c r="O1129" s="253">
        <v>25907101</v>
      </c>
      <c r="P1129" s="253">
        <v>26176957</v>
      </c>
      <c r="Q1129" s="253">
        <v>26191484</v>
      </c>
      <c r="R1129" s="253">
        <v>26528750</v>
      </c>
      <c r="S1129" s="253">
        <v>26561870</v>
      </c>
      <c r="T1129" s="253">
        <v>26561870</v>
      </c>
      <c r="U1129" s="253">
        <v>26747007</v>
      </c>
      <c r="V1129" s="253">
        <v>26198813</v>
      </c>
      <c r="W1129" s="253">
        <v>24980617</v>
      </c>
      <c r="X1129" s="253">
        <v>24673470</v>
      </c>
      <c r="Y1129" s="253">
        <v>25265373</v>
      </c>
      <c r="Z1129" s="245">
        <f ca="1">[1]ExtEntry!$Q31</f>
        <v>25265373</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4"/>
        <v>MSFT</v>
      </c>
    </row>
    <row r="1130" spans="1:50" hidden="1">
      <c r="A1130" s="86" t="str">
        <f t="shared" ca="1" si="93"/>
        <v>NEE</v>
      </c>
      <c r="C1130" s="1">
        <v>32</v>
      </c>
      <c r="F1130" s="253">
        <v>10158500</v>
      </c>
      <c r="G1130" s="253">
        <v>9848349</v>
      </c>
      <c r="H1130" s="253">
        <v>9726195</v>
      </c>
      <c r="I1130" s="253">
        <v>9198639</v>
      </c>
      <c r="J1130" s="253">
        <v>9248660</v>
      </c>
      <c r="K1130" s="253">
        <v>9334594</v>
      </c>
      <c r="L1130" s="253">
        <v>9409398</v>
      </c>
      <c r="M1130" s="253">
        <v>9514728</v>
      </c>
      <c r="N1130" s="253">
        <v>10054265</v>
      </c>
      <c r="O1130" s="253">
        <v>10054265</v>
      </c>
      <c r="P1130" s="253">
        <v>9947937</v>
      </c>
      <c r="Q1130" s="253">
        <v>9887638</v>
      </c>
      <c r="R1130" s="253">
        <v>9957119</v>
      </c>
      <c r="S1130" s="253">
        <v>9490955</v>
      </c>
      <c r="T1130" s="253">
        <v>9490955</v>
      </c>
      <c r="U1130" s="253">
        <v>9315637</v>
      </c>
      <c r="V1130" s="253">
        <v>9347964</v>
      </c>
      <c r="W1130" s="253">
        <v>9720112</v>
      </c>
      <c r="X1130" s="253">
        <v>9930203</v>
      </c>
      <c r="Y1130" s="253">
        <v>10204867</v>
      </c>
      <c r="Z1130" s="245">
        <f ca="1">[1]ExtEntry!$Q32</f>
        <v>10204867</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4"/>
        <v>NEE</v>
      </c>
    </row>
    <row r="1131" spans="1:50" hidden="1">
      <c r="A1131" s="86" t="str">
        <f t="shared" ca="1" si="93"/>
        <v>NEM</v>
      </c>
      <c r="C1131" s="1">
        <v>33</v>
      </c>
      <c r="F1131" s="253">
        <v>12229601</v>
      </c>
      <c r="G1131" s="253">
        <v>12124628</v>
      </c>
      <c r="H1131" s="253">
        <v>12027100</v>
      </c>
      <c r="I1131" s="253">
        <v>12075417</v>
      </c>
      <c r="J1131" s="253">
        <v>12061107</v>
      </c>
      <c r="K1131" s="253">
        <v>12009695</v>
      </c>
      <c r="L1131" s="253">
        <v>11924308</v>
      </c>
      <c r="M1131" s="253">
        <v>11900792</v>
      </c>
      <c r="N1131" s="253">
        <v>11360489</v>
      </c>
      <c r="O1131" s="253">
        <v>11360489</v>
      </c>
      <c r="P1131" s="253">
        <v>11017013</v>
      </c>
      <c r="Q1131" s="253">
        <v>10619611</v>
      </c>
      <c r="R1131" s="253">
        <v>10073122</v>
      </c>
      <c r="S1131" s="253">
        <v>9490266</v>
      </c>
      <c r="T1131" s="253">
        <v>9490266</v>
      </c>
      <c r="U1131" s="253">
        <v>9305580</v>
      </c>
      <c r="V1131" s="253">
        <v>9153231</v>
      </c>
      <c r="W1131" s="253">
        <v>8990878</v>
      </c>
      <c r="X1131" s="253">
        <v>9007153</v>
      </c>
      <c r="Y1131" s="253">
        <v>9136224</v>
      </c>
      <c r="Z1131" s="245">
        <f ca="1">[1]ExtEntry!$Q33</f>
        <v>9136224</v>
      </c>
      <c r="AB1131" s="316">
        <v>-194268.58435999986</v>
      </c>
      <c r="AC1131" s="316">
        <v>-194268.58435999986</v>
      </c>
      <c r="AD1131" s="316">
        <v>-194268.58435999986</v>
      </c>
      <c r="AE1131" s="316">
        <v>-194268.58435999986</v>
      </c>
      <c r="AF1131" s="316">
        <v>-194268.58435999986</v>
      </c>
      <c r="AG1131" s="316">
        <v>-195520.70554199984</v>
      </c>
      <c r="AH1131" s="316">
        <v>-195520.70554199984</v>
      </c>
      <c r="AI1131" s="316">
        <v>-195520.70554199984</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-14230.573541999853</v>
      </c>
      <c r="AR1131" s="316">
        <v>-14230.573541999853</v>
      </c>
      <c r="AS1131" s="316">
        <v>-14230.573541999853</v>
      </c>
      <c r="AT1131" s="316">
        <v>-14230.573541999853</v>
      </c>
      <c r="AU1131" s="316">
        <v>0</v>
      </c>
      <c r="AV1131" s="316">
        <f ca="1">Calc!BH33</f>
        <v>0</v>
      </c>
      <c r="AX1131" s="86" t="str">
        <f t="shared" ca="1" si="94"/>
        <v>NEM</v>
      </c>
    </row>
    <row r="1132" spans="1:50" hidden="1">
      <c r="A1132" s="86" t="str">
        <f t="shared" ca="1" si="93"/>
        <v>NFLX</v>
      </c>
      <c r="C1132" s="1">
        <v>34</v>
      </c>
      <c r="F1132" s="253">
        <v>4473466</v>
      </c>
      <c r="G1132" s="253">
        <v>4451214</v>
      </c>
      <c r="H1132" s="253">
        <v>4409922</v>
      </c>
      <c r="I1132" s="253">
        <v>4559840</v>
      </c>
      <c r="J1132" s="253">
        <v>45849775</v>
      </c>
      <c r="K1132" s="253">
        <v>46642419</v>
      </c>
      <c r="L1132" s="253">
        <v>47107065</v>
      </c>
      <c r="M1132" s="253">
        <v>47450760</v>
      </c>
      <c r="N1132" s="253">
        <v>47641073</v>
      </c>
      <c r="O1132" s="253">
        <v>47641073</v>
      </c>
      <c r="P1132" s="253">
        <v>42843504</v>
      </c>
      <c r="Q1132" s="253">
        <v>40704479</v>
      </c>
      <c r="R1132" s="253">
        <v>39288205</v>
      </c>
      <c r="S1132" s="253">
        <v>38442278</v>
      </c>
      <c r="T1132" s="253">
        <v>38442278</v>
      </c>
      <c r="U1132" s="253">
        <v>38977654</v>
      </c>
      <c r="V1132" s="253">
        <v>39689025</v>
      </c>
      <c r="W1132" s="253">
        <v>44649979</v>
      </c>
      <c r="X1132" s="253">
        <v>44374427</v>
      </c>
      <c r="Y1132" s="253">
        <v>45790886</v>
      </c>
      <c r="Z1132" s="245">
        <f ca="1">[1]ExtEntry!$Q34</f>
        <v>45790886</v>
      </c>
      <c r="AB1132" s="316">
        <v>-258382.25</v>
      </c>
      <c r="AC1132" s="316">
        <v>-258382.25</v>
      </c>
      <c r="AD1132" s="316">
        <v>-258382.25</v>
      </c>
      <c r="AE1132" s="316">
        <v>-258382.25</v>
      </c>
      <c r="AF1132" s="316">
        <v>-258382.24999999977</v>
      </c>
      <c r="AG1132" s="316">
        <v>-263153.43462599954</v>
      </c>
      <c r="AH1132" s="316">
        <v>-284354.41422599973</v>
      </c>
      <c r="AI1132" s="316">
        <v>-284354.41422599973</v>
      </c>
      <c r="AJ1132" s="316">
        <v>-472726.91262599966</v>
      </c>
      <c r="AK1132" s="316">
        <v>-472726.91262599966</v>
      </c>
      <c r="AL1132" s="316">
        <v>-472726.91262599966</v>
      </c>
      <c r="AM1132" s="316">
        <v>-472726.91262599966</v>
      </c>
      <c r="AN1132" s="316">
        <v>-472726.91262599966</v>
      </c>
      <c r="AO1132" s="316">
        <v>-472726.91262599966</v>
      </c>
      <c r="AP1132" s="316">
        <v>-472726.91262599966</v>
      </c>
      <c r="AQ1132" s="316">
        <v>-472726.91262599966</v>
      </c>
      <c r="AR1132" s="316">
        <v>-573869.2006259996</v>
      </c>
      <c r="AS1132" s="316">
        <v>-766133.79222599952</v>
      </c>
      <c r="AT1132" s="316">
        <v>-858854.24022599938</v>
      </c>
      <c r="AU1132" s="316">
        <v>-858854.24022599938</v>
      </c>
      <c r="AV1132" s="316">
        <f ca="1">Calc!BH34</f>
        <v>-858854.24022599938</v>
      </c>
      <c r="AX1132" s="86" t="str">
        <f t="shared" ca="1" si="94"/>
        <v>NFLX</v>
      </c>
    </row>
    <row r="1133" spans="1:50" hidden="1">
      <c r="A1133" s="86" t="str">
        <f t="shared" ca="1" si="93"/>
        <v>NOTE</v>
      </c>
      <c r="C1133" s="1">
        <v>35</v>
      </c>
      <c r="F1133" s="253">
        <v>240977</v>
      </c>
      <c r="G1133" s="253">
        <v>253936</v>
      </c>
      <c r="H1133" s="253">
        <v>258326</v>
      </c>
      <c r="I1133" s="253">
        <v>243597</v>
      </c>
      <c r="J1133" s="253">
        <v>239510</v>
      </c>
      <c r="K1133" s="253">
        <v>248951</v>
      </c>
      <c r="L1133" s="253">
        <v>245749</v>
      </c>
      <c r="M1133" s="253">
        <v>238785</v>
      </c>
      <c r="N1133" s="253">
        <v>237034</v>
      </c>
      <c r="O1133" s="253">
        <v>237034</v>
      </c>
      <c r="P1133" s="253">
        <v>233580</v>
      </c>
      <c r="Q1133" s="253">
        <v>231525</v>
      </c>
      <c r="R1133" s="253">
        <v>232122</v>
      </c>
      <c r="S1133" s="253">
        <v>237812</v>
      </c>
      <c r="T1133" s="253">
        <v>237812</v>
      </c>
      <c r="U1133" s="253">
        <v>243713</v>
      </c>
      <c r="V1133" s="253">
        <v>247500</v>
      </c>
      <c r="W1133" s="253">
        <v>255878</v>
      </c>
      <c r="X1133" s="253">
        <v>260244</v>
      </c>
      <c r="Y1133" s="253">
        <v>259253</v>
      </c>
      <c r="Z1133" s="245">
        <f ca="1">[1]ExtEntry!$Q35</f>
        <v>259253</v>
      </c>
      <c r="AB1133" s="316">
        <v>-215812.54749999999</v>
      </c>
      <c r="AC1133" s="316">
        <v>-215812.54749999999</v>
      </c>
      <c r="AD1133" s="316">
        <v>-215812.54749999999</v>
      </c>
      <c r="AE1133" s="316">
        <v>-225011.62749999997</v>
      </c>
      <c r="AF1133" s="316">
        <v>-225011.62749999997</v>
      </c>
      <c r="AG1133" s="316">
        <v>-225689.71906349994</v>
      </c>
      <c r="AH1133" s="316">
        <v>-225689.71906349994</v>
      </c>
      <c r="AI1133" s="316">
        <v>-225689.71906349994</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-264228.76984715997</v>
      </c>
      <c r="AT1133" s="316">
        <v>-264228.76984715997</v>
      </c>
      <c r="AU1133" s="316">
        <v>-264228.77084975998</v>
      </c>
      <c r="AV1133" s="316">
        <f ca="1">Calc!BH35</f>
        <v>-264228.77084975998</v>
      </c>
      <c r="AX1133" s="86" t="str">
        <f t="shared" ca="1" si="94"/>
        <v>NOTE</v>
      </c>
    </row>
    <row r="1134" spans="1:50" hidden="1">
      <c r="A1134" s="86" t="str">
        <f t="shared" ca="1" si="93"/>
        <v>PAAS</v>
      </c>
      <c r="C1134" s="1">
        <v>36</v>
      </c>
      <c r="F1134" s="253">
        <v>6293308</v>
      </c>
      <c r="G1134" s="253">
        <v>6216462</v>
      </c>
      <c r="H1134" s="253">
        <v>6119969</v>
      </c>
      <c r="I1134" s="253">
        <v>6238119</v>
      </c>
      <c r="J1134" s="253">
        <v>6117687</v>
      </c>
      <c r="K1134" s="253">
        <v>5954868</v>
      </c>
      <c r="L1134" s="253">
        <v>5869370</v>
      </c>
      <c r="M1134" s="253">
        <v>5781022</v>
      </c>
      <c r="N1134" s="253">
        <v>5344852</v>
      </c>
      <c r="O1134" s="253">
        <v>5344852</v>
      </c>
      <c r="P1134" s="253">
        <v>5385431</v>
      </c>
      <c r="Q1134" s="253">
        <v>5534527</v>
      </c>
      <c r="R1134" s="253">
        <v>5771134</v>
      </c>
      <c r="S1134" s="253">
        <v>5756304</v>
      </c>
      <c r="T1134" s="253">
        <v>5756304</v>
      </c>
      <c r="U1134" s="253">
        <v>5723383</v>
      </c>
      <c r="V1134" s="253">
        <v>5648575</v>
      </c>
      <c r="W1134" s="253">
        <v>5563559</v>
      </c>
      <c r="X1134" s="253">
        <v>6068775</v>
      </c>
      <c r="Y1134" s="253">
        <v>6189808</v>
      </c>
      <c r="Z1134" s="245">
        <f ca="1">[1]ExtEntry!$Q36</f>
        <v>6189808</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4"/>
        <v>PAAS</v>
      </c>
    </row>
    <row r="1135" spans="1:50" hidden="1">
      <c r="A1135" s="86" t="str">
        <f t="shared" ca="1" si="93"/>
        <v>PROF</v>
      </c>
      <c r="C1135" s="1">
        <v>37</v>
      </c>
      <c r="F1135" s="253">
        <v>73240</v>
      </c>
      <c r="G1135" s="253">
        <v>73206</v>
      </c>
      <c r="H1135" s="253">
        <v>70048</v>
      </c>
      <c r="I1135" s="253">
        <v>57673</v>
      </c>
      <c r="J1135" s="253">
        <v>73893</v>
      </c>
      <c r="K1135" s="253">
        <v>74913</v>
      </c>
      <c r="L1135" s="253">
        <v>74743</v>
      </c>
      <c r="M1135" s="253">
        <v>75222</v>
      </c>
      <c r="N1135" s="253">
        <v>85070</v>
      </c>
      <c r="O1135" s="253">
        <v>85070</v>
      </c>
      <c r="P1135" s="253">
        <v>84537</v>
      </c>
      <c r="Q1135" s="253">
        <v>86239</v>
      </c>
      <c r="R1135" s="253">
        <v>83071</v>
      </c>
      <c r="S1135" s="253">
        <v>84081</v>
      </c>
      <c r="T1135" s="253">
        <v>84081</v>
      </c>
      <c r="U1135" s="253">
        <v>87797</v>
      </c>
      <c r="V1135" s="253">
        <v>88017</v>
      </c>
      <c r="W1135" s="253">
        <v>89571</v>
      </c>
      <c r="X1135" s="253">
        <v>94089</v>
      </c>
      <c r="Y1135" s="253">
        <v>95521</v>
      </c>
      <c r="Z1135" s="245">
        <f ca="1">[1]ExtEntry!$Q37</f>
        <v>95521</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4"/>
        <v>PROF</v>
      </c>
    </row>
    <row r="1136" spans="1:50" hidden="1">
      <c r="A1136" s="86" t="str">
        <f t="shared" ca="1" si="93"/>
        <v>POET</v>
      </c>
      <c r="C1136" s="1">
        <v>38</v>
      </c>
      <c r="F1136" s="253">
        <v>17757191</v>
      </c>
      <c r="G1136" s="253">
        <v>17892776</v>
      </c>
      <c r="H1136" s="253">
        <v>18205429</v>
      </c>
      <c r="I1136" s="253">
        <v>14505830</v>
      </c>
      <c r="J1136" s="253">
        <v>13263993</v>
      </c>
      <c r="K1136" s="253">
        <v>12743854</v>
      </c>
      <c r="L1136" s="253">
        <v>12162014</v>
      </c>
      <c r="M1136" s="253">
        <v>11991369</v>
      </c>
      <c r="N1136" s="253">
        <v>11318688</v>
      </c>
      <c r="O1136" s="253">
        <v>11318688</v>
      </c>
      <c r="P1136" s="253">
        <v>10511173</v>
      </c>
      <c r="Q1136" s="253">
        <v>10210033</v>
      </c>
      <c r="R1136" s="253">
        <v>9559309</v>
      </c>
      <c r="S1136" s="253">
        <v>8933201</v>
      </c>
      <c r="T1136" s="253">
        <v>8933201</v>
      </c>
      <c r="U1136" s="253">
        <v>9363677</v>
      </c>
      <c r="V1136" s="253">
        <v>9267088</v>
      </c>
      <c r="W1136" s="253">
        <v>9112530</v>
      </c>
      <c r="X1136" s="253">
        <v>8866989</v>
      </c>
      <c r="Y1136" s="253">
        <v>8702132</v>
      </c>
      <c r="Z1136" s="245">
        <f ca="1">[1]ExtEntry!$Q38</f>
        <v>8702132</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4"/>
        <v>POET</v>
      </c>
    </row>
    <row r="1137" spans="1:50" hidden="1">
      <c r="A1137" s="86" t="str">
        <f t="shared" ca="1" si="93"/>
        <v>PW</v>
      </c>
      <c r="C1137" s="1">
        <v>39</v>
      </c>
      <c r="F1137" s="253">
        <v>89296</v>
      </c>
      <c r="G1137" s="253">
        <v>89784</v>
      </c>
      <c r="H1137" s="253">
        <v>88719</v>
      </c>
      <c r="I1137" s="253">
        <v>86138</v>
      </c>
      <c r="J1137" s="253">
        <v>100655</v>
      </c>
      <c r="K1137" s="253">
        <v>100784</v>
      </c>
      <c r="L1137" s="253">
        <v>102445</v>
      </c>
      <c r="M1137" s="253">
        <v>102659</v>
      </c>
      <c r="N1137" s="253">
        <v>119877</v>
      </c>
      <c r="O1137" s="253">
        <v>119877</v>
      </c>
      <c r="P1137" s="253">
        <v>1524309</v>
      </c>
      <c r="Q1137" s="253">
        <v>1552354</v>
      </c>
      <c r="R1137" s="253">
        <v>1555186</v>
      </c>
      <c r="S1137" s="253">
        <v>1568864</v>
      </c>
      <c r="T1137" s="253">
        <v>1568864</v>
      </c>
      <c r="U1137" s="253">
        <v>1573557</v>
      </c>
      <c r="V1137" s="253">
        <v>1572894</v>
      </c>
      <c r="W1137" s="253">
        <v>1564332</v>
      </c>
      <c r="X1137" s="253">
        <v>1572425</v>
      </c>
      <c r="Y1137" s="253">
        <v>1572942</v>
      </c>
      <c r="Z1137" s="245">
        <f ca="1">[1]ExtEntry!$Q39</f>
        <v>1572942</v>
      </c>
      <c r="AB1137" s="316">
        <v>-4984.5907899999966</v>
      </c>
      <c r="AC1137" s="316">
        <v>-4984.5907899999966</v>
      </c>
      <c r="AD1137" s="316">
        <v>-4984.5907899999966</v>
      </c>
      <c r="AE1137" s="316">
        <v>-4984.5907899999966</v>
      </c>
      <c r="AF1137" s="316">
        <v>-4984.5907899999966</v>
      </c>
      <c r="AG1137" s="316">
        <v>-5022.317161799996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4"/>
        <v>PW</v>
      </c>
    </row>
    <row r="1138" spans="1:50" hidden="1">
      <c r="A1138" s="86" t="str">
        <f t="shared" ca="1" si="93"/>
        <v>RIGL</v>
      </c>
      <c r="C1138" s="1">
        <v>40</v>
      </c>
      <c r="F1138" s="253">
        <v>490204</v>
      </c>
      <c r="G1138" s="253">
        <v>565303</v>
      </c>
      <c r="H1138" s="253">
        <v>576881</v>
      </c>
      <c r="I1138" s="253">
        <v>597328</v>
      </c>
      <c r="J1138" s="253">
        <v>606637</v>
      </c>
      <c r="K1138" s="253">
        <v>628696</v>
      </c>
      <c r="L1138" s="253">
        <v>655141</v>
      </c>
      <c r="M1138" s="253">
        <v>669253</v>
      </c>
      <c r="N1138" s="253">
        <v>705015</v>
      </c>
      <c r="O1138" s="253">
        <v>705015</v>
      </c>
      <c r="P1138" s="253">
        <v>699814</v>
      </c>
      <c r="Q1138" s="253">
        <v>692939</v>
      </c>
      <c r="R1138" s="253">
        <v>704586</v>
      </c>
      <c r="S1138" s="253">
        <v>716950</v>
      </c>
      <c r="T1138" s="253">
        <v>716950</v>
      </c>
      <c r="U1138" s="253">
        <v>725571</v>
      </c>
      <c r="V1138" s="253">
        <v>730916</v>
      </c>
      <c r="W1138" s="253">
        <v>750073</v>
      </c>
      <c r="X1138" s="253">
        <v>741916</v>
      </c>
      <c r="Y1138" s="253">
        <v>722028</v>
      </c>
      <c r="Z1138" s="245">
        <f ca="1">[1]ExtEntry!$Q40</f>
        <v>722028</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4"/>
        <v>RIGL</v>
      </c>
    </row>
    <row r="1139" spans="1:50" hidden="1">
      <c r="A1139" s="86" t="str">
        <f t="shared" ca="1" si="93"/>
        <v>RWE</v>
      </c>
      <c r="C1139" s="1">
        <v>41</v>
      </c>
      <c r="F1139" s="253">
        <v>1735050</v>
      </c>
      <c r="G1139" s="253">
        <v>1790580</v>
      </c>
      <c r="H1139" s="253">
        <v>1843470</v>
      </c>
      <c r="I1139" s="253">
        <v>2210040</v>
      </c>
      <c r="J1139" s="253">
        <v>2359920</v>
      </c>
      <c r="K1139" s="253">
        <v>2359920</v>
      </c>
      <c r="L1139" s="253">
        <v>2309790</v>
      </c>
      <c r="M1139" s="253">
        <v>2262230</v>
      </c>
      <c r="N1139" s="253">
        <v>2459260</v>
      </c>
      <c r="O1139" s="253">
        <v>2011250</v>
      </c>
      <c r="P1139" s="253">
        <v>2011250</v>
      </c>
      <c r="Q1139" s="253">
        <v>1804980</v>
      </c>
      <c r="R1139" s="253">
        <v>1804980</v>
      </c>
      <c r="S1139" s="253">
        <v>1817170</v>
      </c>
      <c r="T1139" s="253">
        <v>1817170</v>
      </c>
      <c r="U1139" s="253">
        <v>1745300</v>
      </c>
      <c r="V1139" s="253">
        <v>1782360</v>
      </c>
      <c r="W1139" s="253">
        <v>1733080</v>
      </c>
      <c r="X1139" s="253">
        <v>1498510</v>
      </c>
      <c r="Y1139" s="253">
        <v>1461610</v>
      </c>
      <c r="Z1139" s="245">
        <f ca="1">[1]ExtEntry!$Q41</f>
        <v>1461610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4"/>
        <v>RWE</v>
      </c>
    </row>
    <row r="1140" spans="1:50" hidden="1">
      <c r="A1140" s="86" t="str">
        <f t="shared" ca="1" si="93"/>
        <v>SAP</v>
      </c>
      <c r="C1140" s="1">
        <v>42</v>
      </c>
      <c r="F1140" s="253">
        <v>1560890</v>
      </c>
      <c r="G1140" s="253">
        <v>1480040</v>
      </c>
      <c r="H1140" s="253">
        <v>1289070</v>
      </c>
      <c r="I1140" s="253">
        <v>1128920</v>
      </c>
      <c r="J1140" s="253">
        <v>1251770</v>
      </c>
      <c r="K1140" s="253">
        <v>1251770</v>
      </c>
      <c r="L1140" s="253">
        <v>1288900</v>
      </c>
      <c r="M1140" s="253">
        <v>1311760</v>
      </c>
      <c r="N1140" s="253">
        <v>1447090</v>
      </c>
      <c r="O1140" s="253">
        <v>1485260</v>
      </c>
      <c r="P1140" s="253">
        <v>1436450</v>
      </c>
      <c r="Q1140" s="253">
        <v>1308110</v>
      </c>
      <c r="R1140" s="253">
        <v>1281640</v>
      </c>
      <c r="S1140" s="253">
        <v>1281640</v>
      </c>
      <c r="T1140" s="253">
        <v>1236480</v>
      </c>
      <c r="U1140" s="253">
        <v>1236480</v>
      </c>
      <c r="V1140" s="253">
        <v>1285770</v>
      </c>
      <c r="W1140" s="253">
        <v>1236200</v>
      </c>
      <c r="X1140" s="253">
        <v>1027350</v>
      </c>
      <c r="Y1140" s="253">
        <v>1031000</v>
      </c>
      <c r="Z1140" s="245">
        <f ca="1">[1]ExtEntry!$Q42</f>
        <v>1031000</v>
      </c>
      <c r="AB1140" s="316">
        <v>-688430.08507000015</v>
      </c>
      <c r="AC1140" s="316">
        <v>-688430.08507000015</v>
      </c>
      <c r="AD1140" s="316">
        <v>-688430.08507000015</v>
      </c>
      <c r="AE1140" s="316">
        <v>-688430.08507000015</v>
      </c>
      <c r="AF1140" s="316">
        <v>-688430.08507000015</v>
      </c>
      <c r="AG1140" s="316">
        <v>-690583.83673500014</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4"/>
        <v>SAP</v>
      </c>
    </row>
    <row r="1141" spans="1:50" hidden="1">
      <c r="A1141" s="86" t="str">
        <f t="shared" ca="1" si="93"/>
        <v>SHECY</v>
      </c>
      <c r="C1141" s="1">
        <v>43</v>
      </c>
      <c r="F1141" s="253">
        <v>7234540</v>
      </c>
      <c r="G1141" s="253">
        <v>7448330</v>
      </c>
      <c r="H1141" s="253">
        <v>7897470</v>
      </c>
      <c r="I1141" s="253">
        <v>6821190</v>
      </c>
      <c r="J1141" s="253">
        <v>5702700</v>
      </c>
      <c r="K1141" s="253">
        <v>5702700</v>
      </c>
      <c r="L1141" s="253">
        <v>5738190</v>
      </c>
      <c r="M1141" s="253">
        <v>5354200</v>
      </c>
      <c r="N1141" s="253">
        <v>5945880</v>
      </c>
      <c r="O1141" s="253">
        <v>6247770</v>
      </c>
      <c r="P1141" s="253">
        <v>6467150</v>
      </c>
      <c r="Q1141" s="253">
        <v>6181090</v>
      </c>
      <c r="R1141" s="253">
        <v>6181090</v>
      </c>
      <c r="S1141" s="253">
        <v>6111320</v>
      </c>
      <c r="T1141" s="253">
        <v>6111320</v>
      </c>
      <c r="U1141" s="253">
        <v>6281010</v>
      </c>
      <c r="V1141" s="253">
        <v>6195120</v>
      </c>
      <c r="W1141" s="253">
        <v>6224720</v>
      </c>
      <c r="X1141" s="253">
        <v>5261740</v>
      </c>
      <c r="Y1141" s="253">
        <v>5261740</v>
      </c>
      <c r="Z1141" s="245">
        <f ca="1">[1]ExtEntry!$Q43</f>
        <v>5261740</v>
      </c>
      <c r="AB1141" s="316">
        <v>-165819.87420400005</v>
      </c>
      <c r="AC1141" s="316">
        <v>-165819.87420400005</v>
      </c>
      <c r="AD1141" s="316">
        <v>-165819.87420400005</v>
      </c>
      <c r="AE1141" s="316">
        <v>-165819.87420400005</v>
      </c>
      <c r="AF1141" s="316">
        <v>-165819.87420400005</v>
      </c>
      <c r="AG1141" s="316">
        <v>-166616.39923200005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4"/>
        <v>SHECY</v>
      </c>
    </row>
    <row r="1142" spans="1:50" hidden="1">
      <c r="A1142" s="86" t="str">
        <f t="shared" ca="1" si="93"/>
        <v>SSYS</v>
      </c>
      <c r="C1142" s="1">
        <v>44</v>
      </c>
      <c r="F1142" s="253">
        <v>974898</v>
      </c>
      <c r="G1142" s="253">
        <v>976227</v>
      </c>
      <c r="H1142" s="253">
        <v>975678</v>
      </c>
      <c r="I1142" s="253">
        <v>991203</v>
      </c>
      <c r="J1142" s="253">
        <v>1019105</v>
      </c>
      <c r="K1142" s="253">
        <v>1018400</v>
      </c>
      <c r="L1142" s="253">
        <v>1010293</v>
      </c>
      <c r="M1142" s="253">
        <v>992756</v>
      </c>
      <c r="N1142" s="253">
        <v>833632</v>
      </c>
      <c r="O1142" s="253">
        <v>833632</v>
      </c>
      <c r="P1142" s="253">
        <v>776956</v>
      </c>
      <c r="Q1142" s="253">
        <v>715770</v>
      </c>
      <c r="R1142" s="253">
        <v>706154</v>
      </c>
      <c r="S1142" s="253">
        <v>691692</v>
      </c>
      <c r="T1142" s="253">
        <v>691692</v>
      </c>
      <c r="U1142" s="253">
        <v>681545</v>
      </c>
      <c r="V1142" s="253">
        <v>679174</v>
      </c>
      <c r="W1142" s="253">
        <v>665692</v>
      </c>
      <c r="X1142" s="253">
        <v>666927</v>
      </c>
      <c r="Y1142" s="253">
        <v>654219</v>
      </c>
      <c r="Z1142" s="245">
        <f ca="1">[1]ExtEntry!$Q44</f>
        <v>654219</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4"/>
        <v>SSYS</v>
      </c>
    </row>
    <row r="1143" spans="1:50" hidden="1">
      <c r="A1143" s="86" t="str">
        <f t="shared" ca="1" si="93"/>
        <v>TSLA</v>
      </c>
      <c r="C1143" s="1">
        <v>45</v>
      </c>
      <c r="F1143" s="253">
        <v>88177870</v>
      </c>
      <c r="G1143" s="253">
        <v>87675899</v>
      </c>
      <c r="H1143" s="253">
        <v>86580458</v>
      </c>
      <c r="I1143" s="253">
        <v>84846097</v>
      </c>
      <c r="J1143" s="253">
        <v>85488509</v>
      </c>
      <c r="K1143" s="253">
        <v>85809277</v>
      </c>
      <c r="L1143" s="253">
        <v>85828858</v>
      </c>
      <c r="M1143" s="253">
        <v>87283215</v>
      </c>
      <c r="N1143" s="253">
        <v>89752012</v>
      </c>
      <c r="O1143" s="253">
        <v>89752012</v>
      </c>
      <c r="P1143" s="253">
        <v>88929593</v>
      </c>
      <c r="Q1143" s="253">
        <v>85311314</v>
      </c>
      <c r="R1143" s="253">
        <v>83820745</v>
      </c>
      <c r="S1143" s="253">
        <v>82359508</v>
      </c>
      <c r="T1143" s="253">
        <v>82359508</v>
      </c>
      <c r="U1143" s="253">
        <v>82651400</v>
      </c>
      <c r="V1143" s="253">
        <v>82808318</v>
      </c>
      <c r="W1143" s="253">
        <v>81608700</v>
      </c>
      <c r="X1143" s="253">
        <v>80719588</v>
      </c>
      <c r="Y1143" s="253">
        <v>79739621</v>
      </c>
      <c r="Z1143" s="245">
        <f ca="1">[1]ExtEntry!$Q45</f>
        <v>79739621</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4"/>
        <v>TSLA</v>
      </c>
    </row>
    <row r="1144" spans="1:50" hidden="1">
      <c r="A1144" s="86" t="str">
        <f t="shared" ca="1" si="93"/>
        <v>TSM</v>
      </c>
      <c r="C1144" s="1">
        <v>46</v>
      </c>
      <c r="F1144" s="253">
        <v>14758602</v>
      </c>
      <c r="G1144" s="253">
        <v>14593897</v>
      </c>
      <c r="H1144" s="253">
        <v>14646653</v>
      </c>
      <c r="I1144" s="253">
        <v>14537657</v>
      </c>
      <c r="J1144" s="253">
        <v>13657565</v>
      </c>
      <c r="K1144" s="253">
        <v>13468865</v>
      </c>
      <c r="L1144" s="253">
        <v>13084511</v>
      </c>
      <c r="M1144" s="253">
        <v>12660746</v>
      </c>
      <c r="N1144" s="253">
        <v>12898926</v>
      </c>
      <c r="O1144" s="253">
        <v>12898926</v>
      </c>
      <c r="P1144" s="253">
        <v>12771372</v>
      </c>
      <c r="Q1144" s="253">
        <v>12576793</v>
      </c>
      <c r="R1144" s="253">
        <v>12535432</v>
      </c>
      <c r="S1144" s="253">
        <v>12420686</v>
      </c>
      <c r="T1144" s="253">
        <v>12420686</v>
      </c>
      <c r="U1144" s="253">
        <v>12332487</v>
      </c>
      <c r="V1144" s="253">
        <v>11955515</v>
      </c>
      <c r="W1144" s="253">
        <v>11945254</v>
      </c>
      <c r="X1144" s="253">
        <v>11900553</v>
      </c>
      <c r="Y1144" s="253">
        <v>11748747</v>
      </c>
      <c r="Z1144" s="245">
        <f ca="1">[1]ExtEntry!$Q46</f>
        <v>11748747</v>
      </c>
      <c r="AB1144" s="316">
        <v>-269031.07799999998</v>
      </c>
      <c r="AC1144" s="316">
        <v>-182376.07799999998</v>
      </c>
      <c r="AD1144" s="316">
        <v>-182376.07799999998</v>
      </c>
      <c r="AE1144" s="316">
        <v>-182376.07799999998</v>
      </c>
      <c r="AF1144" s="316">
        <v>-182376.07799999998</v>
      </c>
      <c r="AG1144" s="316">
        <v>-183371.60780279996</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4"/>
        <v>TSM</v>
      </c>
    </row>
    <row r="1145" spans="1:50" hidden="1">
      <c r="A1145" s="86" t="str">
        <f t="shared" ca="1" si="93"/>
        <v>UN0</v>
      </c>
      <c r="C1145" s="1">
        <v>47</v>
      </c>
      <c r="F1145" s="253">
        <v>5390</v>
      </c>
      <c r="G1145" s="253">
        <v>5390</v>
      </c>
      <c r="H1145" s="253">
        <v>5290</v>
      </c>
      <c r="I1145" s="253">
        <v>4260</v>
      </c>
      <c r="J1145" s="253">
        <v>4450</v>
      </c>
      <c r="K1145" s="253">
        <v>4450</v>
      </c>
      <c r="L1145" s="253">
        <v>4610</v>
      </c>
      <c r="M1145" s="253">
        <v>4590</v>
      </c>
      <c r="N1145" s="253">
        <v>3550</v>
      </c>
      <c r="O1145" s="253">
        <v>4020</v>
      </c>
      <c r="P1145" s="253">
        <v>4020</v>
      </c>
      <c r="Q1145" s="253">
        <v>4490</v>
      </c>
      <c r="R1145" s="253">
        <v>4490</v>
      </c>
      <c r="S1145" s="253">
        <v>4150</v>
      </c>
      <c r="T1145" s="253">
        <v>4150</v>
      </c>
      <c r="U1145" s="253">
        <v>4480</v>
      </c>
      <c r="V1145" s="253">
        <v>4390</v>
      </c>
      <c r="W1145" s="253">
        <v>4380</v>
      </c>
      <c r="X1145" s="253">
        <v>4820</v>
      </c>
      <c r="Y1145" s="253">
        <v>5300</v>
      </c>
      <c r="Z1145" s="245">
        <f ca="1">[1]ExtEntry!$Q47</f>
        <v>5300</v>
      </c>
      <c r="AB1145" s="316">
        <v>-104308.77060000002</v>
      </c>
      <c r="AC1145" s="316">
        <v>-104308.77060000002</v>
      </c>
      <c r="AD1145" s="316">
        <v>-104308.77060000002</v>
      </c>
      <c r="AE1145" s="316">
        <v>-104308.77060000002</v>
      </c>
      <c r="AF1145" s="316">
        <v>-104308.77060000002</v>
      </c>
      <c r="AG1145" s="316">
        <v>-105060.64430700001</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4"/>
        <v>UN0</v>
      </c>
    </row>
    <row r="1146" spans="1:50" hidden="1">
      <c r="A1146" s="86" t="str">
        <f t="shared" ca="1" si="93"/>
        <v>UNIT</v>
      </c>
      <c r="C1146" s="1">
        <v>48</v>
      </c>
      <c r="F1146" s="253">
        <v>2533146</v>
      </c>
      <c r="G1146" s="253">
        <v>2631658</v>
      </c>
      <c r="H1146" s="253">
        <v>2656875</v>
      </c>
      <c r="I1146" s="253">
        <v>2760223</v>
      </c>
      <c r="J1146" s="253">
        <v>2735779</v>
      </c>
      <c r="K1146" s="253">
        <v>2731638</v>
      </c>
      <c r="L1146" s="253">
        <v>2732849</v>
      </c>
      <c r="M1146" s="253">
        <v>2736673</v>
      </c>
      <c r="N1146" s="253">
        <v>2599989</v>
      </c>
      <c r="O1146" s="253">
        <v>2599989</v>
      </c>
      <c r="P1146" s="253">
        <v>2655232</v>
      </c>
      <c r="Q1146" s="253">
        <v>2588950</v>
      </c>
      <c r="R1146" s="253">
        <v>2556972</v>
      </c>
      <c r="S1146" s="253">
        <v>2604198</v>
      </c>
      <c r="T1146" s="253">
        <v>2604198</v>
      </c>
      <c r="U1146" s="253">
        <v>2576143</v>
      </c>
      <c r="V1146" s="253">
        <v>2619662</v>
      </c>
      <c r="W1146" s="253">
        <v>2588698</v>
      </c>
      <c r="X1146" s="253">
        <v>2478888</v>
      </c>
      <c r="Y1146" s="253">
        <v>2414218</v>
      </c>
      <c r="Z1146" s="245">
        <f ca="1">[1]ExtEntry!$Q48</f>
        <v>2414218</v>
      </c>
      <c r="AB1146" s="316">
        <v>-6487.836000000003</v>
      </c>
      <c r="AC1146" s="316">
        <v>-6487.836000000003</v>
      </c>
      <c r="AD1146" s="316">
        <v>-6487.836000000003</v>
      </c>
      <c r="AE1146" s="316">
        <v>-6487.836000000003</v>
      </c>
      <c r="AF1146" s="316">
        <v>-6487.836000000003</v>
      </c>
      <c r="AG1146" s="316">
        <v>-6662.7782999999981</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4"/>
        <v>UNIT</v>
      </c>
    </row>
    <row r="1147" spans="1:50" hidden="1">
      <c r="A1147" s="86" t="str">
        <f t="shared" ca="1" si="93"/>
        <v>VLVLY</v>
      </c>
      <c r="C1147" s="1">
        <v>49</v>
      </c>
      <c r="F1147" s="253">
        <v>2301540</v>
      </c>
      <c r="G1147" s="253">
        <v>2147170</v>
      </c>
      <c r="H1147" s="253">
        <v>2092400</v>
      </c>
      <c r="I1147" s="253">
        <v>2324080</v>
      </c>
      <c r="J1147" s="253">
        <v>2501110</v>
      </c>
      <c r="K1147" s="253">
        <v>2501110</v>
      </c>
      <c r="L1147" s="253">
        <v>2660240</v>
      </c>
      <c r="M1147" s="253">
        <v>2784110</v>
      </c>
      <c r="N1147" s="253">
        <v>3166100</v>
      </c>
      <c r="O1147" s="253">
        <v>3379950</v>
      </c>
      <c r="P1147" s="253">
        <v>3446090</v>
      </c>
      <c r="Q1147" s="253">
        <v>3547710</v>
      </c>
      <c r="R1147" s="253">
        <v>3547710</v>
      </c>
      <c r="S1147" s="253">
        <v>3494650</v>
      </c>
      <c r="T1147" s="253">
        <v>3494650</v>
      </c>
      <c r="U1147" s="253">
        <v>3251690</v>
      </c>
      <c r="V1147" s="253">
        <v>3092340</v>
      </c>
      <c r="W1147" s="253">
        <v>3222000</v>
      </c>
      <c r="X1147" s="253">
        <v>2855570</v>
      </c>
      <c r="Y1147" s="253">
        <v>2790120</v>
      </c>
      <c r="Z1147" s="245">
        <f ca="1">[1]ExtEntry!$Q49</f>
        <v>2790120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4"/>
        <v>VLVLY</v>
      </c>
    </row>
    <row r="1148" spans="1:50" hidden="1">
      <c r="A1148" s="86" t="str">
        <f t="shared" ca="1" si="93"/>
        <v>VONN</v>
      </c>
      <c r="C1148" s="1">
        <v>50</v>
      </c>
      <c r="F1148" s="253">
        <v>41580</v>
      </c>
      <c r="G1148" s="253">
        <v>41580</v>
      </c>
      <c r="H1148" s="253">
        <v>39360</v>
      </c>
      <c r="I1148" s="253">
        <v>38430</v>
      </c>
      <c r="J1148" s="253">
        <v>36500</v>
      </c>
      <c r="K1148" s="253">
        <v>36500</v>
      </c>
      <c r="L1148" s="253">
        <v>35270</v>
      </c>
      <c r="M1148" s="253">
        <v>36760</v>
      </c>
      <c r="N1148" s="253">
        <v>38570</v>
      </c>
      <c r="O1148" s="253">
        <v>38180</v>
      </c>
      <c r="P1148" s="253">
        <v>38390</v>
      </c>
      <c r="Q1148" s="253">
        <v>39530</v>
      </c>
      <c r="R1148" s="253">
        <v>39530</v>
      </c>
      <c r="S1148" s="253">
        <v>40500</v>
      </c>
      <c r="T1148" s="253">
        <v>40500</v>
      </c>
      <c r="U1148" s="253">
        <v>39720</v>
      </c>
      <c r="V1148" s="253">
        <v>38560</v>
      </c>
      <c r="W1148" s="253">
        <v>39740</v>
      </c>
      <c r="X1148" s="253">
        <v>37190</v>
      </c>
      <c r="Y1148" s="253">
        <v>35730</v>
      </c>
      <c r="Z1148" s="245">
        <f ca="1">[1]ExtEntry!$Q50</f>
        <v>35730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4"/>
        <v>VONN</v>
      </c>
    </row>
    <row r="1149" spans="1:50" hidden="1">
      <c r="A1149" s="86" t="str">
        <f t="shared" ca="1" si="93"/>
        <v>VTRS</v>
      </c>
      <c r="C1149" s="1">
        <v>51</v>
      </c>
      <c r="F1149" s="253">
        <v>7520058</v>
      </c>
      <c r="G1149" s="253">
        <v>7853557</v>
      </c>
      <c r="H1149" s="253">
        <v>8281876</v>
      </c>
      <c r="I1149" s="253">
        <v>8898749</v>
      </c>
      <c r="J1149" s="253">
        <v>8822870</v>
      </c>
      <c r="K1149" s="253">
        <v>8873274</v>
      </c>
      <c r="L1149" s="253">
        <v>8901482</v>
      </c>
      <c r="M1149" s="253">
        <v>9002116</v>
      </c>
      <c r="N1149" s="253">
        <v>9326415</v>
      </c>
      <c r="O1149" s="253">
        <v>9326415</v>
      </c>
      <c r="P1149" s="253">
        <v>9290648</v>
      </c>
      <c r="Q1149" s="253">
        <v>9188262</v>
      </c>
      <c r="R1149" s="253">
        <v>9242239</v>
      </c>
      <c r="S1149" s="253">
        <v>9377315</v>
      </c>
      <c r="T1149" s="253">
        <v>9377315</v>
      </c>
      <c r="U1149" s="253">
        <v>9313720</v>
      </c>
      <c r="V1149" s="253">
        <v>9137134</v>
      </c>
      <c r="W1149" s="253">
        <v>8950344</v>
      </c>
      <c r="X1149" s="253">
        <v>9009359</v>
      </c>
      <c r="Y1149" s="253">
        <v>9000912</v>
      </c>
      <c r="Z1149" s="245">
        <f ca="1">[1]ExtEntry!$Q51</f>
        <v>9000912</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4"/>
        <v>VTRS</v>
      </c>
    </row>
    <row r="1150" spans="1:50" hidden="1">
      <c r="A1150" s="86" t="str">
        <f t="shared" ca="1" si="93"/>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-20647.368945000002</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4"/>
        <v>WBA</v>
      </c>
    </row>
    <row r="1151" spans="1:50" hidden="1">
      <c r="A1151" s="86" t="str">
        <f t="shared" ca="1" si="93"/>
        <v>XOM</v>
      </c>
      <c r="C1151" s="1">
        <v>53</v>
      </c>
      <c r="F1151" s="253">
        <v>12711598</v>
      </c>
      <c r="G1151" s="253">
        <v>12543075</v>
      </c>
      <c r="H1151" s="253">
        <v>12589358</v>
      </c>
      <c r="I1151" s="253">
        <v>13276551</v>
      </c>
      <c r="J1151" s="253">
        <v>13636193</v>
      </c>
      <c r="K1151" s="253">
        <v>13821847</v>
      </c>
      <c r="L1151" s="253">
        <v>13971300</v>
      </c>
      <c r="M1151" s="253">
        <v>14076052</v>
      </c>
      <c r="N1151" s="253">
        <v>14714094</v>
      </c>
      <c r="O1151" s="253">
        <v>14714094</v>
      </c>
      <c r="P1151" s="253">
        <v>14662566</v>
      </c>
      <c r="Q1151" s="253">
        <v>14352155</v>
      </c>
      <c r="R1151" s="253">
        <v>14461703</v>
      </c>
      <c r="S1151" s="253">
        <v>14606995</v>
      </c>
      <c r="T1151" s="253">
        <v>14606995</v>
      </c>
      <c r="U1151" s="253">
        <v>14898351</v>
      </c>
      <c r="V1151" s="253">
        <v>14943004</v>
      </c>
      <c r="W1151" s="253">
        <v>14584394</v>
      </c>
      <c r="X1151" s="253">
        <v>15044414</v>
      </c>
      <c r="Y1151" s="253">
        <v>15163792</v>
      </c>
      <c r="Z1151" s="245">
        <f ca="1">[1]ExtEntry!$Q53</f>
        <v>15163792</v>
      </c>
      <c r="AB1151" s="316">
        <v>-28317.154799999997</v>
      </c>
      <c r="AC1151" s="316">
        <v>-28317.154799999997</v>
      </c>
      <c r="AD1151" s="316">
        <v>-28317.154799999997</v>
      </c>
      <c r="AE1151" s="316">
        <v>-28317.154799999997</v>
      </c>
      <c r="AF1151" s="316">
        <v>-28317.154799999997</v>
      </c>
      <c r="AG1151" s="316">
        <v>-28442.659139999996</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4"/>
        <v>XOM</v>
      </c>
    </row>
    <row r="1152" spans="1:50" hidden="1">
      <c r="A1152" s="86" t="str">
        <f t="shared" ca="1" si="93"/>
        <v>XPER</v>
      </c>
      <c r="C1152" s="1">
        <v>54</v>
      </c>
      <c r="F1152" s="253">
        <v>470271</v>
      </c>
      <c r="G1152" s="253">
        <v>481064</v>
      </c>
      <c r="H1152" s="253">
        <v>484403</v>
      </c>
      <c r="I1152" s="253">
        <v>482471</v>
      </c>
      <c r="J1152" s="253">
        <v>487884</v>
      </c>
      <c r="K1152" s="253">
        <v>487218</v>
      </c>
      <c r="L1152" s="253">
        <v>497049</v>
      </c>
      <c r="M1152" s="253">
        <v>502111</v>
      </c>
      <c r="N1152" s="253">
        <v>511781</v>
      </c>
      <c r="O1152" s="253">
        <v>511781</v>
      </c>
      <c r="P1152" s="253">
        <v>509664</v>
      </c>
      <c r="Q1152" s="253">
        <v>500049</v>
      </c>
      <c r="R1152" s="253">
        <v>520495</v>
      </c>
      <c r="S1152" s="253">
        <v>519955</v>
      </c>
      <c r="T1152" s="253">
        <v>519955</v>
      </c>
      <c r="U1152" s="253">
        <v>518254</v>
      </c>
      <c r="V1152" s="253">
        <v>513067</v>
      </c>
      <c r="W1152" s="253">
        <v>507770</v>
      </c>
      <c r="X1152" s="253">
        <v>504562</v>
      </c>
      <c r="Y1152" s="253">
        <v>503984</v>
      </c>
      <c r="Z1152" s="245">
        <f ca="1">[1]ExtEntry!$Q54</f>
        <v>503984</v>
      </c>
      <c r="AB1152" s="316">
        <v>-66980.447801999995</v>
      </c>
      <c r="AC1152" s="316">
        <v>-66980.447801999995</v>
      </c>
      <c r="AD1152" s="316">
        <v>-66980.447801999995</v>
      </c>
      <c r="AE1152" s="316">
        <v>-66980.447801999995</v>
      </c>
      <c r="AF1152" s="316">
        <v>-66980.447801999995</v>
      </c>
      <c r="AG1152" s="316">
        <v>-67298.923439999984</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4"/>
        <v>XPER</v>
      </c>
    </row>
    <row r="1153" spans="1:50" hidden="1">
      <c r="A1153" s="86" t="str">
        <f t="shared" ca="1" si="93"/>
        <v>MVEALDNE</v>
      </c>
      <c r="C1153" s="1">
        <v>55</v>
      </c>
      <c r="F1153" s="253">
        <v>6780</v>
      </c>
      <c r="G1153" s="253">
        <v>6780</v>
      </c>
      <c r="H1153" s="253">
        <v>6470</v>
      </c>
      <c r="I1153" s="253">
        <v>6080</v>
      </c>
      <c r="J1153" s="253">
        <v>6820</v>
      </c>
      <c r="K1153" s="253">
        <v>6820</v>
      </c>
      <c r="L1153" s="253">
        <v>6010</v>
      </c>
      <c r="M1153" s="253">
        <v>6390</v>
      </c>
      <c r="N1153" s="253">
        <v>9970</v>
      </c>
      <c r="O1153" s="253">
        <v>11730</v>
      </c>
      <c r="P1153" s="253">
        <v>11730</v>
      </c>
      <c r="Q1153" s="253">
        <v>11870</v>
      </c>
      <c r="R1153" s="253">
        <v>11870</v>
      </c>
      <c r="S1153" s="253">
        <v>12380</v>
      </c>
      <c r="T1153" s="253">
        <v>12380</v>
      </c>
      <c r="U1153" s="253">
        <v>12270</v>
      </c>
      <c r="V1153" s="253">
        <v>11740</v>
      </c>
      <c r="W1153" s="253">
        <v>9060</v>
      </c>
      <c r="X1153" s="253">
        <v>9230</v>
      </c>
      <c r="Y1153" s="253">
        <v>8930</v>
      </c>
      <c r="Z1153" s="245">
        <f ca="1">[1]ExtEntry!$Q55</f>
        <v>8930</v>
      </c>
      <c r="AB1153" s="316">
        <v>-175036.84277200006</v>
      </c>
      <c r="AC1153" s="316">
        <v>-175036.84277200006</v>
      </c>
      <c r="AD1153" s="316">
        <v>-175036.84277200006</v>
      </c>
      <c r="AE1153" s="316">
        <v>-175036.84277200006</v>
      </c>
      <c r="AF1153" s="316">
        <v>-175036.84277200006</v>
      </c>
      <c r="AG1153" s="316">
        <v>-176696.74724439246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4"/>
        <v>MVEALDNE</v>
      </c>
    </row>
    <row r="1154" spans="1:50" hidden="1">
      <c r="A1154" s="86" t="str">
        <f t="shared" ca="1" si="93"/>
        <v>MVEDDD</v>
      </c>
      <c r="C1154" s="1">
        <v>56</v>
      </c>
      <c r="F1154" s="253">
        <v>4450047</v>
      </c>
      <c r="G1154" s="253">
        <v>4543958</v>
      </c>
      <c r="H1154" s="253">
        <v>4513661</v>
      </c>
      <c r="I1154" s="253">
        <v>4033910</v>
      </c>
      <c r="J1154" s="253">
        <v>3760873</v>
      </c>
      <c r="K1154" s="253">
        <v>3699877</v>
      </c>
      <c r="L1154" s="253">
        <v>3671487</v>
      </c>
      <c r="M1154" s="253">
        <v>3597281</v>
      </c>
      <c r="N1154" s="253">
        <v>3259135</v>
      </c>
      <c r="O1154" s="253">
        <v>3259135</v>
      </c>
      <c r="P1154" s="253">
        <v>3119017</v>
      </c>
      <c r="Q1154" s="253">
        <v>3038524</v>
      </c>
      <c r="R1154" s="253">
        <v>2965305</v>
      </c>
      <c r="S1154" s="253">
        <v>2799130</v>
      </c>
      <c r="T1154" s="253">
        <v>2799130</v>
      </c>
      <c r="U1154" s="253">
        <v>2621476</v>
      </c>
      <c r="V1154" s="253">
        <v>2562157</v>
      </c>
      <c r="W1154" s="253">
        <v>2358455</v>
      </c>
      <c r="X1154" s="253">
        <v>2902021</v>
      </c>
      <c r="Y1154" s="253">
        <v>2976675</v>
      </c>
      <c r="Z1154" s="245">
        <f ca="1">[1]ExtEntry!$Q56</f>
        <v>2976675</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4"/>
        <v>MVEDDD</v>
      </c>
    </row>
    <row r="1155" spans="1:50" hidden="1">
      <c r="A1155" s="86" t="str">
        <f t="shared" ca="1" si="93"/>
        <v>MVEDSY</v>
      </c>
      <c r="C1155" s="1">
        <v>57</v>
      </c>
      <c r="F1155" s="253">
        <v>2619000</v>
      </c>
      <c r="G1155" s="253">
        <v>2619000</v>
      </c>
      <c r="H1155" s="253">
        <v>2566620</v>
      </c>
      <c r="I1155" s="253">
        <v>1854740</v>
      </c>
      <c r="J1155" s="253">
        <v>1917280</v>
      </c>
      <c r="K1155" s="253">
        <v>1917280</v>
      </c>
      <c r="L1155" s="253">
        <v>1999200</v>
      </c>
      <c r="M1155" s="253">
        <v>2187590</v>
      </c>
      <c r="N1155" s="253">
        <v>2455090</v>
      </c>
      <c r="O1155" s="253">
        <v>2541180</v>
      </c>
      <c r="P1155" s="253">
        <v>2541180</v>
      </c>
      <c r="Q1155" s="253">
        <v>2388280</v>
      </c>
      <c r="R1155" s="253">
        <v>2388280</v>
      </c>
      <c r="S1155" s="253">
        <v>2438590</v>
      </c>
      <c r="T1155" s="253">
        <v>2438590</v>
      </c>
      <c r="U1155" s="253">
        <v>2478700</v>
      </c>
      <c r="V1155" s="253">
        <v>2427950</v>
      </c>
      <c r="W1155" s="253">
        <v>2302990</v>
      </c>
      <c r="X1155" s="253">
        <v>2076480</v>
      </c>
      <c r="Y1155" s="253">
        <v>2028040</v>
      </c>
      <c r="Z1155" s="245">
        <f ca="1">[1]ExtEntry!$Q57</f>
        <v>2028040</v>
      </c>
      <c r="AB1155" s="316">
        <v>-311318.59600000002</v>
      </c>
      <c r="AC1155" s="316">
        <v>-311318.59600000002</v>
      </c>
      <c r="AD1155" s="316">
        <v>-311318.59600000002</v>
      </c>
      <c r="AE1155" s="316">
        <v>-311318.59600000002</v>
      </c>
      <c r="AF1155" s="316">
        <v>-311318.59600000002</v>
      </c>
      <c r="AG1155" s="316">
        <v>-312357.4192296</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4"/>
        <v>MVEDSY</v>
      </c>
    </row>
    <row r="1156" spans="1:50" hidden="1">
      <c r="A1156" s="86" t="str">
        <f t="shared" ca="1" si="93"/>
        <v>MVEEOAN</v>
      </c>
      <c r="C1156" s="1">
        <v>58</v>
      </c>
      <c r="F1156" s="253">
        <v>2907640</v>
      </c>
      <c r="G1156" s="253">
        <v>2964880</v>
      </c>
      <c r="H1156" s="253">
        <v>2864900</v>
      </c>
      <c r="I1156" s="253">
        <v>4392490</v>
      </c>
      <c r="J1156" s="253">
        <v>4593700</v>
      </c>
      <c r="K1156" s="253">
        <v>4593700</v>
      </c>
      <c r="L1156" s="253">
        <v>4898240</v>
      </c>
      <c r="M1156" s="253">
        <v>4988260</v>
      </c>
      <c r="N1156" s="253">
        <v>5317710</v>
      </c>
      <c r="O1156" s="253">
        <v>4499960</v>
      </c>
      <c r="P1156" s="253">
        <v>4499960</v>
      </c>
      <c r="Q1156" s="253">
        <v>4103520</v>
      </c>
      <c r="R1156" s="253">
        <v>4103520</v>
      </c>
      <c r="S1156" s="253">
        <v>4136060</v>
      </c>
      <c r="T1156" s="253">
        <v>4136060</v>
      </c>
      <c r="U1156" s="253">
        <v>3880660</v>
      </c>
      <c r="V1156" s="253">
        <v>4077280</v>
      </c>
      <c r="W1156" s="253">
        <v>4099730</v>
      </c>
      <c r="X1156" s="253">
        <v>3687760</v>
      </c>
      <c r="Y1156" s="253">
        <v>3704520</v>
      </c>
      <c r="Z1156" s="245">
        <f ca="1">[1]ExtEntry!$Q58</f>
        <v>3704520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4"/>
        <v>MVEEOAN</v>
      </c>
    </row>
    <row r="1157" spans="1:50" hidden="1">
      <c r="A1157" s="86" t="str">
        <f t="shared" ca="1" si="93"/>
        <v>MVEENI</v>
      </c>
      <c r="C1157" s="1">
        <v>59</v>
      </c>
      <c r="F1157" s="253">
        <v>12662660</v>
      </c>
      <c r="G1157" s="253">
        <v>12931270</v>
      </c>
      <c r="H1157" s="253">
        <v>12415140</v>
      </c>
      <c r="I1157" s="253">
        <v>9296840</v>
      </c>
      <c r="J1157" s="253">
        <v>8728160</v>
      </c>
      <c r="K1157" s="253">
        <v>8728160</v>
      </c>
      <c r="L1157" s="253">
        <v>8564580</v>
      </c>
      <c r="M1157" s="253">
        <v>8610100</v>
      </c>
      <c r="N1157" s="253">
        <v>9535010</v>
      </c>
      <c r="O1157" s="253">
        <v>9080330</v>
      </c>
      <c r="P1157" s="253">
        <v>9080330</v>
      </c>
      <c r="Q1157" s="253">
        <v>8926760</v>
      </c>
      <c r="R1157" s="253">
        <v>8926760</v>
      </c>
      <c r="S1157" s="253">
        <v>8870440</v>
      </c>
      <c r="T1157" s="253">
        <v>8870440</v>
      </c>
      <c r="U1157" s="253">
        <v>8726070</v>
      </c>
      <c r="V1157" s="253">
        <v>8695110</v>
      </c>
      <c r="W1157" s="253">
        <v>8780540</v>
      </c>
      <c r="X1157" s="253">
        <v>7983880</v>
      </c>
      <c r="Y1157" s="253">
        <v>7709170</v>
      </c>
      <c r="Z1157" s="245">
        <f ca="1">[1]ExtEntry!$Q59</f>
        <v>7709170</v>
      </c>
      <c r="AB1157" s="316">
        <v>-342537.81440000009</v>
      </c>
      <c r="AC1157" s="316">
        <v>-342537.81440000009</v>
      </c>
      <c r="AD1157" s="316">
        <v>-342537.81440000009</v>
      </c>
      <c r="AE1157" s="316">
        <v>-342537.81440000009</v>
      </c>
      <c r="AF1157" s="316">
        <v>-342537.81440000009</v>
      </c>
      <c r="AG1157" s="316">
        <v>-343834.87437720003</v>
      </c>
      <c r="AH1157" s="316">
        <v>-343834.87437720003</v>
      </c>
      <c r="AI1157" s="316">
        <v>-343834.87437720003</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-279668.47437720007</v>
      </c>
      <c r="AT1157" s="316">
        <v>-279668.47437720007</v>
      </c>
      <c r="AU1157" s="316">
        <v>-279668.47437720007</v>
      </c>
      <c r="AV1157" s="316">
        <f ca="1">Calc!BH59</f>
        <v>-279668.47437720007</v>
      </c>
      <c r="AX1157" s="86" t="str">
        <f t="shared" ca="1" si="94"/>
        <v>MVEENI</v>
      </c>
    </row>
    <row r="1158" spans="1:50" hidden="1">
      <c r="A1158" s="86" t="str">
        <f t="shared" ca="1" si="93"/>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-17244.72</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4"/>
        <v>MVEEPIX</v>
      </c>
    </row>
    <row r="1159" spans="1:50" hidden="1">
      <c r="A1159" s="86" t="str">
        <f t="shared" ca="1" si="93"/>
        <v>MVEGLE</v>
      </c>
      <c r="C1159" s="1">
        <v>61</v>
      </c>
      <c r="F1159" s="253">
        <v>2049810</v>
      </c>
      <c r="G1159" s="253">
        <v>2071700</v>
      </c>
      <c r="H1159" s="253">
        <v>2071700</v>
      </c>
      <c r="I1159" s="253">
        <v>2149550</v>
      </c>
      <c r="J1159" s="253">
        <v>1810960</v>
      </c>
      <c r="K1159" s="253">
        <v>1810960</v>
      </c>
      <c r="L1159" s="253">
        <v>1899740</v>
      </c>
      <c r="M1159" s="253">
        <v>1948980</v>
      </c>
      <c r="N1159" s="253">
        <v>2441510</v>
      </c>
      <c r="O1159" s="253">
        <v>2558620</v>
      </c>
      <c r="P1159" s="253">
        <v>2494040</v>
      </c>
      <c r="Q1159" s="253">
        <v>2443820</v>
      </c>
      <c r="R1159" s="253">
        <v>2460520</v>
      </c>
      <c r="S1159" s="253">
        <v>2460520</v>
      </c>
      <c r="T1159" s="253">
        <v>2370380</v>
      </c>
      <c r="U1159" s="253">
        <v>2370380</v>
      </c>
      <c r="V1159" s="253">
        <v>2505050</v>
      </c>
      <c r="W1159" s="253">
        <v>2469580</v>
      </c>
      <c r="X1159" s="253">
        <v>1903580</v>
      </c>
      <c r="Y1159" s="253">
        <v>1745130</v>
      </c>
      <c r="Z1159" s="245">
        <f ca="1">[1]ExtEntry!$Q61</f>
        <v>1745130</v>
      </c>
      <c r="AB1159" s="316">
        <v>-52791.715800000035</v>
      </c>
      <c r="AC1159" s="316">
        <v>-52791.715800000035</v>
      </c>
      <c r="AD1159" s="316">
        <v>-52791.715800000035</v>
      </c>
      <c r="AE1159" s="316">
        <v>-52791.715800000035</v>
      </c>
      <c r="AF1159" s="316">
        <v>-52791.715800000035</v>
      </c>
      <c r="AG1159" s="316">
        <v>-53562.852270000003</v>
      </c>
      <c r="AH1159" s="316">
        <v>0</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4"/>
        <v>MVEGLE</v>
      </c>
    </row>
    <row r="1160" spans="1:50" hidden="1">
      <c r="A1160" s="86" t="str">
        <f t="shared" ca="1" si="93"/>
        <v>MVEORA</v>
      </c>
      <c r="C1160" s="1">
        <v>62</v>
      </c>
      <c r="F1160" s="253">
        <v>3610840</v>
      </c>
      <c r="G1160" s="253">
        <v>3590070</v>
      </c>
      <c r="H1160" s="253">
        <v>3489020</v>
      </c>
      <c r="I1160" s="253">
        <v>3331760</v>
      </c>
      <c r="J1160" s="253">
        <v>3328620</v>
      </c>
      <c r="K1160" s="253">
        <v>3328620</v>
      </c>
      <c r="L1160" s="253">
        <v>3527160</v>
      </c>
      <c r="M1160" s="253">
        <v>3618460</v>
      </c>
      <c r="N1160" s="253">
        <v>4137630</v>
      </c>
      <c r="O1160" s="253">
        <v>4240460</v>
      </c>
      <c r="P1160" s="253">
        <v>4240460</v>
      </c>
      <c r="Q1160" s="253">
        <v>3996520</v>
      </c>
      <c r="R1160" s="253">
        <v>3996520</v>
      </c>
      <c r="S1160" s="253">
        <v>4011680</v>
      </c>
      <c r="T1160" s="253">
        <v>3909340</v>
      </c>
      <c r="U1160" s="253">
        <v>3909340</v>
      </c>
      <c r="V1160" s="253">
        <v>3946370</v>
      </c>
      <c r="W1160" s="253">
        <v>3952870</v>
      </c>
      <c r="X1160" s="253">
        <v>3430250</v>
      </c>
      <c r="Y1160" s="253">
        <v>3430250</v>
      </c>
      <c r="Z1160" s="245">
        <f ca="1">[1]ExtEntry!$Q62</f>
        <v>3430250</v>
      </c>
      <c r="AB1160" s="316">
        <v>-99445.069680000001</v>
      </c>
      <c r="AC1160" s="316">
        <v>-99445.069680000001</v>
      </c>
      <c r="AD1160" s="316">
        <v>-99445.069680000001</v>
      </c>
      <c r="AE1160" s="316">
        <v>-99445.069680000001</v>
      </c>
      <c r="AF1160" s="316">
        <v>-99445.069680000001</v>
      </c>
      <c r="AG1160" s="316">
        <v>-99908.83934999998</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4"/>
        <v>MVEORA</v>
      </c>
    </row>
    <row r="1161" spans="1:50" hidden="1">
      <c r="A1161" s="86" t="str">
        <f t="shared" ca="1" si="93"/>
        <v>MVERWE</v>
      </c>
      <c r="C1161" s="1">
        <v>63</v>
      </c>
      <c r="F1161" s="253">
        <v>1735050</v>
      </c>
      <c r="G1161" s="253">
        <v>1790580</v>
      </c>
      <c r="H1161" s="253">
        <v>1843470</v>
      </c>
      <c r="I1161" s="253">
        <v>2210040</v>
      </c>
      <c r="J1161" s="253">
        <v>2359920</v>
      </c>
      <c r="K1161" s="253">
        <v>2359920</v>
      </c>
      <c r="L1161" s="253">
        <v>2309790</v>
      </c>
      <c r="M1161" s="253">
        <v>2262230</v>
      </c>
      <c r="N1161" s="253">
        <v>2459260</v>
      </c>
      <c r="O1161" s="253">
        <v>2011250</v>
      </c>
      <c r="P1161" s="253">
        <v>2011250</v>
      </c>
      <c r="Q1161" s="253">
        <v>1804980</v>
      </c>
      <c r="R1161" s="253">
        <v>1804980</v>
      </c>
      <c r="S1161" s="253">
        <v>1817170</v>
      </c>
      <c r="T1161" s="253">
        <v>1817170</v>
      </c>
      <c r="U1161" s="253">
        <v>1745300</v>
      </c>
      <c r="V1161" s="253">
        <v>1782360</v>
      </c>
      <c r="W1161" s="253">
        <v>1733080</v>
      </c>
      <c r="X1161" s="253">
        <v>1498510</v>
      </c>
      <c r="Y1161" s="253">
        <v>1461610</v>
      </c>
      <c r="Z1161" s="245">
        <f ca="1">[1]ExtEntry!$Q63</f>
        <v>1461610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4"/>
        <v>MVERWE</v>
      </c>
    </row>
    <row r="1162" spans="1:50" hidden="1">
      <c r="A1162" s="86" t="str">
        <f t="shared" ca="1" si="93"/>
        <v>MVESAP</v>
      </c>
      <c r="C1162" s="1">
        <v>64</v>
      </c>
      <c r="F1162" s="253">
        <v>1560890</v>
      </c>
      <c r="G1162" s="253">
        <v>1480040</v>
      </c>
      <c r="H1162" s="253">
        <v>1289070</v>
      </c>
      <c r="I1162" s="253">
        <v>1128920</v>
      </c>
      <c r="J1162" s="253">
        <v>1251770</v>
      </c>
      <c r="K1162" s="253">
        <v>1251770</v>
      </c>
      <c r="L1162" s="253">
        <v>1288900</v>
      </c>
      <c r="M1162" s="253">
        <v>1311760</v>
      </c>
      <c r="N1162" s="253">
        <v>1447090</v>
      </c>
      <c r="O1162" s="253">
        <v>1485260</v>
      </c>
      <c r="P1162" s="253">
        <v>1436450</v>
      </c>
      <c r="Q1162" s="253">
        <v>1308110</v>
      </c>
      <c r="R1162" s="253">
        <v>1281640</v>
      </c>
      <c r="S1162" s="253">
        <v>1281640</v>
      </c>
      <c r="T1162" s="253">
        <v>1236480</v>
      </c>
      <c r="U1162" s="253">
        <v>1236480</v>
      </c>
      <c r="V1162" s="253">
        <v>1285770</v>
      </c>
      <c r="W1162" s="253">
        <v>1236200</v>
      </c>
      <c r="X1162" s="253">
        <v>1027350</v>
      </c>
      <c r="Y1162" s="253">
        <v>1031000</v>
      </c>
      <c r="Z1162" s="245">
        <f ca="1">[1]ExtEntry!$Q64</f>
        <v>1031000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4"/>
        <v>MVESAP</v>
      </c>
    </row>
    <row r="1163" spans="1:50" hidden="1">
      <c r="A1163" s="86" t="str">
        <f t="shared" ca="1" si="93"/>
        <v>MVEUN0</v>
      </c>
      <c r="C1163" s="1">
        <v>65</v>
      </c>
      <c r="F1163" s="253">
        <v>5390</v>
      </c>
      <c r="G1163" s="253">
        <v>5390</v>
      </c>
      <c r="H1163" s="253">
        <v>5290</v>
      </c>
      <c r="I1163" s="253">
        <v>4260</v>
      </c>
      <c r="J1163" s="253">
        <v>4450</v>
      </c>
      <c r="K1163" s="253">
        <v>4450</v>
      </c>
      <c r="L1163" s="253">
        <v>4610</v>
      </c>
      <c r="M1163" s="253">
        <v>4590</v>
      </c>
      <c r="N1163" s="253">
        <v>3550</v>
      </c>
      <c r="O1163" s="253">
        <v>4020</v>
      </c>
      <c r="P1163" s="253">
        <v>4020</v>
      </c>
      <c r="Q1163" s="253">
        <v>4490</v>
      </c>
      <c r="R1163" s="253">
        <v>4490</v>
      </c>
      <c r="S1163" s="253">
        <v>4150</v>
      </c>
      <c r="T1163" s="253">
        <v>4150</v>
      </c>
      <c r="U1163" s="253">
        <v>4480</v>
      </c>
      <c r="V1163" s="253">
        <v>4390</v>
      </c>
      <c r="W1163" s="253">
        <v>4380</v>
      </c>
      <c r="X1163" s="253">
        <v>4820</v>
      </c>
      <c r="Y1163" s="253">
        <v>5300</v>
      </c>
      <c r="Z1163" s="245">
        <f ca="1">[1]ExtEntry!$Q65</f>
        <v>5300</v>
      </c>
      <c r="AB1163" s="316">
        <v>-13366.957104100002</v>
      </c>
      <c r="AC1163" s="316">
        <v>-13366.957104100002</v>
      </c>
      <c r="AD1163" s="316">
        <v>-13366.957104100002</v>
      </c>
      <c r="AE1163" s="316">
        <v>-13366.957104100002</v>
      </c>
      <c r="AF1163" s="316">
        <v>-13366.957104100002</v>
      </c>
      <c r="AG1163" s="316">
        <v>-13410.948042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4"/>
        <v>MVEUN0</v>
      </c>
    </row>
    <row r="1164" spans="1:50" hidden="1">
      <c r="A1164" s="86" t="str">
        <f t="shared" ca="1" si="93"/>
        <v>SAFAAPL</v>
      </c>
      <c r="C1164" s="1">
        <v>66</v>
      </c>
      <c r="F1164" s="253">
        <v>47864472</v>
      </c>
      <c r="G1164" s="253">
        <v>47663237</v>
      </c>
      <c r="H1164" s="253">
        <v>48006189</v>
      </c>
      <c r="I1164" s="253">
        <v>49332368</v>
      </c>
      <c r="J1164" s="253">
        <v>49024670</v>
      </c>
      <c r="K1164" s="253">
        <v>49432641</v>
      </c>
      <c r="L1164" s="253">
        <v>49693876</v>
      </c>
      <c r="M1164" s="253">
        <v>49935740</v>
      </c>
      <c r="N1164" s="253">
        <v>49343937</v>
      </c>
      <c r="O1164" s="253">
        <v>49343937</v>
      </c>
      <c r="P1164" s="253">
        <v>48880583</v>
      </c>
      <c r="Q1164" s="253">
        <v>48375811</v>
      </c>
      <c r="R1164" s="253">
        <v>48709171</v>
      </c>
      <c r="S1164" s="253">
        <v>49060426</v>
      </c>
      <c r="T1164" s="253">
        <v>49060426</v>
      </c>
      <c r="U1164" s="253">
        <v>49140583</v>
      </c>
      <c r="V1164" s="253">
        <v>48856676</v>
      </c>
      <c r="W1164" s="253">
        <v>46033636</v>
      </c>
      <c r="X1164" s="253">
        <v>45313583</v>
      </c>
      <c r="Y1164" s="253">
        <v>44664122</v>
      </c>
      <c r="Z1164" s="245">
        <f ca="1">[1]ExtEntry!$Q66</f>
        <v>44664122</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4"/>
        <v>SAFAAPL</v>
      </c>
    </row>
    <row r="1165" spans="1:50" hidden="1">
      <c r="A1165" s="86" t="str">
        <f t="shared" ca="1" si="93"/>
        <v>SAFAMZN</v>
      </c>
      <c r="C1165" s="1">
        <v>67</v>
      </c>
      <c r="F1165" s="253">
        <v>53776835</v>
      </c>
      <c r="G1165" s="253">
        <v>53643910</v>
      </c>
      <c r="H1165" s="253">
        <v>53833734</v>
      </c>
      <c r="I1165" s="253">
        <v>52529093</v>
      </c>
      <c r="J1165" s="253">
        <v>52077035</v>
      </c>
      <c r="K1165" s="253">
        <v>52674749</v>
      </c>
      <c r="L1165" s="253">
        <v>53171796</v>
      </c>
      <c r="M1165" s="253">
        <v>53487571</v>
      </c>
      <c r="N1165" s="253">
        <v>54560526</v>
      </c>
      <c r="O1165" s="253">
        <v>54560526</v>
      </c>
      <c r="P1165" s="253">
        <v>54328101</v>
      </c>
      <c r="Q1165" s="253">
        <v>53878194</v>
      </c>
      <c r="R1165" s="253">
        <v>54046950</v>
      </c>
      <c r="S1165" s="253">
        <v>54347685</v>
      </c>
      <c r="T1165" s="253">
        <v>54347685</v>
      </c>
      <c r="U1165" s="253">
        <v>53883486</v>
      </c>
      <c r="V1165" s="253">
        <v>53629369</v>
      </c>
      <c r="W1165" s="253">
        <v>45611081</v>
      </c>
      <c r="X1165" s="253">
        <v>42804838</v>
      </c>
      <c r="Y1165" s="253">
        <v>42294615</v>
      </c>
      <c r="Z1165" s="245">
        <f ca="1">[1]ExtEntry!$Q67</f>
        <v>42294615</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4"/>
        <v>SAFAMZN</v>
      </c>
    </row>
    <row r="1166" spans="1:50" hidden="1">
      <c r="A1166" s="86" t="str">
        <f t="shared" ref="A1166:A1194" ca="1" si="95">A70</f>
        <v>SAFASML</v>
      </c>
      <c r="C1166" s="1">
        <v>68</v>
      </c>
      <c r="F1166" s="253">
        <v>547460</v>
      </c>
      <c r="G1166" s="253">
        <v>553620</v>
      </c>
      <c r="H1166" s="253">
        <v>539670</v>
      </c>
      <c r="I1166" s="253">
        <v>546390</v>
      </c>
      <c r="J1166" s="253">
        <v>557280</v>
      </c>
      <c r="K1166" s="253">
        <v>557280</v>
      </c>
      <c r="L1166" s="253">
        <v>565440</v>
      </c>
      <c r="M1166" s="253">
        <v>556010</v>
      </c>
      <c r="N1166" s="253">
        <v>684710</v>
      </c>
      <c r="O1166" s="253">
        <v>706730</v>
      </c>
      <c r="P1166" s="253">
        <v>706730</v>
      </c>
      <c r="Q1166" s="253">
        <v>653900</v>
      </c>
      <c r="R1166" s="253">
        <v>671380</v>
      </c>
      <c r="S1166" s="253">
        <v>671380</v>
      </c>
      <c r="T1166" s="253">
        <v>670410</v>
      </c>
      <c r="U1166" s="253">
        <v>670410</v>
      </c>
      <c r="V1166" s="253">
        <v>672550</v>
      </c>
      <c r="W1166" s="253">
        <v>590580</v>
      </c>
      <c r="X1166" s="253">
        <v>497650</v>
      </c>
      <c r="Y1166" s="253">
        <v>479820</v>
      </c>
      <c r="Z1166" s="245">
        <f ca="1">[1]ExtEntry!$Q68</f>
        <v>479820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4"/>
        <v>SAFASML</v>
      </c>
    </row>
    <row r="1167" spans="1:50" hidden="1">
      <c r="A1167" s="86" t="str">
        <f t="shared" ca="1" si="95"/>
        <v>SAFDDD</v>
      </c>
      <c r="C1167" s="1">
        <v>69</v>
      </c>
      <c r="F1167" s="253">
        <v>4450047</v>
      </c>
      <c r="G1167" s="253">
        <v>4543958</v>
      </c>
      <c r="H1167" s="253">
        <v>4513661</v>
      </c>
      <c r="I1167" s="253">
        <v>4033910</v>
      </c>
      <c r="J1167" s="253">
        <v>3760873</v>
      </c>
      <c r="K1167" s="253">
        <v>3699877</v>
      </c>
      <c r="L1167" s="253">
        <v>3671487</v>
      </c>
      <c r="M1167" s="253">
        <v>3597281</v>
      </c>
      <c r="N1167" s="253">
        <v>3259135</v>
      </c>
      <c r="O1167" s="253">
        <v>3259135</v>
      </c>
      <c r="P1167" s="253">
        <v>3119017</v>
      </c>
      <c r="Q1167" s="253">
        <v>3038524</v>
      </c>
      <c r="R1167" s="253">
        <v>2965305</v>
      </c>
      <c r="S1167" s="253">
        <v>2799130</v>
      </c>
      <c r="T1167" s="253">
        <v>2799130</v>
      </c>
      <c r="U1167" s="253">
        <v>2621476</v>
      </c>
      <c r="V1167" s="253">
        <v>2562157</v>
      </c>
      <c r="W1167" s="253">
        <v>2358455</v>
      </c>
      <c r="X1167" s="253">
        <v>2902021</v>
      </c>
      <c r="Y1167" s="253">
        <v>2976675</v>
      </c>
      <c r="Z1167" s="245">
        <f ca="1">[1]ExtEntry!$Q69</f>
        <v>2976675</v>
      </c>
      <c r="AB1167" s="316">
        <v>-339799.7819</v>
      </c>
      <c r="AC1167" s="316">
        <v>-339799.7819</v>
      </c>
      <c r="AD1167" s="316">
        <v>-339799.7819</v>
      </c>
      <c r="AE1167" s="316">
        <v>-339799.7819</v>
      </c>
      <c r="AF1167" s="316">
        <v>-339799.7819</v>
      </c>
      <c r="AG1167" s="316">
        <v>-340793.18449199997</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4"/>
        <v>SAFDDD</v>
      </c>
    </row>
    <row r="1168" spans="1:50" hidden="1">
      <c r="A1168" s="86" t="str">
        <f t="shared" ca="1" si="95"/>
        <v>SAFDIS</v>
      </c>
      <c r="C1168" s="1">
        <v>70</v>
      </c>
      <c r="F1168" s="253">
        <v>7629637</v>
      </c>
      <c r="G1168" s="253">
        <v>7470025</v>
      </c>
      <c r="H1168" s="253">
        <v>7533891</v>
      </c>
      <c r="I1168" s="253">
        <v>9720774</v>
      </c>
      <c r="J1168" s="253">
        <v>10197474</v>
      </c>
      <c r="K1168" s="253">
        <v>10353403</v>
      </c>
      <c r="L1168" s="253">
        <v>10584501</v>
      </c>
      <c r="M1168" s="253">
        <v>10787648</v>
      </c>
      <c r="N1168" s="253">
        <v>11190990</v>
      </c>
      <c r="O1168" s="253">
        <v>11190990</v>
      </c>
      <c r="P1168" s="253">
        <v>11293429</v>
      </c>
      <c r="Q1168" s="253">
        <v>11276635</v>
      </c>
      <c r="R1168" s="253">
        <v>11532384</v>
      </c>
      <c r="S1168" s="253">
        <v>11633129</v>
      </c>
      <c r="T1168" s="253">
        <v>11633129</v>
      </c>
      <c r="U1168" s="253">
        <v>11766664</v>
      </c>
      <c r="V1168" s="253">
        <v>11941638</v>
      </c>
      <c r="W1168" s="253">
        <v>12237473</v>
      </c>
      <c r="X1168" s="253">
        <v>12237758</v>
      </c>
      <c r="Y1168" s="253">
        <v>12369271</v>
      </c>
      <c r="Z1168" s="245">
        <f ca="1">[1]ExtEntry!$Q70</f>
        <v>12369271</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4"/>
        <v>SAFDIS</v>
      </c>
    </row>
    <row r="1169" spans="1:50" hidden="1">
      <c r="A1169" s="86" t="str">
        <f t="shared" ca="1" si="95"/>
        <v>SAFGM</v>
      </c>
      <c r="C1169" s="1">
        <v>71</v>
      </c>
      <c r="F1169" s="253">
        <v>10651288</v>
      </c>
      <c r="G1169" s="253">
        <v>10639792</v>
      </c>
      <c r="H1169" s="253">
        <v>10498677</v>
      </c>
      <c r="I1169" s="253">
        <v>10411022</v>
      </c>
      <c r="J1169" s="253">
        <v>10638421</v>
      </c>
      <c r="K1169" s="253">
        <v>10521927</v>
      </c>
      <c r="L1169" s="253">
        <v>10625135</v>
      </c>
      <c r="M1169" s="253">
        <v>10758093</v>
      </c>
      <c r="N1169" s="253">
        <v>9752610</v>
      </c>
      <c r="O1169" s="253">
        <v>9752610</v>
      </c>
      <c r="P1169" s="253">
        <v>9307506</v>
      </c>
      <c r="Q1169" s="253">
        <v>8951818</v>
      </c>
      <c r="R1169" s="253">
        <v>8842053</v>
      </c>
      <c r="S1169" s="253">
        <v>8812010</v>
      </c>
      <c r="T1169" s="253">
        <v>8812010</v>
      </c>
      <c r="U1169" s="253">
        <v>8624815</v>
      </c>
      <c r="V1169" s="253">
        <v>8708142</v>
      </c>
      <c r="W1169" s="253">
        <v>8879455</v>
      </c>
      <c r="X1169" s="253">
        <v>8788168</v>
      </c>
      <c r="Y1169" s="253">
        <v>9025892</v>
      </c>
      <c r="Z1169" s="245">
        <f ca="1">[1]ExtEntry!$Q71</f>
        <v>9025892</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4"/>
        <v>SAFGM</v>
      </c>
    </row>
    <row r="1170" spans="1:50" hidden="1">
      <c r="A1170" s="86" t="str">
        <f t="shared" ca="1" si="95"/>
        <v>SAFIAG</v>
      </c>
      <c r="C1170" s="1">
        <v>72</v>
      </c>
      <c r="F1170" s="253">
        <v>11911510</v>
      </c>
      <c r="G1170" s="253">
        <v>12562640</v>
      </c>
      <c r="H1170" s="253">
        <v>13416260</v>
      </c>
      <c r="I1170" s="253">
        <v>19125750</v>
      </c>
      <c r="J1170" s="253">
        <v>20721960</v>
      </c>
      <c r="K1170" s="253">
        <v>20721960</v>
      </c>
      <c r="L1170" s="253">
        <v>22703920</v>
      </c>
      <c r="M1170" s="253">
        <v>23450410</v>
      </c>
      <c r="N1170" s="253">
        <v>17488240</v>
      </c>
      <c r="O1170" s="253">
        <v>16477970</v>
      </c>
      <c r="P1170" s="253">
        <v>16302150</v>
      </c>
      <c r="Q1170" s="253">
        <v>15972480</v>
      </c>
      <c r="R1170" s="253">
        <v>15309740</v>
      </c>
      <c r="S1170" s="253">
        <v>15309740</v>
      </c>
      <c r="T1170" s="253">
        <v>15006610</v>
      </c>
      <c r="U1170" s="253">
        <v>15006610</v>
      </c>
      <c r="V1170" s="253">
        <v>18478500</v>
      </c>
      <c r="W1170" s="253">
        <v>17561230</v>
      </c>
      <c r="X1170" s="253">
        <v>17663020</v>
      </c>
      <c r="Y1170" s="253">
        <v>18071670</v>
      </c>
      <c r="Z1170" s="245">
        <f ca="1">[1]ExtEntry!$Q72</f>
        <v>18071670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4"/>
        <v>SAFIAG</v>
      </c>
    </row>
    <row r="1171" spans="1:50" hidden="1">
      <c r="A1171" s="86" t="str">
        <f t="shared" ca="1" si="95"/>
        <v>SAFMRNA</v>
      </c>
      <c r="C1171" s="1">
        <v>73</v>
      </c>
      <c r="F1171" s="253">
        <v>11157159</v>
      </c>
      <c r="G1171" s="253">
        <v>10899842</v>
      </c>
      <c r="H1171" s="253">
        <v>11202589</v>
      </c>
      <c r="I1171" s="253">
        <v>11556520</v>
      </c>
      <c r="J1171" s="253">
        <v>11472975</v>
      </c>
      <c r="K1171" s="253">
        <v>11525715</v>
      </c>
      <c r="L1171" s="253">
        <v>11560564</v>
      </c>
      <c r="M1171" s="253">
        <v>11990010</v>
      </c>
      <c r="N1171" s="253">
        <v>12086790</v>
      </c>
      <c r="O1171" s="253">
        <v>12086790</v>
      </c>
      <c r="P1171" s="253">
        <v>12031737</v>
      </c>
      <c r="Q1171" s="253">
        <v>11854267</v>
      </c>
      <c r="R1171" s="253">
        <v>11978861</v>
      </c>
      <c r="S1171" s="253">
        <v>12124473</v>
      </c>
      <c r="T1171" s="253">
        <v>12124473</v>
      </c>
      <c r="U1171" s="253">
        <v>12082377</v>
      </c>
      <c r="V1171" s="253">
        <v>12073536</v>
      </c>
      <c r="W1171" s="253">
        <v>10597929</v>
      </c>
      <c r="X1171" s="253">
        <v>10477823</v>
      </c>
      <c r="Y1171" s="253">
        <v>10285607</v>
      </c>
      <c r="Z1171" s="245">
        <f ca="1">[1]ExtEntry!$Q73</f>
        <v>10285607</v>
      </c>
      <c r="AB1171" s="316">
        <v>-235077.74099999998</v>
      </c>
      <c r="AC1171" s="316">
        <v>-235077.74099999998</v>
      </c>
      <c r="AD1171" s="316">
        <v>-235077.74099999998</v>
      </c>
      <c r="AE1171" s="316">
        <v>-235077.74099999998</v>
      </c>
      <c r="AF1171" s="316">
        <v>-235077.74099999998</v>
      </c>
      <c r="AG1171" s="316">
        <v>-235853.62518959999</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6">A1171</f>
        <v>SAFMRNA</v>
      </c>
    </row>
    <row r="1172" spans="1:50" hidden="1">
      <c r="A1172" s="86" t="str">
        <f t="shared" ca="1" si="95"/>
        <v>BLNK</v>
      </c>
      <c r="C1172" s="1">
        <v>74</v>
      </c>
      <c r="F1172" s="253">
        <v>5997430</v>
      </c>
      <c r="G1172" s="253">
        <v>5891579</v>
      </c>
      <c r="H1172" s="253">
        <v>5845744</v>
      </c>
      <c r="I1172" s="253">
        <v>3690386</v>
      </c>
      <c r="J1172" s="253">
        <v>3279189</v>
      </c>
      <c r="K1172" s="253">
        <v>3136309</v>
      </c>
      <c r="L1172" s="253">
        <v>2968219</v>
      </c>
      <c r="M1172" s="253">
        <v>2791103</v>
      </c>
      <c r="N1172" s="253">
        <v>2677601</v>
      </c>
      <c r="O1172" s="253">
        <v>2677601</v>
      </c>
      <c r="P1172" s="253">
        <v>2569598</v>
      </c>
      <c r="Q1172" s="253">
        <v>2538001</v>
      </c>
      <c r="R1172" s="253">
        <v>2404270</v>
      </c>
      <c r="S1172" s="253">
        <v>2332188</v>
      </c>
      <c r="T1172" s="253">
        <v>2332188</v>
      </c>
      <c r="U1172" s="253">
        <v>2263848</v>
      </c>
      <c r="V1172" s="253">
        <v>2193018</v>
      </c>
      <c r="W1172" s="253">
        <v>2645301</v>
      </c>
      <c r="X1172" s="253">
        <v>2847381</v>
      </c>
      <c r="Y1172" s="253">
        <v>3744389</v>
      </c>
      <c r="Z1172" s="245">
        <f ca="1">[1]ExtEntry!$Q74</f>
        <v>3744389</v>
      </c>
      <c r="AB1172" s="316">
        <v>-232041.77000000002</v>
      </c>
      <c r="AC1172" s="316">
        <v>-232041.77000000002</v>
      </c>
      <c r="AD1172" s="316">
        <v>-232041.77000000002</v>
      </c>
      <c r="AE1172" s="316">
        <v>-232041.77000000002</v>
      </c>
      <c r="AF1172" s="316">
        <v>-232041.77000000002</v>
      </c>
      <c r="AG1172" s="316">
        <v>-233195.62631399999</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6"/>
        <v>BLNK</v>
      </c>
    </row>
    <row r="1173" spans="1:50" hidden="1">
      <c r="A1173" s="86" t="str">
        <f t="shared" ca="1" si="95"/>
        <v>ENI</v>
      </c>
      <c r="C1173" s="1">
        <v>75</v>
      </c>
      <c r="F1173" s="253">
        <v>12662660</v>
      </c>
      <c r="G1173" s="253">
        <v>12931270</v>
      </c>
      <c r="H1173" s="253">
        <v>12415140</v>
      </c>
      <c r="I1173" s="253">
        <v>9296840</v>
      </c>
      <c r="J1173" s="253">
        <v>8728160</v>
      </c>
      <c r="K1173" s="253">
        <v>8728160</v>
      </c>
      <c r="L1173" s="253">
        <v>8564580</v>
      </c>
      <c r="M1173" s="253">
        <v>8610100</v>
      </c>
      <c r="N1173" s="253">
        <v>9535010</v>
      </c>
      <c r="O1173" s="253">
        <v>9080330</v>
      </c>
      <c r="P1173" s="253">
        <v>9080330</v>
      </c>
      <c r="Q1173" s="253">
        <v>8926760</v>
      </c>
      <c r="R1173" s="253">
        <v>8926760</v>
      </c>
      <c r="S1173" s="253">
        <v>8870440</v>
      </c>
      <c r="T1173" s="253">
        <v>8870440</v>
      </c>
      <c r="U1173" s="253">
        <v>8726070</v>
      </c>
      <c r="V1173" s="253">
        <v>8695110</v>
      </c>
      <c r="W1173" s="253">
        <v>8780540</v>
      </c>
      <c r="X1173" s="253">
        <v>7983880</v>
      </c>
      <c r="Y1173" s="253">
        <v>7709170</v>
      </c>
      <c r="Z1173" s="245">
        <f ca="1">[1]ExtEntry!$Q75</f>
        <v>7709170</v>
      </c>
      <c r="AB1173" s="316">
        <v>-136678.81759999992</v>
      </c>
      <c r="AC1173" s="316">
        <v>-136678.81759999992</v>
      </c>
      <c r="AD1173" s="316">
        <v>-136678.81759999992</v>
      </c>
      <c r="AE1173" s="316">
        <v>-136678.81759999992</v>
      </c>
      <c r="AF1173" s="316">
        <v>-136678.81759999992</v>
      </c>
      <c r="AG1173" s="316">
        <v>-137294.50400639992</v>
      </c>
      <c r="AH1173" s="316">
        <v>-137294.50400639992</v>
      </c>
      <c r="AI1173" s="316">
        <v>-137294.50400639992</v>
      </c>
      <c r="AJ1173" s="316">
        <v>-105612.34400639992</v>
      </c>
      <c r="AK1173" s="316">
        <v>-105612.34400639992</v>
      </c>
      <c r="AL1173" s="316">
        <v>-105612.34400639992</v>
      </c>
      <c r="AM1173" s="316">
        <v>-105612.34400639992</v>
      </c>
      <c r="AN1173" s="316">
        <v>-105612.34400639992</v>
      </c>
      <c r="AO1173" s="316">
        <v>-23649.794006399912</v>
      </c>
      <c r="AP1173" s="316">
        <v>-23649.794006399912</v>
      </c>
      <c r="AQ1173" s="316">
        <v>-23649.794006399912</v>
      </c>
      <c r="AR1173" s="316">
        <v>-23649.794006399912</v>
      </c>
      <c r="AS1173" s="316">
        <v>-23649.794006399912</v>
      </c>
      <c r="AT1173" s="316">
        <v>-23649.794006399912</v>
      </c>
      <c r="AU1173" s="316">
        <v>-23649.794006399912</v>
      </c>
      <c r="AV1173" s="316">
        <f ca="1">Calc!BH75</f>
        <v>-23649.794006399912</v>
      </c>
      <c r="AX1173" s="86" t="str">
        <f t="shared" ca="1" si="96"/>
        <v>ENI</v>
      </c>
    </row>
    <row r="1174" spans="1:50" hidden="1">
      <c r="A1174" s="86" t="str">
        <f t="shared" ca="1" si="95"/>
        <v>EZJ</v>
      </c>
      <c r="C1174" s="1">
        <v>76</v>
      </c>
      <c r="F1174" s="253">
        <v>3502610</v>
      </c>
      <c r="G1174" s="253">
        <v>3389350</v>
      </c>
      <c r="H1174" s="253">
        <v>3367950</v>
      </c>
      <c r="I1174" s="253">
        <v>3964060</v>
      </c>
      <c r="J1174" s="253">
        <v>3394070</v>
      </c>
      <c r="K1174" s="253">
        <v>3394070</v>
      </c>
      <c r="L1174" s="253">
        <v>3296800</v>
      </c>
      <c r="M1174" s="253">
        <v>3947100</v>
      </c>
      <c r="N1174" s="253">
        <v>4001010</v>
      </c>
      <c r="O1174" s="253">
        <v>4150760</v>
      </c>
      <c r="P1174" s="253">
        <v>4150760</v>
      </c>
      <c r="Q1174" s="253">
        <v>4357340</v>
      </c>
      <c r="R1174" s="253">
        <v>4541220</v>
      </c>
      <c r="S1174" s="253">
        <v>4541220</v>
      </c>
      <c r="T1174" s="253">
        <v>4541220</v>
      </c>
      <c r="U1174" s="253">
        <v>5095360</v>
      </c>
      <c r="V1174" s="253">
        <v>4407530</v>
      </c>
      <c r="W1174" s="253">
        <v>4328980</v>
      </c>
      <c r="X1174" s="253">
        <v>4131010</v>
      </c>
      <c r="Y1174" s="253">
        <v>3578260</v>
      </c>
      <c r="Z1174" s="245">
        <f ca="1">[1]ExtEntry!$Q76</f>
        <v>3578260</v>
      </c>
      <c r="AB1174" s="316">
        <v>-7964.1062800000072</v>
      </c>
      <c r="AC1174" s="316">
        <v>-7964.1062800000072</v>
      </c>
      <c r="AD1174" s="316">
        <v>-7964.1062800000072</v>
      </c>
      <c r="AE1174" s="316">
        <v>-7964.1062800000072</v>
      </c>
      <c r="AF1174" s="316">
        <v>-7964.1062800000072</v>
      </c>
      <c r="AG1174" s="316">
        <v>-8244.777832199994</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6"/>
        <v>EZJ</v>
      </c>
    </row>
    <row r="1175" spans="1:50" hidden="1">
      <c r="A1175" s="86" t="str">
        <f t="shared" ca="1" si="95"/>
        <v>F</v>
      </c>
      <c r="C1175" s="1">
        <v>77</v>
      </c>
      <c r="F1175" s="253">
        <v>137175215</v>
      </c>
      <c r="G1175" s="253">
        <v>137397450</v>
      </c>
      <c r="H1175" s="253">
        <v>137707870</v>
      </c>
      <c r="I1175" s="253">
        <v>132132797</v>
      </c>
      <c r="J1175" s="253">
        <v>131444878</v>
      </c>
      <c r="K1175" s="253">
        <v>130688776</v>
      </c>
      <c r="L1175" s="253">
        <v>129115117</v>
      </c>
      <c r="M1175" s="253">
        <v>128601544</v>
      </c>
      <c r="N1175" s="253">
        <v>116489722</v>
      </c>
      <c r="O1175" s="253">
        <v>116489722</v>
      </c>
      <c r="P1175" s="253">
        <v>101684923</v>
      </c>
      <c r="Q1175" s="253">
        <v>83672758</v>
      </c>
      <c r="R1175" s="253">
        <v>73801842</v>
      </c>
      <c r="S1175" s="253">
        <v>70473150</v>
      </c>
      <c r="T1175" s="253">
        <v>70473150</v>
      </c>
      <c r="U1175" s="253">
        <v>68418198</v>
      </c>
      <c r="V1175" s="253">
        <v>65219901</v>
      </c>
      <c r="W1175" s="253">
        <v>63221977</v>
      </c>
      <c r="X1175" s="253">
        <v>61339200</v>
      </c>
      <c r="Y1175" s="253">
        <v>61413204</v>
      </c>
      <c r="Z1175" s="245">
        <f ca="1">[1]ExtEntry!$Q77</f>
        <v>61413204</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6"/>
        <v>F</v>
      </c>
    </row>
    <row r="1176" spans="1:50" hidden="1">
      <c r="A1176" s="86" t="str">
        <f t="shared" ca="1" si="95"/>
        <v>GLE</v>
      </c>
      <c r="C1176" s="1">
        <v>78</v>
      </c>
      <c r="F1176" s="253">
        <v>2049810</v>
      </c>
      <c r="G1176" s="253">
        <v>2071700</v>
      </c>
      <c r="H1176" s="253">
        <v>2071700</v>
      </c>
      <c r="I1176" s="253">
        <v>2149550</v>
      </c>
      <c r="J1176" s="253">
        <v>1810960</v>
      </c>
      <c r="K1176" s="253">
        <v>1810960</v>
      </c>
      <c r="L1176" s="253">
        <v>1899740</v>
      </c>
      <c r="M1176" s="253">
        <v>1948980</v>
      </c>
      <c r="N1176" s="253">
        <v>2441510</v>
      </c>
      <c r="O1176" s="253">
        <v>2558620</v>
      </c>
      <c r="P1176" s="253">
        <v>2494040</v>
      </c>
      <c r="Q1176" s="253">
        <v>2443820</v>
      </c>
      <c r="R1176" s="253">
        <v>2460520</v>
      </c>
      <c r="S1176" s="253">
        <v>2460520</v>
      </c>
      <c r="T1176" s="253">
        <v>2370380</v>
      </c>
      <c r="U1176" s="253">
        <v>2370380</v>
      </c>
      <c r="V1176" s="253">
        <v>2505050</v>
      </c>
      <c r="W1176" s="253">
        <v>2469580</v>
      </c>
      <c r="X1176" s="253">
        <v>1903580</v>
      </c>
      <c r="Y1176" s="253">
        <v>1745130</v>
      </c>
      <c r="Z1176" s="245">
        <f ca="1">[1]ExtEntry!$Q78</f>
        <v>1745130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6"/>
        <v>GLE</v>
      </c>
    </row>
    <row r="1177" spans="1:50" hidden="1">
      <c r="A1177" s="86" t="str">
        <f t="shared" ca="1" si="95"/>
        <v>GNRC</v>
      </c>
      <c r="C1177" s="1">
        <v>79</v>
      </c>
      <c r="F1177" s="253">
        <v>1256348</v>
      </c>
      <c r="G1177" s="253">
        <v>1266930</v>
      </c>
      <c r="H1177" s="253">
        <v>1295183</v>
      </c>
      <c r="I1177" s="253">
        <v>1390791</v>
      </c>
      <c r="J1177" s="253">
        <v>1406576</v>
      </c>
      <c r="K1177" s="253">
        <v>1412787</v>
      </c>
      <c r="L1177" s="253">
        <v>1380829</v>
      </c>
      <c r="M1177" s="253">
        <v>1391186</v>
      </c>
      <c r="N1177" s="253">
        <v>1411825</v>
      </c>
      <c r="O1177" s="253">
        <v>1411825</v>
      </c>
      <c r="P1177" s="253">
        <v>1391280</v>
      </c>
      <c r="Q1177" s="253">
        <v>1370746</v>
      </c>
      <c r="R1177" s="253">
        <v>1358517</v>
      </c>
      <c r="S1177" s="253">
        <v>1377474</v>
      </c>
      <c r="T1177" s="253">
        <v>1377474</v>
      </c>
      <c r="U1177" s="253">
        <v>1347267</v>
      </c>
      <c r="V1177" s="253">
        <v>1175477</v>
      </c>
      <c r="W1177" s="253">
        <v>1076924</v>
      </c>
      <c r="X1177" s="253">
        <v>1056853</v>
      </c>
      <c r="Y1177" s="253">
        <v>1030532</v>
      </c>
      <c r="Z1177" s="245">
        <f ca="1">[1]ExtEntry!$Q79</f>
        <v>1030532</v>
      </c>
      <c r="AB1177" s="316">
        <v>-16299.507199999993</v>
      </c>
      <c r="AC1177" s="316">
        <v>-16299.507199999993</v>
      </c>
      <c r="AD1177" s="316">
        <v>-16299.507199999993</v>
      </c>
      <c r="AE1177" s="316">
        <v>-16299.507199999993</v>
      </c>
      <c r="AF1177" s="316">
        <v>-16299.507199999993</v>
      </c>
      <c r="AG1177" s="316">
        <v>-16614.234989999983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6"/>
        <v>GNRC</v>
      </c>
    </row>
    <row r="1178" spans="1:50" hidden="1">
      <c r="A1178" s="86" t="str">
        <f t="shared" ca="1" si="95"/>
        <v>GS</v>
      </c>
      <c r="C1178" s="1">
        <v>80</v>
      </c>
      <c r="F1178" s="253">
        <v>2103506</v>
      </c>
      <c r="G1178" s="253">
        <v>2105256</v>
      </c>
      <c r="H1178" s="253">
        <v>2106003</v>
      </c>
      <c r="I1178" s="253">
        <v>2212590</v>
      </c>
      <c r="J1178" s="253">
        <v>2179754</v>
      </c>
      <c r="K1178" s="253">
        <v>2058260</v>
      </c>
      <c r="L1178" s="253">
        <v>1990407</v>
      </c>
      <c r="M1178" s="253">
        <v>1967929</v>
      </c>
      <c r="N1178" s="253">
        <v>1978530</v>
      </c>
      <c r="O1178" s="253">
        <v>1978530</v>
      </c>
      <c r="P1178" s="253">
        <v>1967388</v>
      </c>
      <c r="Q1178" s="253">
        <v>1937508</v>
      </c>
      <c r="R1178" s="253">
        <v>1922611</v>
      </c>
      <c r="S1178" s="253">
        <v>1946983</v>
      </c>
      <c r="T1178" s="253">
        <v>1946983</v>
      </c>
      <c r="U1178" s="253">
        <v>1991219</v>
      </c>
      <c r="V1178" s="253">
        <v>1967999</v>
      </c>
      <c r="W1178" s="253">
        <v>2022313</v>
      </c>
      <c r="X1178" s="253">
        <v>2050526</v>
      </c>
      <c r="Y1178" s="253">
        <v>2064458</v>
      </c>
      <c r="Z1178" s="245">
        <f ca="1">[1]ExtEntry!$Q80</f>
        <v>2064458</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6"/>
        <v>GS</v>
      </c>
    </row>
    <row r="1179" spans="1:50" hidden="1">
      <c r="A1179" s="86" t="str">
        <f t="shared" ca="1" si="95"/>
        <v>LAZR</v>
      </c>
      <c r="C1179" s="1">
        <v>81</v>
      </c>
      <c r="F1179" s="253">
        <v>11552190</v>
      </c>
      <c r="G1179" s="253">
        <v>11610967</v>
      </c>
      <c r="H1179" s="253">
        <v>11614984</v>
      </c>
      <c r="I1179" s="253">
        <v>10858265</v>
      </c>
      <c r="J1179" s="253">
        <v>11228698</v>
      </c>
      <c r="K1179" s="253">
        <v>11174177</v>
      </c>
      <c r="L1179" s="253">
        <v>11098431</v>
      </c>
      <c r="M1179" s="253">
        <v>11090285</v>
      </c>
      <c r="N1179" s="253">
        <v>10554460</v>
      </c>
      <c r="O1179" s="253">
        <v>10554460</v>
      </c>
      <c r="P1179" s="253">
        <v>10381333</v>
      </c>
      <c r="Q1179" s="253">
        <v>10301476</v>
      </c>
      <c r="R1179" s="253">
        <v>9301569</v>
      </c>
      <c r="S1179" s="253">
        <v>8945816</v>
      </c>
      <c r="T1179" s="253">
        <v>8945816</v>
      </c>
      <c r="U1179" s="253">
        <v>8783918</v>
      </c>
      <c r="V1179" s="253">
        <v>9216043</v>
      </c>
      <c r="W1179" s="253">
        <v>7093190</v>
      </c>
      <c r="X1179" s="253">
        <v>6008381</v>
      </c>
      <c r="Y1179" s="253">
        <v>5568192</v>
      </c>
      <c r="Z1179" s="245">
        <f ca="1">[1]ExtEntry!$Q81</f>
        <v>5568192</v>
      </c>
      <c r="AB1179" s="316">
        <v>-83714.349975999998</v>
      </c>
      <c r="AC1179" s="316">
        <v>-83714.349975999998</v>
      </c>
      <c r="AD1179" s="316">
        <v>-83714.349975999998</v>
      </c>
      <c r="AE1179" s="316">
        <v>-83714.349975999998</v>
      </c>
      <c r="AF1179" s="316">
        <v>-83714.349975999998</v>
      </c>
      <c r="AG1179" s="316">
        <v>-84588.960959999968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6"/>
        <v>LAZR</v>
      </c>
    </row>
    <row r="1180" spans="1:50" hidden="1">
      <c r="A1180" s="86" t="str">
        <f t="shared" ca="1" si="95"/>
        <v>LUV</v>
      </c>
      <c r="C1180" s="1">
        <v>82</v>
      </c>
      <c r="F1180" s="253">
        <v>9937085</v>
      </c>
      <c r="G1180" s="253">
        <v>9957688</v>
      </c>
      <c r="H1180" s="253">
        <v>9970100</v>
      </c>
      <c r="I1180" s="253">
        <v>9908000</v>
      </c>
      <c r="J1180" s="253">
        <v>9930689</v>
      </c>
      <c r="K1180" s="253">
        <v>9773269</v>
      </c>
      <c r="L1180" s="253">
        <v>9700681</v>
      </c>
      <c r="M1180" s="253">
        <v>9572232</v>
      </c>
      <c r="N1180" s="253">
        <v>9377095</v>
      </c>
      <c r="O1180" s="253">
        <v>9377095</v>
      </c>
      <c r="P1180" s="253">
        <v>9144689</v>
      </c>
      <c r="Q1180" s="253">
        <v>8134222</v>
      </c>
      <c r="R1180" s="253">
        <v>7794405</v>
      </c>
      <c r="S1180" s="253">
        <v>7699114</v>
      </c>
      <c r="T1180" s="253">
        <v>7699114</v>
      </c>
      <c r="U1180" s="253">
        <v>7505312</v>
      </c>
      <c r="V1180" s="253">
        <v>7502972</v>
      </c>
      <c r="W1180" s="253">
        <v>8007685</v>
      </c>
      <c r="X1180" s="253">
        <v>8008572</v>
      </c>
      <c r="Y1180" s="253">
        <v>8177437</v>
      </c>
      <c r="Z1180" s="245">
        <f ca="1">[1]ExtEntry!$Q82</f>
        <v>8177437</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6"/>
        <v>LUV</v>
      </c>
    </row>
    <row r="1181" spans="1:50" hidden="1">
      <c r="A1181" s="86" t="str">
        <f t="shared" ca="1" si="95"/>
        <v>MA</v>
      </c>
      <c r="C1181" s="1">
        <v>83</v>
      </c>
      <c r="F1181" s="253">
        <v>2763106</v>
      </c>
      <c r="G1181" s="253">
        <v>2703645</v>
      </c>
      <c r="H1181" s="253">
        <v>2708059</v>
      </c>
      <c r="I1181" s="253">
        <v>2650981</v>
      </c>
      <c r="J1181" s="253">
        <v>2594001</v>
      </c>
      <c r="K1181" s="253">
        <v>2632695</v>
      </c>
      <c r="L1181" s="253">
        <v>2651111</v>
      </c>
      <c r="M1181" s="253">
        <v>2652297</v>
      </c>
      <c r="N1181" s="253">
        <v>2866531</v>
      </c>
      <c r="O1181" s="253">
        <v>2866531</v>
      </c>
      <c r="P1181" s="253">
        <v>2881117</v>
      </c>
      <c r="Q1181" s="253">
        <v>2843809</v>
      </c>
      <c r="R1181" s="253">
        <v>2859298</v>
      </c>
      <c r="S1181" s="253">
        <v>2863104</v>
      </c>
      <c r="T1181" s="253">
        <v>2863104</v>
      </c>
      <c r="U1181" s="253">
        <v>2853976</v>
      </c>
      <c r="V1181" s="253">
        <v>2818594</v>
      </c>
      <c r="W1181" s="253">
        <v>2687738</v>
      </c>
      <c r="X1181" s="253">
        <v>2639342</v>
      </c>
      <c r="Y1181" s="253">
        <v>2654129</v>
      </c>
      <c r="Z1181" s="245">
        <f ca="1">[1]ExtEntry!$Q83</f>
        <v>2654129</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6"/>
        <v>MA</v>
      </c>
    </row>
    <row r="1182" spans="1:50" hidden="1">
      <c r="A1182" s="86" t="str">
        <f t="shared" ca="1" si="95"/>
        <v>NVAX</v>
      </c>
      <c r="C1182" s="1">
        <v>84</v>
      </c>
      <c r="F1182" s="253">
        <v>4435108</v>
      </c>
      <c r="G1182" s="253">
        <v>4279381</v>
      </c>
      <c r="H1182" s="253">
        <v>4326412</v>
      </c>
      <c r="I1182" s="253">
        <v>4436118</v>
      </c>
      <c r="J1182" s="253">
        <v>4446623</v>
      </c>
      <c r="K1182" s="253">
        <v>4391543</v>
      </c>
      <c r="L1182" s="253">
        <v>4427222</v>
      </c>
      <c r="M1182" s="253">
        <v>4377010</v>
      </c>
      <c r="N1182" s="253">
        <v>4152290</v>
      </c>
      <c r="O1182" s="253">
        <v>4152290</v>
      </c>
      <c r="P1182" s="253">
        <v>4103103</v>
      </c>
      <c r="Q1182" s="253">
        <v>4041558</v>
      </c>
      <c r="R1182" s="253">
        <v>4038884</v>
      </c>
      <c r="S1182" s="253">
        <v>4032756</v>
      </c>
      <c r="T1182" s="253">
        <v>4032756</v>
      </c>
      <c r="U1182" s="253">
        <v>4084301</v>
      </c>
      <c r="V1182" s="253">
        <v>4061343</v>
      </c>
      <c r="W1182" s="253">
        <v>4076096</v>
      </c>
      <c r="X1182" s="253">
        <v>4084572</v>
      </c>
      <c r="Y1182" s="253">
        <v>4019956</v>
      </c>
      <c r="Z1182" s="245">
        <f ca="1">[1]ExtEntry!$Q84</f>
        <v>4019956</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6"/>
        <v>NVAX</v>
      </c>
    </row>
    <row r="1183" spans="1:50" hidden="1">
      <c r="A1183" s="86" t="str">
        <f t="shared" ca="1" si="95"/>
        <v>NVS</v>
      </c>
      <c r="C1183" s="1">
        <v>85</v>
      </c>
      <c r="F1183" s="253">
        <v>1856425</v>
      </c>
      <c r="G1183" s="253">
        <v>1772482</v>
      </c>
      <c r="H1183" s="253">
        <v>1748744</v>
      </c>
      <c r="I1183" s="253">
        <v>1692603</v>
      </c>
      <c r="J1183" s="253">
        <v>1663906</v>
      </c>
      <c r="K1183" s="253">
        <v>1681658</v>
      </c>
      <c r="L1183" s="253">
        <v>1692129</v>
      </c>
      <c r="M1183" s="253">
        <v>1742053</v>
      </c>
      <c r="N1183" s="253">
        <v>1841525</v>
      </c>
      <c r="O1183" s="253">
        <v>1841525</v>
      </c>
      <c r="P1183" s="253">
        <v>1852845</v>
      </c>
      <c r="Q1183" s="253">
        <v>1846589</v>
      </c>
      <c r="R1183" s="253">
        <v>1861926</v>
      </c>
      <c r="S1183" s="253">
        <v>1836513</v>
      </c>
      <c r="T1183" s="253">
        <v>1836513</v>
      </c>
      <c r="U1183" s="253">
        <v>1701664</v>
      </c>
      <c r="V1183" s="253">
        <v>1649014</v>
      </c>
      <c r="W1183" s="253">
        <v>1658154</v>
      </c>
      <c r="X1183" s="253">
        <v>1676983</v>
      </c>
      <c r="Y1183" s="253">
        <v>1699311</v>
      </c>
      <c r="Z1183" s="245">
        <f ca="1">[1]ExtEntry!$Q85</f>
        <v>1699311</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6"/>
        <v>NVS</v>
      </c>
    </row>
    <row r="1184" spans="1:50" hidden="1">
      <c r="A1184" s="86" t="str">
        <f t="shared" ca="1" si="95"/>
        <v>ORA</v>
      </c>
      <c r="C1184" s="1">
        <v>86</v>
      </c>
      <c r="F1184" s="253">
        <v>3610840</v>
      </c>
      <c r="G1184" s="253">
        <v>3590070</v>
      </c>
      <c r="H1184" s="253">
        <v>3489020</v>
      </c>
      <c r="I1184" s="253">
        <v>3331760</v>
      </c>
      <c r="J1184" s="253">
        <v>3328620</v>
      </c>
      <c r="K1184" s="253">
        <v>3328620</v>
      </c>
      <c r="L1184" s="253">
        <v>3527160</v>
      </c>
      <c r="M1184" s="253">
        <v>3618460</v>
      </c>
      <c r="N1184" s="253">
        <v>4137630</v>
      </c>
      <c r="O1184" s="253">
        <v>4240460</v>
      </c>
      <c r="P1184" s="253">
        <v>4240460</v>
      </c>
      <c r="Q1184" s="253">
        <v>3996520</v>
      </c>
      <c r="R1184" s="253">
        <v>3996520</v>
      </c>
      <c r="S1184" s="253">
        <v>4011680</v>
      </c>
      <c r="T1184" s="253">
        <v>3909340</v>
      </c>
      <c r="U1184" s="253">
        <v>3909340</v>
      </c>
      <c r="V1184" s="253">
        <v>3946370</v>
      </c>
      <c r="W1184" s="253">
        <v>3952870</v>
      </c>
      <c r="X1184" s="253">
        <v>3430250</v>
      </c>
      <c r="Y1184" s="253">
        <v>3430250</v>
      </c>
      <c r="Z1184" s="245">
        <f ca="1">[1]ExtEntry!$Q86</f>
        <v>3430250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6"/>
        <v>ORA</v>
      </c>
    </row>
    <row r="1185" spans="1:50" hidden="1">
      <c r="A1185" s="86" t="str">
        <f t="shared" ca="1" si="95"/>
        <v>OXY</v>
      </c>
      <c r="C1185" s="1">
        <v>87</v>
      </c>
      <c r="F1185" s="253">
        <v>11563159</v>
      </c>
      <c r="G1185" s="253">
        <v>11501448</v>
      </c>
      <c r="H1185" s="253">
        <v>10139632</v>
      </c>
      <c r="I1185" s="253">
        <v>10191570</v>
      </c>
      <c r="J1185" s="253">
        <v>9835356</v>
      </c>
      <c r="K1185" s="253">
        <v>9793412</v>
      </c>
      <c r="L1185" s="253">
        <v>9745160</v>
      </c>
      <c r="M1185" s="253">
        <v>9702014</v>
      </c>
      <c r="N1185" s="253">
        <v>9656898</v>
      </c>
      <c r="O1185" s="253">
        <v>9656898</v>
      </c>
      <c r="P1185" s="253">
        <v>9499432</v>
      </c>
      <c r="Q1185" s="253">
        <v>9113065</v>
      </c>
      <c r="R1185" s="253">
        <v>9124783</v>
      </c>
      <c r="S1185" s="253">
        <v>9142317</v>
      </c>
      <c r="T1185" s="253">
        <v>9142317</v>
      </c>
      <c r="U1185" s="253">
        <v>8892830</v>
      </c>
      <c r="V1185" s="253">
        <v>8655222</v>
      </c>
      <c r="W1185" s="253">
        <v>8881743</v>
      </c>
      <c r="X1185" s="253">
        <v>8875749</v>
      </c>
      <c r="Y1185" s="253">
        <v>8941985</v>
      </c>
      <c r="Z1185" s="245">
        <f ca="1">[1]ExtEntry!$Q87</f>
        <v>8941985</v>
      </c>
      <c r="AB1185" s="316">
        <v>-155497.42180000001</v>
      </c>
      <c r="AC1185" s="316">
        <v>-155497.42180000001</v>
      </c>
      <c r="AD1185" s="316">
        <v>-155497.42180000001</v>
      </c>
      <c r="AE1185" s="316">
        <v>-155497.42180000001</v>
      </c>
      <c r="AF1185" s="316">
        <v>-155497.42180000001</v>
      </c>
      <c r="AG1185" s="316">
        <v>-156106.65074759998</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6"/>
        <v>OXY</v>
      </c>
    </row>
    <row r="1186" spans="1:50" hidden="1">
      <c r="A1186" s="86" t="str">
        <f t="shared" ca="1" si="95"/>
        <v>PFE</v>
      </c>
      <c r="C1186" s="1">
        <v>88</v>
      </c>
      <c r="F1186" s="253">
        <v>68689569</v>
      </c>
      <c r="G1186" s="253">
        <v>66944011</v>
      </c>
      <c r="H1186" s="253">
        <v>69122134</v>
      </c>
      <c r="I1186" s="253">
        <v>83055423</v>
      </c>
      <c r="J1186" s="253">
        <v>86024596</v>
      </c>
      <c r="K1186" s="253">
        <v>86993985</v>
      </c>
      <c r="L1186" s="253">
        <v>87564801</v>
      </c>
      <c r="M1186" s="253">
        <v>87868531</v>
      </c>
      <c r="N1186" s="253">
        <v>90212489</v>
      </c>
      <c r="O1186" s="253">
        <v>90212489</v>
      </c>
      <c r="P1186" s="253">
        <v>89604413</v>
      </c>
      <c r="Q1186" s="253">
        <v>89140719</v>
      </c>
      <c r="R1186" s="253">
        <v>90171494</v>
      </c>
      <c r="S1186" s="253">
        <v>90525579</v>
      </c>
      <c r="T1186" s="253">
        <v>90525579</v>
      </c>
      <c r="U1186" s="253">
        <v>90764331</v>
      </c>
      <c r="V1186" s="253">
        <v>89564953</v>
      </c>
      <c r="W1186" s="253">
        <v>81664057</v>
      </c>
      <c r="X1186" s="253">
        <v>77768557</v>
      </c>
      <c r="Y1186" s="253">
        <v>72867495</v>
      </c>
      <c r="Z1186" s="245">
        <f ca="1">[1]ExtEntry!$Q88</f>
        <v>72867495</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6"/>
        <v>PFE</v>
      </c>
    </row>
    <row r="1187" spans="1:50" hidden="1">
      <c r="A1187" s="86" t="str">
        <f t="shared" ca="1" si="95"/>
        <v>RIG</v>
      </c>
      <c r="C1187" s="1">
        <v>89</v>
      </c>
      <c r="F1187" s="253">
        <v>58663474</v>
      </c>
      <c r="G1187" s="253">
        <v>58617012</v>
      </c>
      <c r="H1187" s="253">
        <v>58331970</v>
      </c>
      <c r="I1187" s="253">
        <v>57650003</v>
      </c>
      <c r="J1187" s="253">
        <v>56941461</v>
      </c>
      <c r="K1187" s="253">
        <v>56027364</v>
      </c>
      <c r="L1187" s="253">
        <v>54520033</v>
      </c>
      <c r="M1187" s="253">
        <v>53769661</v>
      </c>
      <c r="N1187" s="253">
        <v>51821912</v>
      </c>
      <c r="O1187" s="253">
        <v>51821912</v>
      </c>
      <c r="P1187" s="253">
        <v>50163001</v>
      </c>
      <c r="Q1187" s="253">
        <v>45646936</v>
      </c>
      <c r="R1187" s="253">
        <v>43831315</v>
      </c>
      <c r="S1187" s="253">
        <v>42717330</v>
      </c>
      <c r="T1187" s="253">
        <v>42717330</v>
      </c>
      <c r="U1187" s="253">
        <v>41836844</v>
      </c>
      <c r="V1187" s="253">
        <v>40180436</v>
      </c>
      <c r="W1187" s="253">
        <v>36597067</v>
      </c>
      <c r="X1187" s="253">
        <v>35334946</v>
      </c>
      <c r="Y1187" s="253">
        <v>35881396</v>
      </c>
      <c r="Z1187" s="245">
        <f ca="1">[1]ExtEntry!$Q89</f>
        <v>35881396</v>
      </c>
      <c r="AB1187" s="316">
        <v>-141682.666</v>
      </c>
      <c r="AC1187" s="316">
        <v>-141682.666</v>
      </c>
      <c r="AD1187" s="316">
        <v>-121907.666</v>
      </c>
      <c r="AE1187" s="316">
        <v>-121907.666</v>
      </c>
      <c r="AF1187" s="316">
        <v>-121907.666</v>
      </c>
      <c r="AG1187" s="316">
        <v>-122276.99573999998</v>
      </c>
      <c r="AH1187" s="316">
        <v>-122276.99573999998</v>
      </c>
      <c r="AI1187" s="316">
        <v>-122276.99573999998</v>
      </c>
      <c r="AJ1187" s="316">
        <v>-87867.763739999995</v>
      </c>
      <c r="AK1187" s="316">
        <v>-87867.763739999995</v>
      </c>
      <c r="AL1187" s="316">
        <v>-87867.763739999995</v>
      </c>
      <c r="AM1187" s="316">
        <v>-87867.763739999995</v>
      </c>
      <c r="AN1187" s="316">
        <v>-87867.763739999995</v>
      </c>
      <c r="AO1187" s="316">
        <v>-87867.763739999995</v>
      </c>
      <c r="AP1187" s="316">
        <v>-54255.598739999987</v>
      </c>
      <c r="AQ1187" s="316">
        <v>-54255.598739999987</v>
      </c>
      <c r="AR1187" s="316">
        <v>-54255.598739999987</v>
      </c>
      <c r="AS1187" s="316">
        <v>-54255.598739999987</v>
      </c>
      <c r="AT1187" s="316">
        <v>-54255.598739999987</v>
      </c>
      <c r="AU1187" s="316">
        <v>-54255.598739999987</v>
      </c>
      <c r="AV1187" s="316">
        <f ca="1">Calc!BH89</f>
        <v>-54255.598739999987</v>
      </c>
      <c r="AX1187" s="86" t="str">
        <f t="shared" ca="1" si="96"/>
        <v>RIG</v>
      </c>
    </row>
    <row r="1188" spans="1:50">
      <c r="A1188" s="86" t="str">
        <f t="shared" ca="1" si="95"/>
        <v>RRC</v>
      </c>
      <c r="C1188" s="1">
        <v>90</v>
      </c>
      <c r="F1188" s="253">
        <v>3095125</v>
      </c>
      <c r="G1188" s="253">
        <v>3029723</v>
      </c>
      <c r="H1188" s="253">
        <v>3004696</v>
      </c>
      <c r="I1188" s="253">
        <v>3004706</v>
      </c>
      <c r="J1188" s="253">
        <v>2960025</v>
      </c>
      <c r="K1188" s="253">
        <v>2975300</v>
      </c>
      <c r="L1188" s="253">
        <v>3005216</v>
      </c>
      <c r="M1188" s="253">
        <v>3028589</v>
      </c>
      <c r="N1188" s="253">
        <v>2986960</v>
      </c>
      <c r="O1188" s="253">
        <v>2986960</v>
      </c>
      <c r="P1188" s="253">
        <v>3001788</v>
      </c>
      <c r="Q1188" s="253">
        <v>2893997</v>
      </c>
      <c r="R1188" s="253">
        <v>2878621</v>
      </c>
      <c r="S1188" s="253">
        <v>2884729</v>
      </c>
      <c r="T1188" s="253">
        <v>2884729</v>
      </c>
      <c r="U1188" s="253">
        <v>2903822</v>
      </c>
      <c r="V1188" s="253">
        <v>2761856</v>
      </c>
      <c r="W1188" s="253">
        <v>2825606</v>
      </c>
      <c r="X1188" s="253">
        <v>2848588</v>
      </c>
      <c r="Y1188" s="253">
        <v>2941882</v>
      </c>
      <c r="Z1188" s="245">
        <f ca="1">[1]ExtEntry!$Q90</f>
        <v>2941882</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6"/>
        <v>RRC</v>
      </c>
    </row>
    <row r="1189" spans="1:50">
      <c r="A1189" s="86" t="str">
        <f t="shared" ca="1" si="95"/>
        <v>XYZ</v>
      </c>
      <c r="C1189" s="1">
        <v>91</v>
      </c>
      <c r="F1189" s="245">
        <v>5500712</v>
      </c>
      <c r="G1189" s="245">
        <v>5447514</v>
      </c>
      <c r="H1189" s="245">
        <v>5582730</v>
      </c>
      <c r="I1189" s="245">
        <v>6454719</v>
      </c>
      <c r="J1189" s="245">
        <v>6538387</v>
      </c>
      <c r="K1189" s="245">
        <v>6629601</v>
      </c>
      <c r="L1189" s="245">
        <v>7273220</v>
      </c>
      <c r="M1189" s="245">
        <v>7750849</v>
      </c>
      <c r="N1189" s="245">
        <v>8325144</v>
      </c>
      <c r="O1189" s="245">
        <v>8325144</v>
      </c>
      <c r="P1189" s="245">
        <v>8411565</v>
      </c>
      <c r="Q1189" s="245">
        <v>8362125</v>
      </c>
      <c r="R1189" s="245">
        <v>8532245</v>
      </c>
      <c r="S1189" s="245">
        <v>9155411</v>
      </c>
      <c r="T1189" s="245">
        <v>9155411</v>
      </c>
      <c r="U1189" s="245">
        <v>9529813</v>
      </c>
      <c r="V1189" s="245">
        <v>9487308</v>
      </c>
      <c r="W1189" s="245">
        <v>9453659</v>
      </c>
      <c r="X1189" s="245">
        <v>9445664</v>
      </c>
      <c r="Y1189" s="245">
        <v>9465959</v>
      </c>
      <c r="Z1189" s="245">
        <f ca="1">[1]ExtEntry!$Q91</f>
        <v>9465959</v>
      </c>
      <c r="AB1189" s="316">
        <v>-89038.818700000033</v>
      </c>
      <c r="AC1189" s="316">
        <v>-89038.818700000033</v>
      </c>
      <c r="AD1189" s="316">
        <v>-89038.818700000033</v>
      </c>
      <c r="AE1189" s="316">
        <v>-89038.818700000033</v>
      </c>
      <c r="AF1189" s="316">
        <v>-89038.818700000033</v>
      </c>
      <c r="AG1189" s="316">
        <v>-89578.700640000025</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6"/>
        <v>XYZ</v>
      </c>
    </row>
    <row r="1190" spans="1:50">
      <c r="A1190" s="86" t="str">
        <f t="shared" ca="1" si="95"/>
        <v>THC</v>
      </c>
      <c r="C1190" s="1">
        <v>92</v>
      </c>
      <c r="F1190" s="253">
        <v>1060202</v>
      </c>
      <c r="G1190" s="253">
        <v>1059512</v>
      </c>
      <c r="H1190" s="253">
        <v>1066425</v>
      </c>
      <c r="I1190" s="253">
        <v>1045176</v>
      </c>
      <c r="J1190" s="253">
        <v>1065029</v>
      </c>
      <c r="K1190" s="253">
        <v>1053437</v>
      </c>
      <c r="L1190" s="253">
        <v>1060293</v>
      </c>
      <c r="M1190" s="253">
        <v>1064832</v>
      </c>
      <c r="N1190" s="253">
        <v>1219009</v>
      </c>
      <c r="O1190" s="253">
        <v>1219009</v>
      </c>
      <c r="P1190" s="253">
        <v>1213627</v>
      </c>
      <c r="Q1190" s="253">
        <v>1172501</v>
      </c>
      <c r="R1190" s="253">
        <v>1140368</v>
      </c>
      <c r="S1190" s="253">
        <v>1100098</v>
      </c>
      <c r="T1190" s="253">
        <v>1100098</v>
      </c>
      <c r="U1190" s="253">
        <v>1068190</v>
      </c>
      <c r="V1190" s="253">
        <v>1044674</v>
      </c>
      <c r="W1190" s="253">
        <v>1001489</v>
      </c>
      <c r="X1190" s="253">
        <v>992212</v>
      </c>
      <c r="Y1190" s="253">
        <v>1002224</v>
      </c>
      <c r="Z1190" s="245">
        <f ca="1">[1]ExtEntry!$Q92</f>
        <v>1002224</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6"/>
        <v>THC</v>
      </c>
    </row>
    <row r="1191" spans="1:50">
      <c r="A1191" s="86" t="str">
        <f t="shared" ca="1" si="95"/>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6"/>
        <v>X</v>
      </c>
    </row>
    <row r="1192" spans="1:50">
      <c r="A1192" s="86" t="str">
        <f t="shared" ca="1" si="95"/>
        <v>LOCK</v>
      </c>
      <c r="C1192" s="1">
        <v>94</v>
      </c>
      <c r="F1192" s="245" t="e" vm="470">
        <v>#VALUE!</v>
      </c>
      <c r="G1192" s="245" t="e" vm="470">
        <v>#VALUE!</v>
      </c>
      <c r="H1192" s="245" t="e" vm="470">
        <v>#VALUE!</v>
      </c>
      <c r="I1192" s="245" t="e" vm="470">
        <v>#VALUE!</v>
      </c>
      <c r="J1192" s="245" t="e" vm="470">
        <v>#VALUE!</v>
      </c>
      <c r="K1192" s="245" t="e" vm="470">
        <v>#VALUE!</v>
      </c>
      <c r="L1192" s="245" t="e" vm="470">
        <v>#VALUE!</v>
      </c>
      <c r="M1192" s="245" t="e" vm="470">
        <v>#VALUE!</v>
      </c>
      <c r="N1192" s="245" t="e" vm="470">
        <v>#VALUE!</v>
      </c>
      <c r="O1192" s="245" t="e" vm="470">
        <v>#VALUE!</v>
      </c>
      <c r="P1192" s="245" t="e" vm="470">
        <v>#VALUE!</v>
      </c>
      <c r="Q1192" s="245" t="e" vm="470">
        <v>#VALUE!</v>
      </c>
      <c r="R1192" s="245" t="e" vm="470">
        <v>#VALUE!</v>
      </c>
      <c r="S1192" s="245" t="e" vm="470">
        <v>#VALUE!</v>
      </c>
      <c r="T1192" s="245" t="e" vm="470">
        <v>#VALUE!</v>
      </c>
      <c r="U1192" s="245" t="e" vm="470">
        <v>#VALUE!</v>
      </c>
      <c r="V1192" s="245" t="e" vm="470">
        <v>#VALUE!</v>
      </c>
      <c r="W1192" s="245" t="e" vm="470">
        <v>#VALUE!</v>
      </c>
      <c r="X1192" s="245" t="e" vm="470">
        <v>#VALUE!</v>
      </c>
      <c r="Y1192" s="245" t="e" vm="470">
        <v>#VALUE!</v>
      </c>
      <c r="Z1192" s="245" t="e" vm="471">
        <f>[1]ExtEntry!$Q94</f>
        <v>#VALUE!</v>
      </c>
      <c r="AB1192" s="316">
        <v>1070.4563999999664</v>
      </c>
      <c r="AC1192" s="316">
        <v>1070.4563999999664</v>
      </c>
      <c r="AD1192" s="316">
        <v>1070.4563999999664</v>
      </c>
      <c r="AE1192" s="316">
        <v>1070.4563999999664</v>
      </c>
      <c r="AF1192" s="316">
        <v>1070.4563999999664</v>
      </c>
      <c r="AG1192" s="316">
        <v>0</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6"/>
        <v>LOCK</v>
      </c>
    </row>
    <row r="1193" spans="1:50">
      <c r="A1193" s="86" t="str">
        <f t="shared" ca="1" si="95"/>
        <v>JBASML</v>
      </c>
      <c r="C1193" s="1">
        <v>95</v>
      </c>
      <c r="F1193" s="245">
        <v>547460</v>
      </c>
      <c r="G1193" s="245">
        <v>553620</v>
      </c>
      <c r="H1193" s="245">
        <v>539670</v>
      </c>
      <c r="I1193" s="245">
        <v>546390</v>
      </c>
      <c r="J1193" s="245">
        <v>557280</v>
      </c>
      <c r="K1193" s="245">
        <v>557280</v>
      </c>
      <c r="L1193" s="245">
        <v>565440</v>
      </c>
      <c r="M1193" s="260">
        <v>556010</v>
      </c>
      <c r="N1193" s="245">
        <v>684710</v>
      </c>
      <c r="O1193" s="245">
        <v>706730</v>
      </c>
      <c r="P1193" s="245">
        <v>706730</v>
      </c>
      <c r="Q1193" s="245">
        <v>653900</v>
      </c>
      <c r="R1193" s="245">
        <v>671380</v>
      </c>
      <c r="S1193" s="245">
        <v>671380</v>
      </c>
      <c r="T1193" s="245">
        <v>670410</v>
      </c>
      <c r="U1193" s="245">
        <v>670410</v>
      </c>
      <c r="V1193" s="245">
        <v>672550</v>
      </c>
      <c r="W1193" s="245">
        <v>590580</v>
      </c>
      <c r="X1193" s="260">
        <v>497650</v>
      </c>
      <c r="Y1193" s="245">
        <v>479820</v>
      </c>
      <c r="Z1193" s="245">
        <f ca="1">[1]ExtEntry!$Q95</f>
        <v>479820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6"/>
        <v>JBASML</v>
      </c>
    </row>
    <row r="1194" spans="1:50">
      <c r="A1194" s="86" t="str">
        <f t="shared" ca="1" si="95"/>
        <v>JBEOAN</v>
      </c>
      <c r="C1194" s="1">
        <v>96</v>
      </c>
      <c r="F1194" s="245">
        <v>2907640</v>
      </c>
      <c r="G1194" s="245">
        <v>2964880</v>
      </c>
      <c r="H1194" s="245">
        <v>2864900</v>
      </c>
      <c r="I1194" s="245">
        <v>4392490</v>
      </c>
      <c r="J1194" s="245">
        <v>4593700</v>
      </c>
      <c r="K1194" s="245">
        <v>4593700</v>
      </c>
      <c r="L1194" s="245">
        <v>4898240</v>
      </c>
      <c r="M1194" s="245">
        <v>4988260</v>
      </c>
      <c r="N1194" s="245">
        <v>5317710</v>
      </c>
      <c r="O1194" s="245">
        <v>4499960</v>
      </c>
      <c r="P1194" s="245">
        <v>4499960</v>
      </c>
      <c r="Q1194" s="245">
        <v>4103520</v>
      </c>
      <c r="R1194" s="245">
        <v>4103520</v>
      </c>
      <c r="S1194" s="245">
        <v>4136060</v>
      </c>
      <c r="T1194" s="245">
        <v>4136060</v>
      </c>
      <c r="U1194" s="245">
        <v>3880660</v>
      </c>
      <c r="V1194" s="245">
        <v>4077280</v>
      </c>
      <c r="W1194" s="245">
        <v>4099730</v>
      </c>
      <c r="X1194" s="245">
        <v>3687760</v>
      </c>
      <c r="Y1194" s="245">
        <v>3704520</v>
      </c>
      <c r="Z1194" s="245">
        <f ca="1">[1]ExtEntry!$Q96</f>
        <v>3704520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6"/>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5480.0000000000182</v>
      </c>
      <c r="AC1197" s="91" cm="1">
        <f t="array" aca="1" ref="AC1197" ca="1">_xlfn.XLOOKUP(DataShiftChartTicker,ListTickers,Tab2RevSale[RevSale1])</f>
        <v>7469.600000000014</v>
      </c>
      <c r="AD1197" s="91" cm="1">
        <f t="array" aca="1" ref="AD1197" ca="1">_xlfn.XLOOKUP(DataShiftChartTicker,ListTickers,Tab2RevSale[RevSale2])</f>
        <v>8939.9999999999982</v>
      </c>
      <c r="AE1197" s="91" t="e" cm="1">
        <f t="array" aca="1" ref="AE1197" ca="1">_xlfn.XLOOKUP(DataShiftChartTicker,AF1197,Tab2RevSale[RevSale3])</f>
        <v>#N/A</v>
      </c>
      <c r="AF1197" s="91" cm="1">
        <f t="array" aca="1" ref="AF1197" ca="1">_xlfn.XLOOKUP(DataShiftChartTicker,ListTickers,Tab2RevSale[RevSale4])</f>
        <v>15460.000000000007</v>
      </c>
      <c r="AG1197" s="91" cm="1">
        <f t="array" aca="1" ref="AG1197" ca="1">_xlfn.XLOOKUP(DataShiftChartTicker,ListTickers,Tab2RevSale[RevSale5])</f>
        <v>17430.000000000007</v>
      </c>
      <c r="AH1197" s="91" cm="1">
        <f t="array" aca="1" ref="AH1197" ca="1">_xlfn.XLOOKUP(DataShiftChartTicker,ListTickers,Tab2RevSale[RevSale6])</f>
        <v>7980.0000000000182</v>
      </c>
      <c r="AI1197" s="91" cm="1">
        <f t="array" aca="1" ref="AI1197" ca="1">_xlfn.XLOOKUP(DataShiftChartTicker,ListTickers,Tab2RevSale[RevSale7])</f>
        <v>9480.0000000000182</v>
      </c>
      <c r="AJ1197" s="91" cm="1">
        <f t="array" aca="1" ref="AJ1197" ca="1">_xlfn.XLOOKUP(DataShiftChartTicker,ListTickers,Tab2RevSale[RevSale8])</f>
        <v>23140.000000000015</v>
      </c>
      <c r="AK1197" s="91" cm="1">
        <f t="array" aca="1" ref="AK1197" ca="1">_xlfn.XLOOKUP(DataShiftChartTicker,ListTickers,Tab2RevSale[RevSale9])</f>
        <v>23217</v>
      </c>
      <c r="AL1197" s="91" cm="1">
        <f t="array" aca="1" ref="AL1197" ca="1">_xlfn.XLOOKUP(DataShiftChartTicker,ListTickers,Tab2RevSale[RevSale10])</f>
        <v>23636</v>
      </c>
      <c r="AM1197" s="91" cm="1">
        <f t="array" aca="1" ref="AM1197" ca="1">_xlfn.XLOOKUP(DataShiftChartTicker,ListTickers,Tab2RevSale[RevSale11])</f>
        <v>26169</v>
      </c>
      <c r="AN1197" s="91" cm="1">
        <f t="array" aca="1" ref="AN1197" ca="1">_xlfn.XLOOKUP(DataShiftChartTicker,ListTickers,Tab2RevSale[RevSale12])</f>
        <v>23087</v>
      </c>
      <c r="AO1197" s="91" cm="1">
        <f t="array" aca="1" ref="AO1197" ca="1">_xlfn.XLOOKUP(DataShiftChartTicker,ListTickers,Tab2RevSale[RevSale13])</f>
        <v>24533</v>
      </c>
      <c r="AP1197" s="91" cm="1">
        <f t="array" aca="1" ref="AP1197" ca="1">_xlfn.XLOOKUP(DataShiftChartTicker,ListTickers,Tab2RevSale[RevSale14])</f>
        <v>21521</v>
      </c>
      <c r="AQ1197" s="91" cm="1">
        <f t="array" aca="1" ref="AQ1197" ca="1">_xlfn.XLOOKUP(DataShiftChartTicker,ListTickers,Tab2RevSale[RevSale15])</f>
        <v>23286</v>
      </c>
      <c r="AR1197" s="91" cm="1">
        <f t="array" aca="1" ref="AR1197" ca="1">_xlfn.XLOOKUP(DataShiftChartTicker,ListTickers,Tab2RevSale[RevSale16])</f>
        <v>21701</v>
      </c>
      <c r="AS1197" s="91" cm="1">
        <f t="array" aca="1" ref="AS1197" ca="1">_xlfn.XLOOKUP(DataShiftChartTicker,ListTickers,Tab2RevSale[RevSale17])</f>
        <v>27445</v>
      </c>
      <c r="AT1197" s="91" cm="1">
        <f t="array" aca="1" ref="AT1197" ca="1">_xlfn.XLOOKUP(DataShiftChartTicker,ListTickers,Tab2RevSale[RevSale18])</f>
        <v>30986</v>
      </c>
      <c r="AU1197" s="91" cm="1">
        <f t="array" aca="1" ref="AU1197" ca="1">_xlfn.XLOOKUP(DataShiftChartTicker,ListTickers,Tab2RevSale[RevSale19])</f>
        <v>40989</v>
      </c>
      <c r="AV1197" s="91" cm="1">
        <f t="array" aca="1" ref="AV1197" ca="1">_xlfn.XLOOKUP(DataShiftChartTicker,ListTickers,Tab2RevSale[RevSale20])</f>
        <v>40989</v>
      </c>
      <c r="AX1197" s="86"/>
    </row>
    <row r="1198" spans="1:50">
      <c r="A1198" s="86"/>
      <c r="F1198" s="115">
        <f t="shared" ref="F1198:Z1198" ca="1" si="97">F1099</f>
        <v>45974</v>
      </c>
      <c r="G1198" s="115">
        <f t="shared" ca="1" si="97"/>
        <v>45975</v>
      </c>
      <c r="H1198" s="115">
        <f t="shared" ca="1" si="97"/>
        <v>45978</v>
      </c>
      <c r="I1198" s="115">
        <f t="shared" ca="1" si="97"/>
        <v>45979</v>
      </c>
      <c r="J1198" s="115">
        <f t="shared" ca="1" si="97"/>
        <v>45980</v>
      </c>
      <c r="K1198" s="115">
        <f t="shared" ca="1" si="97"/>
        <v>45981</v>
      </c>
      <c r="L1198" s="115">
        <f t="shared" ca="1" si="97"/>
        <v>45982</v>
      </c>
      <c r="M1198" s="115">
        <f t="shared" ca="1" si="97"/>
        <v>45985</v>
      </c>
      <c r="N1198" s="115">
        <f t="shared" ca="1" si="97"/>
        <v>45986</v>
      </c>
      <c r="O1198" s="115">
        <f t="shared" ca="1" si="97"/>
        <v>45987</v>
      </c>
      <c r="P1198" s="115">
        <f t="shared" ca="1" si="97"/>
        <v>45988</v>
      </c>
      <c r="Q1198" s="115">
        <f t="shared" ca="1" si="97"/>
        <v>45989</v>
      </c>
      <c r="R1198" s="115">
        <f t="shared" ca="1" si="97"/>
        <v>45992</v>
      </c>
      <c r="S1198" s="115">
        <f t="shared" ca="1" si="97"/>
        <v>45993</v>
      </c>
      <c r="T1198" s="115">
        <f t="shared" ca="1" si="97"/>
        <v>45994</v>
      </c>
      <c r="U1198" s="115">
        <f t="shared" ca="1" si="97"/>
        <v>45995</v>
      </c>
      <c r="V1198" s="115">
        <f t="shared" ca="1" si="97"/>
        <v>45996</v>
      </c>
      <c r="W1198" s="115">
        <f t="shared" ca="1" si="97"/>
        <v>45999</v>
      </c>
      <c r="X1198" s="115">
        <f t="shared" ca="1" si="97"/>
        <v>46000</v>
      </c>
      <c r="Y1198" s="115">
        <f t="shared" ca="1" si="97"/>
        <v>46001</v>
      </c>
      <c r="Z1198" s="115">
        <f t="shared" ca="1" si="97"/>
        <v>46002</v>
      </c>
      <c r="AB1198" s="115">
        <f t="shared" ref="AB1198:AV1198" ca="1" si="98">F1099</f>
        <v>45974</v>
      </c>
      <c r="AC1198" s="115">
        <f t="shared" ca="1" si="98"/>
        <v>45975</v>
      </c>
      <c r="AD1198" s="115">
        <f t="shared" ca="1" si="98"/>
        <v>45978</v>
      </c>
      <c r="AE1198" s="115">
        <f t="shared" ca="1" si="98"/>
        <v>45979</v>
      </c>
      <c r="AF1198" s="115">
        <f t="shared" ca="1" si="98"/>
        <v>45980</v>
      </c>
      <c r="AG1198" s="115">
        <f t="shared" ca="1" si="98"/>
        <v>45981</v>
      </c>
      <c r="AH1198" s="115">
        <f t="shared" ca="1" si="98"/>
        <v>45982</v>
      </c>
      <c r="AI1198" s="115">
        <f t="shared" ca="1" si="98"/>
        <v>45985</v>
      </c>
      <c r="AJ1198" s="115">
        <f t="shared" ca="1" si="98"/>
        <v>45986</v>
      </c>
      <c r="AK1198" s="115">
        <f t="shared" ca="1" si="98"/>
        <v>45987</v>
      </c>
      <c r="AL1198" s="115">
        <f t="shared" ca="1" si="98"/>
        <v>45988</v>
      </c>
      <c r="AM1198" s="115">
        <f t="shared" ca="1" si="98"/>
        <v>45989</v>
      </c>
      <c r="AN1198" s="115">
        <f t="shared" ca="1" si="98"/>
        <v>45992</v>
      </c>
      <c r="AO1198" s="115">
        <f t="shared" ca="1" si="98"/>
        <v>45993</v>
      </c>
      <c r="AP1198" s="115">
        <f t="shared" ca="1" si="98"/>
        <v>45994</v>
      </c>
      <c r="AQ1198" s="115">
        <f t="shared" ca="1" si="98"/>
        <v>45995</v>
      </c>
      <c r="AR1198" s="115">
        <f t="shared" ca="1" si="98"/>
        <v>45996</v>
      </c>
      <c r="AS1198" s="115">
        <f t="shared" ca="1" si="98"/>
        <v>45999</v>
      </c>
      <c r="AT1198" s="115">
        <f t="shared" ca="1" si="98"/>
        <v>46000</v>
      </c>
      <c r="AU1198" s="115">
        <f t="shared" ca="1" si="98"/>
        <v>46001</v>
      </c>
      <c r="AV1198" s="115">
        <f t="shared" ca="1" si="98"/>
        <v>46002</v>
      </c>
      <c r="AX1198" s="86"/>
    </row>
    <row r="1199" spans="1:50">
      <c r="A1199" s="86"/>
      <c r="F1199" s="278" t="s">
        <v>455</v>
      </c>
      <c r="G1199" s="278" t="s">
        <v>456</v>
      </c>
      <c r="H1199" s="278" t="s">
        <v>457</v>
      </c>
      <c r="I1199" s="278" t="s">
        <v>458</v>
      </c>
      <c r="J1199" s="278" t="s">
        <v>459</v>
      </c>
      <c r="K1199" s="278" t="s">
        <v>460</v>
      </c>
      <c r="L1199" s="278" t="s">
        <v>461</v>
      </c>
      <c r="M1199" s="278" t="s">
        <v>462</v>
      </c>
      <c r="N1199" s="278" t="s">
        <v>463</v>
      </c>
      <c r="O1199" s="278" t="s">
        <v>464</v>
      </c>
      <c r="P1199" s="278" t="s">
        <v>465</v>
      </c>
      <c r="Q1199" s="278" t="s">
        <v>466</v>
      </c>
      <c r="R1199" s="278" t="s">
        <v>467</v>
      </c>
      <c r="S1199" s="278" t="s">
        <v>468</v>
      </c>
      <c r="T1199" s="278" t="s">
        <v>469</v>
      </c>
      <c r="U1199" s="278" t="s">
        <v>470</v>
      </c>
      <c r="V1199" s="278" t="s">
        <v>471</v>
      </c>
      <c r="W1199" s="278" t="s">
        <v>472</v>
      </c>
      <c r="X1199" s="278" t="s">
        <v>473</v>
      </c>
      <c r="Y1199" s="278" t="s">
        <v>474</v>
      </c>
      <c r="Z1199" s="278" t="s">
        <v>475</v>
      </c>
      <c r="AB1199" s="277" t="s">
        <v>1471</v>
      </c>
      <c r="AC1199" s="277" t="s">
        <v>1472</v>
      </c>
      <c r="AD1199" s="277" t="s">
        <v>1473</v>
      </c>
      <c r="AE1199" s="277" t="s">
        <v>1474</v>
      </c>
      <c r="AF1199" s="277" t="s">
        <v>1475</v>
      </c>
      <c r="AG1199" s="277" t="s">
        <v>1476</v>
      </c>
      <c r="AH1199" s="277" t="s">
        <v>1477</v>
      </c>
      <c r="AI1199" s="277" t="s">
        <v>1478</v>
      </c>
      <c r="AJ1199" s="277" t="s">
        <v>1479</v>
      </c>
      <c r="AK1199" s="277" t="s">
        <v>1480</v>
      </c>
      <c r="AL1199" s="277" t="s">
        <v>1481</v>
      </c>
      <c r="AM1199" s="277" t="s">
        <v>1482</v>
      </c>
      <c r="AN1199" s="277" t="s">
        <v>1483</v>
      </c>
      <c r="AO1199" s="277" t="s">
        <v>1484</v>
      </c>
      <c r="AP1199" s="277" t="s">
        <v>1485</v>
      </c>
      <c r="AQ1199" s="277" t="s">
        <v>1486</v>
      </c>
      <c r="AR1199" s="277" t="s">
        <v>1487</v>
      </c>
      <c r="AS1199" s="277" t="s">
        <v>1488</v>
      </c>
      <c r="AT1199" s="277" t="s">
        <v>1489</v>
      </c>
      <c r="AU1199" s="277" t="s">
        <v>1490</v>
      </c>
      <c r="AV1199" s="277" t="s">
        <v>1491</v>
      </c>
      <c r="AX1199" s="86"/>
    </row>
    <row r="1200" spans="1:50">
      <c r="A1200" s="86" t="str">
        <f t="shared" ref="A1200:A1259" ca="1" si="99">A1101</f>
        <v>AAPL</v>
      </c>
      <c r="C1200" s="1" cm="1">
        <f t="array" ref="C1200:C1293">_xlfn.SEQUENCE(94,,3,1)</f>
        <v>3</v>
      </c>
      <c r="F1200" s="241">
        <v>1.1076999999999999</v>
      </c>
      <c r="G1200" s="241">
        <v>1.1085</v>
      </c>
      <c r="H1200" s="241">
        <v>1.1053999999999999</v>
      </c>
      <c r="I1200" s="241">
        <v>1.1035999999999999</v>
      </c>
      <c r="J1200" s="241">
        <v>1.1082000000000001</v>
      </c>
      <c r="K1200" s="241">
        <v>1.1049</v>
      </c>
      <c r="L1200" s="241">
        <v>1.099</v>
      </c>
      <c r="M1200" s="241">
        <v>1.1042000000000001</v>
      </c>
      <c r="N1200" s="241">
        <v>1.1024</v>
      </c>
      <c r="O1200" s="241">
        <v>1.1051</v>
      </c>
      <c r="P1200" s="241">
        <v>1.1051</v>
      </c>
      <c r="Q1200" s="241">
        <v>1.1065</v>
      </c>
      <c r="R1200" s="241">
        <v>1.0878000000000001</v>
      </c>
      <c r="S1200" s="241">
        <v>1.0871</v>
      </c>
      <c r="T1200" s="241">
        <v>1.0871</v>
      </c>
      <c r="U1200" s="241">
        <v>1.0888</v>
      </c>
      <c r="V1200" s="241">
        <v>1.0908</v>
      </c>
      <c r="W1200" s="241">
        <v>1.091</v>
      </c>
      <c r="X1200" s="241">
        <v>1.0911999999999999</v>
      </c>
      <c r="Y1200" s="241">
        <v>1.0908</v>
      </c>
      <c r="Z1200" s="243">
        <f ca="1">[1]ExtEntry!$R3</f>
        <v>1.0908</v>
      </c>
      <c r="AB1200" s="316">
        <v>4323.9999999999955</v>
      </c>
      <c r="AC1200" s="316">
        <v>4395.9999999999982</v>
      </c>
      <c r="AD1200" s="316">
        <v>3895.4000000000005</v>
      </c>
      <c r="AE1200" s="316">
        <v>4778.0000000000027</v>
      </c>
      <c r="AF1200" s="316">
        <v>3783.9999999999973</v>
      </c>
      <c r="AG1200" s="316">
        <v>4301.9999999999927</v>
      </c>
      <c r="AH1200" s="316">
        <v>3671.9999999999973</v>
      </c>
      <c r="AI1200" s="316">
        <v>4704.0000000000018</v>
      </c>
      <c r="AJ1200" s="316">
        <v>5907.9999999999982</v>
      </c>
      <c r="AK1200" s="316">
        <v>5790</v>
      </c>
      <c r="AL1200" s="316">
        <v>6049</v>
      </c>
      <c r="AM1200" s="316">
        <v>6442</v>
      </c>
      <c r="AN1200" s="316">
        <v>7466</v>
      </c>
      <c r="AO1200" s="316">
        <v>7689</v>
      </c>
      <c r="AP1200" s="316">
        <v>7106</v>
      </c>
      <c r="AQ1200" s="316">
        <v>6300</v>
      </c>
      <c r="AR1200" s="316">
        <v>6035</v>
      </c>
      <c r="AS1200" s="316">
        <v>5796</v>
      </c>
      <c r="AT1200" s="316">
        <v>6035</v>
      </c>
      <c r="AU1200" s="316">
        <v>5886</v>
      </c>
      <c r="AV1200" s="316">
        <f ca="1">Calc!Z3</f>
        <v>5886</v>
      </c>
      <c r="AX1200" s="86" t="str">
        <f t="shared" ca="1" si="96"/>
        <v>AAPL</v>
      </c>
    </row>
    <row r="1201" spans="1:50">
      <c r="A1201" s="86" t="str">
        <f t="shared" ca="1" si="99"/>
        <v>ADEA</v>
      </c>
      <c r="C1201" s="1">
        <v>4</v>
      </c>
      <c r="F1201" s="249">
        <v>2.4068999999999998</v>
      </c>
      <c r="G1201" s="249">
        <v>2.3910999999999998</v>
      </c>
      <c r="H1201" s="249">
        <v>2.3993000000000002</v>
      </c>
      <c r="I1201" s="249">
        <v>2.4091999999999998</v>
      </c>
      <c r="J1201" s="249">
        <v>2.42</v>
      </c>
      <c r="K1201" s="249">
        <v>2.4336000000000002</v>
      </c>
      <c r="L1201" s="249">
        <v>2.4491000000000001</v>
      </c>
      <c r="M1201" s="249">
        <v>2.4510999999999998</v>
      </c>
      <c r="N1201" s="249">
        <v>2.4129</v>
      </c>
      <c r="O1201" s="249">
        <v>2.3997999999999999</v>
      </c>
      <c r="P1201" s="249">
        <v>2.3997999999999999</v>
      </c>
      <c r="Q1201" s="249">
        <v>2.3993000000000002</v>
      </c>
      <c r="R1201" s="249">
        <v>2.3873000000000002</v>
      </c>
      <c r="S1201" s="249">
        <v>2.3872</v>
      </c>
      <c r="T1201" s="249">
        <v>2.3872</v>
      </c>
      <c r="U1201" s="249">
        <v>2.3875000000000002</v>
      </c>
      <c r="V1201" s="249">
        <v>2.3883999999999999</v>
      </c>
      <c r="W1201" s="249">
        <v>2.3858000000000001</v>
      </c>
      <c r="X1201" s="249">
        <v>2.3849</v>
      </c>
      <c r="Y1201" s="249">
        <v>2.3845000000000001</v>
      </c>
      <c r="Z1201" s="243">
        <f ca="1">[1]ExtEntry!$R4</f>
        <v>2.3845000000000001</v>
      </c>
      <c r="AB1201" s="316">
        <v>-89.300000000000125</v>
      </c>
      <c r="AC1201" s="316">
        <v>-59.849999999999909</v>
      </c>
      <c r="AD1201" s="316">
        <v>-38.950000000000017</v>
      </c>
      <c r="AE1201" s="316">
        <v>-264.10000000000014</v>
      </c>
      <c r="AF1201" s="316">
        <v>-361.00000000000006</v>
      </c>
      <c r="AG1201" s="316">
        <v>-378.1</v>
      </c>
      <c r="AH1201" s="316">
        <v>-441.74999999999989</v>
      </c>
      <c r="AI1201" s="316">
        <v>-398.99999999999994</v>
      </c>
      <c r="AJ1201" s="316">
        <v>-340.09999999999985</v>
      </c>
      <c r="AK1201" s="316">
        <v>-368</v>
      </c>
      <c r="AL1201" s="316">
        <v>-357</v>
      </c>
      <c r="AM1201" s="316">
        <v>-353</v>
      </c>
      <c r="AN1201" s="316">
        <v>-343</v>
      </c>
      <c r="AO1201" s="316">
        <v>-368</v>
      </c>
      <c r="AP1201" s="316">
        <v>-321</v>
      </c>
      <c r="AQ1201" s="316">
        <v>-325</v>
      </c>
      <c r="AR1201" s="316">
        <v>-330</v>
      </c>
      <c r="AS1201" s="316">
        <v>-244</v>
      </c>
      <c r="AT1201" s="316">
        <v>-139</v>
      </c>
      <c r="AU1201" s="316">
        <v>-131</v>
      </c>
      <c r="AV1201" s="316">
        <f ca="1">Calc!Z4</f>
        <v>-131</v>
      </c>
      <c r="AX1201" s="86" t="str">
        <f t="shared" ca="1" si="96"/>
        <v>ADEA</v>
      </c>
    </row>
    <row r="1202" spans="1:50">
      <c r="A1202" s="86" t="str">
        <f t="shared" ca="1" si="99"/>
        <v>AET</v>
      </c>
      <c r="C1202" s="1">
        <v>5</v>
      </c>
      <c r="F1202" s="241">
        <v>1.6406000000000001</v>
      </c>
      <c r="G1202" s="241">
        <v>1.6374</v>
      </c>
      <c r="H1202" s="241">
        <v>1.6443000000000001</v>
      </c>
      <c r="I1202" s="241">
        <v>1.6375</v>
      </c>
      <c r="J1202" s="241">
        <v>1.6284000000000001</v>
      </c>
      <c r="K1202" s="241">
        <v>1.6225000000000001</v>
      </c>
      <c r="L1202" s="241">
        <v>1.6144000000000001</v>
      </c>
      <c r="M1202" s="241">
        <v>1.6088</v>
      </c>
      <c r="N1202" s="241">
        <v>1.6916</v>
      </c>
      <c r="O1202" s="241">
        <v>1.6801999999999999</v>
      </c>
      <c r="P1202" s="241">
        <v>1.6910000000000001</v>
      </c>
      <c r="Q1202" s="241">
        <v>1.6813</v>
      </c>
      <c r="R1202" s="241">
        <v>1.8685</v>
      </c>
      <c r="S1202" s="241">
        <v>1.8758999999999999</v>
      </c>
      <c r="T1202" s="241">
        <v>1.8758999999999999</v>
      </c>
      <c r="U1202" s="241">
        <v>1.8725000000000001</v>
      </c>
      <c r="V1202" s="241">
        <v>1.8619000000000001</v>
      </c>
      <c r="W1202" s="241">
        <v>1.859</v>
      </c>
      <c r="X1202" s="241">
        <v>1.8633999999999999</v>
      </c>
      <c r="Y1202" s="241">
        <v>1.8467</v>
      </c>
      <c r="Z1202" s="243">
        <f ca="1">[1]ExtEntry!$R5</f>
        <v>1.8467</v>
      </c>
      <c r="AB1202" s="316">
        <v>39.999999999999858</v>
      </c>
      <c r="AC1202" s="316">
        <v>-120.0000000000003</v>
      </c>
      <c r="AD1202" s="316">
        <v>-89.999999999999858</v>
      </c>
      <c r="AE1202" s="316">
        <v>-39.999999999999858</v>
      </c>
      <c r="AF1202" s="316">
        <v>-60.000000000000149</v>
      </c>
      <c r="AG1202" s="316">
        <v>-60.000000000000149</v>
      </c>
      <c r="AH1202" s="316">
        <v>-10.000000000000142</v>
      </c>
      <c r="AI1202" s="316">
        <v>-160.00000000000014</v>
      </c>
      <c r="AJ1202" s="316">
        <v>-550</v>
      </c>
      <c r="AK1202" s="316">
        <v>-679</v>
      </c>
      <c r="AL1202" s="316">
        <v>-758</v>
      </c>
      <c r="AM1202" s="316">
        <v>-659</v>
      </c>
      <c r="AN1202" s="316">
        <v>-748</v>
      </c>
      <c r="AO1202" s="316">
        <v>-659</v>
      </c>
      <c r="AP1202" s="316">
        <v>-719</v>
      </c>
      <c r="AQ1202" s="316">
        <v>-699</v>
      </c>
      <c r="AR1202" s="316">
        <v>-639</v>
      </c>
      <c r="AS1202" s="316">
        <v>-699</v>
      </c>
      <c r="AT1202" s="316">
        <v>-549</v>
      </c>
      <c r="AU1202" s="316">
        <v>-659</v>
      </c>
      <c r="AV1202" s="316">
        <f ca="1">Calc!Z5</f>
        <v>-659</v>
      </c>
      <c r="AX1202" s="86" t="str">
        <f t="shared" ca="1" si="96"/>
        <v>AET</v>
      </c>
    </row>
    <row r="1203" spans="1:50">
      <c r="A1203" s="86" t="str">
        <f t="shared" ca="1" si="99"/>
        <v>AMZN</v>
      </c>
      <c r="C1203" s="1">
        <v>6</v>
      </c>
      <c r="F1203" s="249">
        <v>1.3596999999999999</v>
      </c>
      <c r="G1203" s="249">
        <v>1.3612</v>
      </c>
      <c r="H1203" s="249">
        <v>1.3611</v>
      </c>
      <c r="I1203" s="249">
        <v>1.3676999999999999</v>
      </c>
      <c r="J1203" s="249">
        <v>1.3721000000000001</v>
      </c>
      <c r="K1203" s="249">
        <v>1.3831</v>
      </c>
      <c r="L1203" s="249">
        <v>1.3819999999999999</v>
      </c>
      <c r="M1203" s="249">
        <v>1.3906000000000001</v>
      </c>
      <c r="N1203" s="249">
        <v>1.3751</v>
      </c>
      <c r="O1203" s="249">
        <v>1.3743000000000001</v>
      </c>
      <c r="P1203" s="249">
        <v>1.3743000000000001</v>
      </c>
      <c r="Q1203" s="249">
        <v>1.3711</v>
      </c>
      <c r="R1203" s="249">
        <v>1.3728</v>
      </c>
      <c r="S1203" s="249">
        <v>1.3733</v>
      </c>
      <c r="T1203" s="249">
        <v>1.3733</v>
      </c>
      <c r="U1203" s="249">
        <v>1.3749</v>
      </c>
      <c r="V1203" s="249">
        <v>1.3761000000000001</v>
      </c>
      <c r="W1203" s="249">
        <v>1.3773</v>
      </c>
      <c r="X1203" s="249">
        <v>1.3768</v>
      </c>
      <c r="Y1203" s="249">
        <v>1.3754999999999999</v>
      </c>
      <c r="Z1203" s="243">
        <f ca="1">[1]ExtEntry!$R6</f>
        <v>1.3754999999999999</v>
      </c>
      <c r="AB1203" s="316">
        <v>70359.999999999956</v>
      </c>
      <c r="AC1203" s="316">
        <v>57572.799999999974</v>
      </c>
      <c r="AD1203" s="316">
        <v>59079.999999999985</v>
      </c>
      <c r="AE1203" s="316">
        <v>39339.999999999978</v>
      </c>
      <c r="AF1203" s="316">
        <v>15060.000000000002</v>
      </c>
      <c r="AG1203" s="316">
        <v>12323.999999999956</v>
      </c>
      <c r="AH1203" s="316">
        <v>7659.9999999999682</v>
      </c>
      <c r="AI1203" s="316">
        <v>12430.000000000007</v>
      </c>
      <c r="AJ1203" s="316">
        <v>29419.99999999996</v>
      </c>
      <c r="AK1203" s="316">
        <v>28203</v>
      </c>
      <c r="AL1203" s="316">
        <v>36301</v>
      </c>
      <c r="AM1203" s="316">
        <v>39892</v>
      </c>
      <c r="AN1203" s="316">
        <v>38445</v>
      </c>
      <c r="AO1203" s="316">
        <v>33230</v>
      </c>
      <c r="AP1203" s="316">
        <v>34626</v>
      </c>
      <c r="AQ1203" s="316">
        <v>24566</v>
      </c>
      <c r="AR1203" s="316">
        <v>28941</v>
      </c>
      <c r="AS1203" s="316">
        <v>25325</v>
      </c>
      <c r="AT1203" s="316">
        <v>33429</v>
      </c>
      <c r="AU1203" s="316">
        <v>30437</v>
      </c>
      <c r="AV1203" s="316">
        <f ca="1">Calc!Z6</f>
        <v>30437</v>
      </c>
      <c r="AX1203" s="86" t="str">
        <f t="shared" ca="1" si="96"/>
        <v>AMZN</v>
      </c>
    </row>
    <row r="1204" spans="1:50" ht="24" customHeight="1">
      <c r="A1204" s="86" t="str">
        <f t="shared" ca="1" si="99"/>
        <v>ALDNE</v>
      </c>
      <c r="C1204" s="1">
        <v>7</v>
      </c>
      <c r="F1204" s="241">
        <v>0.95879999999999999</v>
      </c>
      <c r="G1204" s="241">
        <v>0.95520000000000005</v>
      </c>
      <c r="H1204" s="241">
        <v>0.95709999999999995</v>
      </c>
      <c r="I1204" s="241">
        <v>0.95879999999999999</v>
      </c>
      <c r="J1204" s="241">
        <v>0.96430000000000005</v>
      </c>
      <c r="K1204" s="241">
        <v>0.97</v>
      </c>
      <c r="L1204" s="241">
        <v>0.97970000000000002</v>
      </c>
      <c r="M1204" s="241">
        <v>0.98750000000000004</v>
      </c>
      <c r="N1204" s="241">
        <v>0.98780000000000001</v>
      </c>
      <c r="O1204" s="241">
        <v>0.9869</v>
      </c>
      <c r="P1204" s="241">
        <v>0.98040000000000005</v>
      </c>
      <c r="Q1204" s="241">
        <v>0.9819</v>
      </c>
      <c r="R1204" s="241">
        <v>0.97709999999999997</v>
      </c>
      <c r="S1204" s="241">
        <v>0.96579999999999999</v>
      </c>
      <c r="T1204" s="241">
        <v>0.96579999999999999</v>
      </c>
      <c r="U1204" s="241">
        <v>0.96450000000000002</v>
      </c>
      <c r="V1204" s="241">
        <v>0.97119999999999995</v>
      </c>
      <c r="W1204" s="241">
        <v>0.97460000000000002</v>
      </c>
      <c r="X1204" s="241">
        <v>0.97109999999999996</v>
      </c>
      <c r="Y1204" s="241">
        <v>0.96899999999999997</v>
      </c>
      <c r="Z1204" s="243">
        <f ca="1">[1]ExtEntry!$R7</f>
        <v>0.96899999999999997</v>
      </c>
      <c r="AB1204" s="316">
        <v>-2100</v>
      </c>
      <c r="AC1204" s="316">
        <v>-2220.0000000000005</v>
      </c>
      <c r="AD1204" s="316">
        <v>-2250.0000000000005</v>
      </c>
      <c r="AE1204" s="316">
        <v>-3960</v>
      </c>
      <c r="AF1204" s="316">
        <v>-3900</v>
      </c>
      <c r="AG1204" s="316">
        <v>-3630.0000000000014</v>
      </c>
      <c r="AH1204" s="316">
        <v>-3930</v>
      </c>
      <c r="AI1204" s="316">
        <v>-4110</v>
      </c>
      <c r="AJ1204" s="316">
        <v>-4260</v>
      </c>
      <c r="AK1204" s="316">
        <v>-4638</v>
      </c>
      <c r="AL1204" s="316">
        <v>-4877</v>
      </c>
      <c r="AM1204" s="316">
        <v>-4668</v>
      </c>
      <c r="AN1204" s="316">
        <v>-4638</v>
      </c>
      <c r="AO1204" s="316">
        <v>-4518</v>
      </c>
      <c r="AP1204" s="316">
        <v>-4548</v>
      </c>
      <c r="AQ1204" s="316">
        <v>-4638</v>
      </c>
      <c r="AR1204" s="316">
        <v>-4638</v>
      </c>
      <c r="AS1204" s="316">
        <v>-5087</v>
      </c>
      <c r="AT1204" s="316">
        <v>-4967</v>
      </c>
      <c r="AU1204" s="316">
        <v>-5685</v>
      </c>
      <c r="AV1204" s="316">
        <f ca="1">Calc!Z7</f>
        <v>-5685</v>
      </c>
      <c r="AX1204" s="86" t="str">
        <f t="shared" ca="1" si="96"/>
        <v>ALDNE</v>
      </c>
    </row>
    <row r="1205" spans="1:50">
      <c r="A1205" s="86" t="str">
        <f t="shared" ca="1" si="99"/>
        <v>ASML</v>
      </c>
      <c r="C1205" s="1">
        <v>8</v>
      </c>
      <c r="F1205" s="249">
        <v>2.1158000000000001</v>
      </c>
      <c r="G1205" s="249">
        <v>2.1168999999999998</v>
      </c>
      <c r="H1205" s="249">
        <v>2.1183000000000001</v>
      </c>
      <c r="I1205" s="249">
        <v>2.1202999999999999</v>
      </c>
      <c r="J1205" s="249">
        <v>2.1173000000000002</v>
      </c>
      <c r="K1205" s="249">
        <v>2.1166999999999998</v>
      </c>
      <c r="L1205" s="249">
        <v>2.0914000000000001</v>
      </c>
      <c r="M1205" s="249">
        <v>2.0895999999999999</v>
      </c>
      <c r="N1205" s="249">
        <v>2.0969000000000002</v>
      </c>
      <c r="O1205" s="249">
        <v>2.0773000000000001</v>
      </c>
      <c r="P1205" s="249">
        <v>2.1011000000000002</v>
      </c>
      <c r="Q1205" s="249">
        <v>2.0979000000000001</v>
      </c>
      <c r="R1205" s="249">
        <v>2.0914000000000001</v>
      </c>
      <c r="S1205" s="249">
        <v>2.0903999999999998</v>
      </c>
      <c r="T1205" s="249">
        <v>2.0903999999999998</v>
      </c>
      <c r="U1205" s="249">
        <v>2.0872999999999999</v>
      </c>
      <c r="V1205" s="249">
        <v>2.09</v>
      </c>
      <c r="W1205" s="249">
        <v>2.0893999999999999</v>
      </c>
      <c r="X1205" s="249">
        <v>2.0882999999999998</v>
      </c>
      <c r="Y1205" s="249">
        <v>2.0899000000000001</v>
      </c>
      <c r="Z1205" s="243">
        <f ca="1">[1]ExtEntry!$R8</f>
        <v>2.0899000000000001</v>
      </c>
      <c r="AB1205" s="316">
        <v>18540.000000000007</v>
      </c>
      <c r="AC1205" s="316">
        <v>16279.999999999996</v>
      </c>
      <c r="AD1205" s="316">
        <v>11379.999999999996</v>
      </c>
      <c r="AE1205" s="316">
        <v>12040.000000000009</v>
      </c>
      <c r="AF1205" s="316">
        <v>-2730.0000000000068</v>
      </c>
      <c r="AG1205" s="316">
        <v>-10.000000000002274</v>
      </c>
      <c r="AH1205" s="316">
        <v>309.99999999999091</v>
      </c>
      <c r="AI1205" s="316">
        <v>-5270.0000000000045</v>
      </c>
      <c r="AJ1205" s="316">
        <v>2259.9999999999909</v>
      </c>
      <c r="AK1205" s="316">
        <v>1047</v>
      </c>
      <c r="AL1205" s="316">
        <v>1665</v>
      </c>
      <c r="AM1205" s="316">
        <v>3989</v>
      </c>
      <c r="AN1205" s="316">
        <v>5225</v>
      </c>
      <c r="AO1205" s="316">
        <v>6941</v>
      </c>
      <c r="AP1205" s="316">
        <v>7649</v>
      </c>
      <c r="AQ1205" s="316">
        <v>7040</v>
      </c>
      <c r="AR1205" s="316">
        <v>6472</v>
      </c>
      <c r="AS1205" s="316">
        <v>6602</v>
      </c>
      <c r="AT1205" s="316">
        <v>5913</v>
      </c>
      <c r="AU1205" s="316">
        <v>5405</v>
      </c>
      <c r="AV1205" s="316">
        <f ca="1">Calc!Z8</f>
        <v>5405</v>
      </c>
      <c r="AX1205" s="86" t="str">
        <f t="shared" ca="1" si="96"/>
        <v>ASML</v>
      </c>
    </row>
    <row r="1206" spans="1:50">
      <c r="A1206" s="86" t="str">
        <f t="shared" ca="1" si="99"/>
        <v>AVGO</v>
      </c>
      <c r="C1206" s="1">
        <v>9</v>
      </c>
      <c r="F1206" s="251">
        <v>1.2219</v>
      </c>
      <c r="G1206" s="251">
        <v>1.2176</v>
      </c>
      <c r="H1206" s="251">
        <v>1.2213000000000001</v>
      </c>
      <c r="I1206" s="251">
        <v>1.2309000000000001</v>
      </c>
      <c r="J1206" s="251">
        <v>1.2294</v>
      </c>
      <c r="K1206" s="251">
        <v>1.2342</v>
      </c>
      <c r="L1206" s="251">
        <v>1.2214</v>
      </c>
      <c r="M1206" s="251">
        <v>1.2293000000000001</v>
      </c>
      <c r="N1206" s="251">
        <v>1.2044999999999999</v>
      </c>
      <c r="O1206" s="251">
        <v>1.2024999999999999</v>
      </c>
      <c r="P1206" s="251">
        <v>1.2024999999999999</v>
      </c>
      <c r="Q1206" s="251">
        <v>1.2040999999999999</v>
      </c>
      <c r="R1206" s="251">
        <v>1.2101</v>
      </c>
      <c r="S1206" s="251">
        <v>1.2103999999999999</v>
      </c>
      <c r="T1206" s="251">
        <v>1.2103999999999999</v>
      </c>
      <c r="U1206" s="251">
        <v>1.2089000000000001</v>
      </c>
      <c r="V1206" s="251">
        <v>1.2052</v>
      </c>
      <c r="W1206" s="251">
        <v>1.2040999999999999</v>
      </c>
      <c r="X1206" s="251">
        <v>1.2028000000000001</v>
      </c>
      <c r="Y1206" s="251">
        <v>1.2012</v>
      </c>
      <c r="Z1206" s="243">
        <f ca="1">[1]ExtEntry!$R9</f>
        <v>1.2012</v>
      </c>
      <c r="AB1206" s="316">
        <v>5743.5000000000045</v>
      </c>
      <c r="AC1206" s="316">
        <v>5033.7000000000062</v>
      </c>
      <c r="AD1206" s="316">
        <v>3308.5499999999993</v>
      </c>
      <c r="AE1206" s="316">
        <v>2274.2999999999965</v>
      </c>
      <c r="AF1206" s="316">
        <v>1774.0000000000009</v>
      </c>
      <c r="AG1206" s="316">
        <v>3268.0000000000064</v>
      </c>
      <c r="AH1206" s="316">
        <v>3782.000000000005</v>
      </c>
      <c r="AI1206" s="316">
        <v>2372.9600000000005</v>
      </c>
      <c r="AJ1206" s="316">
        <v>12737.5</v>
      </c>
      <c r="AK1206" s="316">
        <v>13152</v>
      </c>
      <c r="AL1206" s="316">
        <v>14227</v>
      </c>
      <c r="AM1206" s="316">
        <v>11678</v>
      </c>
      <c r="AN1206" s="316">
        <v>9961</v>
      </c>
      <c r="AO1206" s="316">
        <v>8850</v>
      </c>
      <c r="AP1206" s="316">
        <v>9769</v>
      </c>
      <c r="AQ1206" s="316">
        <v>9994</v>
      </c>
      <c r="AR1206" s="316">
        <v>11690</v>
      </c>
      <c r="AS1206" s="316">
        <v>14743</v>
      </c>
      <c r="AT1206" s="316">
        <v>16224</v>
      </c>
      <c r="AU1206" s="316">
        <v>14907</v>
      </c>
      <c r="AV1206" s="316">
        <f ca="1">Calc!Z9</f>
        <v>14907</v>
      </c>
      <c r="AX1206" s="86" t="str">
        <f t="shared" ca="1" si="96"/>
        <v>AVGO</v>
      </c>
    </row>
    <row r="1207" spans="1:50" hidden="1">
      <c r="A1207" s="86" t="str">
        <f t="shared" ca="1" si="99"/>
        <v>AZN</v>
      </c>
      <c r="C1207" s="1">
        <v>10</v>
      </c>
      <c r="F1207" s="249">
        <v>0.3382</v>
      </c>
      <c r="G1207" s="249">
        <v>0.33989999999999998</v>
      </c>
      <c r="H1207" s="249">
        <v>0.33260000000000001</v>
      </c>
      <c r="I1207" s="249">
        <v>0.31950000000000001</v>
      </c>
      <c r="J1207" s="249">
        <v>0.31680000000000003</v>
      </c>
      <c r="K1207" s="249">
        <v>0.30880000000000002</v>
      </c>
      <c r="L1207" s="249">
        <v>0.30430000000000001</v>
      </c>
      <c r="M1207" s="249">
        <v>0.30859999999999999</v>
      </c>
      <c r="N1207" s="249">
        <v>0.31130000000000002</v>
      </c>
      <c r="O1207" s="249">
        <v>0.31919999999999998</v>
      </c>
      <c r="P1207" s="249">
        <v>0.31919999999999998</v>
      </c>
      <c r="Q1207" s="249">
        <v>0.32600000000000001</v>
      </c>
      <c r="R1207" s="249">
        <v>0.34789999999999999</v>
      </c>
      <c r="S1207" s="249">
        <v>0.3478</v>
      </c>
      <c r="T1207" s="249">
        <v>0.3478</v>
      </c>
      <c r="U1207" s="249">
        <v>0.3463</v>
      </c>
      <c r="V1207" s="249">
        <v>0.34610000000000002</v>
      </c>
      <c r="W1207" s="249">
        <v>0.34589999999999999</v>
      </c>
      <c r="X1207" s="249">
        <v>0.3478</v>
      </c>
      <c r="Y1207" s="249">
        <v>0.34470000000000001</v>
      </c>
      <c r="Z1207" s="243">
        <f ca="1">[1]ExtEntry!$R10</f>
        <v>0.34470000000000001</v>
      </c>
      <c r="AB1207" s="316">
        <v>5655.0000000000009</v>
      </c>
      <c r="AC1207" s="316">
        <v>6927.4999999999945</v>
      </c>
      <c r="AD1207" s="316">
        <v>7357.5000000000018</v>
      </c>
      <c r="AE1207" s="316">
        <v>9629.9999999999964</v>
      </c>
      <c r="AF1207" s="316">
        <v>9854.9999999999964</v>
      </c>
      <c r="AG1207" s="316">
        <v>9565.0499999999993</v>
      </c>
      <c r="AH1207" s="316">
        <v>9384.5999999999985</v>
      </c>
      <c r="AI1207" s="316">
        <v>10884.999999999998</v>
      </c>
      <c r="AJ1207" s="316">
        <v>11912.500000000002</v>
      </c>
      <c r="AK1207" s="316">
        <v>11708</v>
      </c>
      <c r="AL1207" s="316">
        <v>11414</v>
      </c>
      <c r="AM1207" s="316">
        <v>10446</v>
      </c>
      <c r="AN1207" s="316">
        <v>10155</v>
      </c>
      <c r="AO1207" s="316">
        <v>10576</v>
      </c>
      <c r="AP1207" s="316">
        <v>10476</v>
      </c>
      <c r="AQ1207" s="316">
        <v>10207</v>
      </c>
      <c r="AR1207" s="316">
        <v>10142</v>
      </c>
      <c r="AS1207" s="316">
        <v>10065</v>
      </c>
      <c r="AT1207" s="316">
        <v>10805</v>
      </c>
      <c r="AU1207" s="316">
        <v>10197</v>
      </c>
      <c r="AV1207" s="316">
        <f ca="1">Calc!Z10</f>
        <v>10197</v>
      </c>
      <c r="AX1207" s="86" t="str">
        <f t="shared" ca="1" si="96"/>
        <v>AZN</v>
      </c>
    </row>
    <row r="1208" spans="1:50" hidden="1">
      <c r="A1208" s="86" t="str">
        <f t="shared" ca="1" si="99"/>
        <v>BLDP</v>
      </c>
      <c r="C1208" s="1">
        <v>11</v>
      </c>
      <c r="F1208" s="249">
        <v>1.7142999999999999</v>
      </c>
      <c r="G1208" s="249">
        <v>1.6777</v>
      </c>
      <c r="H1208" s="249">
        <v>1.7018</v>
      </c>
      <c r="I1208" s="249">
        <v>1.7003999999999999</v>
      </c>
      <c r="J1208" s="249">
        <v>1.7289000000000001</v>
      </c>
      <c r="K1208" s="249">
        <v>1.7453000000000001</v>
      </c>
      <c r="L1208" s="249">
        <v>1.7488999999999999</v>
      </c>
      <c r="M1208" s="249">
        <v>1.7403999999999999</v>
      </c>
      <c r="N1208" s="249">
        <v>1.7088000000000001</v>
      </c>
      <c r="O1208" s="249">
        <v>1.6793</v>
      </c>
      <c r="P1208" s="249">
        <v>1.6449</v>
      </c>
      <c r="Q1208" s="249">
        <v>1.6463000000000001</v>
      </c>
      <c r="R1208" s="249">
        <v>1.6169</v>
      </c>
      <c r="S1208" s="249">
        <v>1.6124000000000001</v>
      </c>
      <c r="T1208" s="249">
        <v>1.6124000000000001</v>
      </c>
      <c r="U1208" s="249">
        <v>1.6155999999999999</v>
      </c>
      <c r="V1208" s="249">
        <v>1.6142000000000001</v>
      </c>
      <c r="W1208" s="249">
        <v>1.6116999999999999</v>
      </c>
      <c r="X1208" s="249">
        <v>1.6082000000000001</v>
      </c>
      <c r="Y1208" s="249">
        <v>1.6123000000000001</v>
      </c>
      <c r="Z1208" s="243">
        <f ca="1">[1]ExtEntry!$R11</f>
        <v>1.6123000000000001</v>
      </c>
      <c r="AB1208" s="316">
        <v>4799.9999999999991</v>
      </c>
      <c r="AC1208" s="316">
        <v>4319.9999999999982</v>
      </c>
      <c r="AD1208" s="316">
        <v>3809.9999999999986</v>
      </c>
      <c r="AE1208" s="316">
        <v>1079.9999999999982</v>
      </c>
      <c r="AF1208" s="316">
        <v>240.00000000000023</v>
      </c>
      <c r="AG1208" s="316">
        <v>-48.000000000000043</v>
      </c>
      <c r="AH1208" s="316">
        <v>-750</v>
      </c>
      <c r="AI1208" s="316">
        <v>-720.00000000000068</v>
      </c>
      <c r="AJ1208" s="316">
        <v>-570.00000000000114</v>
      </c>
      <c r="AK1208" s="316">
        <v>-419</v>
      </c>
      <c r="AL1208" s="316">
        <v>-60</v>
      </c>
      <c r="AM1208" s="316">
        <v>-719</v>
      </c>
      <c r="AN1208" s="316">
        <v>-808</v>
      </c>
      <c r="AO1208" s="316">
        <v>-1317</v>
      </c>
      <c r="AP1208" s="316">
        <v>-1078</v>
      </c>
      <c r="AQ1208" s="316">
        <v>-479</v>
      </c>
      <c r="AR1208" s="316">
        <v>-180</v>
      </c>
      <c r="AS1208" s="316">
        <v>-240</v>
      </c>
      <c r="AT1208" s="316">
        <v>-419</v>
      </c>
      <c r="AU1208" s="316">
        <v>239</v>
      </c>
      <c r="AV1208" s="316">
        <f ca="1">Calc!Z11</f>
        <v>239</v>
      </c>
      <c r="AX1208" s="86" t="str">
        <f t="shared" ca="1" si="96"/>
        <v>BLDP</v>
      </c>
    </row>
    <row r="1209" spans="1:50" hidden="1">
      <c r="A1209" s="86" t="str">
        <f t="shared" ca="1" si="99"/>
        <v>BMRA</v>
      </c>
      <c r="C1209" s="1">
        <v>12</v>
      </c>
      <c r="F1209" s="249">
        <v>6.2199999999999998E-2</v>
      </c>
      <c r="G1209" s="249">
        <v>5.3999999999999999E-2</v>
      </c>
      <c r="H1209" s="249">
        <v>6.0999999999999999E-2</v>
      </c>
      <c r="I1209" s="249">
        <v>6.4000000000000001E-2</v>
      </c>
      <c r="J1209" s="249">
        <v>8.2199999999999995E-2</v>
      </c>
      <c r="K1209" s="249">
        <v>9.7900000000000001E-2</v>
      </c>
      <c r="L1209" s="249">
        <v>0.11840000000000001</v>
      </c>
      <c r="M1209" s="249">
        <v>0.1052</v>
      </c>
      <c r="N1209" s="249">
        <v>6.9199999999999998E-2</v>
      </c>
      <c r="O1209" s="249">
        <v>6.6000000000000003E-2</v>
      </c>
      <c r="P1209" s="249">
        <v>6.6000000000000003E-2</v>
      </c>
      <c r="Q1209" s="249">
        <v>5.8000000000000003E-2</v>
      </c>
      <c r="R1209" s="249">
        <v>0.1193</v>
      </c>
      <c r="S1209" s="249">
        <v>0.1148</v>
      </c>
      <c r="T1209" s="249">
        <v>0.1148</v>
      </c>
      <c r="U1209" s="249">
        <v>0.11650000000000001</v>
      </c>
      <c r="V1209" s="249">
        <v>0.1157</v>
      </c>
      <c r="W1209" s="249">
        <v>0.109</v>
      </c>
      <c r="X1209" s="249">
        <v>0.10580000000000001</v>
      </c>
      <c r="Y1209" s="249">
        <v>0.11260000000000001</v>
      </c>
      <c r="Z1209" s="243">
        <f ca="1">[1]ExtEntry!$R12</f>
        <v>0.11260000000000001</v>
      </c>
      <c r="AB1209" s="316">
        <v>-126745</v>
      </c>
      <c r="AC1209" s="316">
        <v>-127119.99999999999</v>
      </c>
      <c r="AD1209" s="316">
        <v>-127776.24999999999</v>
      </c>
      <c r="AE1209" s="316">
        <v>-128870</v>
      </c>
      <c r="AF1209" s="316">
        <v>-130870</v>
      </c>
      <c r="AG1209" s="316">
        <v>-131307.5</v>
      </c>
      <c r="AH1209" s="316">
        <v>-131495</v>
      </c>
      <c r="AI1209" s="316">
        <v>-130620</v>
      </c>
      <c r="AJ1209" s="316">
        <v>-129432.5</v>
      </c>
      <c r="AK1209" s="316">
        <v>-129645</v>
      </c>
      <c r="AL1209" s="316">
        <v>-129021</v>
      </c>
      <c r="AM1209" s="316">
        <v>-130268</v>
      </c>
      <c r="AN1209" s="316">
        <v>-129613</v>
      </c>
      <c r="AO1209" s="316">
        <v>-129383</v>
      </c>
      <c r="AP1209" s="316">
        <v>-129769</v>
      </c>
      <c r="AQ1209" s="316">
        <v>-129502</v>
      </c>
      <c r="AR1209" s="316">
        <v>-129395</v>
      </c>
      <c r="AS1209" s="316">
        <v>-127525</v>
      </c>
      <c r="AT1209" s="316">
        <v>-127401</v>
      </c>
      <c r="AU1209" s="316">
        <v>-126279</v>
      </c>
      <c r="AV1209" s="316">
        <f ca="1">Calc!Z12</f>
        <v>-126279</v>
      </c>
      <c r="AX1209" s="86" t="str">
        <f t="shared" ca="1" si="96"/>
        <v>BMRA</v>
      </c>
    </row>
    <row r="1210" spans="1:50" hidden="1">
      <c r="A1210" s="86" t="str">
        <f t="shared" ca="1" si="99"/>
        <v>C</v>
      </c>
      <c r="C1210" s="1">
        <v>13</v>
      </c>
      <c r="F1210" s="249">
        <v>1.1959</v>
      </c>
      <c r="G1210" s="249">
        <v>1.1959</v>
      </c>
      <c r="H1210" s="249">
        <v>1.1934</v>
      </c>
      <c r="I1210" s="249">
        <v>1.1949000000000001</v>
      </c>
      <c r="J1210" s="249">
        <v>1.2004999999999999</v>
      </c>
      <c r="K1210" s="249">
        <v>1.1976</v>
      </c>
      <c r="L1210" s="249">
        <v>1.1880999999999999</v>
      </c>
      <c r="M1210" s="249">
        <v>1.1980999999999999</v>
      </c>
      <c r="N1210" s="249">
        <v>1.1954</v>
      </c>
      <c r="O1210" s="249">
        <v>1.1954</v>
      </c>
      <c r="P1210" s="249">
        <v>1.1954</v>
      </c>
      <c r="Q1210" s="249">
        <v>1.1958</v>
      </c>
      <c r="R1210" s="249">
        <v>1.1786000000000001</v>
      </c>
      <c r="S1210" s="249">
        <v>1.1782999999999999</v>
      </c>
      <c r="T1210" s="249">
        <v>1.1782999999999999</v>
      </c>
      <c r="U1210" s="249">
        <v>1.1754</v>
      </c>
      <c r="V1210" s="249">
        <v>1.175</v>
      </c>
      <c r="W1210" s="249">
        <v>1.173</v>
      </c>
      <c r="X1210" s="249">
        <v>1.1719999999999999</v>
      </c>
      <c r="Y1210" s="249">
        <v>1.175</v>
      </c>
      <c r="Z1210" s="243">
        <f ca="1">[1]ExtEntry!$R13</f>
        <v>1.175</v>
      </c>
      <c r="AB1210" s="316">
        <v>78.999999999999204</v>
      </c>
      <c r="AC1210" s="316">
        <v>7.9999999999998295</v>
      </c>
      <c r="AD1210" s="316">
        <v>-41.00000000000108</v>
      </c>
      <c r="AE1210" s="316">
        <v>-63.000000000000966</v>
      </c>
      <c r="AF1210" s="316">
        <v>-261.00000000000136</v>
      </c>
      <c r="AG1210" s="316">
        <v>-133.00000000000125</v>
      </c>
      <c r="AH1210" s="316">
        <v>-277.50000000000057</v>
      </c>
      <c r="AI1210" s="316">
        <v>-210.00000000000085</v>
      </c>
      <c r="AJ1210" s="316">
        <v>184.49999999999989</v>
      </c>
      <c r="AK1210" s="316">
        <v>157</v>
      </c>
      <c r="AL1210" s="316">
        <v>271</v>
      </c>
      <c r="AM1210" s="316">
        <v>232</v>
      </c>
      <c r="AN1210" s="316">
        <v>224</v>
      </c>
      <c r="AO1210" s="316">
        <v>374</v>
      </c>
      <c r="AP1210" s="316">
        <v>582</v>
      </c>
      <c r="AQ1210" s="316">
        <v>735</v>
      </c>
      <c r="AR1210" s="316">
        <v>787</v>
      </c>
      <c r="AS1210" s="316">
        <v>806</v>
      </c>
      <c r="AT1210" s="316">
        <v>1016</v>
      </c>
      <c r="AU1210" s="316">
        <v>1079</v>
      </c>
      <c r="AV1210" s="316">
        <f ca="1">Calc!Z13</f>
        <v>1079</v>
      </c>
      <c r="AX1210" s="86" t="str">
        <f t="shared" ca="1" si="96"/>
        <v>C</v>
      </c>
    </row>
    <row r="1211" spans="1:50" hidden="1">
      <c r="A1211" s="86" t="str">
        <f t="shared" ca="1" si="99"/>
        <v>CSCO</v>
      </c>
      <c r="C1211" s="1">
        <v>14</v>
      </c>
      <c r="F1211" s="249">
        <v>0.86899999999999999</v>
      </c>
      <c r="G1211" s="249">
        <v>0.86990000000000001</v>
      </c>
      <c r="H1211" s="249">
        <v>0.872</v>
      </c>
      <c r="I1211" s="249">
        <v>0.85199999999999998</v>
      </c>
      <c r="J1211" s="249">
        <v>0.85029999999999994</v>
      </c>
      <c r="K1211" s="249">
        <v>0.84370000000000001</v>
      </c>
      <c r="L1211" s="249">
        <v>0.83040000000000003</v>
      </c>
      <c r="M1211" s="249">
        <v>0.84870000000000001</v>
      </c>
      <c r="N1211" s="249">
        <v>0.85809999999999997</v>
      </c>
      <c r="O1211" s="249">
        <v>0.86250000000000004</v>
      </c>
      <c r="P1211" s="249">
        <v>0.86250000000000004</v>
      </c>
      <c r="Q1211" s="249">
        <v>0.8639</v>
      </c>
      <c r="R1211" s="249">
        <v>0.86360000000000003</v>
      </c>
      <c r="S1211" s="249">
        <v>0.86240000000000006</v>
      </c>
      <c r="T1211" s="249">
        <v>0.86240000000000006</v>
      </c>
      <c r="U1211" s="249">
        <v>0.86150000000000004</v>
      </c>
      <c r="V1211" s="249">
        <v>0.86170000000000002</v>
      </c>
      <c r="W1211" s="249">
        <v>0.8599</v>
      </c>
      <c r="X1211" s="249">
        <v>0.85880000000000001</v>
      </c>
      <c r="Y1211" s="249">
        <v>0.86050000000000004</v>
      </c>
      <c r="Z1211" s="243">
        <f ca="1">[1]ExtEntry!$R14</f>
        <v>0.86050000000000004</v>
      </c>
      <c r="AB1211" s="316">
        <v>4899.9999999999918</v>
      </c>
      <c r="AC1211" s="316">
        <v>3954.9999999999982</v>
      </c>
      <c r="AD1211" s="316">
        <v>3724.9999999999945</v>
      </c>
      <c r="AE1211" s="316">
        <v>10799.999999999996</v>
      </c>
      <c r="AF1211" s="316">
        <v>10170.000000000002</v>
      </c>
      <c r="AG1211" s="316">
        <v>11073.599999999999</v>
      </c>
      <c r="AH1211" s="316">
        <v>9019.9999999999964</v>
      </c>
      <c r="AI1211" s="316">
        <v>9414.9999999999927</v>
      </c>
      <c r="AJ1211" s="316">
        <v>9084.9999999999945</v>
      </c>
      <c r="AK1211" s="316">
        <v>8846</v>
      </c>
      <c r="AL1211" s="316">
        <v>9713</v>
      </c>
      <c r="AM1211" s="316">
        <v>9065</v>
      </c>
      <c r="AN1211" s="316">
        <v>9663</v>
      </c>
      <c r="AO1211" s="316">
        <v>10007</v>
      </c>
      <c r="AP1211" s="316">
        <v>10521</v>
      </c>
      <c r="AQ1211" s="316">
        <v>10346</v>
      </c>
      <c r="AR1211" s="316">
        <v>10740</v>
      </c>
      <c r="AS1211" s="316">
        <v>12371</v>
      </c>
      <c r="AT1211" s="316">
        <v>13014</v>
      </c>
      <c r="AU1211" s="316">
        <v>12037</v>
      </c>
      <c r="AV1211" s="316">
        <f ca="1">Calc!Z14</f>
        <v>12037</v>
      </c>
      <c r="AX1211" s="86" t="str">
        <f t="shared" ca="1" si="96"/>
        <v>CSCO</v>
      </c>
    </row>
    <row r="1212" spans="1:50" hidden="1">
      <c r="A1212" s="86" t="str">
        <f t="shared" ca="1" si="99"/>
        <v>CVS</v>
      </c>
      <c r="C1212" s="1">
        <v>15</v>
      </c>
      <c r="F1212" s="249">
        <v>0.48180000000000001</v>
      </c>
      <c r="G1212" s="249">
        <v>0.48120000000000002</v>
      </c>
      <c r="H1212" s="249">
        <v>0.47870000000000001</v>
      </c>
      <c r="I1212" s="249">
        <v>0.47760000000000002</v>
      </c>
      <c r="J1212" s="249">
        <v>0.48</v>
      </c>
      <c r="K1212" s="249">
        <v>0.47970000000000002</v>
      </c>
      <c r="L1212" s="249">
        <v>0.4844</v>
      </c>
      <c r="M1212" s="249">
        <v>0.48720000000000002</v>
      </c>
      <c r="N1212" s="249">
        <v>0.48070000000000002</v>
      </c>
      <c r="O1212" s="249">
        <v>0.47920000000000001</v>
      </c>
      <c r="P1212" s="249">
        <v>0.47920000000000001</v>
      </c>
      <c r="Q1212" s="249">
        <v>0.47989999999999999</v>
      </c>
      <c r="R1212" s="249">
        <v>0.48459999999999998</v>
      </c>
      <c r="S1212" s="249">
        <v>0.48670000000000002</v>
      </c>
      <c r="T1212" s="249">
        <v>0.48670000000000002</v>
      </c>
      <c r="U1212" s="249">
        <v>0.48920000000000002</v>
      </c>
      <c r="V1212" s="249">
        <v>0.4869</v>
      </c>
      <c r="W1212" s="249">
        <v>0.48749999999999999</v>
      </c>
      <c r="X1212" s="249">
        <v>0.48549999999999999</v>
      </c>
      <c r="Y1212" s="249">
        <v>0.48359999999999997</v>
      </c>
      <c r="Z1212" s="243">
        <f ca="1">[1]ExtEntry!$R15</f>
        <v>0.48359999999999997</v>
      </c>
      <c r="AB1212" s="316">
        <v>22.503810000000001</v>
      </c>
      <c r="AC1212" s="316">
        <v>22.673810000000003</v>
      </c>
      <c r="AD1212" s="316">
        <v>22.783810000000003</v>
      </c>
      <c r="AE1212" s="316">
        <v>21.813810000000004</v>
      </c>
      <c r="AF1212" s="316">
        <v>21.883809999999997</v>
      </c>
      <c r="AG1212" s="316">
        <v>20.363810000000001</v>
      </c>
      <c r="AH1212" s="316">
        <v>20.078810000000004</v>
      </c>
      <c r="AI1212" s="316">
        <v>21.698809999999995</v>
      </c>
      <c r="AJ1212" s="316">
        <v>23.803809999999999</v>
      </c>
      <c r="AK1212" s="316">
        <v>23</v>
      </c>
      <c r="AL1212" s="316">
        <v>24</v>
      </c>
      <c r="AM1212" s="316">
        <v>23</v>
      </c>
      <c r="AN1212" s="316">
        <v>21</v>
      </c>
      <c r="AO1212" s="316">
        <v>20</v>
      </c>
      <c r="AP1212" s="316">
        <v>18</v>
      </c>
      <c r="AQ1212" s="316">
        <v>18</v>
      </c>
      <c r="AR1212" s="316">
        <v>19</v>
      </c>
      <c r="AS1212" s="316">
        <v>22</v>
      </c>
      <c r="AT1212" s="316">
        <v>22</v>
      </c>
      <c r="AU1212" s="316">
        <v>24</v>
      </c>
      <c r="AV1212" s="316">
        <f ca="1">Calc!Z15</f>
        <v>24</v>
      </c>
      <c r="AX1212" s="86" t="str">
        <f t="shared" ca="1" si="96"/>
        <v>CVS</v>
      </c>
    </row>
    <row r="1213" spans="1:50" hidden="1">
      <c r="A1213" s="86" t="str">
        <f t="shared" ca="1" si="99"/>
        <v>DDD</v>
      </c>
      <c r="C1213" s="1">
        <v>16</v>
      </c>
      <c r="F1213" s="249">
        <v>1.8775999999999999</v>
      </c>
      <c r="G1213" s="249">
        <v>1.8776999999999999</v>
      </c>
      <c r="H1213" s="249">
        <v>1.9112</v>
      </c>
      <c r="I1213" s="249">
        <v>1.9157999999999999</v>
      </c>
      <c r="J1213" s="249">
        <v>1.9231</v>
      </c>
      <c r="K1213" s="249">
        <v>1.9366000000000001</v>
      </c>
      <c r="L1213" s="249">
        <v>1.9596</v>
      </c>
      <c r="M1213" s="249">
        <v>1.968</v>
      </c>
      <c r="N1213" s="249">
        <v>1.9192</v>
      </c>
      <c r="O1213" s="249">
        <v>1.9037999999999999</v>
      </c>
      <c r="P1213" s="249">
        <v>1.9037999999999999</v>
      </c>
      <c r="Q1213" s="249">
        <v>1.8904000000000001</v>
      </c>
      <c r="R1213" s="249">
        <v>1.8752</v>
      </c>
      <c r="S1213" s="249">
        <v>1.8729</v>
      </c>
      <c r="T1213" s="249">
        <v>1.8729</v>
      </c>
      <c r="U1213" s="249">
        <v>1.8653</v>
      </c>
      <c r="V1213" s="249">
        <v>1.8692</v>
      </c>
      <c r="W1213" s="249">
        <v>1.8688</v>
      </c>
      <c r="X1213" s="249">
        <v>1.8873</v>
      </c>
      <c r="Y1213" s="249">
        <v>1.8795999999999999</v>
      </c>
      <c r="Z1213" s="243">
        <f ca="1">[1]ExtEntry!$R16</f>
        <v>1.8795999999999999</v>
      </c>
      <c r="AB1213" s="316">
        <v>13800.000000000004</v>
      </c>
      <c r="AC1213" s="316">
        <v>7100.0000000000036</v>
      </c>
      <c r="AD1213" s="316">
        <v>6300.0000000000036</v>
      </c>
      <c r="AE1213" s="316">
        <v>5000.0000000000045</v>
      </c>
      <c r="AF1213" s="316">
        <v>3400.0000000000032</v>
      </c>
      <c r="AG1213" s="316">
        <v>2700</v>
      </c>
      <c r="AH1213" s="316">
        <v>-600.00000000000057</v>
      </c>
      <c r="AI1213" s="316">
        <v>700.00000000000284</v>
      </c>
      <c r="AJ1213" s="316">
        <v>2500.0000000000045</v>
      </c>
      <c r="AK1213" s="316">
        <v>2792</v>
      </c>
      <c r="AL1213" s="316">
        <v>3390</v>
      </c>
      <c r="AM1213" s="316">
        <v>1894</v>
      </c>
      <c r="AN1213" s="316">
        <v>2792</v>
      </c>
      <c r="AO1213" s="316">
        <v>3291</v>
      </c>
      <c r="AP1213" s="316">
        <v>5784</v>
      </c>
      <c r="AQ1213" s="316">
        <v>6282</v>
      </c>
      <c r="AR1213" s="316">
        <v>4986</v>
      </c>
      <c r="AS1213" s="316">
        <v>-2893</v>
      </c>
      <c r="AT1213" s="316">
        <v>-2793</v>
      </c>
      <c r="AU1213" s="316">
        <v>1097</v>
      </c>
      <c r="AV1213" s="316">
        <f ca="1">Calc!Z16</f>
        <v>1097</v>
      </c>
      <c r="AX1213" s="86" t="str">
        <f t="shared" ca="1" si="96"/>
        <v>DDD</v>
      </c>
    </row>
    <row r="1214" spans="1:50" hidden="1">
      <c r="A1214" s="86" t="str">
        <f t="shared" ca="1" si="99"/>
        <v>DIS</v>
      </c>
      <c r="C1214" s="1">
        <v>17</v>
      </c>
      <c r="F1214" s="249">
        <v>1.4863999999999999</v>
      </c>
      <c r="G1214" s="249">
        <v>1.4881</v>
      </c>
      <c r="H1214" s="249">
        <v>1.4843999999999999</v>
      </c>
      <c r="I1214" s="249">
        <v>1.4917</v>
      </c>
      <c r="J1214" s="249">
        <v>1.4956</v>
      </c>
      <c r="K1214" s="249">
        <v>1.4914000000000001</v>
      </c>
      <c r="L1214" s="249">
        <v>1.4923999999999999</v>
      </c>
      <c r="M1214" s="249">
        <v>1.5003</v>
      </c>
      <c r="N1214" s="249">
        <v>1.5003</v>
      </c>
      <c r="O1214" s="249">
        <v>1.4986999999999999</v>
      </c>
      <c r="P1214" s="249">
        <v>1.4986999999999999</v>
      </c>
      <c r="Q1214" s="249">
        <v>1.4959</v>
      </c>
      <c r="R1214" s="249">
        <v>1.4451000000000001</v>
      </c>
      <c r="S1214" s="249">
        <v>1.4489000000000001</v>
      </c>
      <c r="T1214" s="249">
        <v>1.4489000000000001</v>
      </c>
      <c r="U1214" s="249">
        <v>1.4492</v>
      </c>
      <c r="V1214" s="249">
        <v>1.4507000000000001</v>
      </c>
      <c r="W1214" s="249">
        <v>1.4472</v>
      </c>
      <c r="X1214" s="249">
        <v>1.4473</v>
      </c>
      <c r="Y1214" s="249">
        <v>1.4497</v>
      </c>
      <c r="Z1214" s="243">
        <f ca="1">[1]ExtEntry!$R17</f>
        <v>1.4497</v>
      </c>
      <c r="AB1214" s="316">
        <v>-3645.9999999999923</v>
      </c>
      <c r="AC1214" s="316">
        <v>-4589.9999999999982</v>
      </c>
      <c r="AD1214" s="316">
        <v>-4133.9999999999918</v>
      </c>
      <c r="AE1214" s="316">
        <v>-8077.9999999999973</v>
      </c>
      <c r="AF1214" s="316">
        <v>-7693.9999999999945</v>
      </c>
      <c r="AG1214" s="316">
        <v>-8477.9999999999964</v>
      </c>
      <c r="AH1214" s="316">
        <v>-10421.999999999991</v>
      </c>
      <c r="AI1214" s="316">
        <v>-9157.9999999999927</v>
      </c>
      <c r="AJ1214" s="316">
        <v>-9641.9999999999964</v>
      </c>
      <c r="AK1214" s="316">
        <v>-9948</v>
      </c>
      <c r="AL1214" s="316">
        <v>-9118</v>
      </c>
      <c r="AM1214" s="316">
        <v>-7546</v>
      </c>
      <c r="AN1214" s="316">
        <v>-8715</v>
      </c>
      <c r="AO1214" s="316">
        <v>-8918</v>
      </c>
      <c r="AP1214" s="316">
        <v>-8113</v>
      </c>
      <c r="AQ1214" s="316">
        <v>-8719</v>
      </c>
      <c r="AR1214" s="316">
        <v>-8511</v>
      </c>
      <c r="AS1214" s="316">
        <v>-7339</v>
      </c>
      <c r="AT1214" s="316">
        <v>-5639</v>
      </c>
      <c r="AU1214" s="316">
        <v>-3525</v>
      </c>
      <c r="AV1214" s="316">
        <f ca="1">Calc!Z17</f>
        <v>-3525</v>
      </c>
      <c r="AX1214" s="86" t="str">
        <f t="shared" ca="1" si="96"/>
        <v>DIS</v>
      </c>
    </row>
    <row r="1215" spans="1:50" hidden="1">
      <c r="A1215" s="86" t="str">
        <f t="shared" ca="1" si="99"/>
        <v>DSY</v>
      </c>
      <c r="C1215" s="1">
        <v>18</v>
      </c>
      <c r="F1215" s="249">
        <v>0.78910000000000002</v>
      </c>
      <c r="G1215" s="249">
        <v>0.78969999999999996</v>
      </c>
      <c r="H1215" s="249">
        <v>0.79359999999999997</v>
      </c>
      <c r="I1215" s="249">
        <v>0.78610000000000002</v>
      </c>
      <c r="J1215" s="249">
        <v>0.7883</v>
      </c>
      <c r="K1215" s="249">
        <v>0.79759999999999998</v>
      </c>
      <c r="L1215" s="249">
        <v>0.7954</v>
      </c>
      <c r="M1215" s="249">
        <v>0.79620000000000002</v>
      </c>
      <c r="N1215" s="249">
        <v>0.78900000000000003</v>
      </c>
      <c r="O1215" s="249">
        <v>0.78839999999999999</v>
      </c>
      <c r="P1215" s="249">
        <v>0.78879999999999995</v>
      </c>
      <c r="Q1215" s="249">
        <v>0.78869999999999996</v>
      </c>
      <c r="R1215" s="249">
        <v>0.78979999999999995</v>
      </c>
      <c r="S1215" s="249">
        <v>0.79169999999999996</v>
      </c>
      <c r="T1215" s="249">
        <v>0.79169999999999996</v>
      </c>
      <c r="U1215" s="249">
        <v>0.79190000000000005</v>
      </c>
      <c r="V1215" s="249">
        <v>0.79020000000000001</v>
      </c>
      <c r="W1215" s="249">
        <v>0.79120000000000001</v>
      </c>
      <c r="X1215" s="249">
        <v>0.79179999999999995</v>
      </c>
      <c r="Y1215" s="249">
        <v>0.79459999999999997</v>
      </c>
      <c r="Z1215" s="243">
        <f ca="1">[1]ExtEntry!$R18</f>
        <v>0.79459999999999997</v>
      </c>
      <c r="AB1215" s="316">
        <v>-5320</v>
      </c>
      <c r="AC1215" s="316">
        <v>-6759.9999999999982</v>
      </c>
      <c r="AD1215" s="316">
        <v>-6600.0000000000018</v>
      </c>
      <c r="AE1215" s="316">
        <v>-5300.0000000000045</v>
      </c>
      <c r="AF1215" s="316">
        <v>-6939.9999999999982</v>
      </c>
      <c r="AG1215" s="316">
        <v>-6520.0000000000027</v>
      </c>
      <c r="AH1215" s="316">
        <v>-6640.0000000000009</v>
      </c>
      <c r="AI1215" s="316">
        <v>-6300.0000000000045</v>
      </c>
      <c r="AJ1215" s="316">
        <v>-4980.0000000000036</v>
      </c>
      <c r="AK1215" s="316">
        <v>-4967</v>
      </c>
      <c r="AL1215" s="316">
        <v>-5047</v>
      </c>
      <c r="AM1215" s="316">
        <v>-5565</v>
      </c>
      <c r="AN1215" s="316">
        <v>-6423</v>
      </c>
      <c r="AO1215" s="316">
        <v>-6443</v>
      </c>
      <c r="AP1215" s="316">
        <v>-6443</v>
      </c>
      <c r="AQ1215" s="316">
        <v>-5745</v>
      </c>
      <c r="AR1215" s="316">
        <v>-5705</v>
      </c>
      <c r="AS1215" s="316">
        <v>-6563</v>
      </c>
      <c r="AT1215" s="316">
        <v>-7221</v>
      </c>
      <c r="AU1215" s="316">
        <v>-7002</v>
      </c>
      <c r="AV1215" s="316">
        <f ca="1">Calc!Z18</f>
        <v>-7002</v>
      </c>
      <c r="AX1215" s="86" t="str">
        <f t="shared" ca="1" si="96"/>
        <v>DSY</v>
      </c>
    </row>
    <row r="1216" spans="1:50" hidden="1">
      <c r="A1216" s="86" t="str">
        <f t="shared" ca="1" si="99"/>
        <v>DVA</v>
      </c>
      <c r="C1216" s="1">
        <v>19</v>
      </c>
      <c r="F1216" s="249">
        <v>0.98980000000000001</v>
      </c>
      <c r="G1216" s="249">
        <v>0.98950000000000005</v>
      </c>
      <c r="H1216" s="249">
        <v>0.98299999999999998</v>
      </c>
      <c r="I1216" s="249">
        <v>0.98160000000000003</v>
      </c>
      <c r="J1216" s="249">
        <v>0.99280000000000002</v>
      </c>
      <c r="K1216" s="249">
        <v>0.99129999999999996</v>
      </c>
      <c r="L1216" s="249">
        <v>0.99199999999999999</v>
      </c>
      <c r="M1216" s="249">
        <v>0.99299999999999999</v>
      </c>
      <c r="N1216" s="249">
        <v>0.98709999999999998</v>
      </c>
      <c r="O1216" s="249">
        <v>0.99170000000000003</v>
      </c>
      <c r="P1216" s="249">
        <v>0.99170000000000003</v>
      </c>
      <c r="Q1216" s="249">
        <v>0.99339999999999995</v>
      </c>
      <c r="R1216" s="249">
        <v>0.98360000000000003</v>
      </c>
      <c r="S1216" s="249">
        <v>0.98409999999999997</v>
      </c>
      <c r="T1216" s="249">
        <v>0.98409999999999997</v>
      </c>
      <c r="U1216" s="249">
        <v>0.98529999999999995</v>
      </c>
      <c r="V1216" s="249">
        <v>0.9859</v>
      </c>
      <c r="W1216" s="249">
        <v>0.98629999999999995</v>
      </c>
      <c r="X1216" s="249">
        <v>0.98670000000000002</v>
      </c>
      <c r="Y1216" s="249">
        <v>0.98509999999999998</v>
      </c>
      <c r="Z1216" s="243">
        <f ca="1">[1]ExtEntry!$R19</f>
        <v>0.98509999999999998</v>
      </c>
      <c r="AB1216" s="316">
        <v>3967.9999999999836</v>
      </c>
      <c r="AC1216" s="316">
        <v>5023.9999999999782</v>
      </c>
      <c r="AD1216" s="316">
        <v>6502.9999999999945</v>
      </c>
      <c r="AE1216" s="316">
        <v>1988.0000000000023</v>
      </c>
      <c r="AF1216" s="316">
        <v>-5011.9999999999973</v>
      </c>
      <c r="AG1216" s="316">
        <v>-6978.9999999999991</v>
      </c>
      <c r="AH1216" s="316">
        <v>-7518.0000000000064</v>
      </c>
      <c r="AI1216" s="316">
        <v>1231.9999999999936</v>
      </c>
      <c r="AJ1216" s="316">
        <v>181.99999999999363</v>
      </c>
      <c r="AK1216" s="316">
        <v>-56</v>
      </c>
      <c r="AL1216" s="316">
        <v>-643</v>
      </c>
      <c r="AM1216" s="316">
        <v>369</v>
      </c>
      <c r="AN1216" s="316">
        <v>-1508</v>
      </c>
      <c r="AO1216" s="316">
        <v>-280</v>
      </c>
      <c r="AP1216" s="316">
        <v>-2639</v>
      </c>
      <c r="AQ1216" s="316">
        <v>-3966</v>
      </c>
      <c r="AR1216" s="316">
        <v>-3840</v>
      </c>
      <c r="AS1216" s="316">
        <v>-5278</v>
      </c>
      <c r="AT1216" s="316">
        <v>-2039</v>
      </c>
      <c r="AU1216" s="316">
        <v>286</v>
      </c>
      <c r="AV1216" s="316">
        <f ca="1">Calc!Z19</f>
        <v>286</v>
      </c>
      <c r="AX1216" s="86" t="str">
        <f t="shared" ca="1" si="96"/>
        <v>DVA</v>
      </c>
    </row>
    <row r="1217" spans="1:50" hidden="1">
      <c r="A1217" s="86" t="str">
        <f t="shared" ca="1" si="99"/>
        <v>DXC</v>
      </c>
      <c r="C1217" s="1">
        <v>20</v>
      </c>
      <c r="F1217" s="249">
        <v>1.0907</v>
      </c>
      <c r="G1217" s="249">
        <v>1.0875999999999999</v>
      </c>
      <c r="H1217" s="249">
        <v>1.0882000000000001</v>
      </c>
      <c r="I1217" s="249">
        <v>1.0939000000000001</v>
      </c>
      <c r="J1217" s="249">
        <v>1.1083000000000001</v>
      </c>
      <c r="K1217" s="249">
        <v>1.1175999999999999</v>
      </c>
      <c r="L1217" s="249">
        <v>1.1271</v>
      </c>
      <c r="M1217" s="249">
        <v>1.1203000000000001</v>
      </c>
      <c r="N1217" s="249">
        <v>1.0972999999999999</v>
      </c>
      <c r="O1217" s="249">
        <v>1.0947</v>
      </c>
      <c r="P1217" s="249">
        <v>1.0947</v>
      </c>
      <c r="Q1217" s="249">
        <v>1.0919000000000001</v>
      </c>
      <c r="R1217" s="249">
        <v>1.0510999999999999</v>
      </c>
      <c r="S1217" s="249">
        <v>1.0511999999999999</v>
      </c>
      <c r="T1217" s="249">
        <v>1.0511999999999999</v>
      </c>
      <c r="U1217" s="249">
        <v>1.0517000000000001</v>
      </c>
      <c r="V1217" s="249">
        <v>1.0510999999999999</v>
      </c>
      <c r="W1217" s="249">
        <v>1.0463</v>
      </c>
      <c r="X1217" s="249">
        <v>1.0398000000000001</v>
      </c>
      <c r="Y1217" s="249">
        <v>1.0491999999999999</v>
      </c>
      <c r="Z1217" s="243">
        <f ca="1">[1]ExtEntry!$R20</f>
        <v>1.0491999999999999</v>
      </c>
      <c r="AB1217" s="316">
        <v>-2679.9999999999995</v>
      </c>
      <c r="AC1217" s="316">
        <v>-2980.0000000000041</v>
      </c>
      <c r="AD1217" s="316">
        <v>-5219.9999999999991</v>
      </c>
      <c r="AE1217" s="316">
        <v>-6280.0000000000009</v>
      </c>
      <c r="AF1217" s="316">
        <v>-9040</v>
      </c>
      <c r="AG1217" s="316">
        <v>-9480.0000000000036</v>
      </c>
      <c r="AH1217" s="316">
        <v>-10280.000000000002</v>
      </c>
      <c r="AI1217" s="316">
        <v>-7079.9999999999982</v>
      </c>
      <c r="AJ1217" s="316">
        <v>-5399.9999999999982</v>
      </c>
      <c r="AK1217" s="316">
        <v>-5466</v>
      </c>
      <c r="AL1217" s="316">
        <v>-4967</v>
      </c>
      <c r="AM1217" s="316">
        <v>-4149</v>
      </c>
      <c r="AN1217" s="316">
        <v>-3810</v>
      </c>
      <c r="AO1217" s="316">
        <v>-3192</v>
      </c>
      <c r="AP1217" s="316">
        <v>-3112</v>
      </c>
      <c r="AQ1217" s="316">
        <v>-2137</v>
      </c>
      <c r="AR1217" s="316">
        <v>-1437</v>
      </c>
      <c r="AS1217" s="316">
        <v>1874</v>
      </c>
      <c r="AT1217" s="316">
        <v>2553</v>
      </c>
      <c r="AU1217" s="316">
        <v>3031</v>
      </c>
      <c r="AV1217" s="316">
        <f ca="1">Calc!Z20</f>
        <v>3031</v>
      </c>
      <c r="AX1217" s="86" t="str">
        <f t="shared" ca="1" si="96"/>
        <v>DXC</v>
      </c>
    </row>
    <row r="1218" spans="1:50" hidden="1">
      <c r="A1218" s="86" t="str">
        <f t="shared" ca="1" si="99"/>
        <v>EOAN</v>
      </c>
      <c r="C1218" s="1">
        <v>21</v>
      </c>
      <c r="F1218" s="249">
        <v>0.85360000000000003</v>
      </c>
      <c r="G1218" s="249">
        <v>0.85350000000000004</v>
      </c>
      <c r="H1218" s="249">
        <v>0.85299999999999998</v>
      </c>
      <c r="I1218" s="249">
        <v>0.84770000000000001</v>
      </c>
      <c r="J1218" s="249">
        <v>0.8599</v>
      </c>
      <c r="K1218" s="249">
        <v>0.86180000000000001</v>
      </c>
      <c r="L1218" s="249">
        <v>0.86380000000000001</v>
      </c>
      <c r="M1218" s="249">
        <v>0.85940000000000005</v>
      </c>
      <c r="N1218" s="249">
        <v>0.86270000000000002</v>
      </c>
      <c r="O1218" s="249">
        <v>0.85960000000000003</v>
      </c>
      <c r="P1218" s="249">
        <v>0.86150000000000004</v>
      </c>
      <c r="Q1218" s="249">
        <v>0.86080000000000001</v>
      </c>
      <c r="R1218" s="249">
        <v>0.86699999999999999</v>
      </c>
      <c r="S1218" s="249">
        <v>0.86660000000000004</v>
      </c>
      <c r="T1218" s="249">
        <v>0.86660000000000004</v>
      </c>
      <c r="U1218" s="249">
        <v>0.86150000000000004</v>
      </c>
      <c r="V1218" s="249">
        <v>0.86660000000000004</v>
      </c>
      <c r="W1218" s="249">
        <v>0.86650000000000005</v>
      </c>
      <c r="X1218" s="249">
        <v>0.86660000000000004</v>
      </c>
      <c r="Y1218" s="249">
        <v>0.86650000000000005</v>
      </c>
      <c r="Z1218" s="243">
        <f ca="1">[1]ExtEntry!$R21</f>
        <v>0.86650000000000005</v>
      </c>
      <c r="AB1218" s="316">
        <v>144.5000000000226</v>
      </c>
      <c r="AC1218" s="316">
        <v>577.99999999998772</v>
      </c>
      <c r="AD1218" s="316">
        <v>939.25000000001853</v>
      </c>
      <c r="AE1218" s="316">
        <v>-11487.749999999998</v>
      </c>
      <c r="AF1218" s="316">
        <v>-11704.499999999982</v>
      </c>
      <c r="AG1218" s="316">
        <v>-10692.999999999978</v>
      </c>
      <c r="AH1218" s="316">
        <v>-9247.9999999999818</v>
      </c>
      <c r="AI1218" s="316">
        <v>-7369.4999999999973</v>
      </c>
      <c r="AJ1218" s="316">
        <v>-8453.2499999999873</v>
      </c>
      <c r="AK1218" s="316">
        <v>-10521</v>
      </c>
      <c r="AL1218" s="316">
        <v>-10304</v>
      </c>
      <c r="AM1218" s="316">
        <v>-11818</v>
      </c>
      <c r="AN1218" s="316">
        <v>-10881</v>
      </c>
      <c r="AO1218" s="316">
        <v>-4324</v>
      </c>
      <c r="AP1218" s="316">
        <v>-2594</v>
      </c>
      <c r="AQ1218" s="316">
        <v>-6485</v>
      </c>
      <c r="AR1218" s="316">
        <v>-8719</v>
      </c>
      <c r="AS1218" s="316">
        <v>847</v>
      </c>
      <c r="AT1218" s="316">
        <v>498</v>
      </c>
      <c r="AU1218" s="316">
        <v>-4638</v>
      </c>
      <c r="AV1218" s="316">
        <f ca="1">Calc!Z21</f>
        <v>-4638</v>
      </c>
      <c r="AX1218" s="86" t="str">
        <f t="shared" ca="1" si="96"/>
        <v>EOAN</v>
      </c>
    </row>
    <row r="1219" spans="1:50" hidden="1">
      <c r="A1219" s="86" t="str">
        <f t="shared" ca="1" si="99"/>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-18177</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6"/>
        <v>EPIX</v>
      </c>
    </row>
    <row r="1220" spans="1:50" hidden="1">
      <c r="A1220" s="86" t="str">
        <f t="shared" ca="1" si="99"/>
        <v>GM</v>
      </c>
      <c r="C1220" s="1">
        <v>23</v>
      </c>
      <c r="F1220" s="249">
        <v>1.3140000000000001</v>
      </c>
      <c r="G1220" s="249">
        <v>1.3099000000000001</v>
      </c>
      <c r="H1220" s="249">
        <v>1.3052999999999999</v>
      </c>
      <c r="I1220" s="249">
        <v>1.2962</v>
      </c>
      <c r="J1220" s="249">
        <v>1.3095000000000001</v>
      </c>
      <c r="K1220" s="249">
        <v>1.3051999999999999</v>
      </c>
      <c r="L1220" s="249">
        <v>1.2968</v>
      </c>
      <c r="M1220" s="249">
        <v>1.3019000000000001</v>
      </c>
      <c r="N1220" s="249">
        <v>1.2969999999999999</v>
      </c>
      <c r="O1220" s="249">
        <v>1.3024</v>
      </c>
      <c r="P1220" s="249">
        <v>1.3024</v>
      </c>
      <c r="Q1220" s="249">
        <v>1.3049999999999999</v>
      </c>
      <c r="R1220" s="249">
        <v>1.3274999999999999</v>
      </c>
      <c r="S1220" s="249">
        <v>1.3267</v>
      </c>
      <c r="T1220" s="249">
        <v>1.3267</v>
      </c>
      <c r="U1220" s="249">
        <v>1.3259000000000001</v>
      </c>
      <c r="V1220" s="249">
        <v>1.3252999999999999</v>
      </c>
      <c r="W1220" s="249">
        <v>1.3243</v>
      </c>
      <c r="X1220" s="249">
        <v>1.3218000000000001</v>
      </c>
      <c r="Y1220" s="249">
        <v>1.3228</v>
      </c>
      <c r="Z1220" s="243">
        <f ca="1">[1]ExtEntry!$R23</f>
        <v>1.3228</v>
      </c>
      <c r="AB1220" s="316">
        <v>221.04</v>
      </c>
      <c r="AC1220" s="316">
        <v>222.44</v>
      </c>
      <c r="AD1220" s="316">
        <v>239.83999999999995</v>
      </c>
      <c r="AE1220" s="316">
        <v>238.43999999999994</v>
      </c>
      <c r="AF1220" s="316">
        <v>212.63999999999996</v>
      </c>
      <c r="AG1220" s="316">
        <v>224.38999999999993</v>
      </c>
      <c r="AH1220" s="316">
        <v>216.51399999999995</v>
      </c>
      <c r="AI1220" s="316">
        <v>235.54000000000002</v>
      </c>
      <c r="AJ1220" s="316">
        <v>264.33999999999997</v>
      </c>
      <c r="AK1220" s="316">
        <v>260</v>
      </c>
      <c r="AL1220" s="316">
        <v>267</v>
      </c>
      <c r="AM1220" s="316">
        <v>268</v>
      </c>
      <c r="AN1220" s="316">
        <v>268</v>
      </c>
      <c r="AO1220" s="316">
        <v>275</v>
      </c>
      <c r="AP1220" s="316">
        <v>279</v>
      </c>
      <c r="AQ1220" s="316">
        <v>292</v>
      </c>
      <c r="AR1220" s="316">
        <v>292</v>
      </c>
      <c r="AS1220" s="316">
        <v>300</v>
      </c>
      <c r="AT1220" s="316">
        <v>34</v>
      </c>
      <c r="AU1220" s="316">
        <v>34</v>
      </c>
      <c r="AV1220" s="316">
        <f ca="1">Calc!Z23</f>
        <v>34</v>
      </c>
      <c r="AX1220" s="86" t="str">
        <f t="shared" ca="1" si="96"/>
        <v>GM</v>
      </c>
    </row>
    <row r="1221" spans="1:50" hidden="1">
      <c r="A1221" s="86" t="str">
        <f t="shared" ca="1" si="99"/>
        <v>HPE</v>
      </c>
      <c r="C1221" s="1">
        <v>24</v>
      </c>
      <c r="F1221" s="249">
        <v>1.3427</v>
      </c>
      <c r="G1221" s="249">
        <v>1.3418000000000001</v>
      </c>
      <c r="H1221" s="249">
        <v>1.3432999999999999</v>
      </c>
      <c r="I1221" s="249">
        <v>1.3482000000000001</v>
      </c>
      <c r="J1221" s="249">
        <v>1.3647</v>
      </c>
      <c r="K1221" s="249">
        <v>1.3736999999999999</v>
      </c>
      <c r="L1221" s="249">
        <v>1.3818999999999999</v>
      </c>
      <c r="M1221" s="249">
        <v>1.3885000000000001</v>
      </c>
      <c r="N1221" s="249">
        <v>1.3604000000000001</v>
      </c>
      <c r="O1221" s="249">
        <v>1.3541000000000001</v>
      </c>
      <c r="P1221" s="249">
        <v>1.3541000000000001</v>
      </c>
      <c r="Q1221" s="249">
        <v>1.3481000000000001</v>
      </c>
      <c r="R1221" s="249">
        <v>1.3411</v>
      </c>
      <c r="S1221" s="249">
        <v>1.3418000000000001</v>
      </c>
      <c r="T1221" s="249">
        <v>1.3418000000000001</v>
      </c>
      <c r="U1221" s="249">
        <v>1.3409</v>
      </c>
      <c r="V1221" s="249">
        <v>1.3382000000000001</v>
      </c>
      <c r="W1221" s="249">
        <v>1.3332999999999999</v>
      </c>
      <c r="X1221" s="249">
        <v>1.3279000000000001</v>
      </c>
      <c r="Y1221" s="249">
        <v>1.3351999999999999</v>
      </c>
      <c r="Z1221" s="243">
        <f ca="1">[1]ExtEntry!$R24</f>
        <v>1.3351999999999999</v>
      </c>
      <c r="AB1221" s="316">
        <v>1926.0000000000005</v>
      </c>
      <c r="AC1221" s="316">
        <v>1467.0000000000023</v>
      </c>
      <c r="AD1221" s="316">
        <v>1385.9999999999993</v>
      </c>
      <c r="AE1221" s="316">
        <v>359.99999999999875</v>
      </c>
      <c r="AF1221" s="316">
        <v>-3095.9999999999982</v>
      </c>
      <c r="AG1221" s="316">
        <v>-3410.9999999999991</v>
      </c>
      <c r="AH1221" s="316">
        <v>-4597.1999999999971</v>
      </c>
      <c r="AI1221" s="316">
        <v>-3603.2399999999989</v>
      </c>
      <c r="AJ1221" s="316">
        <v>-1989.0000000000007</v>
      </c>
      <c r="AK1221" s="316">
        <v>-1975</v>
      </c>
      <c r="AL1221" s="316">
        <v>-1365</v>
      </c>
      <c r="AM1221" s="316">
        <v>-1356</v>
      </c>
      <c r="AN1221" s="316">
        <v>-1266</v>
      </c>
      <c r="AO1221" s="316">
        <v>99</v>
      </c>
      <c r="AP1221" s="316">
        <v>1545</v>
      </c>
      <c r="AQ1221" s="316">
        <v>4562</v>
      </c>
      <c r="AR1221" s="316">
        <v>6806</v>
      </c>
      <c r="AS1221" s="316">
        <v>12690</v>
      </c>
      <c r="AT1221" s="316">
        <v>16505</v>
      </c>
      <c r="AU1221" s="316">
        <v>12865</v>
      </c>
      <c r="AV1221" s="316">
        <f ca="1">Calc!Z24</f>
        <v>12865</v>
      </c>
      <c r="AX1221" s="86" t="str">
        <f t="shared" ca="1" si="96"/>
        <v>HPE</v>
      </c>
    </row>
    <row r="1222" spans="1:50" hidden="1">
      <c r="A1222" s="86" t="str">
        <f t="shared" ca="1" si="99"/>
        <v>HPQ</v>
      </c>
      <c r="C1222" s="1">
        <v>25</v>
      </c>
      <c r="F1222" s="249">
        <v>1.2286999999999999</v>
      </c>
      <c r="G1222" s="249">
        <v>1.224</v>
      </c>
      <c r="H1222" s="249">
        <v>1.2271000000000001</v>
      </c>
      <c r="I1222" s="249">
        <v>1.2373000000000001</v>
      </c>
      <c r="J1222" s="249">
        <v>1.2555000000000001</v>
      </c>
      <c r="K1222" s="249">
        <v>1.2653000000000001</v>
      </c>
      <c r="L1222" s="249">
        <v>1.2745</v>
      </c>
      <c r="M1222" s="249">
        <v>1.27</v>
      </c>
      <c r="N1222" s="249">
        <v>1.2403999999999999</v>
      </c>
      <c r="O1222" s="249">
        <v>1.2373000000000001</v>
      </c>
      <c r="P1222" s="249">
        <v>1.2373000000000001</v>
      </c>
      <c r="Q1222" s="249">
        <v>1.2306999999999999</v>
      </c>
      <c r="R1222" s="249">
        <v>1.2090000000000001</v>
      </c>
      <c r="S1222" s="249">
        <v>1.2058</v>
      </c>
      <c r="T1222" s="249">
        <v>1.2058</v>
      </c>
      <c r="U1222" s="249">
        <v>1.2072000000000001</v>
      </c>
      <c r="V1222" s="249">
        <v>1.2063999999999999</v>
      </c>
      <c r="W1222" s="249">
        <v>1.2074</v>
      </c>
      <c r="X1222" s="249">
        <v>1.2056</v>
      </c>
      <c r="Y1222" s="249">
        <v>1.2088000000000001</v>
      </c>
      <c r="Z1222" s="243">
        <f ca="1">[1]ExtEntry!$R25</f>
        <v>1.2088000000000001</v>
      </c>
      <c r="AB1222" s="316">
        <v>-890.00000000000057</v>
      </c>
      <c r="AC1222" s="316">
        <v>-1350.0000000000014</v>
      </c>
      <c r="AD1222" s="316">
        <v>-1315.0000000000014</v>
      </c>
      <c r="AE1222" s="316">
        <v>-3016.9999999999995</v>
      </c>
      <c r="AF1222" s="316">
        <v>-4820</v>
      </c>
      <c r="AG1222" s="316">
        <v>-4990.0000000000018</v>
      </c>
      <c r="AH1222" s="316">
        <v>-5200.0000000000027</v>
      </c>
      <c r="AI1222" s="316">
        <v>-3415.0000000000027</v>
      </c>
      <c r="AJ1222" s="316">
        <v>-3705.0000000000018</v>
      </c>
      <c r="AK1222" s="316">
        <v>-3536</v>
      </c>
      <c r="AL1222" s="316">
        <v>-3092</v>
      </c>
      <c r="AM1222" s="316">
        <v>-2987</v>
      </c>
      <c r="AN1222" s="316">
        <v>15657</v>
      </c>
      <c r="AO1222" s="316">
        <v>-2175</v>
      </c>
      <c r="AP1222" s="316">
        <v>-340</v>
      </c>
      <c r="AQ1222" s="316">
        <v>1468</v>
      </c>
      <c r="AR1222" s="316">
        <v>2393</v>
      </c>
      <c r="AS1222" s="316">
        <v>139</v>
      </c>
      <c r="AT1222" s="316">
        <v>877</v>
      </c>
      <c r="AU1222" s="316">
        <v>498</v>
      </c>
      <c r="AV1222" s="316">
        <f ca="1">Calc!Z25</f>
        <v>498</v>
      </c>
      <c r="AX1222" s="86" t="str">
        <f t="shared" ca="1" si="96"/>
        <v>HPQ</v>
      </c>
    </row>
    <row r="1223" spans="1:50" hidden="1">
      <c r="A1223" s="86" t="str">
        <f t="shared" ca="1" si="99"/>
        <v>IAG</v>
      </c>
      <c r="C1223" s="1">
        <v>26</v>
      </c>
      <c r="F1223" s="249">
        <v>2.2967</v>
      </c>
      <c r="G1223" s="249">
        <v>2.2978000000000001</v>
      </c>
      <c r="H1223" s="249">
        <v>2.3001999999999998</v>
      </c>
      <c r="I1223" s="249">
        <v>2.2976000000000001</v>
      </c>
      <c r="J1223" s="249">
        <v>2.3203999999999998</v>
      </c>
      <c r="K1223" s="249">
        <v>2.3380999999999998</v>
      </c>
      <c r="L1223" s="249">
        <v>2.3292000000000002</v>
      </c>
      <c r="M1223" s="249">
        <v>2.3231000000000002</v>
      </c>
      <c r="N1223" s="249">
        <v>2.3149999999999999</v>
      </c>
      <c r="O1223" s="249">
        <v>2.3075999999999999</v>
      </c>
      <c r="P1223" s="249">
        <v>2.3083</v>
      </c>
      <c r="Q1223" s="249">
        <v>2.3062</v>
      </c>
      <c r="R1223" s="249">
        <v>2.3443999999999998</v>
      </c>
      <c r="S1223" s="249">
        <v>2.3462999999999998</v>
      </c>
      <c r="T1223" s="249">
        <v>2.3462999999999998</v>
      </c>
      <c r="U1223" s="249">
        <v>2.3454000000000002</v>
      </c>
      <c r="V1223" s="249">
        <v>2.3481000000000001</v>
      </c>
      <c r="W1223" s="249">
        <v>2.3433000000000002</v>
      </c>
      <c r="X1223" s="249">
        <v>2.3458000000000001</v>
      </c>
      <c r="Y1223" s="249">
        <v>2.3477000000000001</v>
      </c>
      <c r="Z1223" s="243">
        <f ca="1">[1]ExtEntry!$R26</f>
        <v>2.3477000000000001</v>
      </c>
      <c r="AB1223" s="316">
        <v>35237.599999999999</v>
      </c>
      <c r="AC1223" s="316">
        <v>33017.600000000006</v>
      </c>
      <c r="AD1223" s="316">
        <v>23437.599999999995</v>
      </c>
      <c r="AE1223" s="316">
        <v>27697.600000000002</v>
      </c>
      <c r="AF1223" s="316">
        <v>24275.4</v>
      </c>
      <c r="AG1223" s="316">
        <v>25717.600000000006</v>
      </c>
      <c r="AH1223" s="316">
        <v>26677.599999999995</v>
      </c>
      <c r="AI1223" s="316">
        <v>410.00000000000227</v>
      </c>
      <c r="AJ1223" s="316">
        <v>2400</v>
      </c>
      <c r="AK1223" s="316">
        <v>2144</v>
      </c>
      <c r="AL1223" s="316">
        <v>2104</v>
      </c>
      <c r="AM1223" s="316">
        <v>1825</v>
      </c>
      <c r="AN1223" s="316">
        <v>1406</v>
      </c>
      <c r="AO1223" s="316">
        <v>1695</v>
      </c>
      <c r="AP1223" s="316">
        <v>1565</v>
      </c>
      <c r="AQ1223" s="316">
        <v>977</v>
      </c>
      <c r="AR1223" s="316">
        <v>1047</v>
      </c>
      <c r="AS1223" s="316">
        <v>1236</v>
      </c>
      <c r="AT1223" s="316">
        <v>1037</v>
      </c>
      <c r="AU1223" s="316">
        <v>2233</v>
      </c>
      <c r="AV1223" s="316">
        <f ca="1">Calc!Z26</f>
        <v>2233</v>
      </c>
      <c r="AX1223" s="86" t="str">
        <f t="shared" ca="1" si="96"/>
        <v>IAG</v>
      </c>
    </row>
    <row r="1224" spans="1:50" hidden="1">
      <c r="A1224" s="86" t="str">
        <f t="shared" ca="1" si="99"/>
        <v>KR</v>
      </c>
      <c r="C1224" s="1">
        <v>27</v>
      </c>
      <c r="F1224" s="249">
        <v>0.58120000000000005</v>
      </c>
      <c r="G1224" s="249">
        <v>0.58309999999999995</v>
      </c>
      <c r="H1224" s="249">
        <v>0.58130000000000004</v>
      </c>
      <c r="I1224" s="249">
        <v>0.57240000000000002</v>
      </c>
      <c r="J1224" s="249">
        <v>0.5716</v>
      </c>
      <c r="K1224" s="249">
        <v>0.5605</v>
      </c>
      <c r="L1224" s="249">
        <v>0.55400000000000005</v>
      </c>
      <c r="M1224" s="249">
        <v>0.56530000000000002</v>
      </c>
      <c r="N1224" s="249">
        <v>0.57369999999999999</v>
      </c>
      <c r="O1224" s="249">
        <v>0.5746</v>
      </c>
      <c r="P1224" s="249">
        <v>0.5746</v>
      </c>
      <c r="Q1224" s="249">
        <v>0.57679999999999998</v>
      </c>
      <c r="R1224" s="249">
        <v>0.59240000000000004</v>
      </c>
      <c r="S1224" s="249">
        <v>0.59360000000000002</v>
      </c>
      <c r="T1224" s="249">
        <v>0.59360000000000002</v>
      </c>
      <c r="U1224" s="249">
        <v>0.59470000000000001</v>
      </c>
      <c r="V1224" s="249">
        <v>0.5978</v>
      </c>
      <c r="W1224" s="249">
        <v>0.59899999999999998</v>
      </c>
      <c r="X1224" s="249">
        <v>0.60019999999999996</v>
      </c>
      <c r="Y1224" s="249">
        <v>0.59730000000000005</v>
      </c>
      <c r="Z1224" s="243">
        <f ca="1">[1]ExtEntry!$R27</f>
        <v>0.59730000000000005</v>
      </c>
      <c r="AB1224" s="316">
        <v>-1079.9999999999982</v>
      </c>
      <c r="AC1224" s="316">
        <v>-579.99999999999829</v>
      </c>
      <c r="AD1224" s="316">
        <v>2430.0000000000068</v>
      </c>
      <c r="AE1224" s="316">
        <v>6050.0000000000109</v>
      </c>
      <c r="AF1224" s="316">
        <v>7430.0000000000073</v>
      </c>
      <c r="AG1224" s="316">
        <v>7719.9999999999991</v>
      </c>
      <c r="AH1224" s="316">
        <v>4840.0000000000036</v>
      </c>
      <c r="AI1224" s="316">
        <v>5340.0000000000036</v>
      </c>
      <c r="AJ1224" s="316">
        <v>7340.0000000000036</v>
      </c>
      <c r="AK1224" s="316">
        <v>6661</v>
      </c>
      <c r="AL1224" s="316">
        <v>7160</v>
      </c>
      <c r="AM1224" s="316">
        <v>8387</v>
      </c>
      <c r="AN1224" s="316">
        <v>6651</v>
      </c>
      <c r="AO1224" s="316">
        <v>6243</v>
      </c>
      <c r="AP1224" s="316">
        <v>5046</v>
      </c>
      <c r="AQ1224" s="316">
        <v>1336</v>
      </c>
      <c r="AR1224" s="316">
        <v>1456</v>
      </c>
      <c r="AS1224" s="316">
        <v>1848</v>
      </c>
      <c r="AT1224" s="316">
        <v>-1477</v>
      </c>
      <c r="AU1224" s="316">
        <v>468</v>
      </c>
      <c r="AV1224" s="316">
        <f ca="1">Calc!Z27</f>
        <v>468</v>
      </c>
      <c r="AX1224" s="86" t="str">
        <f t="shared" ca="1" si="96"/>
        <v>KR</v>
      </c>
    </row>
    <row r="1225" spans="1:50" hidden="1">
      <c r="A1225" s="86" t="str">
        <f t="shared" ca="1" si="99"/>
        <v>LNSR</v>
      </c>
      <c r="C1225" s="1">
        <v>28</v>
      </c>
      <c r="F1225" s="249">
        <v>0.65010000000000001</v>
      </c>
      <c r="G1225" s="249">
        <v>0.64459999999999995</v>
      </c>
      <c r="H1225" s="249">
        <v>0.65920000000000001</v>
      </c>
      <c r="I1225" s="249">
        <v>0.68640000000000001</v>
      </c>
      <c r="J1225" s="249">
        <v>0.6946</v>
      </c>
      <c r="K1225" s="249">
        <v>0.70540000000000003</v>
      </c>
      <c r="L1225" s="249">
        <v>0.71389999999999998</v>
      </c>
      <c r="M1225" s="249">
        <v>0.71909999999999996</v>
      </c>
      <c r="N1225" s="249">
        <v>0.6976</v>
      </c>
      <c r="O1225" s="249">
        <v>0.67920000000000003</v>
      </c>
      <c r="P1225" s="249">
        <v>0.67920000000000003</v>
      </c>
      <c r="Q1225" s="249">
        <v>0.67200000000000004</v>
      </c>
      <c r="R1225" s="249">
        <v>0.70760000000000001</v>
      </c>
      <c r="S1225" s="249">
        <v>0.70760000000000001</v>
      </c>
      <c r="T1225" s="249">
        <v>0.70760000000000001</v>
      </c>
      <c r="U1225" s="249">
        <v>0.70509999999999995</v>
      </c>
      <c r="V1225" s="249">
        <v>0.70150000000000001</v>
      </c>
      <c r="W1225" s="249">
        <v>0.7016</v>
      </c>
      <c r="X1225" s="249">
        <v>0.69699999999999995</v>
      </c>
      <c r="Y1225" s="249">
        <v>0.69420000000000004</v>
      </c>
      <c r="Z1225" s="243">
        <f ca="1">[1]ExtEntry!$R28</f>
        <v>0.69420000000000004</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6"/>
        <v>LNSR</v>
      </c>
    </row>
    <row r="1226" spans="1:50" hidden="1">
      <c r="A1226" s="86" t="str">
        <f t="shared" ca="1" si="99"/>
        <v>LUMN</v>
      </c>
      <c r="C1226" s="1">
        <v>29</v>
      </c>
      <c r="F1226" s="249">
        <v>1.4104000000000001</v>
      </c>
      <c r="G1226" s="249">
        <v>1.407</v>
      </c>
      <c r="H1226" s="249">
        <v>1.3963000000000001</v>
      </c>
      <c r="I1226" s="249">
        <v>1.4626999999999999</v>
      </c>
      <c r="J1226" s="249">
        <v>1.4646999999999999</v>
      </c>
      <c r="K1226" s="249">
        <v>1.4903</v>
      </c>
      <c r="L1226" s="249">
        <v>1.4999</v>
      </c>
      <c r="M1226" s="249">
        <v>1.5018</v>
      </c>
      <c r="N1226" s="249">
        <v>1.4588000000000001</v>
      </c>
      <c r="O1226" s="249">
        <v>1.4458</v>
      </c>
      <c r="P1226" s="249">
        <v>1.4458</v>
      </c>
      <c r="Q1226" s="249">
        <v>1.4359999999999999</v>
      </c>
      <c r="R1226" s="249">
        <v>1.4641</v>
      </c>
      <c r="S1226" s="249">
        <v>1.4519</v>
      </c>
      <c r="T1226" s="249">
        <v>1.4519</v>
      </c>
      <c r="U1226" s="249">
        <v>1.4502999999999999</v>
      </c>
      <c r="V1226" s="249">
        <v>1.4664999999999999</v>
      </c>
      <c r="W1226" s="249">
        <v>1.4644999999999999</v>
      </c>
      <c r="X1226" s="249">
        <v>1.4624999999999999</v>
      </c>
      <c r="Y1226" s="249">
        <v>1.464</v>
      </c>
      <c r="Z1226" s="243">
        <f ca="1">[1]ExtEntry!$R29</f>
        <v>1.464</v>
      </c>
      <c r="AB1226" s="316">
        <v>57.867000000000004</v>
      </c>
      <c r="AC1226" s="316">
        <v>57.517000000000003</v>
      </c>
      <c r="AD1226" s="316">
        <v>54.166999999999994</v>
      </c>
      <c r="AE1226" s="316">
        <v>29.267000000000003</v>
      </c>
      <c r="AF1226" s="316">
        <v>25.517000000000003</v>
      </c>
      <c r="AG1226" s="316">
        <v>24.466999999999999</v>
      </c>
      <c r="AH1226" s="316">
        <v>24.873000000000005</v>
      </c>
      <c r="AI1226" s="316">
        <v>26.466999999999999</v>
      </c>
      <c r="AJ1226" s="316">
        <v>30.516999999999996</v>
      </c>
      <c r="AK1226" s="316">
        <v>30</v>
      </c>
      <c r="AL1226" s="316">
        <v>30</v>
      </c>
      <c r="AM1226" s="316">
        <v>31</v>
      </c>
      <c r="AN1226" s="316">
        <v>40</v>
      </c>
      <c r="AO1226" s="316">
        <v>40</v>
      </c>
      <c r="AP1226" s="316">
        <v>44</v>
      </c>
      <c r="AQ1226" s="316">
        <v>39</v>
      </c>
      <c r="AR1226" s="316">
        <v>31</v>
      </c>
      <c r="AS1226" s="316">
        <v>33</v>
      </c>
      <c r="AT1226" s="316">
        <v>36</v>
      </c>
      <c r="AU1226" s="316">
        <v>35</v>
      </c>
      <c r="AV1226" s="316">
        <f ca="1">Calc!Z29</f>
        <v>35</v>
      </c>
      <c r="AX1226" s="86" t="str">
        <f t="shared" ca="1" si="96"/>
        <v>LUMN</v>
      </c>
    </row>
    <row r="1227" spans="1:50" hidden="1">
      <c r="A1227" s="86" t="str">
        <f t="shared" ca="1" si="99"/>
        <v>MRNA</v>
      </c>
      <c r="C1227" s="1">
        <v>30</v>
      </c>
      <c r="F1227" s="249">
        <v>1.1276999999999999</v>
      </c>
      <c r="G1227" s="249">
        <v>1.1266</v>
      </c>
      <c r="H1227" s="249">
        <v>1.1258999999999999</v>
      </c>
      <c r="I1227" s="249">
        <v>1.1197999999999999</v>
      </c>
      <c r="J1227" s="249">
        <v>1.1215999999999999</v>
      </c>
      <c r="K1227" s="249">
        <v>1.1202000000000001</v>
      </c>
      <c r="L1227" s="249">
        <v>1.1293</v>
      </c>
      <c r="M1227" s="249">
        <v>1.1528</v>
      </c>
      <c r="N1227" s="249">
        <v>1.1208</v>
      </c>
      <c r="O1227" s="249">
        <v>1.1174999999999999</v>
      </c>
      <c r="P1227" s="249">
        <v>1.1174999999999999</v>
      </c>
      <c r="Q1227" s="249">
        <v>1.1124000000000001</v>
      </c>
      <c r="R1227" s="249">
        <v>1.1959</v>
      </c>
      <c r="S1227" s="249">
        <v>1.1958</v>
      </c>
      <c r="T1227" s="249">
        <v>1.1958</v>
      </c>
      <c r="U1227" s="249">
        <v>1.1906000000000001</v>
      </c>
      <c r="V1227" s="249">
        <v>1.1837</v>
      </c>
      <c r="W1227" s="249">
        <v>1.1797</v>
      </c>
      <c r="X1227" s="249">
        <v>1.1777</v>
      </c>
      <c r="Y1227" s="249">
        <v>1.1830000000000001</v>
      </c>
      <c r="Z1227" s="243">
        <f ca="1">[1]ExtEntry!$R30</f>
        <v>1.1830000000000001</v>
      </c>
      <c r="AB1227" s="316">
        <v>-53370.000000000007</v>
      </c>
      <c r="AC1227" s="316">
        <v>-51735</v>
      </c>
      <c r="AD1227" s="316">
        <v>-50475.000000000007</v>
      </c>
      <c r="AE1227" s="316">
        <v>-49740.000000000007</v>
      </c>
      <c r="AF1227" s="316">
        <v>-49290</v>
      </c>
      <c r="AG1227" s="316">
        <v>-51210</v>
      </c>
      <c r="AH1227" s="316">
        <v>-55680.000000000007</v>
      </c>
      <c r="AI1227" s="316">
        <v>-53565</v>
      </c>
      <c r="AJ1227" s="316">
        <v>-49275</v>
      </c>
      <c r="AK1227" s="316">
        <v>-48888</v>
      </c>
      <c r="AL1227" s="316">
        <v>-45986</v>
      </c>
      <c r="AM1227" s="316">
        <v>-50623</v>
      </c>
      <c r="AN1227" s="316">
        <v>-51701</v>
      </c>
      <c r="AO1227" s="316">
        <v>-50249</v>
      </c>
      <c r="AP1227" s="316">
        <v>-48406</v>
      </c>
      <c r="AQ1227" s="316">
        <v>-46540</v>
      </c>
      <c r="AR1227" s="316">
        <v>-40840</v>
      </c>
      <c r="AS1227" s="316">
        <v>-38946</v>
      </c>
      <c r="AT1227" s="316">
        <v>-36861</v>
      </c>
      <c r="AU1227" s="316">
        <v>-35066</v>
      </c>
      <c r="AV1227" s="316">
        <f ca="1">Calc!Z30</f>
        <v>-35066</v>
      </c>
      <c r="AX1227" s="86" t="str">
        <f t="shared" ca="1" si="96"/>
        <v>MRNA</v>
      </c>
    </row>
    <row r="1228" spans="1:50" hidden="1">
      <c r="A1228" s="86" t="str">
        <f t="shared" ca="1" si="99"/>
        <v>MSFT</v>
      </c>
      <c r="C1228" s="1">
        <v>31</v>
      </c>
      <c r="F1228" s="249">
        <v>1.0650999999999999</v>
      </c>
      <c r="G1228" s="249">
        <v>1.0679000000000001</v>
      </c>
      <c r="H1228" s="249">
        <v>1.0716000000000001</v>
      </c>
      <c r="I1228" s="249">
        <v>1.0689</v>
      </c>
      <c r="J1228" s="249">
        <v>1.0669</v>
      </c>
      <c r="K1228" s="249">
        <v>1.0728</v>
      </c>
      <c r="L1228" s="249">
        <v>1.0761000000000001</v>
      </c>
      <c r="M1228" s="249">
        <v>1.0825</v>
      </c>
      <c r="N1228" s="249">
        <v>1.0791999999999999</v>
      </c>
      <c r="O1228" s="249">
        <v>1.0737000000000001</v>
      </c>
      <c r="P1228" s="249">
        <v>1.0737000000000001</v>
      </c>
      <c r="Q1228" s="249">
        <v>1.0701000000000001</v>
      </c>
      <c r="R1228" s="249">
        <v>1.0724</v>
      </c>
      <c r="S1228" s="249">
        <v>1.0717000000000001</v>
      </c>
      <c r="T1228" s="249">
        <v>1.0717000000000001</v>
      </c>
      <c r="U1228" s="249">
        <v>1.0743</v>
      </c>
      <c r="V1228" s="249">
        <v>1.0729</v>
      </c>
      <c r="W1228" s="249">
        <v>1.0716000000000001</v>
      </c>
      <c r="X1228" s="249">
        <v>1.0713999999999999</v>
      </c>
      <c r="Y1228" s="249">
        <v>1.073</v>
      </c>
      <c r="Z1228" s="243">
        <f ca="1">[1]ExtEntry!$R31</f>
        <v>1.073</v>
      </c>
      <c r="AB1228" s="316">
        <v>-1000.5000000000024</v>
      </c>
      <c r="AC1228" s="316">
        <v>-2502.0000000000095</v>
      </c>
      <c r="AD1228" s="316">
        <v>-2430.0000000000068</v>
      </c>
      <c r="AE1228" s="316">
        <v>-547.50000000000512</v>
      </c>
      <c r="AF1228" s="316">
        <v>-3006.0000000000032</v>
      </c>
      <c r="AG1228" s="316">
        <v>-4086.00000000001</v>
      </c>
      <c r="AH1228" s="316">
        <v>-5148.2400000000071</v>
      </c>
      <c r="AI1228" s="316">
        <v>-5872.5000000000055</v>
      </c>
      <c r="AJ1228" s="316">
        <v>-4141.5000000000018</v>
      </c>
      <c r="AK1228" s="316">
        <v>-4239</v>
      </c>
      <c r="AL1228" s="316">
        <v>-3278</v>
      </c>
      <c r="AM1228" s="316">
        <v>-3739</v>
      </c>
      <c r="AN1228" s="316">
        <v>-3600</v>
      </c>
      <c r="AO1228" s="316">
        <v>-4521</v>
      </c>
      <c r="AP1228" s="316">
        <v>-230</v>
      </c>
      <c r="AQ1228" s="316">
        <v>-91</v>
      </c>
      <c r="AR1228" s="316">
        <v>853</v>
      </c>
      <c r="AS1228" s="316">
        <v>2405</v>
      </c>
      <c r="AT1228" s="316">
        <v>-111</v>
      </c>
      <c r="AU1228" s="316">
        <v>915</v>
      </c>
      <c r="AV1228" s="316">
        <f ca="1">Calc!Z31</f>
        <v>915</v>
      </c>
      <c r="AX1228" s="86" t="str">
        <f t="shared" ca="1" si="96"/>
        <v>MSFT</v>
      </c>
    </row>
    <row r="1229" spans="1:50" hidden="1">
      <c r="A1229" s="86" t="str">
        <f t="shared" ca="1" si="99"/>
        <v>NEE</v>
      </c>
      <c r="C1229" s="1">
        <v>32</v>
      </c>
      <c r="F1229" s="249">
        <v>0.73509999999999998</v>
      </c>
      <c r="G1229" s="249">
        <v>0.73509999999999998</v>
      </c>
      <c r="H1229" s="249">
        <v>0.73170000000000002</v>
      </c>
      <c r="I1229" s="249">
        <v>0.72699999999999998</v>
      </c>
      <c r="J1229" s="249">
        <v>0.72150000000000003</v>
      </c>
      <c r="K1229" s="249">
        <v>0.71840000000000004</v>
      </c>
      <c r="L1229" s="249">
        <v>0.7137</v>
      </c>
      <c r="M1229" s="249">
        <v>0.71640000000000004</v>
      </c>
      <c r="N1229" s="249">
        <v>0.72719999999999996</v>
      </c>
      <c r="O1229" s="249">
        <v>0.72989999999999999</v>
      </c>
      <c r="P1229" s="249">
        <v>0.72989999999999999</v>
      </c>
      <c r="Q1229" s="249">
        <v>0.73219999999999996</v>
      </c>
      <c r="R1229" s="249">
        <v>0.72819999999999996</v>
      </c>
      <c r="S1229" s="249">
        <v>0.72819999999999996</v>
      </c>
      <c r="T1229" s="249">
        <v>0.72819999999999996</v>
      </c>
      <c r="U1229" s="249">
        <v>0.72770000000000001</v>
      </c>
      <c r="V1229" s="249">
        <v>0.72899999999999998</v>
      </c>
      <c r="W1229" s="249">
        <v>0.7329</v>
      </c>
      <c r="X1229" s="249">
        <v>0.73440000000000005</v>
      </c>
      <c r="Y1229" s="249">
        <v>0.72940000000000005</v>
      </c>
      <c r="Z1229" s="243">
        <f ca="1">[1]ExtEntry!$R32</f>
        <v>0.72940000000000005</v>
      </c>
      <c r="AB1229" s="316">
        <v>11.139556999999996</v>
      </c>
      <c r="AC1229" s="316">
        <v>11.389556999999996</v>
      </c>
      <c r="AD1229" s="316">
        <v>12.70955699999999</v>
      </c>
      <c r="AE1229" s="316">
        <v>12.84955699999999</v>
      </c>
      <c r="AF1229" s="316">
        <v>13.699556999999999</v>
      </c>
      <c r="AG1229" s="316">
        <v>13.70955699999999</v>
      </c>
      <c r="AH1229" s="316">
        <v>13.679557000000003</v>
      </c>
      <c r="AI1229" s="316">
        <v>11.979557</v>
      </c>
      <c r="AJ1229" s="316">
        <v>14.414557000000002</v>
      </c>
      <c r="AK1229" s="316">
        <v>14</v>
      </c>
      <c r="AL1229" s="316">
        <v>15</v>
      </c>
      <c r="AM1229" s="316">
        <v>13</v>
      </c>
      <c r="AN1229" s="316">
        <v>13</v>
      </c>
      <c r="AO1229" s="316">
        <v>14</v>
      </c>
      <c r="AP1229" s="316">
        <v>13</v>
      </c>
      <c r="AQ1229" s="316">
        <v>-763</v>
      </c>
      <c r="AR1229" s="316">
        <v>-2020</v>
      </c>
      <c r="AS1229" s="316">
        <v>-10323</v>
      </c>
      <c r="AT1229" s="316">
        <v>-7480</v>
      </c>
      <c r="AU1229" s="316">
        <v>-7660</v>
      </c>
      <c r="AV1229" s="316">
        <f ca="1">Calc!Z32</f>
        <v>-7660</v>
      </c>
      <c r="AX1229" s="86" t="str">
        <f t="shared" ca="1" si="96"/>
        <v>NEE</v>
      </c>
    </row>
    <row r="1230" spans="1:50" hidden="1">
      <c r="A1230" s="86" t="str">
        <f t="shared" ca="1" si="99"/>
        <v>NEM</v>
      </c>
      <c r="C1230" s="1">
        <v>33</v>
      </c>
      <c r="F1230" s="249">
        <v>0.4461</v>
      </c>
      <c r="G1230" s="249">
        <v>0.44019999999999998</v>
      </c>
      <c r="H1230" s="249">
        <v>0.43559999999999999</v>
      </c>
      <c r="I1230" s="249">
        <v>0.41560000000000002</v>
      </c>
      <c r="J1230" s="249">
        <v>0.42280000000000001</v>
      </c>
      <c r="K1230" s="249">
        <v>0.41749999999999998</v>
      </c>
      <c r="L1230" s="249">
        <v>0.40679999999999999</v>
      </c>
      <c r="M1230" s="249">
        <v>0.434</v>
      </c>
      <c r="N1230" s="249">
        <v>0.42820000000000003</v>
      </c>
      <c r="O1230" s="249">
        <v>0.42520000000000002</v>
      </c>
      <c r="P1230" s="249">
        <v>0.42520000000000002</v>
      </c>
      <c r="Q1230" s="249">
        <v>0.43049999999999999</v>
      </c>
      <c r="R1230" s="249">
        <v>0.43080000000000002</v>
      </c>
      <c r="S1230" s="249">
        <v>0.43290000000000001</v>
      </c>
      <c r="T1230" s="249">
        <v>0.43290000000000001</v>
      </c>
      <c r="U1230" s="249">
        <v>0.43369999999999997</v>
      </c>
      <c r="V1230" s="249">
        <v>0.43319999999999997</v>
      </c>
      <c r="W1230" s="249">
        <v>0.4345</v>
      </c>
      <c r="X1230" s="249">
        <v>0.42849999999999999</v>
      </c>
      <c r="Y1230" s="249">
        <v>0.43020000000000003</v>
      </c>
      <c r="Z1230" s="243">
        <f ca="1">[1]ExtEntry!$R33</f>
        <v>0.43020000000000003</v>
      </c>
      <c r="AB1230" s="316">
        <v>5480.0000000000182</v>
      </c>
      <c r="AC1230" s="316">
        <v>7469.600000000014</v>
      </c>
      <c r="AD1230" s="316">
        <v>8939.9999999999982</v>
      </c>
      <c r="AE1230" s="316">
        <v>17840.000000000004</v>
      </c>
      <c r="AF1230" s="316">
        <v>15460.000000000007</v>
      </c>
      <c r="AG1230" s="316">
        <v>17430.000000000007</v>
      </c>
      <c r="AH1230" s="316">
        <v>7980.0000000000182</v>
      </c>
      <c r="AI1230" s="316">
        <v>9480.0000000000182</v>
      </c>
      <c r="AJ1230" s="316">
        <v>23140.000000000015</v>
      </c>
      <c r="AK1230" s="316">
        <v>23217</v>
      </c>
      <c r="AL1230" s="316">
        <v>23636</v>
      </c>
      <c r="AM1230" s="316">
        <v>26169</v>
      </c>
      <c r="AN1230" s="316">
        <v>23087</v>
      </c>
      <c r="AO1230" s="316">
        <v>24533</v>
      </c>
      <c r="AP1230" s="316">
        <v>21521</v>
      </c>
      <c r="AQ1230" s="316">
        <v>23286</v>
      </c>
      <c r="AR1230" s="316">
        <v>21701</v>
      </c>
      <c r="AS1230" s="316">
        <v>27445</v>
      </c>
      <c r="AT1230" s="316">
        <v>30986</v>
      </c>
      <c r="AU1230" s="316">
        <v>40989</v>
      </c>
      <c r="AV1230" s="316">
        <f ca="1">Calc!Z33</f>
        <v>40989</v>
      </c>
      <c r="AX1230" s="86" t="str">
        <f t="shared" ca="1" si="96"/>
        <v>NEM</v>
      </c>
    </row>
    <row r="1231" spans="1:50" hidden="1">
      <c r="A1231" s="86" t="str">
        <f t="shared" ca="1" si="99"/>
        <v>NFLX</v>
      </c>
      <c r="C1231" s="1">
        <v>34</v>
      </c>
      <c r="F1231" s="249">
        <v>1.7038</v>
      </c>
      <c r="G1231" s="249">
        <v>1.7038</v>
      </c>
      <c r="H1231" s="249">
        <v>1.7001999999999999</v>
      </c>
      <c r="I1231" s="249">
        <v>1.6895</v>
      </c>
      <c r="J1231" s="249">
        <v>1.6999</v>
      </c>
      <c r="K1231" s="249">
        <v>1.6837</v>
      </c>
      <c r="L1231" s="249">
        <v>1.6883999999999999</v>
      </c>
      <c r="M1231" s="249">
        <v>1.7053</v>
      </c>
      <c r="N1231" s="249">
        <v>1.7122999999999999</v>
      </c>
      <c r="O1231" s="249">
        <v>1.7087000000000001</v>
      </c>
      <c r="P1231" s="249">
        <v>1.7087000000000001</v>
      </c>
      <c r="Q1231" s="249">
        <v>1.7060999999999999</v>
      </c>
      <c r="R1231" s="249">
        <v>1.6943999999999999</v>
      </c>
      <c r="S1231" s="249">
        <v>1.6951000000000001</v>
      </c>
      <c r="T1231" s="249">
        <v>1.6951000000000001</v>
      </c>
      <c r="U1231" s="249">
        <v>1.7010000000000001</v>
      </c>
      <c r="V1231" s="249">
        <v>1.7029000000000001</v>
      </c>
      <c r="W1231" s="249">
        <v>1.7079</v>
      </c>
      <c r="X1231" s="249">
        <v>1.7085999999999999</v>
      </c>
      <c r="Y1231" s="249">
        <v>1.7051000000000001</v>
      </c>
      <c r="Z1231" s="243">
        <f ca="1">[1]ExtEntry!$R34</f>
        <v>1.7051000000000001</v>
      </c>
      <c r="AB1231" s="316">
        <v>789.99999999996362</v>
      </c>
      <c r="AC1231" s="316">
        <v>-1335.0000000000364</v>
      </c>
      <c r="AD1231" s="316">
        <v>1184.9999999999454</v>
      </c>
      <c r="AE1231" s="316">
        <v>7644.9999999999818</v>
      </c>
      <c r="AF1231" s="316">
        <v>22009.999999999935</v>
      </c>
      <c r="AG1231" s="316">
        <v>459.99999999992269</v>
      </c>
      <c r="AH1231" s="316">
        <v>110.55999999999813</v>
      </c>
      <c r="AI1231" s="316">
        <v>-124.00000000000091</v>
      </c>
      <c r="AJ1231" s="316">
        <v>3132.0000000000164</v>
      </c>
      <c r="AK1231" s="316">
        <v>3159</v>
      </c>
      <c r="AL1231" s="316">
        <v>5726</v>
      </c>
      <c r="AM1231" s="316">
        <v>7979</v>
      </c>
      <c r="AN1231" s="316">
        <v>8952</v>
      </c>
      <c r="AO1231" s="316">
        <v>-3286</v>
      </c>
      <c r="AP1231" s="316">
        <v>-754</v>
      </c>
      <c r="AQ1231" s="316">
        <v>-3698</v>
      </c>
      <c r="AR1231" s="316">
        <v>-639</v>
      </c>
      <c r="AS1231" s="316">
        <v>293</v>
      </c>
      <c r="AT1231" s="316">
        <v>229</v>
      </c>
      <c r="AU1231" s="316">
        <v>1605</v>
      </c>
      <c r="AV1231" s="316">
        <f ca="1">Calc!Z34</f>
        <v>1605</v>
      </c>
      <c r="AX1231" s="86" t="str">
        <f t="shared" ca="1" si="96"/>
        <v>NFLX</v>
      </c>
    </row>
    <row r="1232" spans="1:50" hidden="1">
      <c r="A1232" s="86" t="str">
        <f t="shared" ca="1" si="99"/>
        <v>NOTE</v>
      </c>
      <c r="C1232" s="1">
        <v>35</v>
      </c>
      <c r="F1232" s="249">
        <v>0.55159999999999998</v>
      </c>
      <c r="G1232" s="249">
        <v>0.56569999999999998</v>
      </c>
      <c r="H1232" s="249">
        <v>0.59709999999999996</v>
      </c>
      <c r="I1232" s="249">
        <v>0.61919999999999997</v>
      </c>
      <c r="J1232" s="249">
        <v>0.62919999999999998</v>
      </c>
      <c r="K1232" s="249">
        <v>0.66659999999999997</v>
      </c>
      <c r="L1232" s="249">
        <v>0.70189999999999997</v>
      </c>
      <c r="M1232" s="249">
        <v>0.70009999999999994</v>
      </c>
      <c r="N1232" s="249">
        <v>0.62260000000000004</v>
      </c>
      <c r="O1232" s="249">
        <v>0.59719999999999995</v>
      </c>
      <c r="P1232" s="249">
        <v>0.59719999999999995</v>
      </c>
      <c r="Q1232" s="249">
        <v>0.57709999999999995</v>
      </c>
      <c r="R1232" s="249">
        <v>0.57889999999999997</v>
      </c>
      <c r="S1232" s="249">
        <v>0.58720000000000006</v>
      </c>
      <c r="T1232" s="249">
        <v>0.58720000000000006</v>
      </c>
      <c r="U1232" s="249">
        <v>0.58609999999999995</v>
      </c>
      <c r="V1232" s="249">
        <v>0.58440000000000003</v>
      </c>
      <c r="W1232" s="249">
        <v>0.59250000000000003</v>
      </c>
      <c r="X1232" s="249">
        <v>0.59219999999999995</v>
      </c>
      <c r="Y1232" s="249">
        <v>0.58530000000000004</v>
      </c>
      <c r="Z1232" s="243">
        <f ca="1">[1]ExtEntry!$R35</f>
        <v>0.58530000000000004</v>
      </c>
      <c r="AB1232" s="316">
        <v>-5225.0000000000009</v>
      </c>
      <c r="AC1232" s="316">
        <v>-6086.5000000000009</v>
      </c>
      <c r="AD1232" s="316">
        <v>-5875.0000000000009</v>
      </c>
      <c r="AE1232" s="316">
        <v>-733.2599999999992</v>
      </c>
      <c r="AF1232" s="316">
        <v>-1733.1599999999985</v>
      </c>
      <c r="AG1232" s="316">
        <v>-2099.7899999999995</v>
      </c>
      <c r="AH1232" s="316">
        <v>-2326.4339999999997</v>
      </c>
      <c r="AI1232" s="316">
        <v>-2316.4349999999995</v>
      </c>
      <c r="AJ1232" s="316">
        <v>-1730.4935999999989</v>
      </c>
      <c r="AK1232" s="316">
        <v>-1563</v>
      </c>
      <c r="AL1232" s="316">
        <v>-1463</v>
      </c>
      <c r="AM1232" s="316">
        <v>-1829</v>
      </c>
      <c r="AN1232" s="316">
        <v>-2477</v>
      </c>
      <c r="AO1232" s="316">
        <v>-2793</v>
      </c>
      <c r="AP1232" s="316">
        <v>-2494</v>
      </c>
      <c r="AQ1232" s="316">
        <v>-2560</v>
      </c>
      <c r="AR1232" s="316">
        <v>-2593</v>
      </c>
      <c r="AS1232" s="316">
        <v>-150</v>
      </c>
      <c r="AT1232" s="316">
        <v>-300</v>
      </c>
      <c r="AU1232" s="316">
        <v>-300</v>
      </c>
      <c r="AV1232" s="316">
        <f ca="1">Calc!Z35</f>
        <v>-300</v>
      </c>
      <c r="AX1232" s="86" t="str">
        <f t="shared" ca="1" si="96"/>
        <v>NOTE</v>
      </c>
    </row>
    <row r="1233" spans="1:50" hidden="1">
      <c r="A1233" s="86" t="str">
        <f t="shared" ca="1" si="99"/>
        <v>PAAS</v>
      </c>
      <c r="C1233" s="1">
        <v>36</v>
      </c>
      <c r="F1233" s="249">
        <v>1.1623000000000001</v>
      </c>
      <c r="G1233" s="249">
        <v>1.1606000000000001</v>
      </c>
      <c r="H1233" s="249">
        <v>1.1608000000000001</v>
      </c>
      <c r="I1233" s="249">
        <v>1.1391</v>
      </c>
      <c r="J1233" s="249">
        <v>1.1480999999999999</v>
      </c>
      <c r="K1233" s="249">
        <v>1.1358999999999999</v>
      </c>
      <c r="L1233" s="249">
        <v>1.1254</v>
      </c>
      <c r="M1233" s="249">
        <v>1.1496</v>
      </c>
      <c r="N1233" s="249">
        <v>1.1569</v>
      </c>
      <c r="O1233" s="249">
        <v>1.1835</v>
      </c>
      <c r="P1233" s="249">
        <v>1.2019</v>
      </c>
      <c r="Q1233" s="249">
        <v>1.2261</v>
      </c>
      <c r="R1233" s="249">
        <v>1.2377</v>
      </c>
      <c r="S1233" s="249">
        <v>1.2376</v>
      </c>
      <c r="T1233" s="249">
        <v>1.2376</v>
      </c>
      <c r="U1233" s="249">
        <v>1.2402</v>
      </c>
      <c r="V1233" s="249">
        <v>1.2414000000000001</v>
      </c>
      <c r="W1233" s="249">
        <v>1.2456</v>
      </c>
      <c r="X1233" s="249">
        <v>1.2217</v>
      </c>
      <c r="Y1233" s="249">
        <v>1.2242</v>
      </c>
      <c r="Z1233" s="243">
        <f ca="1">[1]ExtEntry!$R36</f>
        <v>1.2242</v>
      </c>
      <c r="AB1233" s="316">
        <v>-2924.9999999999936</v>
      </c>
      <c r="AC1233" s="316">
        <v>-2962.5000000000023</v>
      </c>
      <c r="AD1233" s="316">
        <v>-1500.1499999999944</v>
      </c>
      <c r="AE1233" s="316">
        <v>4184.9999999999991</v>
      </c>
      <c r="AF1233" s="316">
        <v>3525.0000000000023</v>
      </c>
      <c r="AG1233" s="316">
        <v>4155.0000000000045</v>
      </c>
      <c r="AH1233" s="316">
        <v>1365.0000000000055</v>
      </c>
      <c r="AI1233" s="316">
        <v>1829.9999999999982</v>
      </c>
      <c r="AJ1233" s="316">
        <v>9817.5000000000018</v>
      </c>
      <c r="AK1233" s="316">
        <v>10232</v>
      </c>
      <c r="AL1233" s="316">
        <v>9913</v>
      </c>
      <c r="AM1233" s="316">
        <v>10456</v>
      </c>
      <c r="AN1233" s="316">
        <v>9085</v>
      </c>
      <c r="AO1233" s="316">
        <v>9319</v>
      </c>
      <c r="AP1233" s="316">
        <v>8686</v>
      </c>
      <c r="AQ1233" s="316">
        <v>8560</v>
      </c>
      <c r="AR1233" s="316">
        <v>8646</v>
      </c>
      <c r="AS1233" s="316">
        <v>12392</v>
      </c>
      <c r="AT1233" s="316">
        <v>12895</v>
      </c>
      <c r="AU1233" s="316">
        <v>14580</v>
      </c>
      <c r="AV1233" s="316">
        <f ca="1">Calc!Z36</f>
        <v>14580</v>
      </c>
      <c r="AX1233" s="86" t="str">
        <f t="shared" ca="1" si="96"/>
        <v>PAAS</v>
      </c>
    </row>
    <row r="1234" spans="1:50" hidden="1">
      <c r="A1234" s="86" t="str">
        <f t="shared" ca="1" si="99"/>
        <v>PROF</v>
      </c>
      <c r="C1234" s="1">
        <v>37</v>
      </c>
      <c r="F1234" s="249">
        <v>0.19259999999999999</v>
      </c>
      <c r="G1234" s="249">
        <v>0.1913</v>
      </c>
      <c r="H1234" s="249">
        <v>0.19359999999999999</v>
      </c>
      <c r="I1234" s="249">
        <v>0.18049999999999999</v>
      </c>
      <c r="J1234" s="249">
        <v>0.18310000000000001</v>
      </c>
      <c r="K1234" s="249">
        <v>0.186</v>
      </c>
      <c r="L1234" s="249">
        <v>0.18859999999999999</v>
      </c>
      <c r="M1234" s="249">
        <v>0.19550000000000001</v>
      </c>
      <c r="N1234" s="249">
        <v>0.19400000000000001</v>
      </c>
      <c r="O1234" s="249">
        <v>0.2039</v>
      </c>
      <c r="P1234" s="249">
        <v>0.21890000000000001</v>
      </c>
      <c r="Q1234" s="249">
        <v>0.2162</v>
      </c>
      <c r="R1234" s="249">
        <v>0.2223</v>
      </c>
      <c r="S1234" s="249">
        <v>0.23719999999999999</v>
      </c>
      <c r="T1234" s="249">
        <v>0.23719999999999999</v>
      </c>
      <c r="U1234" s="249">
        <v>0.2044</v>
      </c>
      <c r="V1234" s="249">
        <v>0.22239999999999999</v>
      </c>
      <c r="W1234" s="249">
        <v>0.21779999999999999</v>
      </c>
      <c r="X1234" s="249">
        <v>0.2041</v>
      </c>
      <c r="Y1234" s="249">
        <v>0.20330000000000001</v>
      </c>
      <c r="Z1234" s="243">
        <f ca="1">[1]ExtEntry!$R37</f>
        <v>0.20330000000000001</v>
      </c>
      <c r="AB1234" s="316">
        <v>2679.9999999999995</v>
      </c>
      <c r="AC1234" s="316">
        <v>2679.9999999999995</v>
      </c>
      <c r="AD1234" s="316">
        <v>2939.9999999999977</v>
      </c>
      <c r="AE1234" s="316">
        <v>6639.9999999999973</v>
      </c>
      <c r="AF1234" s="316">
        <v>4160</v>
      </c>
      <c r="AG1234" s="316">
        <v>3199.9999999999991</v>
      </c>
      <c r="AH1234" s="316">
        <v>2799.9999999999973</v>
      </c>
      <c r="AI1234" s="316">
        <v>2840</v>
      </c>
      <c r="AJ1234" s="316">
        <v>5099.9999999999982</v>
      </c>
      <c r="AK1234" s="316">
        <v>5066</v>
      </c>
      <c r="AL1234" s="316">
        <v>5624</v>
      </c>
      <c r="AM1234" s="316">
        <v>4844</v>
      </c>
      <c r="AN1234" s="316">
        <v>4029</v>
      </c>
      <c r="AO1234" s="316">
        <v>5046</v>
      </c>
      <c r="AP1234" s="316">
        <v>6821</v>
      </c>
      <c r="AQ1234" s="316">
        <v>6742</v>
      </c>
      <c r="AR1234" s="316">
        <v>5624</v>
      </c>
      <c r="AS1234" s="316">
        <v>7260</v>
      </c>
      <c r="AT1234" s="316">
        <v>8177</v>
      </c>
      <c r="AU1234" s="316">
        <v>8935</v>
      </c>
      <c r="AV1234" s="316">
        <f ca="1">Calc!Z37</f>
        <v>8935</v>
      </c>
      <c r="AX1234" s="86" t="str">
        <f t="shared" ca="1" si="96"/>
        <v>PROF</v>
      </c>
    </row>
    <row r="1235" spans="1:50" hidden="1">
      <c r="A1235" s="86" t="str">
        <f t="shared" ca="1" si="99"/>
        <v>POET</v>
      </c>
      <c r="C1235" s="1">
        <v>38</v>
      </c>
      <c r="F1235" s="249">
        <v>0.4708</v>
      </c>
      <c r="G1235" s="249">
        <v>0.4657</v>
      </c>
      <c r="H1235" s="249">
        <v>0.50170000000000003</v>
      </c>
      <c r="I1235" s="249">
        <v>0.52010000000000001</v>
      </c>
      <c r="J1235" s="249">
        <v>0.54090000000000005</v>
      </c>
      <c r="K1235" s="249">
        <v>0.56289999999999996</v>
      </c>
      <c r="L1235" s="249">
        <v>0.58809999999999996</v>
      </c>
      <c r="M1235" s="249">
        <v>0.58050000000000002</v>
      </c>
      <c r="N1235" s="249">
        <v>0.51080000000000003</v>
      </c>
      <c r="O1235" s="249">
        <v>0.48949999999999999</v>
      </c>
      <c r="P1235" s="249">
        <v>0.48949999999999999</v>
      </c>
      <c r="Q1235" s="249">
        <v>0.47510000000000002</v>
      </c>
      <c r="R1235" s="249">
        <v>0.36499999999999999</v>
      </c>
      <c r="S1235" s="249">
        <v>0.3614</v>
      </c>
      <c r="T1235" s="249">
        <v>0.3614</v>
      </c>
      <c r="U1235" s="249">
        <v>0.33339999999999997</v>
      </c>
      <c r="V1235" s="249">
        <v>0.33800000000000002</v>
      </c>
      <c r="W1235" s="249">
        <v>0.3281</v>
      </c>
      <c r="X1235" s="249">
        <v>0.31140000000000001</v>
      </c>
      <c r="Y1235" s="249">
        <v>0.33100000000000002</v>
      </c>
      <c r="Z1235" s="243">
        <f ca="1">[1]ExtEntry!$R38</f>
        <v>0.33100000000000002</v>
      </c>
      <c r="AB1235" s="316">
        <v>2287.5</v>
      </c>
      <c r="AC1235" s="316">
        <v>562.49999999999909</v>
      </c>
      <c r="AD1235" s="316">
        <v>624.75000000000057</v>
      </c>
      <c r="AE1235" s="316">
        <v>-1447.25</v>
      </c>
      <c r="AF1235" s="316">
        <v>-1722.2500000000007</v>
      </c>
      <c r="AG1235" s="316">
        <v>-1986.2500000000005</v>
      </c>
      <c r="AH1235" s="316">
        <v>-1884.7500000000016</v>
      </c>
      <c r="AI1235" s="316">
        <v>-1747.2500000000002</v>
      </c>
      <c r="AJ1235" s="316">
        <v>-534.75000000000159</v>
      </c>
      <c r="AK1235" s="316">
        <v>-347</v>
      </c>
      <c r="AL1235" s="316">
        <v>-73</v>
      </c>
      <c r="AM1235" s="316">
        <v>-584</v>
      </c>
      <c r="AN1235" s="316">
        <v>-808</v>
      </c>
      <c r="AO1235" s="316">
        <v>986</v>
      </c>
      <c r="AP1235" s="316">
        <v>2570</v>
      </c>
      <c r="AQ1235" s="316">
        <v>3755</v>
      </c>
      <c r="AR1235" s="316">
        <v>2670</v>
      </c>
      <c r="AS1235" s="316">
        <v>4652</v>
      </c>
      <c r="AT1235" s="316">
        <v>5413</v>
      </c>
      <c r="AU1235" s="316">
        <v>5587</v>
      </c>
      <c r="AV1235" s="316">
        <f ca="1">Calc!Z38</f>
        <v>5587</v>
      </c>
      <c r="AX1235" s="86" t="str">
        <f t="shared" ref="AX1235:AX1293" ca="1" si="100">A1235</f>
        <v>POET</v>
      </c>
    </row>
    <row r="1236" spans="1:50" hidden="1">
      <c r="A1236" s="86" t="str">
        <f t="shared" ca="1" si="99"/>
        <v>PW</v>
      </c>
      <c r="C1236" s="1">
        <v>39</v>
      </c>
      <c r="F1236" s="249">
        <v>1.5404</v>
      </c>
      <c r="G1236" s="249">
        <v>1.5295000000000001</v>
      </c>
      <c r="H1236" s="249">
        <v>1.5435000000000001</v>
      </c>
      <c r="I1236" s="249">
        <v>1.5623</v>
      </c>
      <c r="J1236" s="249">
        <v>1.5356000000000001</v>
      </c>
      <c r="K1236" s="249">
        <v>1.5496000000000001</v>
      </c>
      <c r="L1236" s="249">
        <v>1.5685</v>
      </c>
      <c r="M1236" s="249">
        <v>1.5798000000000001</v>
      </c>
      <c r="N1236" s="249">
        <v>1.5044999999999999</v>
      </c>
      <c r="O1236" s="249">
        <v>1.4864999999999999</v>
      </c>
      <c r="P1236" s="249">
        <v>1.4864999999999999</v>
      </c>
      <c r="Q1236" s="249">
        <v>1.5203</v>
      </c>
      <c r="R1236" s="249">
        <v>1.5241</v>
      </c>
      <c r="S1236" s="249">
        <v>1.5149999999999999</v>
      </c>
      <c r="T1236" s="249">
        <v>1.5149999999999999</v>
      </c>
      <c r="U1236" s="249">
        <v>1.5149999999999999</v>
      </c>
      <c r="V1236" s="249">
        <v>1.5141</v>
      </c>
      <c r="W1236" s="249">
        <v>1.5064</v>
      </c>
      <c r="X1236" s="249">
        <v>1.4976</v>
      </c>
      <c r="Y1236" s="249">
        <v>1.5168999999999999</v>
      </c>
      <c r="Z1236" s="243">
        <f ca="1">[1]ExtEntry!$R39</f>
        <v>1.5168999999999999</v>
      </c>
      <c r="AB1236" s="316">
        <v>-2705.703</v>
      </c>
      <c r="AC1236" s="316">
        <v>-2797.5947999999999</v>
      </c>
      <c r="AD1236" s="316">
        <v>-3216.2129999999997</v>
      </c>
      <c r="AE1236" s="316">
        <v>-2931.5286000000001</v>
      </c>
      <c r="AF1236" s="316">
        <v>-3336.9335999999998</v>
      </c>
      <c r="AG1236" s="316">
        <v>-3318.9155999999998</v>
      </c>
      <c r="AH1236" s="316">
        <v>-3490.0866000000005</v>
      </c>
      <c r="AI1236" s="316">
        <v>-3156.1529999999998</v>
      </c>
      <c r="AJ1236" s="316">
        <v>-1203.0018000000002</v>
      </c>
      <c r="AK1236" s="316">
        <v>-1228</v>
      </c>
      <c r="AL1236" s="316">
        <v>-2190</v>
      </c>
      <c r="AM1236" s="316">
        <v>-2178</v>
      </c>
      <c r="AN1236" s="316">
        <v>-1591</v>
      </c>
      <c r="AO1236" s="316">
        <v>-1934</v>
      </c>
      <c r="AP1236" s="316">
        <v>-1591</v>
      </c>
      <c r="AQ1236" s="316">
        <v>-1472</v>
      </c>
      <c r="AR1236" s="316">
        <v>-1186</v>
      </c>
      <c r="AS1236" s="316">
        <v>-1112</v>
      </c>
      <c r="AT1236" s="316">
        <v>-1052</v>
      </c>
      <c r="AU1236" s="316">
        <v>-1270</v>
      </c>
      <c r="AV1236" s="316">
        <f ca="1">Calc!Z39</f>
        <v>-1270</v>
      </c>
      <c r="AX1236" s="86" t="str">
        <f t="shared" ca="1" si="100"/>
        <v>PW</v>
      </c>
    </row>
    <row r="1237" spans="1:50" hidden="1">
      <c r="A1237" s="86" t="str">
        <f t="shared" ca="1" si="99"/>
        <v>RIGL</v>
      </c>
      <c r="C1237" s="1">
        <v>40</v>
      </c>
      <c r="F1237" s="249">
        <v>1.181</v>
      </c>
      <c r="G1237" s="249">
        <v>1.1305000000000001</v>
      </c>
      <c r="H1237" s="249">
        <v>1.1234999999999999</v>
      </c>
      <c r="I1237" s="249">
        <v>1.0994999999999999</v>
      </c>
      <c r="J1237" s="249">
        <v>1.0785</v>
      </c>
      <c r="K1237" s="249">
        <v>1.0119</v>
      </c>
      <c r="L1237" s="249">
        <v>1.0315000000000001</v>
      </c>
      <c r="M1237" s="249">
        <v>1.0190999999999999</v>
      </c>
      <c r="N1237" s="249">
        <v>1.0490999999999999</v>
      </c>
      <c r="O1237" s="249">
        <v>1.0772999999999999</v>
      </c>
      <c r="P1237" s="249">
        <v>1.0772999999999999</v>
      </c>
      <c r="Q1237" s="249">
        <v>1.0792999999999999</v>
      </c>
      <c r="R1237" s="249">
        <v>1.1008</v>
      </c>
      <c r="S1237" s="249">
        <v>1.1062000000000001</v>
      </c>
      <c r="T1237" s="249">
        <v>1.1062000000000001</v>
      </c>
      <c r="U1237" s="249">
        <v>1.0972999999999999</v>
      </c>
      <c r="V1237" s="249">
        <v>1.0925</v>
      </c>
      <c r="W1237" s="249">
        <v>1.1052999999999999</v>
      </c>
      <c r="X1237" s="249">
        <v>1.1088</v>
      </c>
      <c r="Y1237" s="249">
        <v>1.099</v>
      </c>
      <c r="Z1237" s="243">
        <f ca="1">[1]ExtEntry!$R40</f>
        <v>1.099</v>
      </c>
      <c r="AB1237" s="316">
        <v>9520.0000000000036</v>
      </c>
      <c r="AC1237" s="316">
        <v>7995.0000000000045</v>
      </c>
      <c r="AD1237" s="316">
        <v>6980.0000000000036</v>
      </c>
      <c r="AE1237" s="316">
        <v>13610</v>
      </c>
      <c r="AF1237" s="316">
        <v>17890</v>
      </c>
      <c r="AG1237" s="316">
        <v>13870.000000000004</v>
      </c>
      <c r="AH1237" s="316">
        <v>16445</v>
      </c>
      <c r="AI1237" s="316">
        <v>9210.885000000002</v>
      </c>
      <c r="AJ1237" s="316">
        <v>22.910000000000004</v>
      </c>
      <c r="AK1237" s="316">
        <v>22</v>
      </c>
      <c r="AL1237" s="316">
        <v>22</v>
      </c>
      <c r="AM1237" s="316">
        <v>19</v>
      </c>
      <c r="AN1237" s="316">
        <v>16</v>
      </c>
      <c r="AO1237" s="316">
        <v>17</v>
      </c>
      <c r="AP1237" s="316">
        <v>18</v>
      </c>
      <c r="AQ1237" s="316">
        <v>18</v>
      </c>
      <c r="AR1237" s="316">
        <v>20</v>
      </c>
      <c r="AS1237" s="316">
        <v>14</v>
      </c>
      <c r="AT1237" s="316">
        <v>12</v>
      </c>
      <c r="AU1237" s="316">
        <v>13</v>
      </c>
      <c r="AV1237" s="316">
        <f ca="1">Calc!Z40</f>
        <v>13</v>
      </c>
      <c r="AX1237" s="86" t="str">
        <f t="shared" ca="1" si="100"/>
        <v>RIGL</v>
      </c>
    </row>
    <row r="1238" spans="1:50" hidden="1">
      <c r="A1238" s="86" t="str">
        <f t="shared" ca="1" si="99"/>
        <v>RWE</v>
      </c>
      <c r="C1238" s="1">
        <v>41</v>
      </c>
      <c r="F1238" s="249">
        <v>0.48039999999999999</v>
      </c>
      <c r="G1238" s="249">
        <v>0.4803</v>
      </c>
      <c r="H1238" s="249">
        <v>0.47949999999999998</v>
      </c>
      <c r="I1238" s="249">
        <v>0.48420000000000002</v>
      </c>
      <c r="J1238" s="249">
        <v>0.4703</v>
      </c>
      <c r="K1238" s="249">
        <v>0.46560000000000001</v>
      </c>
      <c r="L1238" s="249">
        <v>0.46160000000000001</v>
      </c>
      <c r="M1238" s="249">
        <v>0.4496</v>
      </c>
      <c r="N1238" s="249">
        <v>0.46779999999999999</v>
      </c>
      <c r="O1238" s="249">
        <v>0.46700000000000003</v>
      </c>
      <c r="P1238" s="249">
        <v>0.47560000000000002</v>
      </c>
      <c r="Q1238" s="249">
        <v>0.47489999999999999</v>
      </c>
      <c r="R1238" s="249">
        <v>0.48199999999999998</v>
      </c>
      <c r="S1238" s="249">
        <v>0.48159999999999997</v>
      </c>
      <c r="T1238" s="249">
        <v>0.48159999999999997</v>
      </c>
      <c r="U1238" s="249">
        <v>0.48039999999999999</v>
      </c>
      <c r="V1238" s="249">
        <v>0.48110000000000003</v>
      </c>
      <c r="W1238" s="249">
        <v>0.48089999999999999</v>
      </c>
      <c r="X1238" s="249">
        <v>0.4803</v>
      </c>
      <c r="Y1238" s="249">
        <v>0.48039999999999999</v>
      </c>
      <c r="Z1238" s="243">
        <f ca="1">[1]ExtEntry!$R41</f>
        <v>0.48039999999999999</v>
      </c>
      <c r="AB1238" s="316">
        <v>711.99999999999989</v>
      </c>
      <c r="AC1238" s="316">
        <v>737.49999999999977</v>
      </c>
      <c r="AD1238" s="316">
        <v>726.99999999999977</v>
      </c>
      <c r="AE1238" s="316">
        <v>847.99999999999989</v>
      </c>
      <c r="AF1238" s="316">
        <v>795.5</v>
      </c>
      <c r="AG1238" s="316">
        <v>767.99999999999977</v>
      </c>
      <c r="AH1238" s="316">
        <v>827.5</v>
      </c>
      <c r="AI1238" s="316">
        <v>797.99999999999989</v>
      </c>
      <c r="AJ1238" s="316">
        <v>794.49999999999989</v>
      </c>
      <c r="AK1238" s="316">
        <v>755</v>
      </c>
      <c r="AL1238" s="316">
        <v>765</v>
      </c>
      <c r="AM1238" s="316">
        <v>747</v>
      </c>
      <c r="AN1238" s="316">
        <v>744</v>
      </c>
      <c r="AO1238" s="316">
        <v>784</v>
      </c>
      <c r="AP1238" s="316">
        <v>757</v>
      </c>
      <c r="AQ1238" s="316">
        <v>752</v>
      </c>
      <c r="AR1238" s="316">
        <v>726</v>
      </c>
      <c r="AS1238" s="316">
        <v>763</v>
      </c>
      <c r="AT1238" s="316">
        <v>753</v>
      </c>
      <c r="AU1238" s="316">
        <v>743</v>
      </c>
      <c r="AV1238" s="316">
        <f ca="1">Calc!Z41</f>
        <v>743</v>
      </c>
      <c r="AX1238" s="86" t="str">
        <f t="shared" ca="1" si="100"/>
        <v>RWE</v>
      </c>
    </row>
    <row r="1239" spans="1:50" hidden="1">
      <c r="A1239" s="86" t="str">
        <f t="shared" ca="1" si="99"/>
        <v>SAP</v>
      </c>
      <c r="C1239" s="1">
        <v>42</v>
      </c>
      <c r="F1239" s="249">
        <v>1.0464</v>
      </c>
      <c r="G1239" s="249">
        <v>1.0449999999999999</v>
      </c>
      <c r="H1239" s="249">
        <v>1.0488</v>
      </c>
      <c r="I1239" s="249">
        <v>1.0428999999999999</v>
      </c>
      <c r="J1239" s="249">
        <v>1.0570999999999999</v>
      </c>
      <c r="K1239" s="249">
        <v>1.0648</v>
      </c>
      <c r="L1239" s="249">
        <v>1.0689</v>
      </c>
      <c r="M1239" s="249">
        <v>1.0668</v>
      </c>
      <c r="N1239" s="249">
        <v>1.0697000000000001</v>
      </c>
      <c r="O1239" s="249">
        <v>1.0649</v>
      </c>
      <c r="P1239" s="249">
        <v>1.0605</v>
      </c>
      <c r="Q1239" s="249">
        <v>1.0584</v>
      </c>
      <c r="R1239" s="249">
        <v>1.052</v>
      </c>
      <c r="S1239" s="249">
        <v>1.054</v>
      </c>
      <c r="T1239" s="249">
        <v>1.054</v>
      </c>
      <c r="U1239" s="249">
        <v>1.0549999999999999</v>
      </c>
      <c r="V1239" s="249">
        <v>1.0537000000000001</v>
      </c>
      <c r="W1239" s="249">
        <v>1.054</v>
      </c>
      <c r="X1239" s="249">
        <v>1.0536000000000001</v>
      </c>
      <c r="Y1239" s="249">
        <v>1.0538000000000001</v>
      </c>
      <c r="Z1239" s="243">
        <f ca="1">[1]ExtEntry!$R42</f>
        <v>1.0538000000000001</v>
      </c>
      <c r="AB1239" s="316">
        <v>-2200.0000000000027</v>
      </c>
      <c r="AC1239" s="316">
        <v>-7200.0000000000027</v>
      </c>
      <c r="AD1239" s="316">
        <v>-8349.9999999999945</v>
      </c>
      <c r="AE1239" s="316">
        <v>-10625</v>
      </c>
      <c r="AF1239" s="316">
        <v>-13500</v>
      </c>
      <c r="AG1239" s="316">
        <v>-13424.999999999996</v>
      </c>
      <c r="AH1239" s="316">
        <v>-12875</v>
      </c>
      <c r="AI1239" s="316">
        <v>-13674.999999999996</v>
      </c>
      <c r="AJ1239" s="316">
        <v>-12825.000000000004</v>
      </c>
      <c r="AK1239" s="316">
        <v>-12641</v>
      </c>
      <c r="AL1239" s="316">
        <v>-11868</v>
      </c>
      <c r="AM1239" s="316">
        <v>-11694</v>
      </c>
      <c r="AN1239" s="316">
        <v>-12217</v>
      </c>
      <c r="AO1239" s="316">
        <v>-12517</v>
      </c>
      <c r="AP1239" s="316">
        <v>-12891</v>
      </c>
      <c r="AQ1239" s="316">
        <v>-11071</v>
      </c>
      <c r="AR1239" s="316">
        <v>-9525</v>
      </c>
      <c r="AS1239" s="316">
        <v>-11145</v>
      </c>
      <c r="AT1239" s="316">
        <v>-10672</v>
      </c>
      <c r="AU1239" s="316">
        <v>-11494</v>
      </c>
      <c r="AV1239" s="316">
        <f ca="1">Calc!Z42</f>
        <v>-11494</v>
      </c>
      <c r="AX1239" s="86" t="str">
        <f t="shared" ca="1" si="100"/>
        <v>SAP</v>
      </c>
    </row>
    <row r="1240" spans="1:50" hidden="1">
      <c r="A1240" s="86" t="str">
        <f t="shared" ca="1" si="99"/>
        <v>SHECY</v>
      </c>
      <c r="C1240" s="1">
        <v>43</v>
      </c>
      <c r="F1240" s="249">
        <v>1.2863</v>
      </c>
      <c r="G1240" s="249">
        <v>1.2843</v>
      </c>
      <c r="H1240" s="249">
        <v>1.2955000000000001</v>
      </c>
      <c r="I1240" s="249">
        <v>1.2892999999999999</v>
      </c>
      <c r="J1240" s="249">
        <v>1.2907999999999999</v>
      </c>
      <c r="K1240" s="249">
        <v>1.29</v>
      </c>
      <c r="L1240" s="249">
        <v>1.2951999999999999</v>
      </c>
      <c r="M1240" s="249">
        <v>1.3004</v>
      </c>
      <c r="N1240" s="249">
        <v>1.2954000000000001</v>
      </c>
      <c r="O1240" s="249">
        <v>1.2909999999999999</v>
      </c>
      <c r="P1240" s="249">
        <v>1.2903</v>
      </c>
      <c r="Q1240" s="249">
        <v>1.2902</v>
      </c>
      <c r="R1240" s="249">
        <v>1.2783</v>
      </c>
      <c r="S1240" s="249">
        <v>1.2732000000000001</v>
      </c>
      <c r="T1240" s="249">
        <v>1.2732000000000001</v>
      </c>
      <c r="U1240" s="249">
        <v>1.2749999999999999</v>
      </c>
      <c r="V1240" s="249">
        <v>1.2736000000000001</v>
      </c>
      <c r="W1240" s="249">
        <v>1.2787999999999999</v>
      </c>
      <c r="X1240" s="249">
        <v>1.2797000000000001</v>
      </c>
      <c r="Y1240" s="249">
        <v>1.28</v>
      </c>
      <c r="Z1240" s="243">
        <f ca="1">[1]ExtEntry!$R43</f>
        <v>1.28</v>
      </c>
      <c r="AB1240" s="316">
        <v>-789.59999999999718</v>
      </c>
      <c r="AC1240" s="316">
        <v>-1842.399999999998</v>
      </c>
      <c r="AD1240" s="316">
        <v>-1342.3199999999995</v>
      </c>
      <c r="AE1240" s="316">
        <v>-552.71999999999753</v>
      </c>
      <c r="AF1240" s="316">
        <v>-2289.8399999999979</v>
      </c>
      <c r="AG1240" s="316">
        <v>-2593.8360000000002</v>
      </c>
      <c r="AH1240" s="316">
        <v>-3829.5600000000004</v>
      </c>
      <c r="AI1240" s="316">
        <v>-2184.5600000000004</v>
      </c>
      <c r="AJ1240" s="316">
        <v>-1052.7999999999963</v>
      </c>
      <c r="AK1240" s="316">
        <v>-1050</v>
      </c>
      <c r="AL1240" s="316">
        <v>-657</v>
      </c>
      <c r="AM1240" s="316">
        <v>-709</v>
      </c>
      <c r="AN1240" s="316">
        <v>-165</v>
      </c>
      <c r="AO1240" s="316">
        <v>-751</v>
      </c>
      <c r="AP1240" s="316">
        <v>-315</v>
      </c>
      <c r="AQ1240" s="316">
        <v>971</v>
      </c>
      <c r="AR1240" s="316">
        <v>944</v>
      </c>
      <c r="AS1240" s="316">
        <v>254</v>
      </c>
      <c r="AT1240" s="316">
        <v>682</v>
      </c>
      <c r="AU1240" s="316">
        <v>-762</v>
      </c>
      <c r="AV1240" s="316">
        <f ca="1">Calc!Z43</f>
        <v>-762</v>
      </c>
      <c r="AX1240" s="86" t="str">
        <f t="shared" ca="1" si="100"/>
        <v>SHECY</v>
      </c>
    </row>
    <row r="1241" spans="1:50" hidden="1">
      <c r="A1241" s="86" t="str">
        <f t="shared" ca="1" si="99"/>
        <v>SSYS</v>
      </c>
      <c r="C1241" s="1">
        <v>44</v>
      </c>
      <c r="F1241" s="249">
        <v>1.4714</v>
      </c>
      <c r="G1241" s="249">
        <v>1.4711000000000001</v>
      </c>
      <c r="H1241" s="249">
        <v>1.4815</v>
      </c>
      <c r="I1241" s="249">
        <v>1.4836</v>
      </c>
      <c r="J1241" s="249">
        <v>1.5017</v>
      </c>
      <c r="K1241" s="249">
        <v>1.5111000000000001</v>
      </c>
      <c r="L1241" s="249">
        <v>1.5210999999999999</v>
      </c>
      <c r="M1241" s="249">
        <v>1.5246</v>
      </c>
      <c r="N1241" s="249">
        <v>1.4962</v>
      </c>
      <c r="O1241" s="249">
        <v>1.4862</v>
      </c>
      <c r="P1241" s="249">
        <v>1.4862</v>
      </c>
      <c r="Q1241" s="249">
        <v>1.4776</v>
      </c>
      <c r="R1241" s="249">
        <v>1.4379999999999999</v>
      </c>
      <c r="S1241" s="249">
        <v>1.4368000000000001</v>
      </c>
      <c r="T1241" s="249">
        <v>1.4368000000000001</v>
      </c>
      <c r="U1241" s="249">
        <v>1.4350000000000001</v>
      </c>
      <c r="V1241" s="249">
        <v>1.4357</v>
      </c>
      <c r="W1241" s="249">
        <v>1.4333</v>
      </c>
      <c r="X1241" s="249">
        <v>1.4319</v>
      </c>
      <c r="Y1241" s="249">
        <v>1.4353</v>
      </c>
      <c r="Z1241" s="243">
        <f ca="1">[1]ExtEntry!$R44</f>
        <v>1.4353</v>
      </c>
      <c r="AB1241" s="316">
        <v>1799.9999999999989</v>
      </c>
      <c r="AC1241" s="316">
        <v>630.0000000000025</v>
      </c>
      <c r="AD1241" s="316">
        <v>630.0000000000025</v>
      </c>
      <c r="AE1241" s="316">
        <v>-900.00000000000216</v>
      </c>
      <c r="AF1241" s="316">
        <v>-2250</v>
      </c>
      <c r="AG1241" s="316">
        <v>-2400.0000000000023</v>
      </c>
      <c r="AH1241" s="316">
        <v>-3089.9999999999982</v>
      </c>
      <c r="AI1241" s="316">
        <v>-2099.9999999999977</v>
      </c>
      <c r="AJ1241" s="316">
        <v>-1950.0000000000011</v>
      </c>
      <c r="AK1241" s="316">
        <v>-1826</v>
      </c>
      <c r="AL1241" s="316">
        <v>-1377</v>
      </c>
      <c r="AM1241" s="316">
        <v>-1586</v>
      </c>
      <c r="AN1241" s="316">
        <v>-1496</v>
      </c>
      <c r="AO1241" s="316">
        <v>-1556</v>
      </c>
      <c r="AP1241" s="316">
        <v>-808</v>
      </c>
      <c r="AQ1241" s="316">
        <v>-360</v>
      </c>
      <c r="AR1241" s="316">
        <v>-599</v>
      </c>
      <c r="AS1241" s="316">
        <v>59</v>
      </c>
      <c r="AT1241" s="316">
        <v>119</v>
      </c>
      <c r="AU1241" s="316">
        <v>568</v>
      </c>
      <c r="AV1241" s="316">
        <f ca="1">Calc!Z44</f>
        <v>568</v>
      </c>
      <c r="AX1241" s="86" t="str">
        <f t="shared" ca="1" si="100"/>
        <v>SSYS</v>
      </c>
    </row>
    <row r="1242" spans="1:50" hidden="1">
      <c r="A1242" s="86" t="str">
        <f t="shared" ca="1" si="99"/>
        <v>TSLA</v>
      </c>
      <c r="C1242" s="1">
        <v>45</v>
      </c>
      <c r="F1242" s="249">
        <v>1.8744000000000001</v>
      </c>
      <c r="G1242" s="249">
        <v>1.8687</v>
      </c>
      <c r="H1242" s="249">
        <v>1.8709</v>
      </c>
      <c r="I1242" s="249">
        <v>1.8945000000000001</v>
      </c>
      <c r="J1242" s="249">
        <v>1.8911</v>
      </c>
      <c r="K1242" s="249">
        <v>1.8974</v>
      </c>
      <c r="L1242" s="249">
        <v>1.895</v>
      </c>
      <c r="M1242" s="249">
        <v>1.9021999999999999</v>
      </c>
      <c r="N1242" s="249">
        <v>1.8849</v>
      </c>
      <c r="O1242" s="249">
        <v>1.8804000000000001</v>
      </c>
      <c r="P1242" s="249">
        <v>1.8804000000000001</v>
      </c>
      <c r="Q1242" s="249">
        <v>1.8775999999999999</v>
      </c>
      <c r="R1242" s="249">
        <v>1.8380000000000001</v>
      </c>
      <c r="S1242" s="249">
        <v>1.8389</v>
      </c>
      <c r="T1242" s="249">
        <v>1.8389</v>
      </c>
      <c r="U1242" s="249">
        <v>1.8354999999999999</v>
      </c>
      <c r="V1242" s="249">
        <v>1.8353999999999999</v>
      </c>
      <c r="W1242" s="249">
        <v>1.8369</v>
      </c>
      <c r="X1242" s="249">
        <v>1.8351999999999999</v>
      </c>
      <c r="Y1242" s="249">
        <v>1.837</v>
      </c>
      <c r="Z1242" s="243">
        <f ca="1">[1]ExtEntry!$R45</f>
        <v>1.837</v>
      </c>
      <c r="AB1242" s="316">
        <v>125.74799999999999</v>
      </c>
      <c r="AC1242" s="316">
        <v>108.49990000000003</v>
      </c>
      <c r="AD1242" s="316">
        <v>93.519999999999982</v>
      </c>
      <c r="AE1242" s="316">
        <v>67.840000000000032</v>
      </c>
      <c r="AF1242" s="316">
        <v>64.740000000000009</v>
      </c>
      <c r="AG1242" s="316">
        <v>65.600000000000023</v>
      </c>
      <c r="AH1242" s="316">
        <v>62.635899999999992</v>
      </c>
      <c r="AI1242" s="316">
        <v>61.78000000000003</v>
      </c>
      <c r="AJ1242" s="316">
        <v>86.920000000000016</v>
      </c>
      <c r="AK1242" s="316">
        <v>89</v>
      </c>
      <c r="AL1242" s="316">
        <v>93</v>
      </c>
      <c r="AM1242" s="316">
        <v>91</v>
      </c>
      <c r="AN1242" s="316">
        <v>92</v>
      </c>
      <c r="AO1242" s="316">
        <v>105</v>
      </c>
      <c r="AP1242" s="316">
        <v>109</v>
      </c>
      <c r="AQ1242" s="316">
        <v>113</v>
      </c>
      <c r="AR1242" s="316">
        <v>118</v>
      </c>
      <c r="AS1242" s="316">
        <v>112</v>
      </c>
      <c r="AT1242" s="316">
        <v>114</v>
      </c>
      <c r="AU1242" s="316">
        <v>110</v>
      </c>
      <c r="AV1242" s="316">
        <f ca="1">Calc!Z45</f>
        <v>110</v>
      </c>
      <c r="AX1242" s="86" t="str">
        <f t="shared" ca="1" si="100"/>
        <v>TSLA</v>
      </c>
    </row>
    <row r="1243" spans="1:50" hidden="1">
      <c r="A1243" s="86" t="str">
        <f t="shared" ca="1" si="99"/>
        <v>TSM</v>
      </c>
      <c r="C1243" s="1">
        <v>46</v>
      </c>
      <c r="F1243" s="249">
        <v>1.3110999999999999</v>
      </c>
      <c r="G1243" s="249">
        <v>1.3115000000000001</v>
      </c>
      <c r="H1243" s="249">
        <v>1.3138000000000001</v>
      </c>
      <c r="I1243" s="249">
        <v>1.3194999999999999</v>
      </c>
      <c r="J1243" s="249">
        <v>1.3197000000000001</v>
      </c>
      <c r="K1243" s="249">
        <v>1.3241000000000001</v>
      </c>
      <c r="L1243" s="249">
        <v>1.3179000000000001</v>
      </c>
      <c r="M1243" s="249">
        <v>1.3245</v>
      </c>
      <c r="N1243" s="249">
        <v>1.3171999999999999</v>
      </c>
      <c r="O1243" s="249">
        <v>1.3131999999999999</v>
      </c>
      <c r="P1243" s="249">
        <v>1.3131999999999999</v>
      </c>
      <c r="Q1243" s="249">
        <v>1.3116000000000001</v>
      </c>
      <c r="R1243" s="249">
        <v>1.2979000000000001</v>
      </c>
      <c r="S1243" s="249">
        <v>1.2961</v>
      </c>
      <c r="T1243" s="249">
        <v>1.2961</v>
      </c>
      <c r="U1243" s="249">
        <v>1.2954000000000001</v>
      </c>
      <c r="V1243" s="249">
        <v>1.296</v>
      </c>
      <c r="W1243" s="249">
        <v>1.2929999999999999</v>
      </c>
      <c r="X1243" s="249">
        <v>1.2921</v>
      </c>
      <c r="Y1243" s="249">
        <v>1.2935000000000001</v>
      </c>
      <c r="Z1243" s="243">
        <f ca="1">[1]ExtEntry!$R46</f>
        <v>1.2935000000000001</v>
      </c>
      <c r="AB1243" s="316">
        <v>6038.0000000000109</v>
      </c>
      <c r="AC1243" s="316">
        <v>2422.0000000000255</v>
      </c>
      <c r="AD1243" s="316">
        <v>-441.9999999999618</v>
      </c>
      <c r="AE1243" s="316">
        <v>-1225.9999999999764</v>
      </c>
      <c r="AF1243" s="316">
        <v>-6713.9999999999873</v>
      </c>
      <c r="AG1243" s="316">
        <v>-5529.9999999999727</v>
      </c>
      <c r="AH1243" s="316">
        <v>-5081.9999999999709</v>
      </c>
      <c r="AI1243" s="316">
        <v>-7809.9999999999909</v>
      </c>
      <c r="AJ1243" s="316">
        <v>4254.0000000000418</v>
      </c>
      <c r="AK1243" s="316">
        <v>2850</v>
      </c>
      <c r="AL1243" s="316">
        <v>4066</v>
      </c>
      <c r="AM1243" s="316">
        <v>3149</v>
      </c>
      <c r="AN1243" s="316">
        <v>4717</v>
      </c>
      <c r="AO1243" s="316">
        <v>5886</v>
      </c>
      <c r="AP1243" s="316">
        <v>7250</v>
      </c>
      <c r="AQ1243" s="316">
        <v>4769</v>
      </c>
      <c r="AR1243" s="316">
        <v>6604</v>
      </c>
      <c r="AS1243" s="316">
        <v>12962</v>
      </c>
      <c r="AT1243" s="316">
        <v>18938</v>
      </c>
      <c r="AU1243" s="316">
        <v>14774</v>
      </c>
      <c r="AV1243" s="316">
        <f ca="1">Calc!Z46</f>
        <v>14774</v>
      </c>
      <c r="AX1243" s="86" t="str">
        <f t="shared" ca="1" si="100"/>
        <v>TSM</v>
      </c>
    </row>
    <row r="1244" spans="1:50" hidden="1">
      <c r="A1244" s="86" t="str">
        <f t="shared" ca="1" si="99"/>
        <v>UN0</v>
      </c>
      <c r="C1244" s="1">
        <v>47</v>
      </c>
      <c r="F1244" s="249">
        <v>1.0946</v>
      </c>
      <c r="G1244" s="249">
        <v>1.0945</v>
      </c>
      <c r="H1244" s="249">
        <v>1.0959000000000001</v>
      </c>
      <c r="I1244" s="249">
        <v>1.0938000000000001</v>
      </c>
      <c r="J1244" s="249">
        <v>1.0875999999999999</v>
      </c>
      <c r="K1244" s="249">
        <v>1.0843</v>
      </c>
      <c r="L1244" s="249">
        <v>1.0610999999999999</v>
      </c>
      <c r="M1244" s="249">
        <v>1.0578000000000001</v>
      </c>
      <c r="N1244" s="249">
        <v>1.0314000000000001</v>
      </c>
      <c r="O1244" s="249">
        <v>1.0419</v>
      </c>
      <c r="P1244" s="249">
        <v>1.0566</v>
      </c>
      <c r="Q1244" s="249">
        <v>1.0589999999999999</v>
      </c>
      <c r="R1244" s="249">
        <v>1.0570999999999999</v>
      </c>
      <c r="S1244" s="249">
        <v>1.0638000000000001</v>
      </c>
      <c r="T1244" s="249">
        <v>1.0638000000000001</v>
      </c>
      <c r="U1244" s="249">
        <v>1.0629</v>
      </c>
      <c r="V1244" s="249">
        <v>1.0648</v>
      </c>
      <c r="W1244" s="249">
        <v>1.0636000000000001</v>
      </c>
      <c r="X1244" s="249">
        <v>1.0692999999999999</v>
      </c>
      <c r="Y1244" s="249">
        <v>1.0679000000000001</v>
      </c>
      <c r="Z1244" s="243">
        <f ca="1">[1]ExtEntry!$R47</f>
        <v>1.0679000000000001</v>
      </c>
      <c r="AB1244" s="316">
        <v>-2709.244999999999</v>
      </c>
      <c r="AC1244" s="316">
        <v>-3251.744999999999</v>
      </c>
      <c r="AD1244" s="316">
        <v>-3059.244999999999</v>
      </c>
      <c r="AE1244" s="316">
        <v>-3024.2449999999985</v>
      </c>
      <c r="AF1244" s="316">
        <v>-2691.7449999999985</v>
      </c>
      <c r="AG1244" s="316">
        <v>-2446.744999999999</v>
      </c>
      <c r="AH1244" s="316">
        <v>-2464.244999999999</v>
      </c>
      <c r="AI1244" s="316">
        <v>-2534.244999999999</v>
      </c>
      <c r="AJ1244" s="316">
        <v>-1396.744999999999</v>
      </c>
      <c r="AK1244" s="316">
        <v>-1097</v>
      </c>
      <c r="AL1244" s="316">
        <v>-1027</v>
      </c>
      <c r="AM1244" s="316">
        <v>-1044</v>
      </c>
      <c r="AN1244" s="316">
        <v>-1306</v>
      </c>
      <c r="AO1244" s="316">
        <v>-1254</v>
      </c>
      <c r="AP1244" s="316">
        <v>-1254</v>
      </c>
      <c r="AQ1244" s="316">
        <v>-1097</v>
      </c>
      <c r="AR1244" s="316">
        <v>-1132</v>
      </c>
      <c r="AS1244" s="316">
        <v>265</v>
      </c>
      <c r="AT1244" s="316">
        <v>282</v>
      </c>
      <c r="AU1244" s="316">
        <v>177</v>
      </c>
      <c r="AV1244" s="316">
        <f ca="1">Calc!Z47</f>
        <v>177</v>
      </c>
      <c r="AX1244" s="86" t="str">
        <f t="shared" ca="1" si="100"/>
        <v>UN0</v>
      </c>
    </row>
    <row r="1245" spans="1:50" hidden="1">
      <c r="A1245" s="86" t="str">
        <f t="shared" ca="1" si="99"/>
        <v>UNIT</v>
      </c>
      <c r="C1245" s="1">
        <v>48</v>
      </c>
      <c r="F1245" s="249">
        <v>1.4944999999999999</v>
      </c>
      <c r="G1245" s="249">
        <v>1.4869000000000001</v>
      </c>
      <c r="H1245" s="249">
        <v>1.4749000000000001</v>
      </c>
      <c r="I1245" s="249">
        <v>1.4879</v>
      </c>
      <c r="J1245" s="249">
        <v>1.4767999999999999</v>
      </c>
      <c r="K1245" s="249">
        <v>1.4695</v>
      </c>
      <c r="L1245" s="249">
        <v>1.4686999999999999</v>
      </c>
      <c r="M1245" s="249">
        <v>1.48</v>
      </c>
      <c r="N1245" s="249">
        <v>1.4847999999999999</v>
      </c>
      <c r="O1245" s="249">
        <v>1.4924999999999999</v>
      </c>
      <c r="P1245" s="249">
        <v>1.4924999999999999</v>
      </c>
      <c r="Q1245" s="249">
        <v>1.4911000000000001</v>
      </c>
      <c r="R1245" s="249">
        <v>1.4675</v>
      </c>
      <c r="S1245" s="249">
        <v>1.4651000000000001</v>
      </c>
      <c r="T1245" s="249">
        <v>1.4651000000000001</v>
      </c>
      <c r="U1245" s="249">
        <v>1.4666999999999999</v>
      </c>
      <c r="V1245" s="249">
        <v>1.4718</v>
      </c>
      <c r="W1245" s="249">
        <v>1.4689000000000001</v>
      </c>
      <c r="X1245" s="249">
        <v>1.4693000000000001</v>
      </c>
      <c r="Y1245" s="249">
        <v>1.4696</v>
      </c>
      <c r="Z1245" s="243">
        <f ca="1">[1]ExtEntry!$R48</f>
        <v>1.4696</v>
      </c>
      <c r="AB1245" s="316">
        <v>-20981.500000000004</v>
      </c>
      <c r="AC1245" s="316">
        <v>-22175.275000000001</v>
      </c>
      <c r="AD1245" s="316">
        <v>-19787.725000000002</v>
      </c>
      <c r="AE1245" s="316">
        <v>-21849.700000000004</v>
      </c>
      <c r="AF1245" s="316">
        <v>-22790.250000000004</v>
      </c>
      <c r="AG1245" s="316">
        <v>-24490.475000000006</v>
      </c>
      <c r="AH1245" s="316">
        <v>-23803.150000000005</v>
      </c>
      <c r="AI1245" s="316">
        <v>-23694.625000000004</v>
      </c>
      <c r="AJ1245" s="316">
        <v>-20872.975000000006</v>
      </c>
      <c r="AK1245" s="316">
        <v>-21575</v>
      </c>
      <c r="AL1245" s="316">
        <v>-21142</v>
      </c>
      <c r="AM1245" s="316">
        <v>-20781</v>
      </c>
      <c r="AN1245" s="316">
        <v>-19374</v>
      </c>
      <c r="AO1245" s="316">
        <v>-18941</v>
      </c>
      <c r="AP1245" s="316">
        <v>-19049</v>
      </c>
      <c r="AQ1245" s="316">
        <v>-18725</v>
      </c>
      <c r="AR1245" s="316">
        <v>-20998</v>
      </c>
      <c r="AS1245" s="316">
        <v>-20601</v>
      </c>
      <c r="AT1245" s="316">
        <v>-18400</v>
      </c>
      <c r="AU1245" s="316">
        <v>-14864</v>
      </c>
      <c r="AV1245" s="316">
        <f ca="1">Calc!Z48</f>
        <v>-14864</v>
      </c>
      <c r="AX1245" s="86" t="str">
        <f t="shared" ca="1" si="100"/>
        <v>UNIT</v>
      </c>
    </row>
    <row r="1246" spans="1:50" hidden="1">
      <c r="A1246" s="86" t="str">
        <f t="shared" ca="1" si="99"/>
        <v>VLVLY</v>
      </c>
      <c r="C1246" s="1">
        <v>49</v>
      </c>
      <c r="F1246" s="249">
        <v>0.8992</v>
      </c>
      <c r="G1246" s="249">
        <v>0.89610000000000001</v>
      </c>
      <c r="H1246" s="249">
        <v>0.89739999999999998</v>
      </c>
      <c r="I1246" s="249">
        <v>0.8982</v>
      </c>
      <c r="J1246" s="249">
        <v>0.89639999999999997</v>
      </c>
      <c r="K1246" s="249">
        <v>0.89629999999999999</v>
      </c>
      <c r="L1246" s="249">
        <v>0.88029999999999997</v>
      </c>
      <c r="M1246" s="249">
        <v>0.88480000000000003</v>
      </c>
      <c r="N1246" s="249">
        <v>0.87839999999999996</v>
      </c>
      <c r="O1246" s="249">
        <v>0.88619999999999999</v>
      </c>
      <c r="P1246" s="249">
        <v>0.89070000000000005</v>
      </c>
      <c r="Q1246" s="249">
        <v>0.89419999999999999</v>
      </c>
      <c r="R1246" s="249">
        <v>0.89459999999999995</v>
      </c>
      <c r="S1246" s="249">
        <v>0.89470000000000005</v>
      </c>
      <c r="T1246" s="249">
        <v>0.89470000000000005</v>
      </c>
      <c r="U1246" s="249">
        <v>0.89539999999999997</v>
      </c>
      <c r="V1246" s="249">
        <v>0.89410000000000001</v>
      </c>
      <c r="W1246" s="249">
        <v>0.89500000000000002</v>
      </c>
      <c r="X1246" s="249">
        <v>0.89439999999999997</v>
      </c>
      <c r="Y1246" s="249">
        <v>0.89319999999999999</v>
      </c>
      <c r="Z1246" s="243">
        <f ca="1">[1]ExtEntry!$R49</f>
        <v>0.89319999999999999</v>
      </c>
      <c r="AB1246" s="316">
        <v>-629.09999999999934</v>
      </c>
      <c r="AC1246" s="316">
        <v>-960.00000000000091</v>
      </c>
      <c r="AD1246" s="316">
        <v>-875.25000000000114</v>
      </c>
      <c r="AE1246" s="316">
        <v>59.999999999998721</v>
      </c>
      <c r="AF1246" s="316">
        <v>-585.00000000000091</v>
      </c>
      <c r="AG1246" s="316">
        <v>7.4999999999985079</v>
      </c>
      <c r="AH1246" s="316">
        <v>-765.00000000000239</v>
      </c>
      <c r="AI1246" s="316">
        <v>434.99999999999875</v>
      </c>
      <c r="AJ1246" s="316">
        <v>2684.849999999999</v>
      </c>
      <c r="AK1246" s="316">
        <v>2692</v>
      </c>
      <c r="AL1246" s="316">
        <v>2932</v>
      </c>
      <c r="AM1246" s="316">
        <v>2924</v>
      </c>
      <c r="AN1246" s="316">
        <v>2932</v>
      </c>
      <c r="AO1246" s="316">
        <v>2513</v>
      </c>
      <c r="AP1246" s="316">
        <v>2827</v>
      </c>
      <c r="AQ1246" s="316">
        <v>3898</v>
      </c>
      <c r="AR1246" s="316">
        <v>5161</v>
      </c>
      <c r="AS1246" s="316">
        <v>4356</v>
      </c>
      <c r="AT1246" s="316">
        <v>5026</v>
      </c>
      <c r="AU1246" s="316">
        <v>6051</v>
      </c>
      <c r="AV1246" s="316">
        <f ca="1">Calc!Z49</f>
        <v>6051</v>
      </c>
      <c r="AX1246" s="86" t="str">
        <f t="shared" ca="1" si="100"/>
        <v>VLVLY</v>
      </c>
    </row>
    <row r="1247" spans="1:50" hidden="1">
      <c r="A1247" s="86" t="str">
        <f t="shared" ca="1" si="99"/>
        <v>VONN</v>
      </c>
      <c r="C1247" s="1">
        <v>50</v>
      </c>
      <c r="F1247" s="249">
        <v>0.84670000000000001</v>
      </c>
      <c r="G1247" s="249">
        <v>0.84440000000000004</v>
      </c>
      <c r="H1247" s="249">
        <v>0.84019999999999995</v>
      </c>
      <c r="I1247" s="249">
        <v>0.81679999999999997</v>
      </c>
      <c r="J1247" s="249">
        <v>0.82520000000000004</v>
      </c>
      <c r="K1247" s="249">
        <v>0.82389999999999997</v>
      </c>
      <c r="L1247" s="249">
        <v>0.83509999999999995</v>
      </c>
      <c r="M1247" s="249">
        <v>0.83460000000000001</v>
      </c>
      <c r="N1247" s="249">
        <v>0.82350000000000001</v>
      </c>
      <c r="O1247" s="249">
        <v>0.81699999999999995</v>
      </c>
      <c r="P1247" s="249">
        <v>0.81820000000000004</v>
      </c>
      <c r="Q1247" s="249">
        <v>0.81850000000000001</v>
      </c>
      <c r="R1247" s="249">
        <v>0.81769999999999998</v>
      </c>
      <c r="S1247" s="249">
        <v>0.81730000000000003</v>
      </c>
      <c r="T1247" s="249">
        <v>0.81730000000000003</v>
      </c>
      <c r="U1247" s="249">
        <v>0.81759999999999999</v>
      </c>
      <c r="V1247" s="249">
        <v>0.81779999999999997</v>
      </c>
      <c r="W1247" s="249">
        <v>0.81810000000000005</v>
      </c>
      <c r="X1247" s="249">
        <v>0.81810000000000005</v>
      </c>
      <c r="Y1247" s="249">
        <v>0.81759999999999999</v>
      </c>
      <c r="Z1247" s="243">
        <f ca="1">[1]ExtEntry!$R50</f>
        <v>0.81759999999999999</v>
      </c>
      <c r="AB1247" s="316">
        <v>-200.00000000000284</v>
      </c>
      <c r="AC1247" s="316">
        <v>-1199.9999999999886</v>
      </c>
      <c r="AD1247" s="316">
        <v>-300.00000000001137</v>
      </c>
      <c r="AE1247" s="316">
        <v>3099.9999999999945</v>
      </c>
      <c r="AF1247" s="316">
        <v>500</v>
      </c>
      <c r="AG1247" s="316">
        <v>1500</v>
      </c>
      <c r="AH1247" s="316">
        <v>2699.9999999999886</v>
      </c>
      <c r="AI1247" s="316">
        <v>2099.9999999999945</v>
      </c>
      <c r="AJ1247" s="316">
        <v>3099.9999999999945</v>
      </c>
      <c r="AK1247" s="316">
        <v>4288</v>
      </c>
      <c r="AL1247" s="316">
        <v>4487</v>
      </c>
      <c r="AM1247" s="316">
        <v>4886</v>
      </c>
      <c r="AN1247" s="316">
        <v>5285</v>
      </c>
      <c r="AO1247" s="316">
        <v>3690</v>
      </c>
      <c r="AP1247" s="316">
        <v>4088</v>
      </c>
      <c r="AQ1247" s="316">
        <v>5285</v>
      </c>
      <c r="AR1247" s="316">
        <v>5485</v>
      </c>
      <c r="AS1247" s="316">
        <v>5684</v>
      </c>
      <c r="AT1247" s="316">
        <v>4687</v>
      </c>
      <c r="AU1247" s="316">
        <v>5285</v>
      </c>
      <c r="AV1247" s="316">
        <f ca="1">Calc!Z50</f>
        <v>5285</v>
      </c>
      <c r="AX1247" s="86" t="str">
        <f t="shared" ca="1" si="100"/>
        <v>VONN</v>
      </c>
    </row>
    <row r="1248" spans="1:50" hidden="1">
      <c r="A1248" s="86" t="str">
        <f t="shared" ca="1" si="99"/>
        <v>VTRS</v>
      </c>
      <c r="C1248" s="1">
        <v>51</v>
      </c>
      <c r="F1248" s="249">
        <v>0.83</v>
      </c>
      <c r="G1248" s="249">
        <v>0.82750000000000001</v>
      </c>
      <c r="H1248" s="249">
        <v>0.83550000000000002</v>
      </c>
      <c r="I1248" s="249">
        <v>0.81810000000000005</v>
      </c>
      <c r="J1248" s="249">
        <v>0.82340000000000002</v>
      </c>
      <c r="K1248" s="249">
        <v>0.81520000000000004</v>
      </c>
      <c r="L1248" s="249">
        <v>0.81730000000000003</v>
      </c>
      <c r="M1248" s="249">
        <v>0.82909999999999995</v>
      </c>
      <c r="N1248" s="249">
        <v>0.82830000000000004</v>
      </c>
      <c r="O1248" s="249">
        <v>0.83040000000000003</v>
      </c>
      <c r="P1248" s="249">
        <v>0.83040000000000003</v>
      </c>
      <c r="Q1248" s="249">
        <v>0.82979999999999998</v>
      </c>
      <c r="R1248" s="249">
        <v>0.80740000000000001</v>
      </c>
      <c r="S1248" s="249">
        <v>0.80800000000000005</v>
      </c>
      <c r="T1248" s="249">
        <v>0.80800000000000005</v>
      </c>
      <c r="U1248" s="249">
        <v>0.8075</v>
      </c>
      <c r="V1248" s="249">
        <v>0.80779999999999996</v>
      </c>
      <c r="W1248" s="249">
        <v>0.80500000000000005</v>
      </c>
      <c r="X1248" s="249">
        <v>0.80349999999999999</v>
      </c>
      <c r="Y1248" s="249">
        <v>0.80549999999999999</v>
      </c>
      <c r="Z1248" s="243">
        <f ca="1">[1]ExtEntry!$R51</f>
        <v>0.80549999999999999</v>
      </c>
      <c r="AB1248" s="316">
        <v>6449.9999999999955</v>
      </c>
      <c r="AC1248" s="316">
        <v>3674.9999999999973</v>
      </c>
      <c r="AD1248" s="316">
        <v>3074.9999999999923</v>
      </c>
      <c r="AE1248" s="316">
        <v>6299.9999999999991</v>
      </c>
      <c r="AF1248" s="316">
        <v>6250</v>
      </c>
      <c r="AG1248" s="316">
        <v>5424.9999999999955</v>
      </c>
      <c r="AH1248" s="316">
        <v>3824.9999999999941</v>
      </c>
      <c r="AI1248" s="316">
        <v>4974.9999999999964</v>
      </c>
      <c r="AJ1248" s="316">
        <v>5999.9999999999964</v>
      </c>
      <c r="AK1248" s="316">
        <v>5884</v>
      </c>
      <c r="AL1248" s="316">
        <v>6133</v>
      </c>
      <c r="AM1248" s="316">
        <v>6407</v>
      </c>
      <c r="AN1248" s="316">
        <v>6258</v>
      </c>
      <c r="AO1248" s="316">
        <v>7030</v>
      </c>
      <c r="AP1248" s="316">
        <v>6881</v>
      </c>
      <c r="AQ1248" s="316">
        <v>6357</v>
      </c>
      <c r="AR1248" s="316">
        <v>7330</v>
      </c>
      <c r="AS1248" s="316">
        <v>8851</v>
      </c>
      <c r="AT1248" s="316">
        <v>10671</v>
      </c>
      <c r="AU1248" s="316">
        <v>10621</v>
      </c>
      <c r="AV1248" s="316">
        <f ca="1">Calc!Z51</f>
        <v>10621</v>
      </c>
      <c r="AX1248" s="86" t="str">
        <f t="shared" ca="1" si="100"/>
        <v>VTRS</v>
      </c>
    </row>
    <row r="1249" spans="1:50" hidden="1">
      <c r="A1249" s="86" t="str">
        <f t="shared" ca="1" si="99"/>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5744</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0"/>
        <v>WBA</v>
      </c>
    </row>
    <row r="1250" spans="1:50" hidden="1">
      <c r="A1250" s="86" t="str">
        <f t="shared" ca="1" si="99"/>
        <v>XOM</v>
      </c>
      <c r="C1250" s="1">
        <v>53</v>
      </c>
      <c r="F1250" s="249">
        <v>0.38169999999999998</v>
      </c>
      <c r="G1250" s="249">
        <v>0.3821</v>
      </c>
      <c r="H1250" s="249">
        <v>0.38119999999999998</v>
      </c>
      <c r="I1250" s="249">
        <v>0.37240000000000001</v>
      </c>
      <c r="J1250" s="249">
        <v>0.37459999999999999</v>
      </c>
      <c r="K1250" s="249">
        <v>0.36840000000000001</v>
      </c>
      <c r="L1250" s="249">
        <v>0.37069999999999997</v>
      </c>
      <c r="M1250" s="249">
        <v>0.37280000000000002</v>
      </c>
      <c r="N1250" s="249">
        <v>0.38109999999999999</v>
      </c>
      <c r="O1250" s="249">
        <v>0.3805</v>
      </c>
      <c r="P1250" s="249">
        <v>0.3805</v>
      </c>
      <c r="Q1250" s="249">
        <v>0.37919999999999998</v>
      </c>
      <c r="R1250" s="249">
        <v>0.36880000000000002</v>
      </c>
      <c r="S1250" s="249">
        <v>0.37009999999999998</v>
      </c>
      <c r="T1250" s="249">
        <v>0.37009999999999998</v>
      </c>
      <c r="U1250" s="249">
        <v>0.36759999999999998</v>
      </c>
      <c r="V1250" s="249">
        <v>0.36849999999999999</v>
      </c>
      <c r="W1250" s="249">
        <v>0.36919999999999997</v>
      </c>
      <c r="X1250" s="249">
        <v>0.36709999999999998</v>
      </c>
      <c r="Y1250" s="249">
        <v>0.36699999999999999</v>
      </c>
      <c r="Z1250" s="243">
        <f ca="1">[1]ExtEntry!$R53</f>
        <v>0.36699999999999999</v>
      </c>
      <c r="AB1250" s="316">
        <v>-1134.0000000000005</v>
      </c>
      <c r="AC1250" s="316">
        <v>-779.99999999999829</v>
      </c>
      <c r="AD1250" s="316">
        <v>-29.999999999998295</v>
      </c>
      <c r="AE1250" s="316">
        <v>537.00000000000182</v>
      </c>
      <c r="AF1250" s="316">
        <v>462.00000000000188</v>
      </c>
      <c r="AG1250" s="316">
        <v>27.000000000001023</v>
      </c>
      <c r="AH1250" s="316">
        <v>-170.99999999999795</v>
      </c>
      <c r="AI1250" s="316">
        <v>-113.99999999999864</v>
      </c>
      <c r="AJ1250" s="316">
        <v>-626.73000000000059</v>
      </c>
      <c r="AK1250" s="316">
        <v>-814</v>
      </c>
      <c r="AL1250" s="316">
        <v>-455</v>
      </c>
      <c r="AM1250" s="316">
        <v>-60</v>
      </c>
      <c r="AN1250" s="316">
        <v>-615</v>
      </c>
      <c r="AO1250" s="316">
        <v>-174</v>
      </c>
      <c r="AP1250" s="316">
        <v>100</v>
      </c>
      <c r="AQ1250" s="316">
        <v>-18</v>
      </c>
      <c r="AR1250" s="316">
        <v>-291</v>
      </c>
      <c r="AS1250" s="316">
        <v>546</v>
      </c>
      <c r="AT1250" s="316">
        <v>608</v>
      </c>
      <c r="AU1250" s="316">
        <v>616</v>
      </c>
      <c r="AV1250" s="316">
        <f ca="1">Calc!Z53</f>
        <v>616</v>
      </c>
      <c r="AX1250" s="86" t="str">
        <f t="shared" ca="1" si="100"/>
        <v>XOM</v>
      </c>
    </row>
    <row r="1251" spans="1:50" hidden="1">
      <c r="A1251" s="86" t="str">
        <f t="shared" ca="1" si="99"/>
        <v>XPER</v>
      </c>
      <c r="C1251" s="1">
        <v>54</v>
      </c>
      <c r="F1251" s="249">
        <v>1.1930000000000001</v>
      </c>
      <c r="G1251" s="249">
        <v>1.1930000000000001</v>
      </c>
      <c r="H1251" s="249">
        <v>1.135</v>
      </c>
      <c r="I1251" s="249">
        <v>1.1910000000000001</v>
      </c>
      <c r="J1251" s="249">
        <v>1.1910000000000001</v>
      </c>
      <c r="K1251" s="249">
        <v>1.1910000000000001</v>
      </c>
      <c r="L1251" s="249">
        <v>1.1910000000000001</v>
      </c>
      <c r="M1251" s="249">
        <v>1.1859999999999999</v>
      </c>
      <c r="N1251" s="249">
        <v>1.1859999999999999</v>
      </c>
      <c r="O1251" s="249">
        <v>1.1859999999999999</v>
      </c>
      <c r="P1251" s="249">
        <v>1.1859999999999999</v>
      </c>
      <c r="Q1251" s="249">
        <v>1.1859999999999999</v>
      </c>
      <c r="R1251" s="249">
        <v>1.212</v>
      </c>
      <c r="S1251" s="249">
        <v>1.212</v>
      </c>
      <c r="T1251" s="249">
        <v>1.212</v>
      </c>
      <c r="U1251" s="249">
        <v>1.212</v>
      </c>
      <c r="V1251" s="249">
        <v>1.212</v>
      </c>
      <c r="W1251" s="249">
        <v>1.202</v>
      </c>
      <c r="X1251" s="249">
        <v>1.202</v>
      </c>
      <c r="Y1251" s="249">
        <v>1.202</v>
      </c>
      <c r="Z1251" s="243">
        <f ca="1">[1]ExtEntry!$R54</f>
        <v>1.202</v>
      </c>
      <c r="AB1251" s="316">
        <v>400.00000000000034</v>
      </c>
      <c r="AC1251" s="316">
        <v>1149.9999999999977</v>
      </c>
      <c r="AD1251" s="316">
        <v>-307.50000000000279</v>
      </c>
      <c r="AE1251" s="316">
        <v>-2349.9999999999986</v>
      </c>
      <c r="AF1251" s="316">
        <v>-4199.9999999999991</v>
      </c>
      <c r="AG1251" s="316">
        <v>-4849.9999999999991</v>
      </c>
      <c r="AH1251" s="316">
        <v>-5725.0000000000027</v>
      </c>
      <c r="AI1251" s="316">
        <v>-4950.0000000000009</v>
      </c>
      <c r="AJ1251" s="316">
        <v>-4725.0000000000018</v>
      </c>
      <c r="AK1251" s="316">
        <v>-4588</v>
      </c>
      <c r="AL1251" s="316">
        <v>-4339</v>
      </c>
      <c r="AM1251" s="316">
        <v>-4687</v>
      </c>
      <c r="AN1251" s="316">
        <v>-3990</v>
      </c>
      <c r="AO1251" s="316">
        <v>-4139</v>
      </c>
      <c r="AP1251" s="316">
        <v>-3292</v>
      </c>
      <c r="AQ1251" s="316">
        <v>-3790</v>
      </c>
      <c r="AR1251" s="316">
        <v>-3192</v>
      </c>
      <c r="AS1251" s="316">
        <v>-2569</v>
      </c>
      <c r="AT1251" s="316">
        <v>-2045</v>
      </c>
      <c r="AU1251" s="316">
        <v>-2494</v>
      </c>
      <c r="AV1251" s="316">
        <f ca="1">Calc!Z54</f>
        <v>-2494</v>
      </c>
      <c r="AX1251" s="86" t="str">
        <f t="shared" ca="1" si="100"/>
        <v>XPER</v>
      </c>
    </row>
    <row r="1252" spans="1:50" hidden="1">
      <c r="A1252" s="86" t="str">
        <f t="shared" ca="1" si="99"/>
        <v>MVEALDNE</v>
      </c>
      <c r="C1252" s="1">
        <v>55</v>
      </c>
      <c r="F1252" s="249">
        <v>0.95879999999999999</v>
      </c>
      <c r="G1252" s="249">
        <v>0.95520000000000005</v>
      </c>
      <c r="H1252" s="249">
        <v>0.95709999999999995</v>
      </c>
      <c r="I1252" s="249">
        <v>0.95879999999999999</v>
      </c>
      <c r="J1252" s="249">
        <v>0.96430000000000005</v>
      </c>
      <c r="K1252" s="249">
        <v>0.97</v>
      </c>
      <c r="L1252" s="249">
        <v>0.97970000000000002</v>
      </c>
      <c r="M1252" s="249">
        <v>0.98750000000000004</v>
      </c>
      <c r="N1252" s="249">
        <v>0.98780000000000001</v>
      </c>
      <c r="O1252" s="249">
        <v>0.9869</v>
      </c>
      <c r="P1252" s="249">
        <v>0.98040000000000005</v>
      </c>
      <c r="Q1252" s="249">
        <v>0.9819</v>
      </c>
      <c r="R1252" s="249">
        <v>0.97709999999999997</v>
      </c>
      <c r="S1252" s="249">
        <v>0.96579999999999999</v>
      </c>
      <c r="T1252" s="249">
        <v>0.96579999999999999</v>
      </c>
      <c r="U1252" s="249">
        <v>0.96450000000000002</v>
      </c>
      <c r="V1252" s="249">
        <v>0.97119999999999995</v>
      </c>
      <c r="W1252" s="249">
        <v>0.97460000000000002</v>
      </c>
      <c r="X1252" s="249">
        <v>0.97109999999999996</v>
      </c>
      <c r="Y1252" s="249">
        <v>0.96899999999999997</v>
      </c>
      <c r="Z1252" s="243">
        <f ca="1">[1]ExtEntry!$R55</f>
        <v>0.96899999999999997</v>
      </c>
      <c r="AB1252" s="316">
        <v>-3365.73</v>
      </c>
      <c r="AC1252" s="316">
        <v>-3525.7300000000005</v>
      </c>
      <c r="AD1252" s="316">
        <v>-3565.7300000000005</v>
      </c>
      <c r="AE1252" s="316">
        <v>-5845.7300000000005</v>
      </c>
      <c r="AF1252" s="316">
        <v>-5765.7300000000005</v>
      </c>
      <c r="AG1252" s="316">
        <v>-5405.7300000000023</v>
      </c>
      <c r="AH1252" s="316">
        <v>-5805.7300000000005</v>
      </c>
      <c r="AI1252" s="316">
        <v>-6045.7300000000005</v>
      </c>
      <c r="AJ1252" s="316">
        <v>-6245.7300000000005</v>
      </c>
      <c r="AK1252" s="316">
        <v>-6748</v>
      </c>
      <c r="AL1252" s="316">
        <v>-7067</v>
      </c>
      <c r="AM1252" s="316">
        <v>-6788</v>
      </c>
      <c r="AN1252" s="316">
        <v>-6748</v>
      </c>
      <c r="AO1252" s="316">
        <v>-6588</v>
      </c>
      <c r="AP1252" s="316">
        <v>-6628</v>
      </c>
      <c r="AQ1252" s="316">
        <v>-6748</v>
      </c>
      <c r="AR1252" s="316">
        <v>-6748</v>
      </c>
      <c r="AS1252" s="316">
        <v>-7346</v>
      </c>
      <c r="AT1252" s="316">
        <v>-7187</v>
      </c>
      <c r="AU1252" s="316">
        <v>-8144</v>
      </c>
      <c r="AV1252" s="316">
        <f ca="1">Calc!Z55</f>
        <v>-8144</v>
      </c>
      <c r="AX1252" s="86" t="str">
        <f t="shared" ca="1" si="100"/>
        <v>MVEALDNE</v>
      </c>
    </row>
    <row r="1253" spans="1:50" hidden="1">
      <c r="A1253" s="86" t="str">
        <f t="shared" ca="1" si="99"/>
        <v>MVEDDD</v>
      </c>
      <c r="C1253" s="1">
        <v>56</v>
      </c>
      <c r="F1253" s="249">
        <v>1.8775999999999999</v>
      </c>
      <c r="G1253" s="249">
        <v>1.8776999999999999</v>
      </c>
      <c r="H1253" s="249">
        <v>1.9112</v>
      </c>
      <c r="I1253" s="249">
        <v>1.9157999999999999</v>
      </c>
      <c r="J1253" s="249">
        <v>1.9231</v>
      </c>
      <c r="K1253" s="249">
        <v>1.9366000000000001</v>
      </c>
      <c r="L1253" s="249">
        <v>1.9596</v>
      </c>
      <c r="M1253" s="249">
        <v>1.968</v>
      </c>
      <c r="N1253" s="249">
        <v>1.9192</v>
      </c>
      <c r="O1253" s="249">
        <v>1.9037999999999999</v>
      </c>
      <c r="P1253" s="249">
        <v>1.9037999999999999</v>
      </c>
      <c r="Q1253" s="249">
        <v>1.8904000000000001</v>
      </c>
      <c r="R1253" s="249">
        <v>1.8752</v>
      </c>
      <c r="S1253" s="249">
        <v>1.8729</v>
      </c>
      <c r="T1253" s="249">
        <v>1.8729</v>
      </c>
      <c r="U1253" s="249">
        <v>1.8653</v>
      </c>
      <c r="V1253" s="249">
        <v>1.8692</v>
      </c>
      <c r="W1253" s="249">
        <v>1.8688</v>
      </c>
      <c r="X1253" s="249">
        <v>1.8873</v>
      </c>
      <c r="Y1253" s="249">
        <v>1.8795999999999999</v>
      </c>
      <c r="Z1253" s="243">
        <f ca="1">[1]ExtEntry!$R56</f>
        <v>1.8795999999999999</v>
      </c>
      <c r="AB1253" s="316">
        <v>1499.9999999999991</v>
      </c>
      <c r="AC1253" s="316">
        <v>-1850.0000000000005</v>
      </c>
      <c r="AD1253" s="316">
        <v>-2250.0000000000009</v>
      </c>
      <c r="AE1253" s="316">
        <v>-2900.0000000000005</v>
      </c>
      <c r="AF1253" s="316">
        <v>-3700.0000000000009</v>
      </c>
      <c r="AG1253" s="316">
        <v>-4050.0000000000023</v>
      </c>
      <c r="AH1253" s="316">
        <v>-5700.0000000000027</v>
      </c>
      <c r="AI1253" s="316">
        <v>-5050.0000000000009</v>
      </c>
      <c r="AJ1253" s="316">
        <v>-4150</v>
      </c>
      <c r="AK1253" s="316">
        <v>-3990</v>
      </c>
      <c r="AL1253" s="316">
        <v>-3691</v>
      </c>
      <c r="AM1253" s="316">
        <v>-4438</v>
      </c>
      <c r="AN1253" s="316">
        <v>-3990</v>
      </c>
      <c r="AO1253" s="316">
        <v>-3740</v>
      </c>
      <c r="AP1253" s="316">
        <v>-2494</v>
      </c>
      <c r="AQ1253" s="316">
        <v>-2244</v>
      </c>
      <c r="AR1253" s="316">
        <v>-2893</v>
      </c>
      <c r="AS1253" s="316">
        <v>-6832</v>
      </c>
      <c r="AT1253" s="316">
        <v>-6782</v>
      </c>
      <c r="AU1253" s="316">
        <v>-4837</v>
      </c>
      <c r="AV1253" s="316">
        <f ca="1">Calc!Z56</f>
        <v>-4837</v>
      </c>
      <c r="AX1253" s="86" t="str">
        <f t="shared" ca="1" si="100"/>
        <v>MVEDDD</v>
      </c>
    </row>
    <row r="1254" spans="1:50" hidden="1">
      <c r="A1254" s="86" t="str">
        <f t="shared" ca="1" si="99"/>
        <v>MVEDSY</v>
      </c>
      <c r="C1254" s="1">
        <v>57</v>
      </c>
      <c r="F1254" s="249">
        <v>0.78910000000000002</v>
      </c>
      <c r="G1254" s="249">
        <v>0.78969999999999996</v>
      </c>
      <c r="H1254" s="249">
        <v>0.79359999999999997</v>
      </c>
      <c r="I1254" s="249">
        <v>0.78610000000000002</v>
      </c>
      <c r="J1254" s="249">
        <v>0.7883</v>
      </c>
      <c r="K1254" s="249">
        <v>0.79759999999999998</v>
      </c>
      <c r="L1254" s="249">
        <v>0.7954</v>
      </c>
      <c r="M1254" s="249">
        <v>0.79620000000000002</v>
      </c>
      <c r="N1254" s="249">
        <v>0.78900000000000003</v>
      </c>
      <c r="O1254" s="249">
        <v>0.78839999999999999</v>
      </c>
      <c r="P1254" s="249">
        <v>0.78879999999999995</v>
      </c>
      <c r="Q1254" s="249">
        <v>0.78869999999999996</v>
      </c>
      <c r="R1254" s="249">
        <v>0.78979999999999995</v>
      </c>
      <c r="S1254" s="249">
        <v>0.79169999999999996</v>
      </c>
      <c r="T1254" s="249">
        <v>0.79169999999999996</v>
      </c>
      <c r="U1254" s="249">
        <v>0.79190000000000005</v>
      </c>
      <c r="V1254" s="249">
        <v>0.79020000000000001</v>
      </c>
      <c r="W1254" s="249">
        <v>0.79120000000000001</v>
      </c>
      <c r="X1254" s="249">
        <v>0.79179999999999995</v>
      </c>
      <c r="Y1254" s="249">
        <v>0.79459999999999997</v>
      </c>
      <c r="Z1254" s="243">
        <f ca="1">[1]ExtEntry!$R57</f>
        <v>0.79459999999999997</v>
      </c>
      <c r="AB1254" s="316">
        <v>-9359.9999999999982</v>
      </c>
      <c r="AC1254" s="316">
        <v>-10439.999999999996</v>
      </c>
      <c r="AD1254" s="316">
        <v>-10319.999999999998</v>
      </c>
      <c r="AE1254" s="316">
        <v>-9345</v>
      </c>
      <c r="AF1254" s="316">
        <v>-10574.999999999996</v>
      </c>
      <c r="AG1254" s="316">
        <v>-10260</v>
      </c>
      <c r="AH1254" s="316">
        <v>-10349.999999999998</v>
      </c>
      <c r="AI1254" s="316">
        <v>-10095</v>
      </c>
      <c r="AJ1254" s="316">
        <v>-9105</v>
      </c>
      <c r="AK1254" s="316">
        <v>-9081</v>
      </c>
      <c r="AL1254" s="316">
        <v>-9141</v>
      </c>
      <c r="AM1254" s="316">
        <v>-9530</v>
      </c>
      <c r="AN1254" s="316">
        <v>-10173</v>
      </c>
      <c r="AO1254" s="316">
        <v>-10188</v>
      </c>
      <c r="AP1254" s="316">
        <v>-10188</v>
      </c>
      <c r="AQ1254" s="316">
        <v>-9664</v>
      </c>
      <c r="AR1254" s="316">
        <v>-9634</v>
      </c>
      <c r="AS1254" s="316">
        <v>-10278</v>
      </c>
      <c r="AT1254" s="316">
        <v>-10771</v>
      </c>
      <c r="AU1254" s="316">
        <v>-10607</v>
      </c>
      <c r="AV1254" s="316">
        <f ca="1">Calc!Z57</f>
        <v>-10607</v>
      </c>
      <c r="AX1254" s="86" t="str">
        <f t="shared" ca="1" si="100"/>
        <v>MVEDSY</v>
      </c>
    </row>
    <row r="1255" spans="1:50" hidden="1">
      <c r="A1255" s="86" t="str">
        <f t="shared" ca="1" si="99"/>
        <v>MVEEOAN</v>
      </c>
      <c r="C1255" s="1">
        <v>58</v>
      </c>
      <c r="F1255" s="249">
        <v>0.85360000000000003</v>
      </c>
      <c r="G1255" s="249">
        <v>0.85350000000000004</v>
      </c>
      <c r="H1255" s="249">
        <v>0.85299999999999998</v>
      </c>
      <c r="I1255" s="249">
        <v>0.84770000000000001</v>
      </c>
      <c r="J1255" s="249">
        <v>0.8599</v>
      </c>
      <c r="K1255" s="249">
        <v>0.86180000000000001</v>
      </c>
      <c r="L1255" s="249">
        <v>0.86380000000000001</v>
      </c>
      <c r="M1255" s="249">
        <v>0.85940000000000005</v>
      </c>
      <c r="N1255" s="249">
        <v>0.86270000000000002</v>
      </c>
      <c r="O1255" s="249">
        <v>0.85960000000000003</v>
      </c>
      <c r="P1255" s="249">
        <v>0.86150000000000004</v>
      </c>
      <c r="Q1255" s="249">
        <v>0.86080000000000001</v>
      </c>
      <c r="R1255" s="249">
        <v>0.86699999999999999</v>
      </c>
      <c r="S1255" s="249">
        <v>0.86660000000000004</v>
      </c>
      <c r="T1255" s="249">
        <v>0.86660000000000004</v>
      </c>
      <c r="U1255" s="249">
        <v>0.86150000000000004</v>
      </c>
      <c r="V1255" s="249">
        <v>0.86660000000000004</v>
      </c>
      <c r="W1255" s="249">
        <v>0.86650000000000005</v>
      </c>
      <c r="X1255" s="249">
        <v>0.86660000000000004</v>
      </c>
      <c r="Y1255" s="249">
        <v>0.86650000000000005</v>
      </c>
      <c r="Z1255" s="243">
        <f ca="1">[1]ExtEntry!$R58</f>
        <v>0.86650000000000005</v>
      </c>
      <c r="AB1255" s="316">
        <v>49.900000000000006</v>
      </c>
      <c r="AC1255" s="316">
        <v>50.199999999999974</v>
      </c>
      <c r="AD1255" s="316">
        <v>50.45</v>
      </c>
      <c r="AE1255" s="316">
        <v>41.849999999999987</v>
      </c>
      <c r="AF1255" s="316">
        <v>41.7</v>
      </c>
      <c r="AG1255" s="316">
        <v>42.400000000000006</v>
      </c>
      <c r="AH1255" s="316">
        <v>43.4</v>
      </c>
      <c r="AI1255" s="316">
        <v>44.699999999999989</v>
      </c>
      <c r="AJ1255" s="316">
        <v>43.949999999999996</v>
      </c>
      <c r="AK1255" s="316">
        <v>42</v>
      </c>
      <c r="AL1255" s="316">
        <v>42</v>
      </c>
      <c r="AM1255" s="316">
        <v>41</v>
      </c>
      <c r="AN1255" s="316">
        <v>42</v>
      </c>
      <c r="AO1255" s="316">
        <v>46</v>
      </c>
      <c r="AP1255" s="316">
        <v>47</v>
      </c>
      <c r="AQ1255" s="316">
        <v>45</v>
      </c>
      <c r="AR1255" s="316">
        <v>43</v>
      </c>
      <c r="AS1255" s="316">
        <v>45</v>
      </c>
      <c r="AT1255" s="316">
        <v>44</v>
      </c>
      <c r="AU1255" s="316">
        <v>39</v>
      </c>
      <c r="AV1255" s="316">
        <f ca="1">Calc!Z58</f>
        <v>39</v>
      </c>
      <c r="AX1255" s="86" t="str">
        <f t="shared" ca="1" si="100"/>
        <v>MVEEOAN</v>
      </c>
    </row>
    <row r="1256" spans="1:50" hidden="1">
      <c r="A1256" s="86" t="str">
        <f t="shared" ca="1" si="99"/>
        <v>MVEENI</v>
      </c>
      <c r="C1256" s="1">
        <v>59</v>
      </c>
      <c r="F1256" s="249">
        <v>0.83050000000000002</v>
      </c>
      <c r="G1256" s="249">
        <v>0.83030000000000004</v>
      </c>
      <c r="H1256" s="249">
        <v>0.82989999999999997</v>
      </c>
      <c r="I1256" s="249">
        <v>0.82989999999999997</v>
      </c>
      <c r="J1256" s="249">
        <v>0.82989999999999997</v>
      </c>
      <c r="K1256" s="249">
        <v>0.82489999999999997</v>
      </c>
      <c r="L1256" s="249">
        <v>0.82489999999999997</v>
      </c>
      <c r="M1256" s="249">
        <v>0.82620000000000005</v>
      </c>
      <c r="N1256" s="249">
        <v>0.83209999999999995</v>
      </c>
      <c r="O1256" s="249">
        <v>0.82989999999999997</v>
      </c>
      <c r="P1256" s="249">
        <v>0.83040000000000003</v>
      </c>
      <c r="Q1256" s="249">
        <v>0.8296</v>
      </c>
      <c r="R1256" s="249">
        <v>0.82979999999999998</v>
      </c>
      <c r="S1256" s="249">
        <v>0.82989999999999997</v>
      </c>
      <c r="T1256" s="249">
        <v>0.82989999999999997</v>
      </c>
      <c r="U1256" s="249">
        <v>0.82899999999999996</v>
      </c>
      <c r="V1256" s="249">
        <v>0.83050000000000002</v>
      </c>
      <c r="W1256" s="249">
        <v>0.83069999999999999</v>
      </c>
      <c r="X1256" s="249">
        <v>0.83040000000000003</v>
      </c>
      <c r="Y1256" s="249">
        <v>0.83089999999999997</v>
      </c>
      <c r="Z1256" s="243">
        <f ca="1">[1]ExtEntry!$R59</f>
        <v>0.83089999999999997</v>
      </c>
      <c r="AB1256" s="316">
        <v>24063.999999999993</v>
      </c>
      <c r="AC1256" s="316">
        <v>23903.999999999996</v>
      </c>
      <c r="AD1256" s="316">
        <v>23775.999999999996</v>
      </c>
      <c r="AE1256" s="316">
        <v>28111.999999999996</v>
      </c>
      <c r="AF1256" s="316">
        <v>27199.999999999989</v>
      </c>
      <c r="AG1256" s="316">
        <v>26063.999999999993</v>
      </c>
      <c r="AH1256" s="316">
        <v>26687.999999999989</v>
      </c>
      <c r="AI1256" s="316">
        <v>25087.999999999993</v>
      </c>
      <c r="AJ1256" s="316">
        <v>24208</v>
      </c>
      <c r="AK1256" s="316">
        <v>23695</v>
      </c>
      <c r="AL1256" s="316">
        <v>25307</v>
      </c>
      <c r="AM1256" s="316">
        <v>25674</v>
      </c>
      <c r="AN1256" s="316">
        <v>25754</v>
      </c>
      <c r="AO1256" s="316">
        <v>26711</v>
      </c>
      <c r="AP1256" s="316">
        <v>27062</v>
      </c>
      <c r="AQ1256" s="316">
        <v>27046</v>
      </c>
      <c r="AR1256" s="316">
        <v>25068</v>
      </c>
      <c r="AS1256" s="316">
        <v>25116</v>
      </c>
      <c r="AT1256" s="316">
        <v>24366</v>
      </c>
      <c r="AU1256" s="316">
        <v>23488</v>
      </c>
      <c r="AV1256" s="316">
        <f ca="1">Calc!Z59</f>
        <v>23488</v>
      </c>
      <c r="AX1256" s="86" t="str">
        <f t="shared" ca="1" si="100"/>
        <v>MVEENI</v>
      </c>
    </row>
    <row r="1257" spans="1:50" hidden="1">
      <c r="A1257" s="86" t="str">
        <f t="shared" ca="1" si="99"/>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-15147</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0"/>
        <v>MVEEPIX</v>
      </c>
    </row>
    <row r="1258" spans="1:50" hidden="1">
      <c r="A1258" s="86" t="str">
        <f t="shared" ca="1" si="99"/>
        <v>MVEGLE</v>
      </c>
      <c r="C1258" s="1">
        <v>61</v>
      </c>
      <c r="F1258" s="249">
        <v>1.389</v>
      </c>
      <c r="G1258" s="249">
        <v>1.3888</v>
      </c>
      <c r="H1258" s="249">
        <v>1.3861000000000001</v>
      </c>
      <c r="I1258" s="249">
        <v>1.3906000000000001</v>
      </c>
      <c r="J1258" s="249">
        <v>1.3869</v>
      </c>
      <c r="K1258" s="249">
        <v>1.3862000000000001</v>
      </c>
      <c r="L1258" s="249">
        <v>1.375</v>
      </c>
      <c r="M1258" s="249">
        <v>1.3704000000000001</v>
      </c>
      <c r="N1258" s="249">
        <v>1.3667</v>
      </c>
      <c r="O1258" s="249">
        <v>1.3708</v>
      </c>
      <c r="P1258" s="249">
        <v>1.3788</v>
      </c>
      <c r="Q1258" s="249">
        <v>1.3791</v>
      </c>
      <c r="R1258" s="249">
        <v>1.3816999999999999</v>
      </c>
      <c r="S1258" s="249">
        <v>1.381</v>
      </c>
      <c r="T1258" s="249">
        <v>1.381</v>
      </c>
      <c r="U1258" s="249">
        <v>1.3815</v>
      </c>
      <c r="V1258" s="249">
        <v>1.3809</v>
      </c>
      <c r="W1258" s="249">
        <v>1.3792</v>
      </c>
      <c r="X1258" s="249">
        <v>1.3784000000000001</v>
      </c>
      <c r="Y1258" s="249">
        <v>1.3729</v>
      </c>
      <c r="Z1258" s="243">
        <f ca="1">[1]ExtEntry!$R61</f>
        <v>1.3729</v>
      </c>
      <c r="AB1258" s="316">
        <v>619.9999999999975</v>
      </c>
      <c r="AC1258" s="316">
        <v>1779.9999999999941</v>
      </c>
      <c r="AD1258" s="316">
        <v>619.9999999999975</v>
      </c>
      <c r="AE1258" s="316">
        <v>3959.9999999999936</v>
      </c>
      <c r="AF1258" s="316">
        <v>2159.9999999999964</v>
      </c>
      <c r="AG1258" s="316">
        <v>2799.9999999999973</v>
      </c>
      <c r="AH1258" s="316">
        <v>3399.9999999999986</v>
      </c>
      <c r="AI1258" s="316">
        <v>2519.9999999999959</v>
      </c>
      <c r="AJ1258" s="316">
        <v>5479.9999999999973</v>
      </c>
      <c r="AK1258" s="316">
        <v>5864</v>
      </c>
      <c r="AL1258" s="316">
        <v>5904</v>
      </c>
      <c r="AM1258" s="316">
        <v>5684</v>
      </c>
      <c r="AN1258" s="316">
        <v>7020</v>
      </c>
      <c r="AO1258" s="316">
        <v>6602</v>
      </c>
      <c r="AP1258" s="316">
        <v>6482</v>
      </c>
      <c r="AQ1258" s="316">
        <v>8457</v>
      </c>
      <c r="AR1258" s="316">
        <v>7499</v>
      </c>
      <c r="AS1258" s="316">
        <v>8856</v>
      </c>
      <c r="AT1258" s="316">
        <v>9434</v>
      </c>
      <c r="AU1258" s="316">
        <v>10312</v>
      </c>
      <c r="AV1258" s="316">
        <f ca="1">Calc!Z61</f>
        <v>10312</v>
      </c>
      <c r="AX1258" s="86" t="str">
        <f t="shared" ca="1" si="100"/>
        <v>MVEGLE</v>
      </c>
    </row>
    <row r="1259" spans="1:50" hidden="1">
      <c r="A1259" s="86" t="str">
        <f t="shared" ca="1" si="99"/>
        <v>MVEORA</v>
      </c>
      <c r="C1259" s="1">
        <v>62</v>
      </c>
      <c r="F1259" s="249">
        <v>0.24</v>
      </c>
      <c r="G1259" s="249">
        <v>0.24049999999999999</v>
      </c>
      <c r="H1259" s="249">
        <v>0.2382</v>
      </c>
      <c r="I1259" s="249">
        <v>0.24099999999999999</v>
      </c>
      <c r="J1259" s="249">
        <v>0.2387</v>
      </c>
      <c r="K1259" s="249">
        <v>0.23849999999999999</v>
      </c>
      <c r="L1259" s="249">
        <v>0.23980000000000001</v>
      </c>
      <c r="M1259" s="249">
        <v>0.2422</v>
      </c>
      <c r="N1259" s="249">
        <v>0.23710000000000001</v>
      </c>
      <c r="O1259" s="249">
        <v>0.23569999999999999</v>
      </c>
      <c r="P1259" s="249">
        <v>0.23719999999999999</v>
      </c>
      <c r="Q1259" s="249">
        <v>0.2366</v>
      </c>
      <c r="R1259" s="249">
        <v>0.2361</v>
      </c>
      <c r="S1259" s="249">
        <v>0.23760000000000001</v>
      </c>
      <c r="T1259" s="249">
        <v>0.23760000000000001</v>
      </c>
      <c r="U1259" s="249">
        <v>0.23769999999999999</v>
      </c>
      <c r="V1259" s="249">
        <v>0.2389</v>
      </c>
      <c r="W1259" s="249">
        <v>0.2394</v>
      </c>
      <c r="X1259" s="249">
        <v>0.2397</v>
      </c>
      <c r="Y1259" s="249">
        <v>0.2427</v>
      </c>
      <c r="Z1259" s="243">
        <f ca="1">[1]ExtEntry!$R62</f>
        <v>0.2427</v>
      </c>
      <c r="AB1259" s="316">
        <v>-1904.9999999999993</v>
      </c>
      <c r="AC1259" s="316">
        <v>-1230.0000000000005</v>
      </c>
      <c r="AD1259" s="316">
        <v>-555.00000000000148</v>
      </c>
      <c r="AE1259" s="316">
        <v>-990.00000000000023</v>
      </c>
      <c r="AF1259" s="316">
        <v>-1980.0000000000005</v>
      </c>
      <c r="AG1259" s="316">
        <v>-1710.0000000000009</v>
      </c>
      <c r="AH1259" s="316">
        <v>-2069.9999999999986</v>
      </c>
      <c r="AI1259" s="316">
        <v>-1214.9999999999982</v>
      </c>
      <c r="AJ1259" s="316">
        <v>-809.99999999999875</v>
      </c>
      <c r="AK1259" s="316">
        <v>-748</v>
      </c>
      <c r="AL1259" s="316">
        <v>-479</v>
      </c>
      <c r="AM1259" s="316">
        <v>-614</v>
      </c>
      <c r="AN1259" s="316">
        <v>-838</v>
      </c>
      <c r="AO1259" s="316">
        <v>-853</v>
      </c>
      <c r="AP1259" s="316">
        <v>-793</v>
      </c>
      <c r="AQ1259" s="316">
        <v>-958</v>
      </c>
      <c r="AR1259" s="316">
        <v>-1826</v>
      </c>
      <c r="AS1259" s="316">
        <v>-1900</v>
      </c>
      <c r="AT1259" s="316">
        <v>-2050</v>
      </c>
      <c r="AU1259" s="316">
        <v>-1841</v>
      </c>
      <c r="AV1259" s="316">
        <f ca="1">Calc!Z62</f>
        <v>-1841</v>
      </c>
      <c r="AX1259" s="86" t="str">
        <f t="shared" ca="1" si="100"/>
        <v>MVEORA</v>
      </c>
    </row>
    <row r="1260" spans="1:50" hidden="1">
      <c r="A1260" s="86" t="str">
        <f t="shared" ref="A1260:A1293" ca="1" si="101">A1161</f>
        <v>MVERWE</v>
      </c>
      <c r="C1260" s="1">
        <v>63</v>
      </c>
      <c r="F1260" s="249">
        <v>0.48039999999999999</v>
      </c>
      <c r="G1260" s="249">
        <v>0.4803</v>
      </c>
      <c r="H1260" s="249">
        <v>0.47949999999999998</v>
      </c>
      <c r="I1260" s="249">
        <v>0.48420000000000002</v>
      </c>
      <c r="J1260" s="249">
        <v>0.4703</v>
      </c>
      <c r="K1260" s="249">
        <v>0.46560000000000001</v>
      </c>
      <c r="L1260" s="249">
        <v>0.46160000000000001</v>
      </c>
      <c r="M1260" s="249">
        <v>0.4496</v>
      </c>
      <c r="N1260" s="249">
        <v>0.46779999999999999</v>
      </c>
      <c r="O1260" s="249">
        <v>0.46700000000000003</v>
      </c>
      <c r="P1260" s="249">
        <v>0.47560000000000002</v>
      </c>
      <c r="Q1260" s="249">
        <v>0.47489999999999999</v>
      </c>
      <c r="R1260" s="249">
        <v>0.48199999999999998</v>
      </c>
      <c r="S1260" s="249">
        <v>0.48159999999999997</v>
      </c>
      <c r="T1260" s="249">
        <v>0.48159999999999997</v>
      </c>
      <c r="U1260" s="249">
        <v>0.48039999999999999</v>
      </c>
      <c r="V1260" s="249">
        <v>0.48110000000000003</v>
      </c>
      <c r="W1260" s="249">
        <v>0.48089999999999999</v>
      </c>
      <c r="X1260" s="249">
        <v>0.4803</v>
      </c>
      <c r="Y1260" s="249">
        <v>0.48039999999999999</v>
      </c>
      <c r="Z1260" s="243">
        <f ca="1">[1]ExtEntry!$R63</f>
        <v>0.48039999999999999</v>
      </c>
      <c r="AB1260" s="316">
        <v>9.5150000000000006</v>
      </c>
      <c r="AC1260" s="316">
        <v>10.024999999999999</v>
      </c>
      <c r="AD1260" s="316">
        <v>9.8149999999999977</v>
      </c>
      <c r="AE1260" s="316">
        <v>12.234999999999999</v>
      </c>
      <c r="AF1260" s="316">
        <v>11.185000000000002</v>
      </c>
      <c r="AG1260" s="316">
        <v>10.634999999999998</v>
      </c>
      <c r="AH1260" s="316">
        <v>11.825000000000003</v>
      </c>
      <c r="AI1260" s="316">
        <v>11.234999999999999</v>
      </c>
      <c r="AJ1260" s="316">
        <v>11.164999999999999</v>
      </c>
      <c r="AK1260" s="316">
        <v>10</v>
      </c>
      <c r="AL1260" s="316">
        <v>10</v>
      </c>
      <c r="AM1260" s="316">
        <v>10</v>
      </c>
      <c r="AN1260" s="316">
        <v>10</v>
      </c>
      <c r="AO1260" s="316">
        <v>10</v>
      </c>
      <c r="AP1260" s="316">
        <v>10</v>
      </c>
      <c r="AQ1260" s="316">
        <v>10</v>
      </c>
      <c r="AR1260" s="316">
        <v>9</v>
      </c>
      <c r="AS1260" s="316">
        <v>10</v>
      </c>
      <c r="AT1260" s="316">
        <v>10</v>
      </c>
      <c r="AU1260" s="316">
        <v>10</v>
      </c>
      <c r="AV1260" s="316">
        <f ca="1">Calc!Z63</f>
        <v>10</v>
      </c>
      <c r="AX1260" s="86" t="str">
        <f t="shared" ca="1" si="100"/>
        <v>MVERWE</v>
      </c>
    </row>
    <row r="1261" spans="1:50" hidden="1">
      <c r="A1261" s="86" t="str">
        <f t="shared" ca="1" si="101"/>
        <v>MVESAP</v>
      </c>
      <c r="C1261" s="1">
        <v>64</v>
      </c>
      <c r="F1261" s="249">
        <v>1.0464</v>
      </c>
      <c r="G1261" s="249">
        <v>1.0449999999999999</v>
      </c>
      <c r="H1261" s="249">
        <v>1.0488</v>
      </c>
      <c r="I1261" s="249">
        <v>1.0428999999999999</v>
      </c>
      <c r="J1261" s="249">
        <v>1.0570999999999999</v>
      </c>
      <c r="K1261" s="249">
        <v>1.0648</v>
      </c>
      <c r="L1261" s="249">
        <v>1.0689</v>
      </c>
      <c r="M1261" s="249">
        <v>1.0668</v>
      </c>
      <c r="N1261" s="249">
        <v>1.0697000000000001</v>
      </c>
      <c r="O1261" s="249">
        <v>1.0649</v>
      </c>
      <c r="P1261" s="249">
        <v>1.0605</v>
      </c>
      <c r="Q1261" s="249">
        <v>1.0584</v>
      </c>
      <c r="R1261" s="249">
        <v>1.052</v>
      </c>
      <c r="S1261" s="249">
        <v>1.054</v>
      </c>
      <c r="T1261" s="249">
        <v>1.054</v>
      </c>
      <c r="U1261" s="249">
        <v>1.0549999999999999</v>
      </c>
      <c r="V1261" s="249">
        <v>1.0537000000000001</v>
      </c>
      <c r="W1261" s="249">
        <v>1.054</v>
      </c>
      <c r="X1261" s="249">
        <v>1.0536000000000001</v>
      </c>
      <c r="Y1261" s="249">
        <v>1.0538000000000001</v>
      </c>
      <c r="Z1261" s="243">
        <f ca="1">[1]ExtEntry!$R64</f>
        <v>1.0538000000000001</v>
      </c>
      <c r="AB1261" s="316">
        <v>-4590.0000000000036</v>
      </c>
      <c r="AC1261" s="316">
        <v>-6590.0000000000036</v>
      </c>
      <c r="AD1261" s="316">
        <v>-7050</v>
      </c>
      <c r="AE1261" s="316">
        <v>-7960.0000000000018</v>
      </c>
      <c r="AF1261" s="316">
        <v>-9110.0000000000018</v>
      </c>
      <c r="AG1261" s="316">
        <v>-9080.0000000000018</v>
      </c>
      <c r="AH1261" s="316">
        <v>-8860.0000000000018</v>
      </c>
      <c r="AI1261" s="316">
        <v>-9180.0000000000018</v>
      </c>
      <c r="AJ1261" s="316">
        <v>-8840.0000000000036</v>
      </c>
      <c r="AK1261" s="316">
        <v>-8757</v>
      </c>
      <c r="AL1261" s="316">
        <v>-8448</v>
      </c>
      <c r="AM1261" s="316">
        <v>-8378</v>
      </c>
      <c r="AN1261" s="316">
        <v>-8587</v>
      </c>
      <c r="AO1261" s="316">
        <v>-8707</v>
      </c>
      <c r="AP1261" s="316">
        <v>34</v>
      </c>
      <c r="AQ1261" s="316">
        <v>1851</v>
      </c>
      <c r="AR1261" s="316">
        <v>3393</v>
      </c>
      <c r="AS1261" s="316">
        <v>1776</v>
      </c>
      <c r="AT1261" s="316">
        <v>2249</v>
      </c>
      <c r="AU1261" s="316">
        <v>1428</v>
      </c>
      <c r="AV1261" s="316">
        <f ca="1">Calc!Z64</f>
        <v>1428</v>
      </c>
      <c r="AX1261" s="86" t="str">
        <f t="shared" ca="1" si="100"/>
        <v>MVESAP</v>
      </c>
    </row>
    <row r="1262" spans="1:50" hidden="1">
      <c r="A1262" s="86" t="str">
        <f t="shared" ca="1" si="101"/>
        <v>MVEUN0</v>
      </c>
      <c r="C1262" s="1">
        <v>65</v>
      </c>
      <c r="F1262" s="249">
        <v>1.0946</v>
      </c>
      <c r="G1262" s="249">
        <v>1.0945</v>
      </c>
      <c r="H1262" s="249">
        <v>1.0959000000000001</v>
      </c>
      <c r="I1262" s="249">
        <v>1.0938000000000001</v>
      </c>
      <c r="J1262" s="249">
        <v>1.0875999999999999</v>
      </c>
      <c r="K1262" s="249">
        <v>1.0843</v>
      </c>
      <c r="L1262" s="249">
        <v>1.0610999999999999</v>
      </c>
      <c r="M1262" s="249">
        <v>1.0578000000000001</v>
      </c>
      <c r="N1262" s="249">
        <v>1.0314000000000001</v>
      </c>
      <c r="O1262" s="249">
        <v>1.0419</v>
      </c>
      <c r="P1262" s="249">
        <v>1.0566</v>
      </c>
      <c r="Q1262" s="249">
        <v>1.0589999999999999</v>
      </c>
      <c r="R1262" s="249">
        <v>1.0570999999999999</v>
      </c>
      <c r="S1262" s="249">
        <v>1.0638000000000001</v>
      </c>
      <c r="T1262" s="249">
        <v>1.0638000000000001</v>
      </c>
      <c r="U1262" s="249">
        <v>1.0629</v>
      </c>
      <c r="V1262" s="249">
        <v>1.0648</v>
      </c>
      <c r="W1262" s="249">
        <v>1.0636000000000001</v>
      </c>
      <c r="X1262" s="249">
        <v>1.0692999999999999</v>
      </c>
      <c r="Y1262" s="249">
        <v>1.0679000000000001</v>
      </c>
      <c r="Z1262" s="243">
        <f ca="1">[1]ExtEntry!$R65</f>
        <v>1.0679000000000001</v>
      </c>
      <c r="AB1262" s="316">
        <v>-309.07499999999987</v>
      </c>
      <c r="AC1262" s="316">
        <v>-369.52499999999992</v>
      </c>
      <c r="AD1262" s="316">
        <v>-348.07499999999987</v>
      </c>
      <c r="AE1262" s="316">
        <v>-344.17499999999984</v>
      </c>
      <c r="AF1262" s="316">
        <v>-307.12499999999989</v>
      </c>
      <c r="AG1262" s="316">
        <v>-279.82499999999987</v>
      </c>
      <c r="AH1262" s="316">
        <v>-281.77499999999992</v>
      </c>
      <c r="AI1262" s="316">
        <v>-289.57499999999987</v>
      </c>
      <c r="AJ1262" s="316">
        <v>-162.82499999999987</v>
      </c>
      <c r="AK1262" s="316">
        <v>-130</v>
      </c>
      <c r="AL1262" s="316">
        <v>-122</v>
      </c>
      <c r="AM1262" s="316">
        <v>-124</v>
      </c>
      <c r="AN1262" s="316">
        <v>-153</v>
      </c>
      <c r="AO1262" s="316">
        <v>-147</v>
      </c>
      <c r="AP1262" s="316">
        <v>-147</v>
      </c>
      <c r="AQ1262" s="316">
        <v>-130</v>
      </c>
      <c r="AR1262" s="316">
        <v>-134</v>
      </c>
      <c r="AS1262" s="316">
        <v>22</v>
      </c>
      <c r="AT1262" s="316">
        <v>24</v>
      </c>
      <c r="AU1262" s="316">
        <v>12</v>
      </c>
      <c r="AV1262" s="316">
        <f ca="1">Calc!Z65</f>
        <v>12</v>
      </c>
      <c r="AX1262" s="86" t="str">
        <f t="shared" ca="1" si="100"/>
        <v>MVEUN0</v>
      </c>
    </row>
    <row r="1263" spans="1:50" hidden="1">
      <c r="A1263" s="86" t="str">
        <f t="shared" ca="1" si="101"/>
        <v>SAFAAPL</v>
      </c>
      <c r="C1263" s="1">
        <v>66</v>
      </c>
      <c r="F1263" s="249">
        <v>1.1076999999999999</v>
      </c>
      <c r="G1263" s="249">
        <v>1.1085</v>
      </c>
      <c r="H1263" s="249">
        <v>1.1053999999999999</v>
      </c>
      <c r="I1263" s="249">
        <v>1.1035999999999999</v>
      </c>
      <c r="J1263" s="249">
        <v>1.1082000000000001</v>
      </c>
      <c r="K1263" s="249">
        <v>1.1049</v>
      </c>
      <c r="L1263" s="249">
        <v>1.099</v>
      </c>
      <c r="M1263" s="249">
        <v>1.1042000000000001</v>
      </c>
      <c r="N1263" s="249">
        <v>1.1024</v>
      </c>
      <c r="O1263" s="249">
        <v>1.1051</v>
      </c>
      <c r="P1263" s="249">
        <v>1.1051</v>
      </c>
      <c r="Q1263" s="249">
        <v>1.1065</v>
      </c>
      <c r="R1263" s="249">
        <v>1.0878000000000001</v>
      </c>
      <c r="S1263" s="249">
        <v>1.0871</v>
      </c>
      <c r="T1263" s="249">
        <v>1.0871</v>
      </c>
      <c r="U1263" s="249">
        <v>1.0888</v>
      </c>
      <c r="V1263" s="249">
        <v>1.0908</v>
      </c>
      <c r="W1263" s="249">
        <v>1.091</v>
      </c>
      <c r="X1263" s="249">
        <v>1.0911999999999999</v>
      </c>
      <c r="Y1263" s="249">
        <v>1.0908</v>
      </c>
      <c r="Z1263" s="243">
        <f ca="1">[1]ExtEntry!$R66</f>
        <v>1.0908</v>
      </c>
      <c r="AB1263" s="316">
        <v>20688.599999999991</v>
      </c>
      <c r="AC1263" s="316">
        <v>20792.999999999996</v>
      </c>
      <c r="AD1263" s="316">
        <v>20067.13</v>
      </c>
      <c r="AE1263" s="316">
        <v>21346.900000000005</v>
      </c>
      <c r="AF1263" s="316">
        <v>19905.599999999995</v>
      </c>
      <c r="AG1263" s="316">
        <v>20656.69999999999</v>
      </c>
      <c r="AH1263" s="316">
        <v>19743.199999999997</v>
      </c>
      <c r="AI1263" s="316">
        <v>21239.600000000002</v>
      </c>
      <c r="AJ1263" s="316">
        <v>22985.399999999998</v>
      </c>
      <c r="AK1263" s="316">
        <v>22775</v>
      </c>
      <c r="AL1263" s="316">
        <v>23151</v>
      </c>
      <c r="AM1263" s="316">
        <v>23721</v>
      </c>
      <c r="AN1263" s="316">
        <v>25206</v>
      </c>
      <c r="AO1263" s="316">
        <v>25529</v>
      </c>
      <c r="AP1263" s="316">
        <v>24684</v>
      </c>
      <c r="AQ1263" s="316">
        <v>23516</v>
      </c>
      <c r="AR1263" s="316">
        <v>23131</v>
      </c>
      <c r="AS1263" s="316">
        <v>22784</v>
      </c>
      <c r="AT1263" s="316">
        <v>23131</v>
      </c>
      <c r="AU1263" s="316">
        <v>22914</v>
      </c>
      <c r="AV1263" s="316">
        <f ca="1">Calc!Z66</f>
        <v>22914</v>
      </c>
      <c r="AX1263" s="86" t="str">
        <f t="shared" ca="1" si="100"/>
        <v>SAFAAPL</v>
      </c>
    </row>
    <row r="1264" spans="1:50" hidden="1">
      <c r="A1264" s="86" t="str">
        <f t="shared" ca="1" si="101"/>
        <v>SAFAMZN</v>
      </c>
      <c r="C1264" s="1">
        <v>67</v>
      </c>
      <c r="F1264" s="249">
        <v>1.3596999999999999</v>
      </c>
      <c r="G1264" s="249">
        <v>1.3612</v>
      </c>
      <c r="H1264" s="249">
        <v>1.3611</v>
      </c>
      <c r="I1264" s="249">
        <v>1.3676999999999999</v>
      </c>
      <c r="J1264" s="249">
        <v>1.3721000000000001</v>
      </c>
      <c r="K1264" s="249">
        <v>1.3831</v>
      </c>
      <c r="L1264" s="249">
        <v>1.3819999999999999</v>
      </c>
      <c r="M1264" s="249">
        <v>1.3906000000000001</v>
      </c>
      <c r="N1264" s="249">
        <v>1.3751</v>
      </c>
      <c r="O1264" s="249">
        <v>1.3743000000000001</v>
      </c>
      <c r="P1264" s="249">
        <v>1.3743000000000001</v>
      </c>
      <c r="Q1264" s="249">
        <v>1.3711</v>
      </c>
      <c r="R1264" s="249">
        <v>1.3728</v>
      </c>
      <c r="S1264" s="249">
        <v>1.3733</v>
      </c>
      <c r="T1264" s="249">
        <v>1.3733</v>
      </c>
      <c r="U1264" s="249">
        <v>1.3749</v>
      </c>
      <c r="V1264" s="249">
        <v>1.3761000000000001</v>
      </c>
      <c r="W1264" s="249">
        <v>1.3773</v>
      </c>
      <c r="X1264" s="249">
        <v>1.3768</v>
      </c>
      <c r="Y1264" s="249">
        <v>1.3754999999999999</v>
      </c>
      <c r="Z1264" s="243">
        <f ca="1">[1]ExtEntry!$R67</f>
        <v>1.3754999999999999</v>
      </c>
      <c r="AB1264" s="316">
        <v>18474.999999999993</v>
      </c>
      <c r="AC1264" s="316">
        <v>15278.199999999999</v>
      </c>
      <c r="AD1264" s="316">
        <v>15655.000000000002</v>
      </c>
      <c r="AE1264" s="316">
        <v>10719.999999999998</v>
      </c>
      <c r="AF1264" s="316">
        <v>4650.0000000000055</v>
      </c>
      <c r="AG1264" s="316">
        <v>3965.9999999999941</v>
      </c>
      <c r="AH1264" s="316">
        <v>2799.9999999999973</v>
      </c>
      <c r="AI1264" s="316">
        <v>3992.5000000000068</v>
      </c>
      <c r="AJ1264" s="316">
        <v>8239.9999999999945</v>
      </c>
      <c r="AK1264" s="316">
        <v>7933</v>
      </c>
      <c r="AL1264" s="316">
        <v>9958</v>
      </c>
      <c r="AM1264" s="316">
        <v>10855</v>
      </c>
      <c r="AN1264" s="316">
        <v>10494</v>
      </c>
      <c r="AO1264" s="316">
        <v>9190</v>
      </c>
      <c r="AP1264" s="316">
        <v>9539</v>
      </c>
      <c r="AQ1264" s="316">
        <v>7024</v>
      </c>
      <c r="AR1264" s="316">
        <v>8118</v>
      </c>
      <c r="AS1264" s="316">
        <v>7214</v>
      </c>
      <c r="AT1264" s="316">
        <v>9239</v>
      </c>
      <c r="AU1264" s="316">
        <v>8492</v>
      </c>
      <c r="AV1264" s="316">
        <f ca="1">Calc!Z67</f>
        <v>8492</v>
      </c>
      <c r="AX1264" s="86" t="str">
        <f t="shared" ca="1" si="100"/>
        <v>SAFAMZN</v>
      </c>
    </row>
    <row r="1265" spans="1:50" hidden="1">
      <c r="A1265" s="86" t="str">
        <f t="shared" ca="1" si="101"/>
        <v>SAFASML</v>
      </c>
      <c r="C1265" s="1">
        <v>68</v>
      </c>
      <c r="F1265" s="249">
        <v>2.1158000000000001</v>
      </c>
      <c r="G1265" s="249">
        <v>2.1168999999999998</v>
      </c>
      <c r="H1265" s="249">
        <v>2.1183000000000001</v>
      </c>
      <c r="I1265" s="249">
        <v>2.1202999999999999</v>
      </c>
      <c r="J1265" s="249">
        <v>2.1173000000000002</v>
      </c>
      <c r="K1265" s="249">
        <v>2.1166999999999998</v>
      </c>
      <c r="L1265" s="249">
        <v>2.0914000000000001</v>
      </c>
      <c r="M1265" s="249">
        <v>2.0895999999999999</v>
      </c>
      <c r="N1265" s="249">
        <v>2.0969000000000002</v>
      </c>
      <c r="O1265" s="249">
        <v>2.0773000000000001</v>
      </c>
      <c r="P1265" s="249">
        <v>2.1011000000000002</v>
      </c>
      <c r="Q1265" s="249">
        <v>2.0979000000000001</v>
      </c>
      <c r="R1265" s="249">
        <v>2.0914000000000001</v>
      </c>
      <c r="S1265" s="249">
        <v>2.0903999999999998</v>
      </c>
      <c r="T1265" s="249">
        <v>2.0903999999999998</v>
      </c>
      <c r="U1265" s="249">
        <v>2.0872999999999999</v>
      </c>
      <c r="V1265" s="249">
        <v>2.09</v>
      </c>
      <c r="W1265" s="249">
        <v>2.0893999999999999</v>
      </c>
      <c r="X1265" s="249">
        <v>2.0882999999999998</v>
      </c>
      <c r="Y1265" s="249">
        <v>2.0899000000000001</v>
      </c>
      <c r="Z1265" s="243">
        <f ca="1">[1]ExtEntry!$R68</f>
        <v>2.0899000000000001</v>
      </c>
      <c r="AB1265" s="316">
        <v>21804.3</v>
      </c>
      <c r="AC1265" s="316">
        <v>21013.299999999996</v>
      </c>
      <c r="AD1265" s="316">
        <v>19298.299999999996</v>
      </c>
      <c r="AE1265" s="316">
        <v>19529.3</v>
      </c>
      <c r="AF1265" s="316">
        <v>18500.299999999996</v>
      </c>
      <c r="AG1265" s="316">
        <v>20404.3</v>
      </c>
      <c r="AH1265" s="316">
        <v>20628.299999999996</v>
      </c>
      <c r="AI1265" s="316">
        <v>16722.3</v>
      </c>
      <c r="AJ1265" s="316">
        <v>21993.299999999996</v>
      </c>
      <c r="AK1265" s="316">
        <v>21089</v>
      </c>
      <c r="AL1265" s="316">
        <v>21522</v>
      </c>
      <c r="AM1265" s="316">
        <v>23148</v>
      </c>
      <c r="AN1265" s="316">
        <v>24014</v>
      </c>
      <c r="AO1265" s="316">
        <v>0</v>
      </c>
      <c r="AP1265" s="316">
        <v>0</v>
      </c>
      <c r="AQ1265" s="316">
        <v>0</v>
      </c>
      <c r="AR1265" s="316">
        <v>0</v>
      </c>
      <c r="AS1265" s="316">
        <v>0</v>
      </c>
      <c r="AT1265" s="316">
        <v>0</v>
      </c>
      <c r="AU1265" s="316">
        <v>0</v>
      </c>
      <c r="AV1265" s="316">
        <f ca="1">Calc!Z68</f>
        <v>0</v>
      </c>
      <c r="AX1265" s="86" t="str">
        <f t="shared" ca="1" si="100"/>
        <v>SAFASML</v>
      </c>
    </row>
    <row r="1266" spans="1:50" hidden="1">
      <c r="A1266" s="86" t="str">
        <f t="shared" ca="1" si="101"/>
        <v>SAFDDD</v>
      </c>
      <c r="C1266" s="1">
        <v>69</v>
      </c>
      <c r="F1266" s="249">
        <v>1.8775999999999999</v>
      </c>
      <c r="G1266" s="249">
        <v>1.8776999999999999</v>
      </c>
      <c r="H1266" s="249">
        <v>1.9112</v>
      </c>
      <c r="I1266" s="249">
        <v>1.9157999999999999</v>
      </c>
      <c r="J1266" s="249">
        <v>1.9231</v>
      </c>
      <c r="K1266" s="249">
        <v>1.9366000000000001</v>
      </c>
      <c r="L1266" s="249">
        <v>1.9596</v>
      </c>
      <c r="M1266" s="249">
        <v>1.968</v>
      </c>
      <c r="N1266" s="249">
        <v>1.9192</v>
      </c>
      <c r="O1266" s="249">
        <v>1.9037999999999999</v>
      </c>
      <c r="P1266" s="249">
        <v>1.9037999999999999</v>
      </c>
      <c r="Q1266" s="249">
        <v>1.8904000000000001</v>
      </c>
      <c r="R1266" s="249">
        <v>1.8752</v>
      </c>
      <c r="S1266" s="249">
        <v>1.8729</v>
      </c>
      <c r="T1266" s="249">
        <v>1.8729</v>
      </c>
      <c r="U1266" s="249">
        <v>1.8653</v>
      </c>
      <c r="V1266" s="249">
        <v>1.8692</v>
      </c>
      <c r="W1266" s="249">
        <v>1.8688</v>
      </c>
      <c r="X1266" s="249">
        <v>1.8873</v>
      </c>
      <c r="Y1266" s="249">
        <v>1.8795999999999999</v>
      </c>
      <c r="Z1266" s="243">
        <f ca="1">[1]ExtEntry!$R69</f>
        <v>1.8795999999999999</v>
      </c>
      <c r="AB1266" s="316">
        <v>14091</v>
      </c>
      <c r="AC1266" s="316">
        <v>7056.0000000000018</v>
      </c>
      <c r="AD1266" s="316">
        <v>6216.0000000000009</v>
      </c>
      <c r="AE1266" s="316">
        <v>4851.0000000000018</v>
      </c>
      <c r="AF1266" s="316">
        <v>3171.0000000000005</v>
      </c>
      <c r="AG1266" s="316">
        <v>2435.9999999999977</v>
      </c>
      <c r="AH1266" s="316">
        <v>-1029.0000000000032</v>
      </c>
      <c r="AI1266" s="316">
        <v>336.00000000000028</v>
      </c>
      <c r="AJ1266" s="316">
        <v>2226.0000000000018</v>
      </c>
      <c r="AK1266" s="316">
        <v>2534</v>
      </c>
      <c r="AL1266" s="316">
        <v>3162</v>
      </c>
      <c r="AM1266" s="316">
        <v>1591</v>
      </c>
      <c r="AN1266" s="316">
        <v>2534</v>
      </c>
      <c r="AO1266" s="316">
        <v>3057</v>
      </c>
      <c r="AP1266" s="316">
        <v>5675</v>
      </c>
      <c r="AQ1266" s="316">
        <v>6199</v>
      </c>
      <c r="AR1266" s="316">
        <v>4837</v>
      </c>
      <c r="AS1266" s="316">
        <v>-3435</v>
      </c>
      <c r="AT1266" s="316">
        <v>-3330</v>
      </c>
      <c r="AU1266" s="316">
        <v>753</v>
      </c>
      <c r="AV1266" s="316">
        <f ca="1">Calc!Z69</f>
        <v>753</v>
      </c>
      <c r="AX1266" s="86" t="str">
        <f t="shared" ca="1" si="100"/>
        <v>SAFDDD</v>
      </c>
    </row>
    <row r="1267" spans="1:50" hidden="1">
      <c r="A1267" s="86" t="str">
        <f t="shared" ca="1" si="101"/>
        <v>SAFDIS</v>
      </c>
      <c r="C1267" s="1">
        <v>70</v>
      </c>
      <c r="F1267" s="249">
        <v>1.4863999999999999</v>
      </c>
      <c r="G1267" s="249">
        <v>1.4881</v>
      </c>
      <c r="H1267" s="249">
        <v>1.4843999999999999</v>
      </c>
      <c r="I1267" s="249">
        <v>1.4917</v>
      </c>
      <c r="J1267" s="249">
        <v>1.4956</v>
      </c>
      <c r="K1267" s="249">
        <v>1.4914000000000001</v>
      </c>
      <c r="L1267" s="249">
        <v>1.4923999999999999</v>
      </c>
      <c r="M1267" s="249">
        <v>1.5003</v>
      </c>
      <c r="N1267" s="249">
        <v>1.5003</v>
      </c>
      <c r="O1267" s="249">
        <v>1.4986999999999999</v>
      </c>
      <c r="P1267" s="249">
        <v>1.4986999999999999</v>
      </c>
      <c r="Q1267" s="249">
        <v>1.4959</v>
      </c>
      <c r="R1267" s="249">
        <v>1.4451000000000001</v>
      </c>
      <c r="S1267" s="249">
        <v>1.4489000000000001</v>
      </c>
      <c r="T1267" s="249">
        <v>1.4489000000000001</v>
      </c>
      <c r="U1267" s="249">
        <v>1.4492</v>
      </c>
      <c r="V1267" s="249">
        <v>1.4507000000000001</v>
      </c>
      <c r="W1267" s="249">
        <v>1.4472</v>
      </c>
      <c r="X1267" s="249">
        <v>1.4473</v>
      </c>
      <c r="Y1267" s="249">
        <v>1.4497</v>
      </c>
      <c r="Z1267" s="243">
        <f ca="1">[1]ExtEntry!$R70</f>
        <v>1.4497</v>
      </c>
      <c r="AB1267" s="316">
        <v>-869.20000000000027</v>
      </c>
      <c r="AC1267" s="316">
        <v>-1494.600000000004</v>
      </c>
      <c r="AD1267" s="316">
        <v>-1192.5</v>
      </c>
      <c r="AE1267" s="316">
        <v>-3805.4000000000037</v>
      </c>
      <c r="AF1267" s="316">
        <v>-3551.0000000000014</v>
      </c>
      <c r="AG1267" s="316">
        <v>-4070.4000000000037</v>
      </c>
      <c r="AH1267" s="316">
        <v>-5358.2999999999993</v>
      </c>
      <c r="AI1267" s="316">
        <v>-4520.9000000000005</v>
      </c>
      <c r="AJ1267" s="316">
        <v>-4841.5500000000029</v>
      </c>
      <c r="AK1267" s="316">
        <v>-5048</v>
      </c>
      <c r="AL1267" s="316">
        <v>-4499</v>
      </c>
      <c r="AM1267" s="316">
        <v>-3457</v>
      </c>
      <c r="AN1267" s="316">
        <v>-4232</v>
      </c>
      <c r="AO1267" s="316">
        <v>-4366</v>
      </c>
      <c r="AP1267" s="316">
        <v>-3833</v>
      </c>
      <c r="AQ1267" s="316">
        <v>-4234</v>
      </c>
      <c r="AR1267" s="316">
        <v>-4097</v>
      </c>
      <c r="AS1267" s="316">
        <v>-3320</v>
      </c>
      <c r="AT1267" s="316">
        <v>-2194</v>
      </c>
      <c r="AU1267" s="316">
        <v>-793</v>
      </c>
      <c r="AV1267" s="316">
        <f ca="1">Calc!Z70</f>
        <v>-793</v>
      </c>
      <c r="AX1267" s="86" t="str">
        <f t="shared" ca="1" si="100"/>
        <v>SAFDIS</v>
      </c>
    </row>
    <row r="1268" spans="1:50" hidden="1">
      <c r="A1268" s="86" t="str">
        <f t="shared" ca="1" si="101"/>
        <v>SAFGM</v>
      </c>
      <c r="C1268" s="1">
        <v>71</v>
      </c>
      <c r="F1268" s="249">
        <v>1.3140000000000001</v>
      </c>
      <c r="G1268" s="249">
        <v>1.3099000000000001</v>
      </c>
      <c r="H1268" s="249">
        <v>1.3052999999999999</v>
      </c>
      <c r="I1268" s="249">
        <v>1.2962</v>
      </c>
      <c r="J1268" s="249">
        <v>1.3095000000000001</v>
      </c>
      <c r="K1268" s="249">
        <v>1.3051999999999999</v>
      </c>
      <c r="L1268" s="249">
        <v>1.2968</v>
      </c>
      <c r="M1268" s="249">
        <v>1.3019000000000001</v>
      </c>
      <c r="N1268" s="249">
        <v>1.2969999999999999</v>
      </c>
      <c r="O1268" s="249">
        <v>1.3024</v>
      </c>
      <c r="P1268" s="249">
        <v>1.3024</v>
      </c>
      <c r="Q1268" s="249">
        <v>1.3049999999999999</v>
      </c>
      <c r="R1268" s="249">
        <v>1.3274999999999999</v>
      </c>
      <c r="S1268" s="249">
        <v>1.3267</v>
      </c>
      <c r="T1268" s="249">
        <v>1.3267</v>
      </c>
      <c r="U1268" s="249">
        <v>1.3259000000000001</v>
      </c>
      <c r="V1268" s="249">
        <v>1.3252999999999999</v>
      </c>
      <c r="W1268" s="249">
        <v>1.3243</v>
      </c>
      <c r="X1268" s="249">
        <v>1.3218000000000001</v>
      </c>
      <c r="Y1268" s="249">
        <v>1.3228</v>
      </c>
      <c r="Z1268" s="243">
        <f ca="1">[1]ExtEntry!$R71</f>
        <v>1.3228</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0"/>
        <v>SAFGM</v>
      </c>
    </row>
    <row r="1269" spans="1:50" hidden="1">
      <c r="A1269" s="86" t="str">
        <f t="shared" ca="1" si="101"/>
        <v>SAFIAG</v>
      </c>
      <c r="C1269" s="1">
        <v>72</v>
      </c>
      <c r="F1269" s="249">
        <v>2.2967</v>
      </c>
      <c r="G1269" s="249">
        <v>2.2978000000000001</v>
      </c>
      <c r="H1269" s="249">
        <v>2.3001999999999998</v>
      </c>
      <c r="I1269" s="249">
        <v>2.2976000000000001</v>
      </c>
      <c r="J1269" s="249">
        <v>2.3203999999999998</v>
      </c>
      <c r="K1269" s="249">
        <v>2.3380999999999998</v>
      </c>
      <c r="L1269" s="249">
        <v>2.3292000000000002</v>
      </c>
      <c r="M1269" s="249">
        <v>2.3231000000000002</v>
      </c>
      <c r="N1269" s="249">
        <v>2.3149999999999999</v>
      </c>
      <c r="O1269" s="249">
        <v>2.3075999999999999</v>
      </c>
      <c r="P1269" s="249">
        <v>2.3083</v>
      </c>
      <c r="Q1269" s="249">
        <v>2.3062</v>
      </c>
      <c r="R1269" s="249">
        <v>2.3443999999999998</v>
      </c>
      <c r="S1269" s="249">
        <v>2.3462999999999998</v>
      </c>
      <c r="T1269" s="249">
        <v>2.3462999999999998</v>
      </c>
      <c r="U1269" s="249">
        <v>2.3454000000000002</v>
      </c>
      <c r="V1269" s="249">
        <v>2.3481000000000001</v>
      </c>
      <c r="W1269" s="249">
        <v>2.3433000000000002</v>
      </c>
      <c r="X1269" s="249">
        <v>2.3458000000000001</v>
      </c>
      <c r="Y1269" s="249">
        <v>2.3477000000000001</v>
      </c>
      <c r="Z1269" s="243">
        <f ca="1">[1]ExtEntry!$R72</f>
        <v>2.3477000000000001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0"/>
        <v>SAFIAG</v>
      </c>
    </row>
    <row r="1270" spans="1:50" hidden="1">
      <c r="A1270" s="86" t="str">
        <f t="shared" ca="1" si="101"/>
        <v>SAFMRNA</v>
      </c>
      <c r="C1270" s="1">
        <v>73</v>
      </c>
      <c r="F1270" s="249">
        <v>1.1276999999999999</v>
      </c>
      <c r="G1270" s="249">
        <v>1.1266</v>
      </c>
      <c r="H1270" s="249">
        <v>1.1258999999999999</v>
      </c>
      <c r="I1270" s="249">
        <v>1.1197999999999999</v>
      </c>
      <c r="J1270" s="249">
        <v>1.1215999999999999</v>
      </c>
      <c r="K1270" s="249">
        <v>1.1202000000000001</v>
      </c>
      <c r="L1270" s="249">
        <v>1.1293</v>
      </c>
      <c r="M1270" s="249">
        <v>1.1528</v>
      </c>
      <c r="N1270" s="249">
        <v>1.1208</v>
      </c>
      <c r="O1270" s="249">
        <v>1.1174999999999999</v>
      </c>
      <c r="P1270" s="249">
        <v>1.1174999999999999</v>
      </c>
      <c r="Q1270" s="249">
        <v>1.1124000000000001</v>
      </c>
      <c r="R1270" s="249">
        <v>1.1959</v>
      </c>
      <c r="S1270" s="249">
        <v>1.1958</v>
      </c>
      <c r="T1270" s="249">
        <v>1.1958</v>
      </c>
      <c r="U1270" s="249">
        <v>1.1906000000000001</v>
      </c>
      <c r="V1270" s="249">
        <v>1.1837</v>
      </c>
      <c r="W1270" s="249">
        <v>1.1797</v>
      </c>
      <c r="X1270" s="249">
        <v>1.1777</v>
      </c>
      <c r="Y1270" s="249">
        <v>1.1830000000000001</v>
      </c>
      <c r="Z1270" s="243">
        <f ca="1">[1]ExtEntry!$R73</f>
        <v>1.1830000000000001</v>
      </c>
      <c r="AB1270" s="316">
        <v>-45757.80000000001</v>
      </c>
      <c r="AC1270" s="316">
        <v>-44122.80000000001</v>
      </c>
      <c r="AD1270" s="316">
        <v>-42862.800000000017</v>
      </c>
      <c r="AE1270" s="316">
        <v>-42127.80000000001</v>
      </c>
      <c r="AF1270" s="316">
        <v>-41677.800000000003</v>
      </c>
      <c r="AG1270" s="316">
        <v>-43597.8</v>
      </c>
      <c r="AH1270" s="316">
        <v>-48067.80000000001</v>
      </c>
      <c r="AI1270" s="316">
        <v>-45952.80000000001</v>
      </c>
      <c r="AJ1270" s="316">
        <v>-41662.80000000001</v>
      </c>
      <c r="AK1270" s="316">
        <v>-41296</v>
      </c>
      <c r="AL1270" s="316">
        <v>-38394</v>
      </c>
      <c r="AM1270" s="316">
        <v>-43032</v>
      </c>
      <c r="AN1270" s="316">
        <v>-44109</v>
      </c>
      <c r="AO1270" s="316">
        <v>-42658</v>
      </c>
      <c r="AP1270" s="316">
        <v>-40815</v>
      </c>
      <c r="AQ1270" s="316">
        <v>-38948</v>
      </c>
      <c r="AR1270" s="316">
        <v>-33248</v>
      </c>
      <c r="AS1270" s="316">
        <v>-31354</v>
      </c>
      <c r="AT1270" s="316">
        <v>-29269</v>
      </c>
      <c r="AU1270" s="316">
        <v>-27474</v>
      </c>
      <c r="AV1270" s="316">
        <f ca="1">Calc!Z73</f>
        <v>-27474</v>
      </c>
      <c r="AX1270" s="86" t="str">
        <f t="shared" ca="1" si="100"/>
        <v>SAFMRNA</v>
      </c>
    </row>
    <row r="1271" spans="1:50" hidden="1">
      <c r="A1271" s="86" t="str">
        <f t="shared" ca="1" si="101"/>
        <v>BLNK</v>
      </c>
      <c r="C1271" s="1">
        <v>74</v>
      </c>
      <c r="F1271" s="249">
        <v>1.8866000000000001</v>
      </c>
      <c r="G1271" s="249">
        <v>1.8706</v>
      </c>
      <c r="H1271" s="249">
        <v>1.8828</v>
      </c>
      <c r="I1271" s="249">
        <v>1.89</v>
      </c>
      <c r="J1271" s="249">
        <v>1.8985000000000001</v>
      </c>
      <c r="K1271" s="249">
        <v>1.8993</v>
      </c>
      <c r="L1271" s="249">
        <v>1.9101999999999999</v>
      </c>
      <c r="M1271" s="249">
        <v>1.9179999999999999</v>
      </c>
      <c r="N1271" s="249">
        <v>1.9111</v>
      </c>
      <c r="O1271" s="249">
        <v>1.9009</v>
      </c>
      <c r="P1271" s="249">
        <v>1.9009</v>
      </c>
      <c r="Q1271" s="249">
        <v>1.8911</v>
      </c>
      <c r="R1271" s="249">
        <v>1.7316</v>
      </c>
      <c r="S1271" s="249">
        <v>1.7326999999999999</v>
      </c>
      <c r="T1271" s="249">
        <v>1.7326999999999999</v>
      </c>
      <c r="U1271" s="249">
        <v>1.7271000000000001</v>
      </c>
      <c r="V1271" s="249">
        <v>1.7379</v>
      </c>
      <c r="W1271" s="249">
        <v>1.7461</v>
      </c>
      <c r="X1271" s="249">
        <v>1.7545999999999999</v>
      </c>
      <c r="Y1271" s="249">
        <v>1.7473000000000001</v>
      </c>
      <c r="Z1271" s="243">
        <f ca="1">[1]ExtEntry!$R74</f>
        <v>1.7473000000000001</v>
      </c>
      <c r="AB1271" s="316">
        <v>25119.999999999996</v>
      </c>
      <c r="AC1271" s="316">
        <v>19719.999999999996</v>
      </c>
      <c r="AD1271" s="316">
        <v>23116.000000000004</v>
      </c>
      <c r="AE1271" s="316">
        <v>15919.999999999996</v>
      </c>
      <c r="AF1271" s="316">
        <v>15919.999999999996</v>
      </c>
      <c r="AG1271" s="316">
        <v>14120</v>
      </c>
      <c r="AH1271" s="316">
        <v>13319.999999999998</v>
      </c>
      <c r="AI1271" s="316">
        <v>10919.999999999996</v>
      </c>
      <c r="AJ1271" s="316">
        <v>10919.999999999996</v>
      </c>
      <c r="AK1271" s="316">
        <v>10691</v>
      </c>
      <c r="AL1271" s="316">
        <v>11887</v>
      </c>
      <c r="AM1271" s="316">
        <v>10890</v>
      </c>
      <c r="AN1271" s="316">
        <v>10092</v>
      </c>
      <c r="AO1271" s="316">
        <v>9693</v>
      </c>
      <c r="AP1271" s="316">
        <v>13483</v>
      </c>
      <c r="AQ1271" s="316">
        <v>15677</v>
      </c>
      <c r="AR1271" s="316">
        <v>7499</v>
      </c>
      <c r="AS1271" s="316">
        <v>119</v>
      </c>
      <c r="AT1271" s="316">
        <v>-2721</v>
      </c>
      <c r="AU1271" s="316">
        <v>-5035</v>
      </c>
      <c r="AV1271" s="316">
        <f ca="1">Calc!Z74</f>
        <v>-5035</v>
      </c>
      <c r="AX1271" s="86" t="str">
        <f t="shared" ca="1" si="100"/>
        <v>BLNK</v>
      </c>
    </row>
    <row r="1272" spans="1:50" hidden="1">
      <c r="A1272" s="86" t="str">
        <f t="shared" ca="1" si="101"/>
        <v>ENI</v>
      </c>
      <c r="C1272" s="1">
        <v>75</v>
      </c>
      <c r="F1272" s="249">
        <v>0.83050000000000002</v>
      </c>
      <c r="G1272" s="249">
        <v>0.83030000000000004</v>
      </c>
      <c r="H1272" s="249">
        <v>0.82989999999999997</v>
      </c>
      <c r="I1272" s="249">
        <v>0.82989999999999997</v>
      </c>
      <c r="J1272" s="249">
        <v>0.82989999999999997</v>
      </c>
      <c r="K1272" s="249">
        <v>0.82489999999999997</v>
      </c>
      <c r="L1272" s="249">
        <v>0.82489999999999997</v>
      </c>
      <c r="M1272" s="249">
        <v>0.82620000000000005</v>
      </c>
      <c r="N1272" s="249">
        <v>0.83209999999999995</v>
      </c>
      <c r="O1272" s="249">
        <v>0.82989999999999997</v>
      </c>
      <c r="P1272" s="249">
        <v>0.83040000000000003</v>
      </c>
      <c r="Q1272" s="249">
        <v>0.8296</v>
      </c>
      <c r="R1272" s="249">
        <v>0.82979999999999998</v>
      </c>
      <c r="S1272" s="249">
        <v>0.82989999999999997</v>
      </c>
      <c r="T1272" s="249">
        <v>0.82989999999999997</v>
      </c>
      <c r="U1272" s="249">
        <v>0.82899999999999996</v>
      </c>
      <c r="V1272" s="249">
        <v>0.83050000000000002</v>
      </c>
      <c r="W1272" s="249">
        <v>0.83069999999999999</v>
      </c>
      <c r="X1272" s="249">
        <v>0.83040000000000003</v>
      </c>
      <c r="Y1272" s="249">
        <v>0.83089999999999997</v>
      </c>
      <c r="Z1272" s="243">
        <f ca="1">[1]ExtEntry!$R75</f>
        <v>0.83089999999999997</v>
      </c>
      <c r="AB1272" s="316">
        <v>10990.980000000007</v>
      </c>
      <c r="AC1272" s="316">
        <v>10790.780000000012</v>
      </c>
      <c r="AD1272" s="316">
        <v>10630.620000000012</v>
      </c>
      <c r="AE1272" s="316">
        <v>16056.04000000001</v>
      </c>
      <c r="AF1272" s="316">
        <v>14914.900000000001</v>
      </c>
      <c r="AG1272" s="316">
        <v>13493.480000000007</v>
      </c>
      <c r="AH1272" s="316">
        <v>14274.260000000002</v>
      </c>
      <c r="AI1272" s="316">
        <v>12272.260000000009</v>
      </c>
      <c r="AJ1272" s="316">
        <v>11171.160000000014</v>
      </c>
      <c r="AK1272" s="316">
        <v>10581</v>
      </c>
      <c r="AL1272" s="316">
        <v>12598</v>
      </c>
      <c r="AM1272" s="316">
        <v>13057</v>
      </c>
      <c r="AN1272" s="316">
        <v>13157</v>
      </c>
      <c r="AO1272" s="316">
        <v>14341</v>
      </c>
      <c r="AP1272" s="316">
        <v>14779</v>
      </c>
      <c r="AQ1272" s="316">
        <v>14760</v>
      </c>
      <c r="AR1272" s="316">
        <v>12286</v>
      </c>
      <c r="AS1272" s="316">
        <v>12346</v>
      </c>
      <c r="AT1272" s="316">
        <v>11409</v>
      </c>
      <c r="AU1272" s="316">
        <v>10312</v>
      </c>
      <c r="AV1272" s="316">
        <f ca="1">Calc!Z75</f>
        <v>10312</v>
      </c>
      <c r="AX1272" s="86" t="str">
        <f t="shared" ca="1" si="100"/>
        <v>ENI</v>
      </c>
    </row>
    <row r="1273" spans="1:50" hidden="1">
      <c r="A1273" s="86" t="str">
        <f t="shared" ca="1" si="101"/>
        <v>EZJ</v>
      </c>
      <c r="C1273" s="1">
        <v>76</v>
      </c>
      <c r="F1273" s="249">
        <v>2.2376</v>
      </c>
      <c r="G1273" s="249">
        <v>2.2389000000000001</v>
      </c>
      <c r="H1273" s="249">
        <v>2.2387999999999999</v>
      </c>
      <c r="I1273" s="249">
        <v>2.2389000000000001</v>
      </c>
      <c r="J1273" s="249">
        <v>2.2444999999999999</v>
      </c>
      <c r="K1273" s="249">
        <v>2.2404999999999999</v>
      </c>
      <c r="L1273" s="249">
        <v>2.2269999999999999</v>
      </c>
      <c r="M1273" s="249">
        <v>2.2349000000000001</v>
      </c>
      <c r="N1273" s="249">
        <v>2.2313000000000001</v>
      </c>
      <c r="O1273" s="249">
        <v>2.2345000000000002</v>
      </c>
      <c r="P1273" s="249">
        <v>2.2347999999999999</v>
      </c>
      <c r="Q1273" s="249">
        <v>2.2326999999999999</v>
      </c>
      <c r="R1273" s="249">
        <v>2.2570000000000001</v>
      </c>
      <c r="S1273" s="249">
        <v>2.2572000000000001</v>
      </c>
      <c r="T1273" s="249">
        <v>2.2572000000000001</v>
      </c>
      <c r="U1273" s="249">
        <v>2.2597</v>
      </c>
      <c r="V1273" s="249">
        <v>2.2568999999999999</v>
      </c>
      <c r="W1273" s="249">
        <v>2.2578</v>
      </c>
      <c r="X1273" s="249">
        <v>2.2614999999999998</v>
      </c>
      <c r="Y1273" s="249">
        <v>2.2629999999999999</v>
      </c>
      <c r="Z1273" s="243">
        <f ca="1">[1]ExtEntry!$R76</f>
        <v>2.2629999999999999</v>
      </c>
      <c r="AB1273" s="316">
        <v>6618.0000000000064</v>
      </c>
      <c r="AC1273" s="316">
        <v>5498.0000000000027</v>
      </c>
      <c r="AD1273" s="316">
        <v>4077.9999999999973</v>
      </c>
      <c r="AE1273" s="316">
        <v>3637.9999999999995</v>
      </c>
      <c r="AF1273" s="316">
        <v>558.00000000000409</v>
      </c>
      <c r="AG1273" s="316">
        <v>2218.0000000000064</v>
      </c>
      <c r="AH1273" s="316">
        <v>1398.0000000000018</v>
      </c>
      <c r="AI1273" s="316">
        <v>2558.0000000000041</v>
      </c>
      <c r="AJ1273" s="316">
        <v>6398.0000000000027</v>
      </c>
      <c r="AK1273" s="316">
        <v>6779</v>
      </c>
      <c r="AL1273" s="316">
        <v>9651</v>
      </c>
      <c r="AM1273" s="316">
        <v>8475</v>
      </c>
      <c r="AN1273" s="316">
        <v>8295</v>
      </c>
      <c r="AO1273" s="316">
        <v>7557</v>
      </c>
      <c r="AP1273" s="316">
        <v>6879</v>
      </c>
      <c r="AQ1273" s="316">
        <v>7617</v>
      </c>
      <c r="AR1273" s="316">
        <v>7717</v>
      </c>
      <c r="AS1273" s="316">
        <v>5443</v>
      </c>
      <c r="AT1273" s="316">
        <v>5064</v>
      </c>
      <c r="AU1273" s="316">
        <v>6799</v>
      </c>
      <c r="AV1273" s="316">
        <f ca="1">Calc!Z76</f>
        <v>6799</v>
      </c>
      <c r="AX1273" s="86" t="str">
        <f t="shared" ca="1" si="100"/>
        <v>EZJ</v>
      </c>
    </row>
    <row r="1274" spans="1:50" hidden="1">
      <c r="A1274" s="86" t="str">
        <f t="shared" ca="1" si="101"/>
        <v>F</v>
      </c>
      <c r="C1274" s="1">
        <v>77</v>
      </c>
      <c r="F1274" s="249">
        <v>1.603</v>
      </c>
      <c r="G1274" s="249">
        <v>1.5999000000000001</v>
      </c>
      <c r="H1274" s="249">
        <v>1.5939000000000001</v>
      </c>
      <c r="I1274" s="249">
        <v>1.5927</v>
      </c>
      <c r="J1274" s="249">
        <v>1.5994999999999999</v>
      </c>
      <c r="K1274" s="249">
        <v>1.5908</v>
      </c>
      <c r="L1274" s="249">
        <v>1.587</v>
      </c>
      <c r="M1274" s="249">
        <v>1.6032999999999999</v>
      </c>
      <c r="N1274" s="249">
        <v>1.5971</v>
      </c>
      <c r="O1274" s="249">
        <v>1.5999000000000001</v>
      </c>
      <c r="P1274" s="249">
        <v>1.5999000000000001</v>
      </c>
      <c r="Q1274" s="249">
        <v>1.6007</v>
      </c>
      <c r="R1274" s="249">
        <v>1.6205000000000001</v>
      </c>
      <c r="S1274" s="249">
        <v>1.6229</v>
      </c>
      <c r="T1274" s="249">
        <v>1.6229</v>
      </c>
      <c r="U1274" s="249">
        <v>1.6220000000000001</v>
      </c>
      <c r="V1274" s="249">
        <v>1.6224000000000001</v>
      </c>
      <c r="W1274" s="249">
        <v>1.6215999999999999</v>
      </c>
      <c r="X1274" s="249">
        <v>1.6220000000000001</v>
      </c>
      <c r="Y1274" s="249">
        <v>1.6207</v>
      </c>
      <c r="Z1274" s="243">
        <f ca="1">[1]ExtEntry!$R77</f>
        <v>1.6207</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0"/>
        <v>F</v>
      </c>
    </row>
    <row r="1275" spans="1:50" hidden="1">
      <c r="A1275" s="86" t="str">
        <f t="shared" ca="1" si="101"/>
        <v>GLE</v>
      </c>
      <c r="C1275" s="1">
        <v>78</v>
      </c>
      <c r="F1275" s="249">
        <v>1.389</v>
      </c>
      <c r="G1275" s="249">
        <v>1.3888</v>
      </c>
      <c r="H1275" s="249">
        <v>1.3861000000000001</v>
      </c>
      <c r="I1275" s="249">
        <v>1.3906000000000001</v>
      </c>
      <c r="J1275" s="249">
        <v>1.3869</v>
      </c>
      <c r="K1275" s="249">
        <v>1.3862000000000001</v>
      </c>
      <c r="L1275" s="249">
        <v>1.375</v>
      </c>
      <c r="M1275" s="249">
        <v>1.3704000000000001</v>
      </c>
      <c r="N1275" s="249">
        <v>1.3667</v>
      </c>
      <c r="O1275" s="249">
        <v>1.3708</v>
      </c>
      <c r="P1275" s="249">
        <v>1.3788</v>
      </c>
      <c r="Q1275" s="249">
        <v>1.3791</v>
      </c>
      <c r="R1275" s="249">
        <v>1.3816999999999999</v>
      </c>
      <c r="S1275" s="249">
        <v>1.381</v>
      </c>
      <c r="T1275" s="249">
        <v>1.381</v>
      </c>
      <c r="U1275" s="249">
        <v>1.3815</v>
      </c>
      <c r="V1275" s="249">
        <v>1.3809</v>
      </c>
      <c r="W1275" s="249">
        <v>1.3792</v>
      </c>
      <c r="X1275" s="249">
        <v>1.3784000000000001</v>
      </c>
      <c r="Y1275" s="249">
        <v>1.3729</v>
      </c>
      <c r="Z1275" s="243">
        <f ca="1">[1]ExtEntry!$R78</f>
        <v>1.3729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0"/>
        <v>GLE</v>
      </c>
    </row>
    <row r="1276" spans="1:50" hidden="1">
      <c r="A1276" s="86" t="str">
        <f t="shared" ca="1" si="101"/>
        <v>GNRC</v>
      </c>
      <c r="C1276" s="1">
        <v>79</v>
      </c>
      <c r="F1276" s="249">
        <v>1.8173999999999999</v>
      </c>
      <c r="G1276" s="249">
        <v>1.8148</v>
      </c>
      <c r="H1276" s="249">
        <v>1.8205</v>
      </c>
      <c r="I1276" s="249">
        <v>1.8196000000000001</v>
      </c>
      <c r="J1276" s="249">
        <v>1.8394999999999999</v>
      </c>
      <c r="K1276" s="249">
        <v>1.8402000000000001</v>
      </c>
      <c r="L1276" s="249">
        <v>1.8301000000000001</v>
      </c>
      <c r="M1276" s="249">
        <v>1.8455999999999999</v>
      </c>
      <c r="N1276" s="249">
        <v>1.8268</v>
      </c>
      <c r="O1276" s="249">
        <v>1.8232999999999999</v>
      </c>
      <c r="P1276" s="249">
        <v>1.8232999999999999</v>
      </c>
      <c r="Q1276" s="249">
        <v>1.8183</v>
      </c>
      <c r="R1276" s="249">
        <v>1.8167</v>
      </c>
      <c r="S1276" s="249">
        <v>1.8125</v>
      </c>
      <c r="T1276" s="249">
        <v>1.8125</v>
      </c>
      <c r="U1276" s="249">
        <v>1.8117000000000001</v>
      </c>
      <c r="V1276" s="249">
        <v>1.8123</v>
      </c>
      <c r="W1276" s="249">
        <v>1.8081</v>
      </c>
      <c r="X1276" s="249">
        <v>1.81</v>
      </c>
      <c r="Y1276" s="249">
        <v>1.8128</v>
      </c>
      <c r="Z1276" s="243">
        <f ca="1">[1]ExtEntry!$R79</f>
        <v>1.8128</v>
      </c>
      <c r="AB1276" s="316">
        <v>-7193.9999999999973</v>
      </c>
      <c r="AC1276" s="316">
        <v>-8888.9999999999982</v>
      </c>
      <c r="AD1276" s="316">
        <v>-8561.9999999999982</v>
      </c>
      <c r="AE1276" s="316">
        <v>-9614.9999999999945</v>
      </c>
      <c r="AF1276" s="316">
        <v>-12209.999999999996</v>
      </c>
      <c r="AG1276" s="316">
        <v>-10881.000000000004</v>
      </c>
      <c r="AH1276" s="316">
        <v>-12420.000000000002</v>
      </c>
      <c r="AI1276" s="316">
        <v>-10809</v>
      </c>
      <c r="AJ1276" s="316">
        <v>-9941.9999999999964</v>
      </c>
      <c r="AK1276" s="316">
        <v>-10269</v>
      </c>
      <c r="AL1276" s="316">
        <v>-9434</v>
      </c>
      <c r="AM1276" s="316">
        <v>-9521</v>
      </c>
      <c r="AN1276" s="316">
        <v>-8342</v>
      </c>
      <c r="AO1276" s="316">
        <v>-7274</v>
      </c>
      <c r="AP1276" s="316">
        <v>-7168</v>
      </c>
      <c r="AQ1276" s="316">
        <v>-5607</v>
      </c>
      <c r="AR1276" s="316">
        <v>-6239</v>
      </c>
      <c r="AS1276" s="316">
        <v>-6370</v>
      </c>
      <c r="AT1276" s="316">
        <v>-4949</v>
      </c>
      <c r="AU1276" s="316">
        <v>-4617</v>
      </c>
      <c r="AV1276" s="316">
        <f ca="1">Calc!Z79</f>
        <v>-4617</v>
      </c>
      <c r="AX1276" s="86" t="str">
        <f t="shared" ca="1" si="100"/>
        <v>GNRC</v>
      </c>
    </row>
    <row r="1277" spans="1:50" hidden="1">
      <c r="A1277" s="86" t="str">
        <f t="shared" ca="1" si="101"/>
        <v>GS</v>
      </c>
      <c r="C1277" s="1">
        <v>80</v>
      </c>
      <c r="F1277" s="249">
        <v>1.3489</v>
      </c>
      <c r="G1277" s="249">
        <v>1.3493999999999999</v>
      </c>
      <c r="H1277" s="249">
        <v>1.3469</v>
      </c>
      <c r="I1277" s="249">
        <v>1.3427</v>
      </c>
      <c r="J1277" s="249">
        <v>1.3513999999999999</v>
      </c>
      <c r="K1277" s="249">
        <v>1.3475999999999999</v>
      </c>
      <c r="L1277" s="249">
        <v>1.3382000000000001</v>
      </c>
      <c r="M1277" s="249">
        <v>1.3464</v>
      </c>
      <c r="N1277" s="249">
        <v>1.3456999999999999</v>
      </c>
      <c r="O1277" s="249">
        <v>1.3460000000000001</v>
      </c>
      <c r="P1277" s="249">
        <v>1.3460000000000001</v>
      </c>
      <c r="Q1277" s="249">
        <v>1.3469</v>
      </c>
      <c r="R1277" s="249">
        <v>1.33</v>
      </c>
      <c r="S1277" s="249">
        <v>1.3292999999999999</v>
      </c>
      <c r="T1277" s="249">
        <v>1.3292999999999999</v>
      </c>
      <c r="U1277" s="249">
        <v>1.3268</v>
      </c>
      <c r="V1277" s="249">
        <v>1.3255999999999999</v>
      </c>
      <c r="W1277" s="249">
        <v>1.323</v>
      </c>
      <c r="X1277" s="249">
        <v>1.3211999999999999</v>
      </c>
      <c r="Y1277" s="249">
        <v>1.3242</v>
      </c>
      <c r="Z1277" s="243">
        <f ca="1">[1]ExtEntry!$R80</f>
        <v>1.3242</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0"/>
        <v>GS</v>
      </c>
    </row>
    <row r="1278" spans="1:50" hidden="1">
      <c r="A1278" s="86" t="str">
        <f t="shared" ca="1" si="101"/>
        <v>LAZR</v>
      </c>
      <c r="C1278" s="1">
        <v>81</v>
      </c>
      <c r="F1278" s="249">
        <v>1.4121999999999999</v>
      </c>
      <c r="G1278" s="249">
        <v>1.4362999999999999</v>
      </c>
      <c r="H1278" s="249">
        <v>1.4366000000000001</v>
      </c>
      <c r="I1278" s="249">
        <v>1.4576</v>
      </c>
      <c r="J1278" s="249">
        <v>1.4885999999999999</v>
      </c>
      <c r="K1278" s="249">
        <v>1.5044</v>
      </c>
      <c r="L1278" s="249">
        <v>1.4961</v>
      </c>
      <c r="M1278" s="249">
        <v>1.4964999999999999</v>
      </c>
      <c r="N1278" s="249">
        <v>1.5043</v>
      </c>
      <c r="O1278" s="249">
        <v>1.4905999999999999</v>
      </c>
      <c r="P1278" s="249">
        <v>1.4905999999999999</v>
      </c>
      <c r="Q1278" s="249">
        <v>1.4744999999999999</v>
      </c>
      <c r="R1278" s="249">
        <v>1.2632000000000001</v>
      </c>
      <c r="S1278" s="249">
        <v>1.2704</v>
      </c>
      <c r="T1278" s="249">
        <v>1.2704</v>
      </c>
      <c r="U1278" s="249">
        <v>1.2644</v>
      </c>
      <c r="V1278" s="249">
        <v>1.2624</v>
      </c>
      <c r="W1278" s="249">
        <v>1.2649999999999999</v>
      </c>
      <c r="X1278" s="249">
        <v>1.2658</v>
      </c>
      <c r="Y1278" s="249">
        <v>1.2682</v>
      </c>
      <c r="Z1278" s="243">
        <f ca="1">[1]ExtEntry!$R81</f>
        <v>1.2682</v>
      </c>
      <c r="AB1278" s="316">
        <v>-50164.4</v>
      </c>
      <c r="AC1278" s="316">
        <v>-50663.149900000004</v>
      </c>
      <c r="AD1278" s="316">
        <v>-50116.165000000001</v>
      </c>
      <c r="AE1278" s="316">
        <v>-52383.210000000006</v>
      </c>
      <c r="AF1278" s="316">
        <v>-53771.4133</v>
      </c>
      <c r="AG1278" s="316">
        <v>-53581.36740000001</v>
      </c>
      <c r="AH1278" s="316">
        <v>-53216.710800000008</v>
      </c>
      <c r="AI1278" s="316">
        <v>-53678.802100000001</v>
      </c>
      <c r="AJ1278" s="316">
        <v>-54154.3992</v>
      </c>
      <c r="AK1278" s="316">
        <v>-54109</v>
      </c>
      <c r="AL1278" s="316">
        <v>-53240</v>
      </c>
      <c r="AM1278" s="316">
        <v>-53483</v>
      </c>
      <c r="AN1278" s="316">
        <v>-54013</v>
      </c>
      <c r="AO1278" s="316">
        <v>-54070</v>
      </c>
      <c r="AP1278" s="316">
        <v>-53506</v>
      </c>
      <c r="AQ1278" s="316">
        <v>-51514</v>
      </c>
      <c r="AR1278" s="316">
        <v>-53016</v>
      </c>
      <c r="AS1278" s="316">
        <v>-53488</v>
      </c>
      <c r="AT1278" s="316">
        <v>-53556</v>
      </c>
      <c r="AU1278" s="316">
        <v>-52664</v>
      </c>
      <c r="AV1278" s="316">
        <f ca="1">Calc!Z81</f>
        <v>-52664</v>
      </c>
      <c r="AX1278" s="86" t="str">
        <f t="shared" ca="1" si="100"/>
        <v>LAZR</v>
      </c>
    </row>
    <row r="1279" spans="1:50" hidden="1">
      <c r="A1279" s="86" t="str">
        <f t="shared" ca="1" si="101"/>
        <v>LUV</v>
      </c>
      <c r="C1279" s="1">
        <v>82</v>
      </c>
      <c r="F1279" s="249">
        <v>1.1802999999999999</v>
      </c>
      <c r="G1279" s="249">
        <v>1.171</v>
      </c>
      <c r="H1279" s="249">
        <v>1.1620999999999999</v>
      </c>
      <c r="I1279" s="249">
        <v>1.1527000000000001</v>
      </c>
      <c r="J1279" s="249">
        <v>1.1614</v>
      </c>
      <c r="K1279" s="249">
        <v>1.1503000000000001</v>
      </c>
      <c r="L1279" s="249">
        <v>1.1404000000000001</v>
      </c>
      <c r="M1279" s="249">
        <v>1.1539999999999999</v>
      </c>
      <c r="N1279" s="249">
        <v>1.1495</v>
      </c>
      <c r="O1279" s="249">
        <v>1.1571</v>
      </c>
      <c r="P1279" s="249">
        <v>1.1571</v>
      </c>
      <c r="Q1279" s="249">
        <v>1.1667000000000001</v>
      </c>
      <c r="R1279" s="249">
        <v>1.1698</v>
      </c>
      <c r="S1279" s="249">
        <v>1.1680999999999999</v>
      </c>
      <c r="T1279" s="249">
        <v>1.1680999999999999</v>
      </c>
      <c r="U1279" s="249">
        <v>1.1687000000000001</v>
      </c>
      <c r="V1279" s="249">
        <v>1.1655</v>
      </c>
      <c r="W1279" s="249">
        <v>1.1617999999999999</v>
      </c>
      <c r="X1279" s="249">
        <v>1.1603000000000001</v>
      </c>
      <c r="Y1279" s="249">
        <v>1.1648000000000001</v>
      </c>
      <c r="Z1279" s="243">
        <f ca="1">[1]ExtEntry!$R82</f>
        <v>1.1648000000000001</v>
      </c>
      <c r="AB1279" s="316">
        <v>1101.1200000000003</v>
      </c>
      <c r="AC1279" s="316">
        <v>903.12000000000126</v>
      </c>
      <c r="AD1279" s="316">
        <v>2001.1200000000044</v>
      </c>
      <c r="AE1279" s="316">
        <v>2565.1200000000031</v>
      </c>
      <c r="AF1279" s="316">
        <v>1515.1200000000031</v>
      </c>
      <c r="AG1279" s="316">
        <v>1347.1200000000024</v>
      </c>
      <c r="AH1279" s="316">
        <v>855.12000000000228</v>
      </c>
      <c r="AI1279" s="316">
        <v>2557.9200000000028</v>
      </c>
      <c r="AJ1279" s="316">
        <v>5319.1200000000053</v>
      </c>
      <c r="AK1279" s="316">
        <v>5226</v>
      </c>
      <c r="AL1279" s="316">
        <v>4939</v>
      </c>
      <c r="AM1279" s="316">
        <v>5011</v>
      </c>
      <c r="AN1279" s="316">
        <v>5681</v>
      </c>
      <c r="AO1279" s="316">
        <v>5795</v>
      </c>
      <c r="AP1279" s="316">
        <v>5968</v>
      </c>
      <c r="AQ1279" s="316">
        <v>6196</v>
      </c>
      <c r="AR1279" s="316">
        <v>17</v>
      </c>
      <c r="AS1279" s="316">
        <v>534</v>
      </c>
      <c r="AT1279" s="316">
        <v>1808</v>
      </c>
      <c r="AU1279" s="316">
        <v>2629</v>
      </c>
      <c r="AV1279" s="316">
        <f ca="1">Calc!Z82</f>
        <v>2629</v>
      </c>
      <c r="AX1279" s="86" t="str">
        <f t="shared" ca="1" si="100"/>
        <v>LUV</v>
      </c>
    </row>
    <row r="1280" spans="1:50" hidden="1">
      <c r="A1280" s="86" t="str">
        <f t="shared" ca="1" si="101"/>
        <v>MA</v>
      </c>
      <c r="C1280" s="1">
        <v>83</v>
      </c>
      <c r="F1280" s="249">
        <v>0.86539999999999995</v>
      </c>
      <c r="G1280" s="249">
        <v>0.86609999999999998</v>
      </c>
      <c r="H1280" s="249">
        <v>0.8629</v>
      </c>
      <c r="I1280" s="249">
        <v>0.86280000000000001</v>
      </c>
      <c r="J1280" s="249">
        <v>0.87070000000000003</v>
      </c>
      <c r="K1280" s="249">
        <v>0.87460000000000004</v>
      </c>
      <c r="L1280" s="249">
        <v>0.87150000000000005</v>
      </c>
      <c r="M1280" s="249">
        <v>0.87390000000000001</v>
      </c>
      <c r="N1280" s="249">
        <v>0.86739999999999995</v>
      </c>
      <c r="O1280" s="249">
        <v>0.86860000000000004</v>
      </c>
      <c r="P1280" s="249">
        <v>0.86860000000000004</v>
      </c>
      <c r="Q1280" s="249">
        <v>0.86770000000000003</v>
      </c>
      <c r="R1280" s="249">
        <v>0.86209999999999998</v>
      </c>
      <c r="S1280" s="249">
        <v>0.86180000000000001</v>
      </c>
      <c r="T1280" s="249">
        <v>0.86180000000000001</v>
      </c>
      <c r="U1280" s="249">
        <v>0.86050000000000004</v>
      </c>
      <c r="V1280" s="249">
        <v>0.8619</v>
      </c>
      <c r="W1280" s="249">
        <v>0.8629</v>
      </c>
      <c r="X1280" s="249">
        <v>0.86350000000000005</v>
      </c>
      <c r="Y1280" s="249">
        <v>0.86240000000000006</v>
      </c>
      <c r="Z1280" s="243">
        <f ca="1">[1]ExtEntry!$R83</f>
        <v>0.86240000000000006</v>
      </c>
      <c r="AB1280" s="316">
        <v>-1212.9999999999995</v>
      </c>
      <c r="AC1280" s="316">
        <v>-1355.9999999999945</v>
      </c>
      <c r="AD1280" s="316">
        <v>-1459.0000000000032</v>
      </c>
      <c r="AE1280" s="316">
        <v>-2015.9999999999968</v>
      </c>
      <c r="AF1280" s="316">
        <v>-3878.9999999999964</v>
      </c>
      <c r="AG1280" s="316">
        <v>-3980.7500000000005</v>
      </c>
      <c r="AH1280" s="316">
        <v>-3017.999999999995</v>
      </c>
      <c r="AI1280" s="316">
        <v>-2471.0000000000036</v>
      </c>
      <c r="AJ1280" s="316">
        <v>-1842.999999999995</v>
      </c>
      <c r="AK1280" s="316">
        <v>-2091</v>
      </c>
      <c r="AL1280" s="316">
        <v>-1577</v>
      </c>
      <c r="AM1280" s="316">
        <v>-1736</v>
      </c>
      <c r="AN1280" s="316">
        <v>-2049</v>
      </c>
      <c r="AO1280" s="316">
        <v>-1585</v>
      </c>
      <c r="AP1280" s="316">
        <v>-1118</v>
      </c>
      <c r="AQ1280" s="316">
        <v>-2327</v>
      </c>
      <c r="AR1280" s="316">
        <v>-2053</v>
      </c>
      <c r="AS1280" s="316">
        <v>-2643</v>
      </c>
      <c r="AT1280" s="316">
        <v>-2698</v>
      </c>
      <c r="AU1280" s="316">
        <v>-232</v>
      </c>
      <c r="AV1280" s="316">
        <f ca="1">Calc!Z83</f>
        <v>-232</v>
      </c>
      <c r="AX1280" s="86" t="str">
        <f t="shared" ca="1" si="100"/>
        <v>MA</v>
      </c>
    </row>
    <row r="1281" spans="1:135" hidden="1">
      <c r="A1281" s="86" t="str">
        <f t="shared" ca="1" si="101"/>
        <v>NVAX</v>
      </c>
      <c r="C1281" s="1">
        <v>84</v>
      </c>
      <c r="F1281" s="249">
        <v>2.3062</v>
      </c>
      <c r="G1281" s="249">
        <v>2.3022999999999998</v>
      </c>
      <c r="H1281" s="249">
        <v>2.3031999999999999</v>
      </c>
      <c r="I1281" s="249">
        <v>2.3184999999999998</v>
      </c>
      <c r="J1281" s="249">
        <v>2.3260000000000001</v>
      </c>
      <c r="K1281" s="249">
        <v>2.3382000000000001</v>
      </c>
      <c r="L1281" s="249">
        <v>2.3508</v>
      </c>
      <c r="M1281" s="249">
        <v>2.3544</v>
      </c>
      <c r="N1281" s="249">
        <v>2.3254999999999999</v>
      </c>
      <c r="O1281" s="249">
        <v>2.3142</v>
      </c>
      <c r="P1281" s="249">
        <v>2.3142</v>
      </c>
      <c r="Q1281" s="249">
        <v>2.3077999999999999</v>
      </c>
      <c r="R1281" s="249">
        <v>2.3702999999999999</v>
      </c>
      <c r="S1281" s="249">
        <v>2.3721999999999999</v>
      </c>
      <c r="T1281" s="249">
        <v>2.3721999999999999</v>
      </c>
      <c r="U1281" s="249">
        <v>2.3687</v>
      </c>
      <c r="V1281" s="249">
        <v>2.3683000000000001</v>
      </c>
      <c r="W1281" s="249">
        <v>2.3694999999999999</v>
      </c>
      <c r="X1281" s="249">
        <v>2.3712</v>
      </c>
      <c r="Y1281" s="249">
        <v>2.3696999999999999</v>
      </c>
      <c r="Z1281" s="243">
        <f ca="1">[1]ExtEntry!$R84</f>
        <v>2.3696999999999999</v>
      </c>
      <c r="AB1281" s="316">
        <v>-9264.5999999999949</v>
      </c>
      <c r="AC1281" s="316">
        <v>-9219.149999999996</v>
      </c>
      <c r="AD1281" s="316">
        <v>-10529.099999999997</v>
      </c>
      <c r="AE1281" s="316">
        <v>-12504.599999999999</v>
      </c>
      <c r="AF1281" s="316">
        <v>7225.9</v>
      </c>
      <c r="AG1281" s="316">
        <v>7033.3999999999987</v>
      </c>
      <c r="AH1281" s="316">
        <v>6857.4</v>
      </c>
      <c r="AI1281" s="316">
        <v>7121.4</v>
      </c>
      <c r="AJ1281" s="316">
        <v>7561.4</v>
      </c>
      <c r="AK1281" s="316">
        <v>-12561</v>
      </c>
      <c r="AL1281" s="316">
        <v>-12112</v>
      </c>
      <c r="AM1281" s="316">
        <v>-13346</v>
      </c>
      <c r="AN1281" s="316">
        <v>-14109</v>
      </c>
      <c r="AO1281" s="316">
        <v>-13348</v>
      </c>
      <c r="AP1281" s="316">
        <v>-13055</v>
      </c>
      <c r="AQ1281" s="316">
        <v>-13122</v>
      </c>
      <c r="AR1281" s="316">
        <v>-12741</v>
      </c>
      <c r="AS1281" s="316">
        <v>-13234</v>
      </c>
      <c r="AT1281" s="316">
        <v>-13504</v>
      </c>
      <c r="AU1281" s="316">
        <v>-13728</v>
      </c>
      <c r="AV1281" s="316">
        <f ca="1">Calc!Z84</f>
        <v>-13728</v>
      </c>
      <c r="AX1281" s="86" t="str">
        <f t="shared" ca="1" si="100"/>
        <v>NVAX</v>
      </c>
    </row>
    <row r="1282" spans="1:135" hidden="1">
      <c r="A1282" s="86" t="str">
        <f t="shared" ca="1" si="101"/>
        <v>NVS</v>
      </c>
      <c r="C1282" s="1">
        <v>85</v>
      </c>
      <c r="F1282" s="249">
        <v>0.51480000000000004</v>
      </c>
      <c r="G1282" s="249">
        <v>0.51490000000000002</v>
      </c>
      <c r="H1282" s="249">
        <v>0.50970000000000004</v>
      </c>
      <c r="I1282" s="249">
        <v>0.50060000000000004</v>
      </c>
      <c r="J1282" s="249">
        <v>0.50090000000000001</v>
      </c>
      <c r="K1282" s="249">
        <v>0.50309999999999999</v>
      </c>
      <c r="L1282" s="249">
        <v>0.50060000000000004</v>
      </c>
      <c r="M1282" s="249">
        <v>0.51100000000000001</v>
      </c>
      <c r="N1282" s="249">
        <v>0.50619999999999998</v>
      </c>
      <c r="O1282" s="249">
        <v>0.50990000000000002</v>
      </c>
      <c r="P1282" s="249">
        <v>0.50990000000000002</v>
      </c>
      <c r="Q1282" s="249">
        <v>0.51270000000000004</v>
      </c>
      <c r="R1282" s="249">
        <v>0.50990000000000002</v>
      </c>
      <c r="S1282" s="249">
        <v>0.50670000000000004</v>
      </c>
      <c r="T1282" s="249">
        <v>0.50670000000000004</v>
      </c>
      <c r="U1282" s="249">
        <v>0.50619999999999998</v>
      </c>
      <c r="V1282" s="249">
        <v>0.50780000000000003</v>
      </c>
      <c r="W1282" s="249">
        <v>0.50880000000000003</v>
      </c>
      <c r="X1282" s="249">
        <v>0.5081</v>
      </c>
      <c r="Y1282" s="249">
        <v>0.50839999999999996</v>
      </c>
      <c r="Z1282" s="243">
        <f ca="1">[1]ExtEntry!$R85</f>
        <v>0.50839999999999996</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0"/>
        <v>NVS</v>
      </c>
    </row>
    <row r="1283" spans="1:135" hidden="1">
      <c r="A1283" s="86" t="str">
        <f t="shared" ca="1" si="101"/>
        <v>ORA</v>
      </c>
      <c r="C1283" s="1">
        <v>86</v>
      </c>
      <c r="F1283" s="249">
        <v>0.24</v>
      </c>
      <c r="G1283" s="249">
        <v>0.24049999999999999</v>
      </c>
      <c r="H1283" s="249">
        <v>0.2382</v>
      </c>
      <c r="I1283" s="249">
        <v>0.24099999999999999</v>
      </c>
      <c r="J1283" s="249">
        <v>0.2387</v>
      </c>
      <c r="K1283" s="249">
        <v>0.23849999999999999</v>
      </c>
      <c r="L1283" s="249">
        <v>0.23980000000000001</v>
      </c>
      <c r="M1283" s="249">
        <v>0.2422</v>
      </c>
      <c r="N1283" s="249">
        <v>0.23710000000000001</v>
      </c>
      <c r="O1283" s="249">
        <v>0.23569999999999999</v>
      </c>
      <c r="P1283" s="249">
        <v>0.23719999999999999</v>
      </c>
      <c r="Q1283" s="249">
        <v>0.2366</v>
      </c>
      <c r="R1283" s="249">
        <v>0.2361</v>
      </c>
      <c r="S1283" s="249">
        <v>0.23760000000000001</v>
      </c>
      <c r="T1283" s="249">
        <v>0.23760000000000001</v>
      </c>
      <c r="U1283" s="249">
        <v>0.23769999999999999</v>
      </c>
      <c r="V1283" s="249">
        <v>0.2389</v>
      </c>
      <c r="W1283" s="249">
        <v>0.2394</v>
      </c>
      <c r="X1283" s="249">
        <v>0.2397</v>
      </c>
      <c r="Y1283" s="249">
        <v>0.2427</v>
      </c>
      <c r="Z1283" s="243">
        <f ca="1">[1]ExtEntry!$R86</f>
        <v>0.2427</v>
      </c>
      <c r="AB1283" s="316">
        <v>-35.999999999999233</v>
      </c>
      <c r="AC1283" s="316">
        <v>234.00000000000034</v>
      </c>
      <c r="AD1283" s="316">
        <v>503.99999999999989</v>
      </c>
      <c r="AE1283" s="316">
        <v>330.00000000000045</v>
      </c>
      <c r="AF1283" s="316">
        <v>-65.999999999999659</v>
      </c>
      <c r="AG1283" s="316">
        <v>42.000000000000171</v>
      </c>
      <c r="AH1283" s="316">
        <v>-101.99999999999889</v>
      </c>
      <c r="AI1283" s="316">
        <v>240.00000000000128</v>
      </c>
      <c r="AJ1283" s="316">
        <v>402.00000000000102</v>
      </c>
      <c r="AK1283" s="316">
        <v>424</v>
      </c>
      <c r="AL1283" s="316">
        <v>532</v>
      </c>
      <c r="AM1283" s="316">
        <v>478</v>
      </c>
      <c r="AN1283" s="316">
        <v>388</v>
      </c>
      <c r="AO1283" s="316">
        <v>382</v>
      </c>
      <c r="AP1283" s="316">
        <v>406</v>
      </c>
      <c r="AQ1283" s="316">
        <v>341</v>
      </c>
      <c r="AR1283" s="316">
        <v>-6</v>
      </c>
      <c r="AS1283" s="316">
        <v>-36</v>
      </c>
      <c r="AT1283" s="316">
        <v>-96</v>
      </c>
      <c r="AU1283" s="316">
        <v>-12</v>
      </c>
      <c r="AV1283" s="316">
        <f ca="1">Calc!Z86</f>
        <v>-12</v>
      </c>
      <c r="AX1283" s="86" t="str">
        <f t="shared" ca="1" si="100"/>
        <v>ORA</v>
      </c>
    </row>
    <row r="1284" spans="1:135" hidden="1">
      <c r="A1284" s="86" t="str">
        <f t="shared" ca="1" si="101"/>
        <v>OXY</v>
      </c>
      <c r="C1284" s="1">
        <v>87</v>
      </c>
      <c r="F1284" s="249">
        <v>0.39989999999999998</v>
      </c>
      <c r="G1284" s="249">
        <v>0.40010000000000001</v>
      </c>
      <c r="H1284" s="249">
        <v>0.40039999999999998</v>
      </c>
      <c r="I1284" s="249">
        <v>0.39019999999999999</v>
      </c>
      <c r="J1284" s="249">
        <v>0.3921</v>
      </c>
      <c r="K1284" s="249">
        <v>0.3846</v>
      </c>
      <c r="L1284" s="249">
        <v>0.39169999999999999</v>
      </c>
      <c r="M1284" s="249">
        <v>0.39429999999999998</v>
      </c>
      <c r="N1284" s="249">
        <v>0.39379999999999998</v>
      </c>
      <c r="O1284" s="249">
        <v>0.39360000000000001</v>
      </c>
      <c r="P1284" s="249">
        <v>0.39360000000000001</v>
      </c>
      <c r="Q1284" s="249">
        <v>0.39200000000000002</v>
      </c>
      <c r="R1284" s="249">
        <v>0.37769999999999998</v>
      </c>
      <c r="S1284" s="249">
        <v>0.37869999999999998</v>
      </c>
      <c r="T1284" s="249">
        <v>0.37869999999999998</v>
      </c>
      <c r="U1284" s="249">
        <v>0.37730000000000002</v>
      </c>
      <c r="V1284" s="249">
        <v>0.37719999999999998</v>
      </c>
      <c r="W1284" s="249">
        <v>0.37990000000000002</v>
      </c>
      <c r="X1284" s="249">
        <v>0.37959999999999999</v>
      </c>
      <c r="Y1284" s="249">
        <v>0.37790000000000001</v>
      </c>
      <c r="Z1284" s="243">
        <f ca="1">[1]ExtEntry!$R87</f>
        <v>0.37790000000000001</v>
      </c>
      <c r="AB1284" s="316">
        <v>-7465.0000000000036</v>
      </c>
      <c r="AC1284" s="316">
        <v>-6969.9999999999991</v>
      </c>
      <c r="AD1284" s="316">
        <v>-6050.6999999999989</v>
      </c>
      <c r="AE1284" s="316">
        <v>-4469.9999999999991</v>
      </c>
      <c r="AF1284" s="316">
        <v>-4725.0000000000018</v>
      </c>
      <c r="AG1284" s="316">
        <v>-5755.0000000000027</v>
      </c>
      <c r="AH1284" s="316">
        <v>-5910.0000000000036</v>
      </c>
      <c r="AI1284" s="316">
        <v>-5910.0000000000036</v>
      </c>
      <c r="AJ1284" s="316">
        <v>-5605.0000000000036</v>
      </c>
      <c r="AK1284" s="316">
        <v>-5810</v>
      </c>
      <c r="AL1284" s="316">
        <v>-5236</v>
      </c>
      <c r="AM1284" s="316">
        <v>-4513</v>
      </c>
      <c r="AN1284" s="316">
        <v>-5261</v>
      </c>
      <c r="AO1284" s="316">
        <v>-4862</v>
      </c>
      <c r="AP1284" s="316">
        <v>-4753</v>
      </c>
      <c r="AQ1284" s="316">
        <v>-4558</v>
      </c>
      <c r="AR1284" s="316">
        <v>-4798</v>
      </c>
      <c r="AS1284" s="316">
        <v>-5511</v>
      </c>
      <c r="AT1284" s="316">
        <v>-5476</v>
      </c>
      <c r="AU1284" s="316">
        <v>-6024</v>
      </c>
      <c r="AV1284" s="316">
        <f ca="1">Calc!Z87</f>
        <v>-6024</v>
      </c>
      <c r="AX1284" s="86" t="str">
        <f t="shared" ca="1" si="100"/>
        <v>OXY</v>
      </c>
    </row>
    <row r="1285" spans="1:135" ht="24" hidden="1" customHeight="1">
      <c r="A1285" s="86" t="str">
        <f t="shared" ca="1" si="101"/>
        <v>PFE</v>
      </c>
      <c r="C1285" s="1">
        <v>88</v>
      </c>
      <c r="F1285" s="249">
        <v>0.42470000000000002</v>
      </c>
      <c r="G1285" s="249">
        <v>0.4229</v>
      </c>
      <c r="H1285" s="249">
        <v>0.41820000000000002</v>
      </c>
      <c r="I1285" s="249">
        <v>0.41010000000000002</v>
      </c>
      <c r="J1285" s="249">
        <v>0.41660000000000003</v>
      </c>
      <c r="K1285" s="249">
        <v>0.40799999999999997</v>
      </c>
      <c r="L1285" s="249">
        <v>0.41199999999999998</v>
      </c>
      <c r="M1285" s="249">
        <v>0.4204</v>
      </c>
      <c r="N1285" s="249">
        <v>0.41320000000000001</v>
      </c>
      <c r="O1285" s="249">
        <v>0.41710000000000003</v>
      </c>
      <c r="P1285" s="249">
        <v>0.41710000000000003</v>
      </c>
      <c r="Q1285" s="249">
        <v>0.41980000000000001</v>
      </c>
      <c r="R1285" s="249">
        <v>0.43140000000000001</v>
      </c>
      <c r="S1285" s="249">
        <v>0.43190000000000001</v>
      </c>
      <c r="T1285" s="249">
        <v>0.43190000000000001</v>
      </c>
      <c r="U1285" s="249">
        <v>0.43009999999999998</v>
      </c>
      <c r="V1285" s="249">
        <v>0.42899999999999999</v>
      </c>
      <c r="W1285" s="249">
        <v>0.42930000000000001</v>
      </c>
      <c r="X1285" s="249">
        <v>0.43109999999999998</v>
      </c>
      <c r="Y1285" s="249">
        <v>0.4299</v>
      </c>
      <c r="Z1285" s="243">
        <f ca="1">[1]ExtEntry!$R88</f>
        <v>0.4299</v>
      </c>
      <c r="AB1285" s="316">
        <v>-487.99999999999955</v>
      </c>
      <c r="AC1285" s="316">
        <v>-104.00000000000205</v>
      </c>
      <c r="AD1285" s="316">
        <v>-904.00000000000205</v>
      </c>
      <c r="AE1285" s="316">
        <v>231.99999999999932</v>
      </c>
      <c r="AF1285" s="316">
        <v>815.99999999999682</v>
      </c>
      <c r="AG1285" s="316">
        <v>119.99999999999886</v>
      </c>
      <c r="AH1285" s="316">
        <v>0</v>
      </c>
      <c r="AI1285" s="316">
        <v>0</v>
      </c>
      <c r="AJ1285" s="316">
        <v>-50.000000000004263</v>
      </c>
      <c r="AK1285" s="316">
        <v>-40</v>
      </c>
      <c r="AL1285" s="316">
        <v>-40</v>
      </c>
      <c r="AM1285" s="316">
        <v>-729</v>
      </c>
      <c r="AN1285" s="316">
        <v>-1127</v>
      </c>
      <c r="AO1285" s="316">
        <v>-90</v>
      </c>
      <c r="AP1285" s="316">
        <v>-234</v>
      </c>
      <c r="AQ1285" s="316">
        <v>-240</v>
      </c>
      <c r="AR1285" s="316">
        <v>578</v>
      </c>
      <c r="AS1285" s="316">
        <v>-310</v>
      </c>
      <c r="AT1285" s="316">
        <v>89</v>
      </c>
      <c r="AU1285" s="316">
        <v>159</v>
      </c>
      <c r="AV1285" s="316">
        <f ca="1">Calc!Z88</f>
        <v>159</v>
      </c>
      <c r="AX1285" s="86" t="str">
        <f t="shared" ca="1" si="100"/>
        <v>PFE</v>
      </c>
    </row>
    <row r="1286" spans="1:135" hidden="1">
      <c r="A1286" s="86" t="str">
        <f t="shared" ca="1" si="101"/>
        <v>RIG</v>
      </c>
      <c r="C1286" s="1">
        <v>89</v>
      </c>
      <c r="F1286" s="249">
        <v>1.4067000000000001</v>
      </c>
      <c r="G1286" s="249">
        <v>1.4079999999999999</v>
      </c>
      <c r="H1286" s="249">
        <v>1.4028</v>
      </c>
      <c r="I1286" s="249">
        <v>1.3976</v>
      </c>
      <c r="J1286" s="249">
        <v>1.3928</v>
      </c>
      <c r="K1286" s="249">
        <v>1.3791</v>
      </c>
      <c r="L1286" s="249">
        <v>1.3711</v>
      </c>
      <c r="M1286" s="249">
        <v>1.3997999999999999</v>
      </c>
      <c r="N1286" s="249">
        <v>1.3986000000000001</v>
      </c>
      <c r="O1286" s="249">
        <v>1.3944000000000001</v>
      </c>
      <c r="P1286" s="249">
        <v>1.3944000000000001</v>
      </c>
      <c r="Q1286" s="249">
        <v>1.3976999999999999</v>
      </c>
      <c r="R1286" s="249">
        <v>1.3579000000000001</v>
      </c>
      <c r="S1286" s="249">
        <v>1.359</v>
      </c>
      <c r="T1286" s="249">
        <v>1.359</v>
      </c>
      <c r="U1286" s="249">
        <v>1.3554999999999999</v>
      </c>
      <c r="V1286" s="249">
        <v>1.3559000000000001</v>
      </c>
      <c r="W1286" s="249">
        <v>1.3556999999999999</v>
      </c>
      <c r="X1286" s="249">
        <v>1.3553999999999999</v>
      </c>
      <c r="Y1286" s="249">
        <v>1.3574999999999999</v>
      </c>
      <c r="Z1286" s="243">
        <f ca="1">[1]ExtEntry!$R89</f>
        <v>1.3574999999999999</v>
      </c>
      <c r="AB1286" s="316">
        <v>6695.0000000000018</v>
      </c>
      <c r="AC1286" s="316">
        <v>7084.9999999999991</v>
      </c>
      <c r="AD1286" s="316">
        <v>7540.0000000000009</v>
      </c>
      <c r="AE1286" s="316">
        <v>8189.9999999999982</v>
      </c>
      <c r="AF1286" s="316">
        <v>9750</v>
      </c>
      <c r="AG1286" s="316">
        <v>9294.9999999999982</v>
      </c>
      <c r="AH1286" s="316">
        <v>6630.0000000000027</v>
      </c>
      <c r="AI1286" s="316">
        <v>6555.9000000000024</v>
      </c>
      <c r="AJ1286" s="316">
        <v>11700.000000000005</v>
      </c>
      <c r="AK1286" s="316">
        <v>11927</v>
      </c>
      <c r="AL1286" s="316">
        <v>13094</v>
      </c>
      <c r="AM1286" s="316">
        <v>13846</v>
      </c>
      <c r="AN1286" s="316">
        <v>12057</v>
      </c>
      <c r="AO1286" s="316">
        <v>13872</v>
      </c>
      <c r="AP1286" s="316">
        <v>13807</v>
      </c>
      <c r="AQ1286" s="316">
        <v>14131</v>
      </c>
      <c r="AR1286" s="316">
        <v>13742</v>
      </c>
      <c r="AS1286" s="316">
        <v>14909</v>
      </c>
      <c r="AT1286" s="316">
        <v>11862</v>
      </c>
      <c r="AU1286" s="316">
        <v>11733</v>
      </c>
      <c r="AV1286" s="316">
        <f ca="1">Calc!Z89</f>
        <v>11733</v>
      </c>
      <c r="AX1286" s="86" t="str">
        <f t="shared" ca="1" si="100"/>
        <v>RIG</v>
      </c>
    </row>
    <row r="1287" spans="1:135">
      <c r="A1287" s="86" t="str">
        <f t="shared" ca="1" si="101"/>
        <v>RRC</v>
      </c>
      <c r="C1287" s="1">
        <v>90</v>
      </c>
      <c r="F1287" s="249">
        <v>0.47420000000000001</v>
      </c>
      <c r="G1287" s="249">
        <v>0.4748</v>
      </c>
      <c r="H1287" s="249">
        <v>0.47449999999999998</v>
      </c>
      <c r="I1287" s="249">
        <v>0.46650000000000003</v>
      </c>
      <c r="J1287" s="249">
        <v>0.46539999999999998</v>
      </c>
      <c r="K1287" s="249">
        <v>0.45250000000000001</v>
      </c>
      <c r="L1287" s="249">
        <v>0.44259999999999999</v>
      </c>
      <c r="M1287" s="249">
        <v>0.45710000000000001</v>
      </c>
      <c r="N1287" s="249">
        <v>0.46970000000000001</v>
      </c>
      <c r="O1287" s="249">
        <v>0.4698</v>
      </c>
      <c r="P1287" s="249">
        <v>0.4698</v>
      </c>
      <c r="Q1287" s="249">
        <v>0.46989999999999998</v>
      </c>
      <c r="R1287" s="249">
        <v>0.50600000000000001</v>
      </c>
      <c r="S1287" s="249">
        <v>0.5091</v>
      </c>
      <c r="T1287" s="249">
        <v>0.5091</v>
      </c>
      <c r="U1287" s="249">
        <v>0.50290000000000001</v>
      </c>
      <c r="V1287" s="249">
        <v>0.50290000000000001</v>
      </c>
      <c r="W1287" s="249">
        <v>0.50870000000000004</v>
      </c>
      <c r="X1287" s="249">
        <v>0.50960000000000005</v>
      </c>
      <c r="Y1287" s="249">
        <v>0.50519999999999998</v>
      </c>
      <c r="Z1287" s="243">
        <f ca="1">[1]ExtEntry!$R90</f>
        <v>0.50519999999999998</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0"/>
        <v>RRC</v>
      </c>
    </row>
    <row r="1288" spans="1:135">
      <c r="A1288" s="86" t="str">
        <f t="shared" ca="1" si="101"/>
        <v>XYZ</v>
      </c>
      <c r="C1288" s="1">
        <v>91</v>
      </c>
      <c r="F1288" s="241">
        <v>2.6463000000000001</v>
      </c>
      <c r="G1288" s="241">
        <v>2.6461999999999999</v>
      </c>
      <c r="H1288" s="241">
        <v>2.6457000000000002</v>
      </c>
      <c r="I1288" s="241">
        <v>2.6739999999999999</v>
      </c>
      <c r="J1288" s="241">
        <v>2.6848000000000001</v>
      </c>
      <c r="K1288" s="241">
        <v>2.6939000000000002</v>
      </c>
      <c r="L1288" s="241">
        <v>2.6732999999999998</v>
      </c>
      <c r="M1288" s="241">
        <v>2.6749999999999998</v>
      </c>
      <c r="N1288" s="241">
        <v>2.6688999999999998</v>
      </c>
      <c r="O1288" s="241">
        <v>2.6631999999999998</v>
      </c>
      <c r="P1288" s="241">
        <v>2.6631999999999998</v>
      </c>
      <c r="Q1288" s="241">
        <v>2.6577999999999999</v>
      </c>
      <c r="R1288" s="241">
        <v>2.6627000000000001</v>
      </c>
      <c r="S1288" s="241">
        <v>2.6717</v>
      </c>
      <c r="T1288" s="241">
        <v>2.6717</v>
      </c>
      <c r="U1288" s="241">
        <v>2.6695000000000002</v>
      </c>
      <c r="V1288" s="241">
        <v>2.6688000000000001</v>
      </c>
      <c r="W1288" s="241">
        <v>2.6697000000000002</v>
      </c>
      <c r="X1288" s="241">
        <v>2.6688999999999998</v>
      </c>
      <c r="Y1288" s="241">
        <v>2.6663000000000001</v>
      </c>
      <c r="Z1288" s="243">
        <f ca="1">[1]ExtEntry!$R91</f>
        <v>2.6663000000000001</v>
      </c>
      <c r="AB1288" s="316">
        <v>-1973.9999999999952</v>
      </c>
      <c r="AC1288" s="316">
        <v>-3420.0000000000018</v>
      </c>
      <c r="AD1288" s="316">
        <v>-6852.0000000000009</v>
      </c>
      <c r="AE1288" s="316">
        <v>-9884.9999999999964</v>
      </c>
      <c r="AF1288" s="316">
        <v>-11579.999999999998</v>
      </c>
      <c r="AG1288" s="316">
        <v>-11667</v>
      </c>
      <c r="AH1288" s="316">
        <v>-8255.9999999999982</v>
      </c>
      <c r="AI1288" s="316">
        <v>-8925</v>
      </c>
      <c r="AJ1288" s="316">
        <v>-6672.0000000000027</v>
      </c>
      <c r="AK1288" s="316">
        <v>-7127</v>
      </c>
      <c r="AL1288" s="316">
        <v>-6086</v>
      </c>
      <c r="AM1288" s="316">
        <v>-6313</v>
      </c>
      <c r="AN1288" s="316">
        <v>-10128</v>
      </c>
      <c r="AO1288" s="316">
        <v>-9035</v>
      </c>
      <c r="AP1288" s="316">
        <v>-9473</v>
      </c>
      <c r="AQ1288" s="316">
        <v>-9515</v>
      </c>
      <c r="AR1288" s="316">
        <v>-9491</v>
      </c>
      <c r="AS1288" s="316">
        <v>-9101</v>
      </c>
      <c r="AT1288" s="316">
        <v>-8174</v>
      </c>
      <c r="AU1288" s="316">
        <v>-7983</v>
      </c>
      <c r="AV1288" s="316">
        <f ca="1">Calc!Z91</f>
        <v>-7983</v>
      </c>
      <c r="AX1288" s="86" t="str">
        <f t="shared" ca="1" si="100"/>
        <v>XYZ</v>
      </c>
    </row>
    <row r="1289" spans="1:135">
      <c r="A1289" s="86" t="str">
        <f t="shared" ca="1" si="101"/>
        <v>THC</v>
      </c>
      <c r="C1289" s="1">
        <v>92</v>
      </c>
      <c r="F1289" s="249">
        <v>1.4472</v>
      </c>
      <c r="G1289" s="249">
        <v>1.4473</v>
      </c>
      <c r="H1289" s="249">
        <v>1.4489000000000001</v>
      </c>
      <c r="I1289" s="249">
        <v>1.4581</v>
      </c>
      <c r="J1289" s="249">
        <v>1.4630000000000001</v>
      </c>
      <c r="K1289" s="249">
        <v>1.4632000000000001</v>
      </c>
      <c r="L1289" s="249">
        <v>1.46</v>
      </c>
      <c r="M1289" s="249">
        <v>1.4737</v>
      </c>
      <c r="N1289" s="249">
        <v>1.4367000000000001</v>
      </c>
      <c r="O1289" s="249">
        <v>1.4418</v>
      </c>
      <c r="P1289" s="249">
        <v>1.4418</v>
      </c>
      <c r="Q1289" s="249">
        <v>1.4444999999999999</v>
      </c>
      <c r="R1289" s="249">
        <v>1.4024000000000001</v>
      </c>
      <c r="S1289" s="249">
        <v>1.4025000000000001</v>
      </c>
      <c r="T1289" s="249">
        <v>1.4025000000000001</v>
      </c>
      <c r="U1289" s="249">
        <v>1.4037999999999999</v>
      </c>
      <c r="V1289" s="249">
        <v>1.4034</v>
      </c>
      <c r="W1289" s="249">
        <v>1.4063000000000001</v>
      </c>
      <c r="X1289" s="249">
        <v>1.4089</v>
      </c>
      <c r="Y1289" s="249">
        <v>1.4053</v>
      </c>
      <c r="Z1289" s="243">
        <f ca="1">[1]ExtEntry!$R92</f>
        <v>1.4053</v>
      </c>
      <c r="AB1289" s="316">
        <v>2213.9999999999986</v>
      </c>
      <c r="AC1289" s="316">
        <v>1377.0000000000009</v>
      </c>
      <c r="AD1289" s="316">
        <v>1081.4999999999968</v>
      </c>
      <c r="AE1289" s="316">
        <v>-2499.0000000000036</v>
      </c>
      <c r="AF1289" s="316">
        <v>-2472.0000000000027</v>
      </c>
      <c r="AG1289" s="316">
        <v>-2297.9999999999991</v>
      </c>
      <c r="AH1289" s="316">
        <v>-3885.000000000005</v>
      </c>
      <c r="AI1289" s="316">
        <v>-2063.9999999999986</v>
      </c>
      <c r="AJ1289" s="316">
        <v>5227.4999999999945</v>
      </c>
      <c r="AK1289" s="316">
        <v>4840</v>
      </c>
      <c r="AL1289" s="316">
        <v>4667</v>
      </c>
      <c r="AM1289" s="316">
        <v>5184</v>
      </c>
      <c r="AN1289" s="316">
        <v>3992</v>
      </c>
      <c r="AO1289" s="316">
        <v>3832</v>
      </c>
      <c r="AP1289" s="316">
        <v>3021</v>
      </c>
      <c r="AQ1289" s="316">
        <v>3322</v>
      </c>
      <c r="AR1289" s="316">
        <v>2620</v>
      </c>
      <c r="AS1289" s="316">
        <v>77</v>
      </c>
      <c r="AT1289" s="316">
        <v>-1128</v>
      </c>
      <c r="AU1289" s="316">
        <v>-1091</v>
      </c>
      <c r="AV1289" s="316">
        <f ca="1">Calc!Z92</f>
        <v>-1091</v>
      </c>
      <c r="AX1289" s="86" t="str">
        <f t="shared" ca="1" si="100"/>
        <v>THC</v>
      </c>
    </row>
    <row r="1290" spans="1:135">
      <c r="A1290" s="86" t="str">
        <f t="shared" ca="1" si="101"/>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0"/>
        <v>X</v>
      </c>
    </row>
    <row r="1291" spans="1:135">
      <c r="A1291" s="86" t="str">
        <f t="shared" ca="1" si="101"/>
        <v>LOCK</v>
      </c>
      <c r="C1291" s="1">
        <v>94</v>
      </c>
      <c r="F1291" s="344">
        <v>0.57769999999999999</v>
      </c>
      <c r="G1291" s="344">
        <v>0.57769999999999999</v>
      </c>
      <c r="H1291" s="241">
        <v>0.57769999999999999</v>
      </c>
      <c r="I1291" s="241">
        <v>0.58169999999999999</v>
      </c>
      <c r="J1291" s="241">
        <v>0.58169999999999999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0.621</v>
      </c>
      <c r="X1291" s="241">
        <v>0.621</v>
      </c>
      <c r="Y1291" s="241">
        <v>0.621</v>
      </c>
      <c r="Z1291" s="243">
        <f ca="1">[1]ExtEntry!$R94</f>
        <v>0.621</v>
      </c>
      <c r="AB1291" s="316">
        <v>383649.60000000009</v>
      </c>
      <c r="AC1291" s="316">
        <v>374705.99999999994</v>
      </c>
      <c r="AD1291" s="316">
        <v>372701.39999999997</v>
      </c>
      <c r="AE1291" s="316">
        <v>365916.60000000003</v>
      </c>
      <c r="AF1291" s="316">
        <v>343557.6</v>
      </c>
      <c r="AG1291" s="316">
        <v>341167.50000000006</v>
      </c>
      <c r="AH1291" s="316">
        <v>351961.49999999994</v>
      </c>
      <c r="AI1291" s="316">
        <v>319116.89999999997</v>
      </c>
      <c r="AJ1291" s="316">
        <v>349725.6</v>
      </c>
      <c r="AK1291" s="316">
        <v>350165</v>
      </c>
      <c r="AL1291" s="316">
        <v>349319</v>
      </c>
      <c r="AM1291" s="316">
        <v>348473</v>
      </c>
      <c r="AN1291" s="316">
        <v>358239</v>
      </c>
      <c r="AO1291" s="316">
        <v>354471</v>
      </c>
      <c r="AP1291" s="316">
        <v>354471</v>
      </c>
      <c r="AQ1291" s="316">
        <v>359238</v>
      </c>
      <c r="AR1291" s="316">
        <v>361699</v>
      </c>
      <c r="AS1291" s="316">
        <v>374616</v>
      </c>
      <c r="AT1291" s="316">
        <v>376462</v>
      </c>
      <c r="AU1291" s="316">
        <v>383536</v>
      </c>
      <c r="AV1291" s="316">
        <f ca="1">Calc!Z94</f>
        <v>383536</v>
      </c>
      <c r="AX1291" s="86" t="str">
        <f t="shared" ca="1" si="100"/>
        <v>LOCK</v>
      </c>
    </row>
    <row r="1292" spans="1:135">
      <c r="A1292" s="86" t="str">
        <f t="shared" ca="1" si="101"/>
        <v>JBASML</v>
      </c>
      <c r="C1292" s="1">
        <v>95</v>
      </c>
      <c r="F1292" s="344">
        <v>2.1158000000000001</v>
      </c>
      <c r="G1292" s="241">
        <v>2.1168999999999998</v>
      </c>
      <c r="H1292" s="241">
        <v>2.1183000000000001</v>
      </c>
      <c r="I1292" s="241">
        <v>2.1202999999999999</v>
      </c>
      <c r="J1292" s="1068">
        <v>2.1173000000000002</v>
      </c>
      <c r="K1292" s="243">
        <v>2.1166999999999998</v>
      </c>
      <c r="L1292" s="1069">
        <v>2.0914000000000001</v>
      </c>
      <c r="M1292" s="239">
        <v>2.0895999999999999</v>
      </c>
      <c r="N1292" s="241">
        <v>2.0969000000000002</v>
      </c>
      <c r="O1292" s="1070">
        <v>2.0773000000000001</v>
      </c>
      <c r="P1292" s="1070">
        <v>2.1011000000000002</v>
      </c>
      <c r="Q1292" s="241">
        <v>2.0979000000000001</v>
      </c>
      <c r="R1292" s="245">
        <v>2.0914000000000001</v>
      </c>
      <c r="S1292" s="241">
        <v>2.0903999999999998</v>
      </c>
      <c r="T1292" s="241">
        <v>2.0903999999999998</v>
      </c>
      <c r="U1292" s="241">
        <v>2.0872999999999999</v>
      </c>
      <c r="V1292" s="241">
        <v>2.09</v>
      </c>
      <c r="W1292" s="1071">
        <v>2.0893999999999999</v>
      </c>
      <c r="X1292" s="343">
        <v>2.0882999999999998</v>
      </c>
      <c r="Y1292" s="241">
        <v>2.0899000000000001</v>
      </c>
      <c r="Z1292" s="243">
        <f ca="1">[1]ExtEntry!$R95</f>
        <v>2.0899000000000001</v>
      </c>
      <c r="AB1292" s="316">
        <v>36572</v>
      </c>
      <c r="AC1292" s="316">
        <v>34311.999999999985</v>
      </c>
      <c r="AD1292" s="316">
        <v>29411.999999999989</v>
      </c>
      <c r="AE1292" s="316">
        <v>30072.000000000004</v>
      </c>
      <c r="AF1292" s="316">
        <v>27131.999999999993</v>
      </c>
      <c r="AG1292" s="316">
        <v>32572.000000000004</v>
      </c>
      <c r="AH1292" s="316">
        <v>33211.999999999985</v>
      </c>
      <c r="AI1292" s="316">
        <v>22052</v>
      </c>
      <c r="AJ1292" s="316">
        <v>37111.999999999985</v>
      </c>
      <c r="AK1292" s="316">
        <v>34598</v>
      </c>
      <c r="AL1292" s="316">
        <v>35834</v>
      </c>
      <c r="AM1292" s="316">
        <v>40482</v>
      </c>
      <c r="AN1292" s="316">
        <v>42955</v>
      </c>
      <c r="AO1292" s="316">
        <v>0</v>
      </c>
      <c r="AP1292" s="316">
        <v>0</v>
      </c>
      <c r="AQ1292" s="316">
        <v>0</v>
      </c>
      <c r="AR1292" s="316">
        <v>0</v>
      </c>
      <c r="AS1292" s="316">
        <v>0</v>
      </c>
      <c r="AT1292" s="316">
        <v>0</v>
      </c>
      <c r="AU1292" s="316">
        <v>0</v>
      </c>
      <c r="AV1292" s="316">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1"/>
        <v>JBEOAN</v>
      </c>
      <c r="C1293" s="1">
        <v>96</v>
      </c>
      <c r="F1293" s="344">
        <v>0.85360000000000003</v>
      </c>
      <c r="G1293" s="241">
        <v>0.85350000000000004</v>
      </c>
      <c r="H1293" s="241">
        <v>0.85299999999999998</v>
      </c>
      <c r="I1293" s="241">
        <v>0.84770000000000001</v>
      </c>
      <c r="J1293" s="241">
        <v>0.8599</v>
      </c>
      <c r="K1293" s="241">
        <v>0.86180000000000001</v>
      </c>
      <c r="L1293" s="241">
        <v>0.86380000000000001</v>
      </c>
      <c r="M1293" s="241">
        <v>0.85940000000000005</v>
      </c>
      <c r="N1293" s="241">
        <v>0.86270000000000002</v>
      </c>
      <c r="O1293" s="241">
        <v>0.85960000000000003</v>
      </c>
      <c r="P1293" s="241">
        <v>0.86150000000000004</v>
      </c>
      <c r="Q1293" s="241">
        <v>0.86080000000000001</v>
      </c>
      <c r="R1293" s="241">
        <v>0.86699999999999999</v>
      </c>
      <c r="S1293" s="241">
        <v>0.86660000000000004</v>
      </c>
      <c r="T1293" s="241">
        <v>0.86660000000000004</v>
      </c>
      <c r="U1293" s="241">
        <v>0.86150000000000004</v>
      </c>
      <c r="V1293" s="241">
        <v>0.86660000000000004</v>
      </c>
      <c r="W1293" s="241">
        <v>0.86650000000000005</v>
      </c>
      <c r="X1293" s="241">
        <v>0.86660000000000004</v>
      </c>
      <c r="Y1293" s="241">
        <v>0.86650000000000005</v>
      </c>
      <c r="Z1293" s="243">
        <f ca="1">[1]ExtEntry!$R96</f>
        <v>0.86650000000000005</v>
      </c>
      <c r="AB1293" s="316">
        <v>6150.0000000000018</v>
      </c>
      <c r="AC1293" s="316">
        <v>6299.99999999999</v>
      </c>
      <c r="AD1293" s="316">
        <v>6425.0000000000009</v>
      </c>
      <c r="AE1293" s="316">
        <v>284.99999999999659</v>
      </c>
      <c r="AF1293" s="316">
        <v>240.00000000000023</v>
      </c>
      <c r="AG1293" s="316">
        <v>450.00000000000108</v>
      </c>
      <c r="AH1293" s="316">
        <v>750</v>
      </c>
      <c r="AI1293" s="316">
        <v>1139.999999999997</v>
      </c>
      <c r="AJ1293" s="316">
        <v>914.99999999999909</v>
      </c>
      <c r="AK1293" s="316">
        <v>478</v>
      </c>
      <c r="AL1293" s="316">
        <v>523</v>
      </c>
      <c r="AM1293" s="316">
        <v>209</v>
      </c>
      <c r="AN1293" s="316">
        <v>403</v>
      </c>
      <c r="AO1293" s="316">
        <v>1765</v>
      </c>
      <c r="AP1293" s="316">
        <v>2124</v>
      </c>
      <c r="AQ1293" s="316">
        <v>1316</v>
      </c>
      <c r="AR1293" s="316">
        <v>852</v>
      </c>
      <c r="AS1293" s="316">
        <v>1301</v>
      </c>
      <c r="AT1293" s="316">
        <v>1196</v>
      </c>
      <c r="AU1293" s="316">
        <v>-345</v>
      </c>
      <c r="AV1293" s="316">
        <f ca="1">Calc!Z96</f>
        <v>-345</v>
      </c>
      <c r="AX1293" s="86" t="str">
        <f t="shared" ca="1" si="100"/>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-300.00000000001137</v>
      </c>
      <c r="AC1296" s="91" cm="1">
        <f t="array" aca="1" ref="AC1296" ca="1">_xlfn.XLOOKUP(DataShiftChartTicker,ListTickers,Tab2ReBuy[RevBuy1])</f>
        <v>-2289.6000000000072</v>
      </c>
      <c r="AD1296" s="91" cm="1">
        <f t="array" aca="1" ref="AD1296" ca="1">_xlfn.XLOOKUP(DataShiftChartTicker,ListTickers,Tab2ReBuy[RevBuy2])</f>
        <v>-3759.9999999999909</v>
      </c>
      <c r="AE1296" s="91" cm="1">
        <f t="array" aca="1" ref="AE1296" ca="1">_xlfn.XLOOKUP(DataShiftChartTicker,ListTickers,Tab2ReBuy[RevBuy3])</f>
        <v>-12659.999999999996</v>
      </c>
      <c r="AF1296" s="91" cm="1">
        <f t="array" aca="1" ref="AF1296" ca="1">_xlfn.XLOOKUP(DataShiftChartTicker,ListTickers,Tab2ReBuy[RevBuy4])</f>
        <v>-10280.000000000002</v>
      </c>
      <c r="AG1296" s="91" cm="1">
        <f t="array" aca="1" ref="AG1296" ca="1">_xlfn.XLOOKUP(DataShiftChartTicker,ListTickers,Tab2ReBuy[RevBuy5])</f>
        <v>-12250</v>
      </c>
      <c r="AH1296" s="91" cm="1">
        <f t="array" aca="1" ref="AH1296" ca="1">_xlfn.XLOOKUP(DataShiftChartTicker,ListTickers,Tab2ReBuy[RevBuy6])</f>
        <v>-2800.0000000000114</v>
      </c>
      <c r="AI1296" s="91" cm="1">
        <f t="array" aca="1" ref="AI1296" ca="1">_xlfn.XLOOKUP(DataShiftChartTicker,ListTickers,Tab2ReBuy[RevBuy7])</f>
        <v>-4300.0000000000109</v>
      </c>
      <c r="AJ1296" s="91" cm="1">
        <f t="array" aca="1" ref="AJ1296" ca="1">_xlfn.XLOOKUP(DataShiftChartTicker,ListTickers,Tab2ReBuy[RevBuy8])</f>
        <v>-17960.000000000007</v>
      </c>
      <c r="AK1296" s="91" cm="1">
        <f t="array" aca="1" ref="AK1296" ca="1">_xlfn.XLOOKUP(DataShiftChartTicker,ListTickers,Tab2ReBuy[RevBuy9])</f>
        <v>-18099.999999999993</v>
      </c>
      <c r="AL1296" s="91" cm="1">
        <f t="array" aca="1" ref="AL1296" ca="1">_xlfn.XLOOKUP(DataShiftChartTicker,ListTickers,Tab2ReBuy[RevBuy10])</f>
        <v>-18520.000000000011</v>
      </c>
      <c r="AM1296" s="91" cm="1">
        <f t="array" aca="1" ref="AM1296" ca="1">_xlfn.XLOOKUP(DataShiftChartTicker,ListTickers,Tab2ReBuy[RevBuy11])</f>
        <v>-21060.000000000004</v>
      </c>
      <c r="AN1296" s="91" cm="1">
        <f t="array" aca="1" ref="AN1296" ca="1">_xlfn.XLOOKUP(DataShiftChartTicker,ListTickers,Tab2ReBuy[RevBuy12])</f>
        <v>-17970</v>
      </c>
      <c r="AO1296" s="91" cm="1">
        <f t="array" aca="1" ref="AO1296" ca="1">_xlfn.XLOOKUP(DataShiftChartTicker,ListTickers,Tab2ReBuy[RevBuy13])</f>
        <v>-19420.000000000015</v>
      </c>
      <c r="AP1296" s="91" cm="1">
        <f t="array" aca="1" ref="AP1296" ca="1">_xlfn.XLOOKUP(DataShiftChartTicker,ListTickers,Tab2ReBuy[RevBuy14])</f>
        <v>-16400.000000000007</v>
      </c>
      <c r="AQ1296" s="91" cm="1">
        <f t="array" aca="1" ref="AQ1296" ca="1">_xlfn.XLOOKUP(DataShiftChartTicker,ListTickers,Tab2ReBuy[RevBuy15])</f>
        <v>-290.00000000002046</v>
      </c>
      <c r="AR1296" s="91" cm="1">
        <f t="array" aca="1" ref="AR1296" ca="1">_xlfn.XLOOKUP(DataShiftChartTicker,ListTickers,Tab2ReBuy[RevBuy16])</f>
        <v>1299.9999999999829</v>
      </c>
      <c r="AS1296" s="91" cm="1">
        <f t="array" aca="1" ref="AS1296" ca="1">_xlfn.XLOOKUP(DataShiftChartTicker,ListTickers,Tab2ReBuy[RevBuy17])</f>
        <v>-4460.0000000000082</v>
      </c>
      <c r="AT1296" s="91" cm="1">
        <f t="array" aca="1" ref="AT1296" ca="1">_xlfn.XLOOKUP(DataShiftChartTicker,ListTickers,Tab2ReBuy[RevBuy18])</f>
        <v>-8010.0000000000191</v>
      </c>
      <c r="AU1296" s="91" cm="1">
        <f t="array" aca="1" ref="AU1296" ca="1">_xlfn.XLOOKUP(DataShiftChartTicker,ListTickers,Tab2ReBuy[RevBuy19])</f>
        <v>-80.000000000012506</v>
      </c>
      <c r="AV1296" s="91" cm="1">
        <f t="array" aca="1" ref="AV1296" ca="1">_xlfn.XLOOKUP(DataShiftChartTicker,ListTickers,Tab2ReBuy[RevBuy20])</f>
        <v>-80.000000000012506</v>
      </c>
      <c r="AX1296" s="86"/>
    </row>
    <row r="1297" spans="1:50" ht="23" customHeight="1">
      <c r="A1297" s="86"/>
      <c r="F1297" s="115">
        <f t="shared" ref="F1297:Z1297" ca="1" si="102">F1198</f>
        <v>45974</v>
      </c>
      <c r="G1297" s="115">
        <f t="shared" ca="1" si="102"/>
        <v>45975</v>
      </c>
      <c r="H1297" s="115">
        <f t="shared" ca="1" si="102"/>
        <v>45978</v>
      </c>
      <c r="I1297" s="115">
        <f t="shared" ca="1" si="102"/>
        <v>45979</v>
      </c>
      <c r="J1297" s="115">
        <f t="shared" ca="1" si="102"/>
        <v>45980</v>
      </c>
      <c r="K1297" s="115">
        <f t="shared" ca="1" si="102"/>
        <v>45981</v>
      </c>
      <c r="L1297" s="115">
        <f t="shared" ca="1" si="102"/>
        <v>45982</v>
      </c>
      <c r="M1297" s="115">
        <f t="shared" ca="1" si="102"/>
        <v>45985</v>
      </c>
      <c r="N1297" s="115">
        <f t="shared" ca="1" si="102"/>
        <v>45986</v>
      </c>
      <c r="O1297" s="115">
        <f t="shared" ca="1" si="102"/>
        <v>45987</v>
      </c>
      <c r="P1297" s="115">
        <f t="shared" ca="1" si="102"/>
        <v>45988</v>
      </c>
      <c r="Q1297" s="115">
        <f t="shared" ca="1" si="102"/>
        <v>45989</v>
      </c>
      <c r="R1297" s="115">
        <f t="shared" ca="1" si="102"/>
        <v>45992</v>
      </c>
      <c r="S1297" s="115">
        <f t="shared" ca="1" si="102"/>
        <v>45993</v>
      </c>
      <c r="T1297" s="115">
        <f t="shared" ca="1" si="102"/>
        <v>45994</v>
      </c>
      <c r="U1297" s="115">
        <f t="shared" ca="1" si="102"/>
        <v>45995</v>
      </c>
      <c r="V1297" s="115">
        <f t="shared" ca="1" si="102"/>
        <v>45996</v>
      </c>
      <c r="W1297" s="115">
        <f t="shared" ca="1" si="102"/>
        <v>45999</v>
      </c>
      <c r="X1297" s="115">
        <f t="shared" ca="1" si="102"/>
        <v>46000</v>
      </c>
      <c r="Y1297" s="115">
        <f t="shared" ca="1" si="102"/>
        <v>46001</v>
      </c>
      <c r="Z1297" s="115">
        <f t="shared" ca="1" si="102"/>
        <v>46002</v>
      </c>
      <c r="AB1297" s="115">
        <f t="shared" ref="AB1297:AV1297" ca="1" si="103">F1198</f>
        <v>45974</v>
      </c>
      <c r="AC1297" s="115">
        <f t="shared" ca="1" si="103"/>
        <v>45975</v>
      </c>
      <c r="AD1297" s="115">
        <f t="shared" ca="1" si="103"/>
        <v>45978</v>
      </c>
      <c r="AE1297" s="115">
        <f t="shared" ca="1" si="103"/>
        <v>45979</v>
      </c>
      <c r="AF1297" s="115">
        <f t="shared" ca="1" si="103"/>
        <v>45980</v>
      </c>
      <c r="AG1297" s="115">
        <f t="shared" ca="1" si="103"/>
        <v>45981</v>
      </c>
      <c r="AH1297" s="115">
        <f t="shared" ca="1" si="103"/>
        <v>45982</v>
      </c>
      <c r="AI1297" s="115">
        <f t="shared" ca="1" si="103"/>
        <v>45985</v>
      </c>
      <c r="AJ1297" s="115">
        <f t="shared" ca="1" si="103"/>
        <v>45986</v>
      </c>
      <c r="AK1297" s="115">
        <f t="shared" ca="1" si="103"/>
        <v>45987</v>
      </c>
      <c r="AL1297" s="115">
        <f t="shared" ca="1" si="103"/>
        <v>45988</v>
      </c>
      <c r="AM1297" s="115">
        <f t="shared" ca="1" si="103"/>
        <v>45989</v>
      </c>
      <c r="AN1297" s="115">
        <f t="shared" ca="1" si="103"/>
        <v>45992</v>
      </c>
      <c r="AO1297" s="115">
        <f t="shared" ca="1" si="103"/>
        <v>45993</v>
      </c>
      <c r="AP1297" s="115">
        <f t="shared" ca="1" si="103"/>
        <v>45994</v>
      </c>
      <c r="AQ1297" s="115">
        <f t="shared" ca="1" si="103"/>
        <v>45995</v>
      </c>
      <c r="AR1297" s="115">
        <f t="shared" ca="1" si="103"/>
        <v>45996</v>
      </c>
      <c r="AS1297" s="115">
        <f t="shared" ca="1" si="103"/>
        <v>45999</v>
      </c>
      <c r="AT1297" s="115">
        <f t="shared" ca="1" si="103"/>
        <v>46000</v>
      </c>
      <c r="AU1297" s="115">
        <f t="shared" ca="1" si="103"/>
        <v>46001</v>
      </c>
      <c r="AV1297" s="115">
        <f t="shared" ca="1" si="103"/>
        <v>46002</v>
      </c>
      <c r="AX1297" s="86"/>
    </row>
    <row r="1298" spans="1:50" ht="23" customHeight="1">
      <c r="A1298" s="86"/>
      <c r="F1298" s="278" t="s">
        <v>2409</v>
      </c>
      <c r="G1298" s="278" t="s">
        <v>2410</v>
      </c>
      <c r="H1298" s="278" t="s">
        <v>2411</v>
      </c>
      <c r="I1298" s="278" t="s">
        <v>2412</v>
      </c>
      <c r="J1298" s="278" t="s">
        <v>2413</v>
      </c>
      <c r="K1298" s="278" t="s">
        <v>2414</v>
      </c>
      <c r="L1298" s="278" t="s">
        <v>2415</v>
      </c>
      <c r="M1298" s="278" t="s">
        <v>2416</v>
      </c>
      <c r="N1298" s="278" t="s">
        <v>2417</v>
      </c>
      <c r="O1298" s="278" t="s">
        <v>2418</v>
      </c>
      <c r="P1298" s="278" t="s">
        <v>2419</v>
      </c>
      <c r="Q1298" s="278" t="s">
        <v>2420</v>
      </c>
      <c r="R1298" s="278" t="s">
        <v>2421</v>
      </c>
      <c r="S1298" s="278" t="s">
        <v>2422</v>
      </c>
      <c r="T1298" s="278" t="s">
        <v>2423</v>
      </c>
      <c r="U1298" s="278" t="s">
        <v>2424</v>
      </c>
      <c r="V1298" s="278" t="s">
        <v>2425</v>
      </c>
      <c r="W1298" s="278" t="s">
        <v>2426</v>
      </c>
      <c r="X1298" s="278" t="s">
        <v>2427</v>
      </c>
      <c r="Y1298" s="278" t="s">
        <v>2428</v>
      </c>
      <c r="Z1298" s="278" t="s">
        <v>2429</v>
      </c>
      <c r="AB1298" s="277" t="s">
        <v>1492</v>
      </c>
      <c r="AC1298" s="277" t="s">
        <v>1493</v>
      </c>
      <c r="AD1298" s="277" t="s">
        <v>1494</v>
      </c>
      <c r="AE1298" s="277" t="s">
        <v>1495</v>
      </c>
      <c r="AF1298" s="277" t="s">
        <v>1496</v>
      </c>
      <c r="AG1298" s="277" t="s">
        <v>1497</v>
      </c>
      <c r="AH1298" s="277" t="s">
        <v>1498</v>
      </c>
      <c r="AI1298" s="277" t="s">
        <v>1499</v>
      </c>
      <c r="AJ1298" s="277" t="s">
        <v>1500</v>
      </c>
      <c r="AK1298" s="277" t="s">
        <v>1501</v>
      </c>
      <c r="AL1298" s="277" t="s">
        <v>1502</v>
      </c>
      <c r="AM1298" s="277" t="s">
        <v>1503</v>
      </c>
      <c r="AN1298" s="277" t="s">
        <v>1504</v>
      </c>
      <c r="AO1298" s="277" t="s">
        <v>1505</v>
      </c>
      <c r="AP1298" s="277" t="s">
        <v>1506</v>
      </c>
      <c r="AQ1298" s="277" t="s">
        <v>1507</v>
      </c>
      <c r="AR1298" s="277" t="s">
        <v>1508</v>
      </c>
      <c r="AS1298" s="277" t="s">
        <v>1509</v>
      </c>
      <c r="AT1298" s="277" t="s">
        <v>1510</v>
      </c>
      <c r="AU1298" s="277" t="s">
        <v>1511</v>
      </c>
      <c r="AV1298" s="277" t="s">
        <v>1512</v>
      </c>
      <c r="AX1298" s="86"/>
    </row>
    <row r="1299" spans="1:50" ht="23" customHeight="1">
      <c r="A1299" s="86" t="str">
        <f t="shared" ref="A1299:A1358" ca="1" si="104">A1200</f>
        <v>AAPL</v>
      </c>
      <c r="F1299" s="973">
        <v>9500</v>
      </c>
      <c r="G1299" s="973">
        <v>9500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-49.999999999982947</v>
      </c>
      <c r="AC1299" s="316">
        <v>-229.99999999998977</v>
      </c>
      <c r="AD1299" s="316">
        <v>1021.5000000000032</v>
      </c>
      <c r="AE1299" s="316">
        <v>-1185.0000000000023</v>
      </c>
      <c r="AF1299" s="316">
        <v>1300.0000000000114</v>
      </c>
      <c r="AG1299" s="316">
        <v>5.0000000000238742</v>
      </c>
      <c r="AH1299" s="316">
        <v>1580.0000000000125</v>
      </c>
      <c r="AI1299" s="316">
        <v>-1000</v>
      </c>
      <c r="AJ1299" s="316">
        <v>-4009.9999999999909</v>
      </c>
      <c r="AK1299" s="316">
        <v>-3754.9999999999955</v>
      </c>
      <c r="AL1299" s="316">
        <v>-4405.0000000000009</v>
      </c>
      <c r="AM1299" s="316">
        <v>-5389.9999999999864</v>
      </c>
      <c r="AN1299" s="316">
        <v>-7957.4999999999818</v>
      </c>
      <c r="AO1299" s="316">
        <v>-8514.9999999999854</v>
      </c>
      <c r="AP1299" s="316">
        <v>-7054.9999999999782</v>
      </c>
      <c r="AQ1299" s="316">
        <v>-5034.9999999999964</v>
      </c>
      <c r="AR1299" s="316">
        <v>-4369.9999999999764</v>
      </c>
      <c r="AS1299" s="316">
        <v>-3769.9999999999818</v>
      </c>
      <c r="AT1299" s="316">
        <v>-4369.9999999999764</v>
      </c>
      <c r="AU1299" s="316">
        <v>-3994.9999999999764</v>
      </c>
      <c r="AV1299" s="316">
        <f ca="1">Calc!AI3</f>
        <v>-3994.9999999999764</v>
      </c>
      <c r="AX1299" s="86" t="str">
        <f t="shared" ref="AX1299:AX1362" ca="1" si="105">A1299</f>
        <v>AAPL</v>
      </c>
    </row>
    <row r="1300" spans="1:50" ht="23" customHeight="1">
      <c r="A1300" s="86" t="str">
        <f t="shared" ca="1" si="104"/>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3080</v>
      </c>
      <c r="AC1300" s="316">
        <v>2924.9999999999991</v>
      </c>
      <c r="AD1300" s="316">
        <v>2814.9999999999995</v>
      </c>
      <c r="AE1300" s="316">
        <v>4000</v>
      </c>
      <c r="AF1300" s="316">
        <v>4510</v>
      </c>
      <c r="AG1300" s="316">
        <v>4600</v>
      </c>
      <c r="AH1300" s="316">
        <v>4934.9999999999991</v>
      </c>
      <c r="AI1300" s="316">
        <v>4709.9999999999991</v>
      </c>
      <c r="AJ1300" s="316">
        <v>4399.9999999999982</v>
      </c>
      <c r="AK1300" s="316">
        <v>4549.9999999999991</v>
      </c>
      <c r="AL1300" s="316">
        <v>4490</v>
      </c>
      <c r="AM1300" s="316">
        <v>4469.9999999999991</v>
      </c>
      <c r="AN1300" s="316">
        <v>4414.9999999999991</v>
      </c>
      <c r="AO1300" s="316">
        <v>4549.9999999999991</v>
      </c>
      <c r="AP1300" s="316">
        <v>4299.9999999999991</v>
      </c>
      <c r="AQ1300" s="316">
        <v>4324.9999999999991</v>
      </c>
      <c r="AR1300" s="316">
        <v>4350</v>
      </c>
      <c r="AS1300" s="316">
        <v>3894.9999999999995</v>
      </c>
      <c r="AT1300" s="316">
        <v>3340</v>
      </c>
      <c r="AU1300" s="316">
        <v>3299.9999999999991</v>
      </c>
      <c r="AV1300" s="316">
        <f ca="1">Calc!AI4</f>
        <v>3299.9999999999991</v>
      </c>
      <c r="AX1300" s="86" t="str">
        <f t="shared" ca="1" si="105"/>
        <v>ADEA</v>
      </c>
    </row>
    <row r="1301" spans="1:50" ht="23" customHeight="1">
      <c r="A1301" s="86" t="str">
        <f t="shared" ca="1" si="104"/>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1201.9999999999995</v>
      </c>
      <c r="AC1301" s="316">
        <v>1522</v>
      </c>
      <c r="AD1301" s="316">
        <v>1461.9999999999991</v>
      </c>
      <c r="AE1301" s="316">
        <v>1361.9999999999991</v>
      </c>
      <c r="AF1301" s="316">
        <v>1401.9999999999998</v>
      </c>
      <c r="AG1301" s="316">
        <v>1401.9999999999998</v>
      </c>
      <c r="AH1301" s="316">
        <v>1301.9999999999995</v>
      </c>
      <c r="AI1301" s="316">
        <v>1601.9999999999998</v>
      </c>
      <c r="AJ1301" s="316">
        <v>2381.9999999999995</v>
      </c>
      <c r="AK1301" s="316">
        <v>2642</v>
      </c>
      <c r="AL1301" s="316">
        <v>2801.9999999999995</v>
      </c>
      <c r="AM1301" s="316">
        <v>2601.9999999999995</v>
      </c>
      <c r="AN1301" s="316">
        <v>2781.9999999999995</v>
      </c>
      <c r="AO1301" s="316">
        <v>2601.9999999999995</v>
      </c>
      <c r="AP1301" s="316">
        <v>2722</v>
      </c>
      <c r="AQ1301" s="316">
        <v>2681.9999999999995</v>
      </c>
      <c r="AR1301" s="316">
        <v>2561.9999999999991</v>
      </c>
      <c r="AS1301" s="316">
        <v>2681.9999999999995</v>
      </c>
      <c r="AT1301" s="316">
        <v>2381.9999999999995</v>
      </c>
      <c r="AU1301" s="316">
        <v>2601.9999999999995</v>
      </c>
      <c r="AV1301" s="316">
        <f ca="1">Calc!AI5</f>
        <v>2601.9999999999995</v>
      </c>
      <c r="AX1301" s="86" t="str">
        <f t="shared" ca="1" si="105"/>
        <v>AET</v>
      </c>
    </row>
    <row r="1302" spans="1:50" ht="23" customHeight="1">
      <c r="A1302" s="86" t="str">
        <f t="shared" ca="1" si="104"/>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-5737</v>
      </c>
      <c r="AC1302" s="316">
        <v>-4458.2800000000025</v>
      </c>
      <c r="AD1302" s="316">
        <v>-4609.0000000000036</v>
      </c>
      <c r="AE1302" s="316">
        <v>-2635.0000000000023</v>
      </c>
      <c r="AF1302" s="316">
        <v>-207.000000000005</v>
      </c>
      <c r="AG1302" s="316">
        <v>66.599999999999682</v>
      </c>
      <c r="AH1302" s="316">
        <v>532.99999999999841</v>
      </c>
      <c r="AI1302" s="316">
        <v>55.999999999994543</v>
      </c>
      <c r="AJ1302" s="316">
        <v>-1643.0000000000007</v>
      </c>
      <c r="AK1302" s="316">
        <v>-1529.000000000002</v>
      </c>
      <c r="AL1302" s="316">
        <v>-2341.0000000000027</v>
      </c>
      <c r="AM1302" s="316">
        <v>-2701.0000000000045</v>
      </c>
      <c r="AN1302" s="316">
        <v>-2556</v>
      </c>
      <c r="AO1302" s="316">
        <v>-2033.0000000000041</v>
      </c>
      <c r="AP1302" s="316">
        <v>-2173.0000000000018</v>
      </c>
      <c r="AQ1302" s="316">
        <v>-1164.3400000000042</v>
      </c>
      <c r="AR1302" s="316">
        <v>-1603.000000000003</v>
      </c>
      <c r="AS1302" s="316">
        <v>-1240.4200000000003</v>
      </c>
      <c r="AT1302" s="316">
        <v>-2053.0000000000027</v>
      </c>
      <c r="AU1302" s="316">
        <v>-1753.000000000003</v>
      </c>
      <c r="AV1302" s="316">
        <f ca="1">Calc!AI6</f>
        <v>-1753.000000000003</v>
      </c>
      <c r="AX1302" s="86" t="str">
        <f t="shared" ca="1" si="105"/>
        <v>AMZN</v>
      </c>
    </row>
    <row r="1303" spans="1:50" ht="23" customHeight="1">
      <c r="A1303" s="86" t="str">
        <f t="shared" ca="1" si="104"/>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5"/>
        <v>ALDNE</v>
      </c>
    </row>
    <row r="1304" spans="1:50" ht="23" customHeight="1">
      <c r="A1304" s="86" t="str">
        <f t="shared" ca="1" si="104"/>
        <v>ASML</v>
      </c>
      <c r="F1304" s="973">
        <v>3600</v>
      </c>
      <c r="G1304" s="973">
        <v>3100</v>
      </c>
      <c r="H1304" s="973">
        <v>3100</v>
      </c>
      <c r="I1304" s="973">
        <v>3000</v>
      </c>
      <c r="J1304" s="973">
        <v>3500</v>
      </c>
      <c r="K1304" s="973">
        <v>3500</v>
      </c>
      <c r="L1304" s="973">
        <v>3500</v>
      </c>
      <c r="M1304" s="973">
        <v>3500</v>
      </c>
      <c r="N1304" s="973">
        <v>3200</v>
      </c>
      <c r="O1304" s="973">
        <v>3200</v>
      </c>
      <c r="P1304" s="973">
        <v>3200</v>
      </c>
      <c r="Q1304" s="973">
        <v>3200</v>
      </c>
      <c r="R1304" s="973">
        <v>3000</v>
      </c>
      <c r="S1304" s="973">
        <v>2800</v>
      </c>
      <c r="T1304" s="973">
        <v>2800</v>
      </c>
      <c r="U1304" s="973">
        <v>2800</v>
      </c>
      <c r="V1304" s="973">
        <v>2800</v>
      </c>
      <c r="W1304" s="973">
        <v>2800</v>
      </c>
      <c r="X1304" s="973">
        <v>2800</v>
      </c>
      <c r="Y1304" s="973">
        <v>2800</v>
      </c>
      <c r="Z1304" s="973">
        <f ca="1">Calc!G8</f>
        <v>2800</v>
      </c>
      <c r="AB1304" s="316">
        <v>364.99999999999773</v>
      </c>
      <c r="AC1304" s="316">
        <v>1495.0000000000045</v>
      </c>
      <c r="AD1304" s="316">
        <v>3945.0000000000045</v>
      </c>
      <c r="AE1304" s="316">
        <v>1260.0000000000023</v>
      </c>
      <c r="AF1304" s="316">
        <v>2730.0000000000068</v>
      </c>
      <c r="AG1304" s="316">
        <v>10.000000000002274</v>
      </c>
      <c r="AH1304" s="316">
        <v>-309.99999999999091</v>
      </c>
      <c r="AI1304" s="316">
        <v>5270.0000000000045</v>
      </c>
      <c r="AJ1304" s="316">
        <v>900.00000000003411</v>
      </c>
      <c r="AK1304" s="316">
        <v>6949.9999999999891</v>
      </c>
      <c r="AL1304" s="316">
        <v>3850.0000000000227</v>
      </c>
      <c r="AM1304" s="316">
        <v>-7800.0000000000109</v>
      </c>
      <c r="AN1304" s="316">
        <v>2270.0000000000045</v>
      </c>
      <c r="AO1304" s="316">
        <v>450</v>
      </c>
      <c r="AP1304" s="316">
        <v>-260.00000000000227</v>
      </c>
      <c r="AQ1304" s="316">
        <v>350</v>
      </c>
      <c r="AR1304" s="316">
        <v>944.99999999999318</v>
      </c>
      <c r="AS1304" s="316">
        <v>814.99999999999773</v>
      </c>
      <c r="AT1304" s="316">
        <v>1504.9999999999955</v>
      </c>
      <c r="AU1304" s="316">
        <v>2014.9999999999977</v>
      </c>
      <c r="AV1304" s="316">
        <f ca="1">Calc!AI8</f>
        <v>2014.9999999999977</v>
      </c>
      <c r="AX1304" s="86" t="str">
        <f t="shared" ca="1" si="105"/>
        <v>ASML</v>
      </c>
    </row>
    <row r="1305" spans="1:50" ht="23" hidden="1" customHeight="1">
      <c r="A1305" s="86" t="str">
        <f t="shared" ca="1" si="104"/>
        <v>AVGO</v>
      </c>
      <c r="F1305" s="973">
        <v>400</v>
      </c>
      <c r="G1305" s="973">
        <v>400</v>
      </c>
      <c r="H1305" s="973">
        <v>400</v>
      </c>
      <c r="I1305" s="973">
        <v>400</v>
      </c>
      <c r="J1305" s="973">
        <v>200</v>
      </c>
      <c r="K1305" s="973">
        <v>200</v>
      </c>
      <c r="L1305" s="973">
        <v>200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-2062.4000000000069</v>
      </c>
      <c r="AC1305" s="316">
        <v>-1521.6000000000076</v>
      </c>
      <c r="AD1305" s="316">
        <v>-207.20000000000255</v>
      </c>
      <c r="AE1305" s="316">
        <v>580.79999999999927</v>
      </c>
      <c r="AF1305" s="316">
        <v>363.99999999999864</v>
      </c>
      <c r="AG1305" s="316">
        <v>-1130.0000000000068</v>
      </c>
      <c r="AH1305" s="316">
        <v>-1644.0000000000055</v>
      </c>
      <c r="AI1305" s="316">
        <v>-234.96000000000095</v>
      </c>
      <c r="AJ1305" s="316">
        <v>-10599.5</v>
      </c>
      <c r="AK1305" s="316">
        <v>-11050</v>
      </c>
      <c r="AL1305" s="316">
        <v>-12127.999999999996</v>
      </c>
      <c r="AM1305" s="316">
        <v>-9572.0000000000036</v>
      </c>
      <c r="AN1305" s="316">
        <v>-7850</v>
      </c>
      <c r="AO1305" s="316">
        <v>-6736.0000000000018</v>
      </c>
      <c r="AP1305" s="316">
        <v>-7658.0000000000036</v>
      </c>
      <c r="AQ1305" s="316">
        <v>-7883.9000000000051</v>
      </c>
      <c r="AR1305" s="316">
        <v>-9584.0000000000036</v>
      </c>
      <c r="AS1305" s="316">
        <v>-12645.820000000003</v>
      </c>
      <c r="AT1305" s="316">
        <v>-14130.000000000007</v>
      </c>
      <c r="AU1305" s="316">
        <v>-12810.000000000002</v>
      </c>
      <c r="AV1305" s="316">
        <f ca="1">Calc!AI9</f>
        <v>-12810.000000000002</v>
      </c>
      <c r="AX1305" s="86" t="str">
        <f t="shared" ca="1" si="105"/>
        <v>AVGO</v>
      </c>
    </row>
    <row r="1306" spans="1:50" ht="23" hidden="1" customHeight="1">
      <c r="A1306" s="86" t="str">
        <f t="shared" ca="1" si="104"/>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500</v>
      </c>
      <c r="AB1306" s="316">
        <v>2534.9999999999964</v>
      </c>
      <c r="AC1306" s="316">
        <v>1262.5000000000027</v>
      </c>
      <c r="AD1306" s="316">
        <v>832.49999999999602</v>
      </c>
      <c r="AE1306" s="316">
        <v>-1439.9999999999977</v>
      </c>
      <c r="AF1306" s="316">
        <v>-1664.9999999999991</v>
      </c>
      <c r="AG1306" s="316">
        <v>-1375.0500000000015</v>
      </c>
      <c r="AH1306" s="316">
        <v>-1194.6000000000013</v>
      </c>
      <c r="AI1306" s="316">
        <v>-2695.0000000000005</v>
      </c>
      <c r="AJ1306" s="316">
        <v>-3722.5000000000036</v>
      </c>
      <c r="AK1306" s="316">
        <v>-3549.9999999999973</v>
      </c>
      <c r="AL1306" s="316">
        <v>-3255.0000000000027</v>
      </c>
      <c r="AM1306" s="316">
        <v>-2285.0000000000036</v>
      </c>
      <c r="AN1306" s="316">
        <v>-1992.4999999999998</v>
      </c>
      <c r="AO1306" s="316">
        <v>-2414.9999999999991</v>
      </c>
      <c r="AP1306" s="316">
        <v>-2314.9999999999977</v>
      </c>
      <c r="AQ1306" s="316">
        <v>-2045.0000000000018</v>
      </c>
      <c r="AR1306" s="316">
        <v>-1980.0000000000041</v>
      </c>
      <c r="AS1306" s="316">
        <v>-1902.5000000000034</v>
      </c>
      <c r="AT1306" s="316">
        <v>-2645.0000000000032</v>
      </c>
      <c r="AU1306" s="316">
        <v>-2035.0000000000036</v>
      </c>
      <c r="AV1306" s="316">
        <f ca="1">Calc!AI10</f>
        <v>-2035.0000000000036</v>
      </c>
      <c r="AX1306" s="86" t="str">
        <f t="shared" ca="1" si="105"/>
        <v>AZN</v>
      </c>
    </row>
    <row r="1307" spans="1:50" ht="23" hidden="1" customHeight="1">
      <c r="A1307" s="86" t="str">
        <f t="shared" ca="1" si="104"/>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-1799.4000000000003</v>
      </c>
      <c r="AC1307" s="316">
        <v>-1319.3999999999999</v>
      </c>
      <c r="AD1307" s="316">
        <v>-809.40000000000009</v>
      </c>
      <c r="AE1307" s="316">
        <v>1920.6000000000004</v>
      </c>
      <c r="AF1307" s="316">
        <v>2760.5999999999985</v>
      </c>
      <c r="AG1307" s="316">
        <v>3048.5999999999985</v>
      </c>
      <c r="AH1307" s="316">
        <v>3750.5999999999985</v>
      </c>
      <c r="AI1307" s="316">
        <v>3720.5999999999995</v>
      </c>
      <c r="AJ1307" s="316">
        <v>3570.6</v>
      </c>
      <c r="AK1307" s="316">
        <v>3420.6000000000004</v>
      </c>
      <c r="AL1307" s="316">
        <v>3060.6</v>
      </c>
      <c r="AM1307" s="316">
        <v>3720.5999999999995</v>
      </c>
      <c r="AN1307" s="316">
        <v>3810.6</v>
      </c>
      <c r="AO1307" s="316">
        <v>4320.5999999999995</v>
      </c>
      <c r="AP1307" s="316">
        <v>4080.5999999999995</v>
      </c>
      <c r="AQ1307" s="316">
        <v>3480.0000000000005</v>
      </c>
      <c r="AR1307" s="316">
        <v>3180.6</v>
      </c>
      <c r="AS1307" s="316">
        <v>3240.599999999999</v>
      </c>
      <c r="AT1307" s="316">
        <v>3420.6000000000004</v>
      </c>
      <c r="AU1307" s="316">
        <v>2760.5999999999985</v>
      </c>
      <c r="AV1307" s="316">
        <f ca="1">Calc!AI11</f>
        <v>2760.5999999999985</v>
      </c>
      <c r="AX1307" s="86" t="str">
        <f t="shared" ca="1" si="105"/>
        <v>BLDP</v>
      </c>
    </row>
    <row r="1308" spans="1:50" ht="23" hidden="1" customHeight="1">
      <c r="A1308" s="86" t="str">
        <f t="shared" ca="1" si="104"/>
        <v>BMRA</v>
      </c>
      <c r="F1308" s="973">
        <v>27500</v>
      </c>
      <c r="G1308" s="973">
        <v>12500</v>
      </c>
      <c r="H1308" s="973">
        <v>12500</v>
      </c>
      <c r="I1308" s="973">
        <v>12500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5"/>
        <v>BMRA</v>
      </c>
    </row>
    <row r="1309" spans="1:50" ht="23" hidden="1" customHeight="1">
      <c r="A1309" s="86" t="str">
        <f t="shared" ca="1" si="104"/>
        <v>C</v>
      </c>
      <c r="F1309" s="973">
        <v>105</v>
      </c>
      <c r="G1309" s="973">
        <v>105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-412.77499999999986</v>
      </c>
      <c r="AC1309" s="316">
        <v>-345.3250000000005</v>
      </c>
      <c r="AD1309" s="316">
        <v>-298.77499999999964</v>
      </c>
      <c r="AE1309" s="316">
        <v>-277.87499999999972</v>
      </c>
      <c r="AF1309" s="316">
        <v>-89.774999999999352</v>
      </c>
      <c r="AG1309" s="316">
        <v>-211.37499999999946</v>
      </c>
      <c r="AH1309" s="316">
        <v>-74.100000000000108</v>
      </c>
      <c r="AI1309" s="316">
        <v>-138.22499999999985</v>
      </c>
      <c r="AJ1309" s="316">
        <v>-513.00000000000057</v>
      </c>
      <c r="AK1309" s="316">
        <v>-487.8250000000005</v>
      </c>
      <c r="AL1309" s="316">
        <v>-596.12500000000057</v>
      </c>
      <c r="AM1309" s="316">
        <v>-559.0750000000005</v>
      </c>
      <c r="AN1309" s="316">
        <v>-551.47500000000059</v>
      </c>
      <c r="AO1309" s="316">
        <v>-694.92499999999973</v>
      </c>
      <c r="AP1309" s="316">
        <v>-892.52499999999964</v>
      </c>
      <c r="AQ1309" s="316">
        <v>-1037.8749999999998</v>
      </c>
      <c r="AR1309" s="316">
        <v>-1088.2249999999999</v>
      </c>
      <c r="AS1309" s="316">
        <v>-1105.8</v>
      </c>
      <c r="AT1309" s="316">
        <v>-1306.25</v>
      </c>
      <c r="AU1309" s="316">
        <v>-1365.625</v>
      </c>
      <c r="AV1309" s="316">
        <f ca="1">Calc!AI13</f>
        <v>-1365.625</v>
      </c>
      <c r="AX1309" s="86" t="str">
        <f t="shared" ca="1" si="105"/>
        <v>C</v>
      </c>
    </row>
    <row r="1310" spans="1:50" ht="23" hidden="1" customHeight="1">
      <c r="A1310" s="86" t="str">
        <f t="shared" ca="1" si="104"/>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-2759.9999999999909</v>
      </c>
      <c r="AC1310" s="316">
        <v>-1814.9999999999977</v>
      </c>
      <c r="AD1310" s="316">
        <v>-1584.9999999999936</v>
      </c>
      <c r="AE1310" s="316">
        <v>-8659.9999999999964</v>
      </c>
      <c r="AF1310" s="316">
        <v>-8030.0000000000009</v>
      </c>
      <c r="AG1310" s="316">
        <v>-8933.5999999999985</v>
      </c>
      <c r="AH1310" s="316">
        <v>-6879.9999999999955</v>
      </c>
      <c r="AI1310" s="316">
        <v>-7274.9999999999918</v>
      </c>
      <c r="AJ1310" s="316">
        <v>-6944.9999999999927</v>
      </c>
      <c r="AK1310" s="316">
        <v>-6729.99999999999</v>
      </c>
      <c r="AL1310" s="316">
        <v>-7599.9999999999945</v>
      </c>
      <c r="AM1310" s="316">
        <v>-6950.0999999999922</v>
      </c>
      <c r="AN1310" s="316">
        <v>-7549.9999999999973</v>
      </c>
      <c r="AO1310" s="316">
        <v>-7894.9999999999964</v>
      </c>
      <c r="AP1310" s="316">
        <v>-8409.9999999999964</v>
      </c>
      <c r="AQ1310" s="316">
        <v>-8235</v>
      </c>
      <c r="AR1310" s="316">
        <v>-8629.9999999999964</v>
      </c>
      <c r="AS1310" s="316">
        <v>-10265</v>
      </c>
      <c r="AT1310" s="316">
        <v>-10909.999999999996</v>
      </c>
      <c r="AU1310" s="316">
        <v>-9929.9999999999927</v>
      </c>
      <c r="AV1310" s="316">
        <f ca="1">Calc!AI14</f>
        <v>-9929.9999999999927</v>
      </c>
      <c r="AX1310" s="86" t="str">
        <f t="shared" ca="1" si="105"/>
        <v>CSCO</v>
      </c>
    </row>
    <row r="1311" spans="1:50" ht="23" hidden="1" customHeight="1">
      <c r="A1311" s="86" t="str">
        <f t="shared" ca="1" si="104"/>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-964.875</v>
      </c>
      <c r="AC1311" s="316">
        <v>-1007.2050000000004</v>
      </c>
      <c r="AD1311" s="316">
        <v>-1034.5950000000003</v>
      </c>
      <c r="AE1311" s="316">
        <v>-793.06500000000051</v>
      </c>
      <c r="AF1311" s="316">
        <v>-810.49499999999887</v>
      </c>
      <c r="AG1311" s="316">
        <v>-432.01499999999987</v>
      </c>
      <c r="AH1311" s="316">
        <v>-361.05000000000069</v>
      </c>
      <c r="AI1311" s="316">
        <v>-764.42999999999824</v>
      </c>
      <c r="AJ1311" s="316">
        <v>-1288.5749999999994</v>
      </c>
      <c r="AK1311" s="316">
        <v>-1288.5749999999994</v>
      </c>
      <c r="AL1311" s="316">
        <v>-1413.0749999999994</v>
      </c>
      <c r="AM1311" s="316">
        <v>-1258.6949999999981</v>
      </c>
      <c r="AN1311" s="316">
        <v>-729.56999999999812</v>
      </c>
      <c r="AO1311" s="316">
        <v>-582.21180000000015</v>
      </c>
      <c r="AP1311" s="316">
        <v>-93.375</v>
      </c>
      <c r="AQ1311" s="316">
        <v>-42.305099999999598</v>
      </c>
      <c r="AR1311" s="316">
        <v>-235.3049999999983</v>
      </c>
      <c r="AS1311" s="316">
        <v>-999.73500000000013</v>
      </c>
      <c r="AT1311" s="316">
        <v>-1071.9449999999981</v>
      </c>
      <c r="AU1311" s="316">
        <v>-1530.1049999999991</v>
      </c>
      <c r="AV1311" s="316">
        <f ca="1">Calc!AI15</f>
        <v>-1530.1049999999991</v>
      </c>
      <c r="AX1311" s="86" t="str">
        <f t="shared" ca="1" si="105"/>
        <v>CVS</v>
      </c>
    </row>
    <row r="1312" spans="1:50" ht="23" hidden="1" customHeight="1">
      <c r="A1312" s="86" t="str">
        <f t="shared" ca="1" si="104"/>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5499.9999999999982</v>
      </c>
      <c r="AC1312" s="316">
        <v>8849.9999999999982</v>
      </c>
      <c r="AD1312" s="316">
        <v>9249.9999999999982</v>
      </c>
      <c r="AE1312" s="316">
        <v>9899.9999999999982</v>
      </c>
      <c r="AF1312" s="316">
        <v>10699.999999999998</v>
      </c>
      <c r="AG1312" s="316">
        <v>11050</v>
      </c>
      <c r="AH1312" s="316">
        <v>12700</v>
      </c>
      <c r="AI1312" s="316">
        <v>12049.999999999998</v>
      </c>
      <c r="AJ1312" s="316">
        <v>11149.999999999998</v>
      </c>
      <c r="AK1312" s="316">
        <v>11000</v>
      </c>
      <c r="AL1312" s="316">
        <v>10699.999999999998</v>
      </c>
      <c r="AM1312" s="316">
        <v>11450</v>
      </c>
      <c r="AN1312" s="316">
        <v>11000</v>
      </c>
      <c r="AO1312" s="316">
        <v>10749.999999999998</v>
      </c>
      <c r="AP1312" s="316">
        <v>9499.9999999999982</v>
      </c>
      <c r="AQ1312" s="316">
        <v>9249.9999999999982</v>
      </c>
      <c r="AR1312" s="316">
        <v>9899.9999999999982</v>
      </c>
      <c r="AS1312" s="316">
        <v>13850</v>
      </c>
      <c r="AT1312" s="316">
        <v>13799.999999999998</v>
      </c>
      <c r="AU1312" s="316">
        <v>11849.999999999998</v>
      </c>
      <c r="AV1312" s="316">
        <f ca="1">Calc!AI16</f>
        <v>11849.999999999998</v>
      </c>
      <c r="AX1312" s="86" t="str">
        <f t="shared" ca="1" si="105"/>
        <v>DDD</v>
      </c>
    </row>
    <row r="1313" spans="1:50" ht="23" hidden="1" customHeight="1">
      <c r="A1313" s="86" t="str">
        <f t="shared" ca="1" si="104"/>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6431.9999999999936</v>
      </c>
      <c r="AC1313" s="316">
        <v>7375.9999999999991</v>
      </c>
      <c r="AD1313" s="316">
        <v>6919.9999999999927</v>
      </c>
      <c r="AE1313" s="316">
        <v>10863.999999999998</v>
      </c>
      <c r="AF1313" s="316">
        <v>10479.999999999996</v>
      </c>
      <c r="AG1313" s="316">
        <v>11263.999999999998</v>
      </c>
      <c r="AH1313" s="316">
        <v>13207.999999999993</v>
      </c>
      <c r="AI1313" s="316">
        <v>11943.999999999995</v>
      </c>
      <c r="AJ1313" s="316">
        <v>12427.999999999996</v>
      </c>
      <c r="AK1313" s="316">
        <v>12759.999999999991</v>
      </c>
      <c r="AL1313" s="316">
        <v>11927.999999999996</v>
      </c>
      <c r="AM1313" s="316">
        <v>10351.999999999998</v>
      </c>
      <c r="AN1313" s="316">
        <v>11524</v>
      </c>
      <c r="AO1313" s="316">
        <v>11727.999999999996</v>
      </c>
      <c r="AP1313" s="316">
        <v>10919.999999999993</v>
      </c>
      <c r="AQ1313" s="316">
        <v>11527.919999999995</v>
      </c>
      <c r="AR1313" s="316">
        <v>11319.999999999993</v>
      </c>
      <c r="AS1313" s="316">
        <v>10143.999999999995</v>
      </c>
      <c r="AT1313" s="316">
        <v>8439.9999999999982</v>
      </c>
      <c r="AU1313" s="316">
        <v>6319.9999999999927</v>
      </c>
      <c r="AV1313" s="316">
        <f ca="1">Calc!AI17</f>
        <v>6319.9999999999927</v>
      </c>
      <c r="AX1313" s="86" t="str">
        <f t="shared" ca="1" si="105"/>
        <v>DIS</v>
      </c>
    </row>
    <row r="1314" spans="1:50" ht="23" hidden="1" customHeight="1">
      <c r="A1314" s="86" t="str">
        <f t="shared" ca="1" si="104"/>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10320</v>
      </c>
      <c r="AC1314" s="316">
        <v>11759.999999999998</v>
      </c>
      <c r="AD1314" s="316">
        <v>11600.000000000002</v>
      </c>
      <c r="AE1314" s="316">
        <v>10300.000000000004</v>
      </c>
      <c r="AF1314" s="316">
        <v>11939.999999999998</v>
      </c>
      <c r="AG1314" s="316">
        <v>11520.000000000004</v>
      </c>
      <c r="AH1314" s="316">
        <v>11640</v>
      </c>
      <c r="AI1314" s="316">
        <v>11300.000000000004</v>
      </c>
      <c r="AJ1314" s="316">
        <v>9980.0000000000036</v>
      </c>
      <c r="AK1314" s="316">
        <v>9980.0000000000036</v>
      </c>
      <c r="AL1314" s="316">
        <v>10060.000000000002</v>
      </c>
      <c r="AM1314" s="316">
        <v>10579.999999999998</v>
      </c>
      <c r="AN1314" s="316">
        <v>11439.999999999998</v>
      </c>
      <c r="AO1314" s="316">
        <v>11460</v>
      </c>
      <c r="AP1314" s="316">
        <v>11460</v>
      </c>
      <c r="AQ1314" s="316">
        <v>10759.999999999998</v>
      </c>
      <c r="AR1314" s="316">
        <v>10719.999999999998</v>
      </c>
      <c r="AS1314" s="316">
        <v>11579.999999999998</v>
      </c>
      <c r="AT1314" s="316">
        <v>12240.000000000002</v>
      </c>
      <c r="AU1314" s="316">
        <v>12020.000000000004</v>
      </c>
      <c r="AV1314" s="316">
        <f ca="1">Calc!AI18</f>
        <v>12020.000000000004</v>
      </c>
      <c r="AX1314" s="86" t="str">
        <f t="shared" ca="1" si="105"/>
        <v>DSY</v>
      </c>
    </row>
    <row r="1315" spans="1:50" ht="23" hidden="1" customHeight="1">
      <c r="A1315" s="86" t="str">
        <f t="shared" ca="1" si="104"/>
        <v>DVA</v>
      </c>
      <c r="F1315" s="973">
        <v>3000</v>
      </c>
      <c r="G1315" s="973">
        <v>3000</v>
      </c>
      <c r="H1315" s="973">
        <v>1400</v>
      </c>
      <c r="I1315" s="973">
        <v>1400</v>
      </c>
      <c r="J1315" s="973">
        <v>1400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12224</v>
      </c>
      <c r="AC1315" s="316">
        <v>11960.000000000002</v>
      </c>
      <c r="AD1315" s="316">
        <v>183.99999999999181</v>
      </c>
      <c r="AE1315" s="316">
        <v>4431.9999999999936</v>
      </c>
      <c r="AF1315" s="316">
        <v>12431.999999999993</v>
      </c>
      <c r="AG1315" s="316">
        <v>14679.999999999996</v>
      </c>
      <c r="AH1315" s="316">
        <v>15296.000000000004</v>
      </c>
      <c r="AI1315" s="316">
        <v>5296.0000000000036</v>
      </c>
      <c r="AJ1315" s="316">
        <v>6496.0000000000036</v>
      </c>
      <c r="AK1315" s="316">
        <v>6768.0000000000064</v>
      </c>
      <c r="AL1315" s="316">
        <v>7439.9999999999864</v>
      </c>
      <c r="AM1315" s="316">
        <v>6279.9999999999955</v>
      </c>
      <c r="AN1315" s="316">
        <v>8431.9999999999927</v>
      </c>
      <c r="AO1315" s="316">
        <v>7024.0000000000009</v>
      </c>
      <c r="AP1315" s="316">
        <v>9727.9999999999964</v>
      </c>
      <c r="AQ1315" s="316">
        <v>11248.000000000002</v>
      </c>
      <c r="AR1315" s="316">
        <v>11103.999999999996</v>
      </c>
      <c r="AS1315" s="316">
        <v>12751.999999999998</v>
      </c>
      <c r="AT1315" s="316">
        <v>9039.9999999999854</v>
      </c>
      <c r="AU1315" s="316">
        <v>6375.9999999999991</v>
      </c>
      <c r="AV1315" s="316">
        <f ca="1">Calc!AI19</f>
        <v>6375.9999999999991</v>
      </c>
      <c r="AX1315" s="86" t="str">
        <f t="shared" ca="1" si="105"/>
        <v>DVA</v>
      </c>
    </row>
    <row r="1316" spans="1:50" ht="23" hidden="1" customHeight="1">
      <c r="A1316" s="86" t="str">
        <f t="shared" ca="1" si="104"/>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26040</v>
      </c>
      <c r="AC1316" s="316">
        <v>26340.000000000004</v>
      </c>
      <c r="AD1316" s="316">
        <v>28580</v>
      </c>
      <c r="AE1316" s="316">
        <v>29640</v>
      </c>
      <c r="AF1316" s="316">
        <v>32400</v>
      </c>
      <c r="AG1316" s="316">
        <v>32840</v>
      </c>
      <c r="AH1316" s="316">
        <v>33640</v>
      </c>
      <c r="AI1316" s="316">
        <v>30439.999999999996</v>
      </c>
      <c r="AJ1316" s="316">
        <v>28759.999999999996</v>
      </c>
      <c r="AK1316" s="316">
        <v>28840.000000000004</v>
      </c>
      <c r="AL1316" s="316">
        <v>28340.000000000004</v>
      </c>
      <c r="AM1316" s="316">
        <v>27520.000000000004</v>
      </c>
      <c r="AN1316" s="316">
        <v>27180</v>
      </c>
      <c r="AO1316" s="316">
        <v>26560.000000000004</v>
      </c>
      <c r="AP1316" s="316">
        <v>26480.000000000004</v>
      </c>
      <c r="AQ1316" s="316">
        <v>25502.000000000004</v>
      </c>
      <c r="AR1316" s="316">
        <v>24800.000000000004</v>
      </c>
      <c r="AS1316" s="316">
        <v>21480.000000000004</v>
      </c>
      <c r="AT1316" s="316">
        <v>20800.000000000004</v>
      </c>
      <c r="AU1316" s="316">
        <v>20320</v>
      </c>
      <c r="AV1316" s="316">
        <f ca="1">Calc!AI20</f>
        <v>20320</v>
      </c>
      <c r="AX1316" s="86" t="str">
        <f t="shared" ca="1" si="105"/>
        <v>DXC</v>
      </c>
    </row>
    <row r="1317" spans="1:50" ht="23" hidden="1" customHeight="1">
      <c r="A1317" s="86" t="str">
        <f t="shared" ca="1" si="104"/>
        <v>EOAN</v>
      </c>
      <c r="F1317" s="973">
        <v>15000</v>
      </c>
      <c r="G1317" s="973">
        <v>15000</v>
      </c>
      <c r="H1317" s="973">
        <v>15000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15000</v>
      </c>
      <c r="W1317" s="973">
        <v>25000</v>
      </c>
      <c r="X1317" s="973">
        <v>25000</v>
      </c>
      <c r="Y1317" s="973">
        <v>25000</v>
      </c>
      <c r="Z1317" s="973">
        <f ca="1">Calc!G21</f>
        <v>25000</v>
      </c>
      <c r="AB1317" s="316">
        <v>224.00000000000091</v>
      </c>
      <c r="AC1317" s="316">
        <v>128.00000000000864</v>
      </c>
      <c r="AD1317" s="316">
        <v>48.000000000001819</v>
      </c>
      <c r="AE1317" s="316">
        <v>2800.0000000000055</v>
      </c>
      <c r="AF1317" s="316">
        <v>2848.0000000000018</v>
      </c>
      <c r="AG1317" s="316">
        <v>2624.0000000000009</v>
      </c>
      <c r="AH1317" s="316">
        <v>2304.0000000000018</v>
      </c>
      <c r="AI1317" s="316">
        <v>1888.0000000000052</v>
      </c>
      <c r="AJ1317" s="316">
        <v>2128.0000000000027</v>
      </c>
      <c r="AK1317" s="316">
        <v>2592.0000000000018</v>
      </c>
      <c r="AL1317" s="316">
        <v>2544.0000000000055</v>
      </c>
      <c r="AM1317" s="316">
        <v>2880.0000000000009</v>
      </c>
      <c r="AN1317" s="316">
        <v>2672.0000000000027</v>
      </c>
      <c r="AO1317" s="316">
        <v>1216.0000000000025</v>
      </c>
      <c r="AP1317" s="316">
        <v>832.000000000005</v>
      </c>
      <c r="AQ1317" s="316">
        <v>1696.0000000000036</v>
      </c>
      <c r="AR1317" s="316">
        <v>2192.0000000000018</v>
      </c>
      <c r="AS1317" s="316">
        <v>1712.0000000000005</v>
      </c>
      <c r="AT1317" s="316">
        <v>1824.0000000000009</v>
      </c>
      <c r="AU1317" s="316">
        <v>3472.0000000000027</v>
      </c>
      <c r="AV1317" s="316">
        <f ca="1">Calc!AI21</f>
        <v>3472.0000000000027</v>
      </c>
      <c r="AX1317" s="86" t="str">
        <f t="shared" ca="1" si="105"/>
        <v>EOAN</v>
      </c>
    </row>
    <row r="1318" spans="1:50" ht="23" hidden="1" customHeight="1">
      <c r="A1318" s="86" t="str">
        <f t="shared" ca="1" si="104"/>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5"/>
        <v>EPIX</v>
      </c>
    </row>
    <row r="1319" spans="1:50" ht="23" hidden="1" customHeight="1">
      <c r="A1319" s="86" t="str">
        <f t="shared" ca="1" si="104"/>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10</v>
      </c>
      <c r="X1319" s="973">
        <v>1</v>
      </c>
      <c r="Y1319" s="973">
        <v>1</v>
      </c>
      <c r="Z1319" s="973">
        <f ca="1">Calc!G23</f>
        <v>1</v>
      </c>
      <c r="AB1319" s="316">
        <v>-20935.53</v>
      </c>
      <c r="AC1319" s="316">
        <v>-21074.129999999997</v>
      </c>
      <c r="AD1319" s="316">
        <v>-22796.729999999992</v>
      </c>
      <c r="AE1319" s="316">
        <v>-22658.129999999994</v>
      </c>
      <c r="AF1319" s="316">
        <v>-20103.929999999997</v>
      </c>
      <c r="AG1319" s="316">
        <v>-21267.179999999993</v>
      </c>
      <c r="AH1319" s="316">
        <v>-20487.455999999995</v>
      </c>
      <c r="AI1319" s="316">
        <v>-22371.030000000002</v>
      </c>
      <c r="AJ1319" s="316">
        <v>-25222.229999999996</v>
      </c>
      <c r="AK1319" s="316">
        <v>-24925.23</v>
      </c>
      <c r="AL1319" s="316">
        <v>-25628.129999999994</v>
      </c>
      <c r="AM1319" s="316">
        <v>-25692.974999999995</v>
      </c>
      <c r="AN1319" s="316">
        <v>-25712.280000000002</v>
      </c>
      <c r="AO1319" s="316">
        <v>-26405.280000000002</v>
      </c>
      <c r="AP1319" s="316">
        <v>-26786.429999999997</v>
      </c>
      <c r="AQ1319" s="316">
        <v>-28137.780000000002</v>
      </c>
      <c r="AR1319" s="316">
        <v>-28117.979999999992</v>
      </c>
      <c r="AS1319" s="316">
        <v>-28835.730000000003</v>
      </c>
      <c r="AT1319" s="316">
        <v>-34.605000000000118</v>
      </c>
      <c r="AU1319" s="316">
        <v>-34.965000000000046</v>
      </c>
      <c r="AV1319" s="316">
        <f ca="1">Calc!AI23</f>
        <v>-34.965000000000046</v>
      </c>
      <c r="AX1319" s="86" t="str">
        <f t="shared" ca="1" si="105"/>
        <v>GM</v>
      </c>
    </row>
    <row r="1320" spans="1:50" ht="23" hidden="1" customHeight="1">
      <c r="A1320" s="86" t="str">
        <f t="shared" ca="1" si="104"/>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9200</v>
      </c>
      <c r="S1320" s="973">
        <v>14200</v>
      </c>
      <c r="T1320" s="973">
        <v>14200</v>
      </c>
      <c r="U1320" s="973">
        <v>14200</v>
      </c>
      <c r="V1320" s="973">
        <v>14200</v>
      </c>
      <c r="W1320" s="973">
        <v>14200</v>
      </c>
      <c r="X1320" s="973">
        <v>14200</v>
      </c>
      <c r="Y1320" s="973">
        <v>14200</v>
      </c>
      <c r="Z1320" s="973">
        <f ca="1">Calc!G24</f>
        <v>14200</v>
      </c>
      <c r="AB1320" s="316">
        <v>756.00000000000307</v>
      </c>
      <c r="AC1320" s="316">
        <v>1215.0000000000014</v>
      </c>
      <c r="AD1320" s="316">
        <v>1296.0000000000043</v>
      </c>
      <c r="AE1320" s="316">
        <v>2322.000000000005</v>
      </c>
      <c r="AF1320" s="316">
        <v>5778.0000000000018</v>
      </c>
      <c r="AG1320" s="316">
        <v>6093.0000000000027</v>
      </c>
      <c r="AH1320" s="316">
        <v>7279.2000000000007</v>
      </c>
      <c r="AI1320" s="316">
        <v>6285.2400000000025</v>
      </c>
      <c r="AJ1320" s="316">
        <v>4671.0000000000045</v>
      </c>
      <c r="AK1320" s="316">
        <v>4662</v>
      </c>
      <c r="AL1320" s="316">
        <v>4050</v>
      </c>
      <c r="AM1320" s="316">
        <v>4041.0000000000018</v>
      </c>
      <c r="AN1320" s="316">
        <v>3951.0000000000005</v>
      </c>
      <c r="AO1320" s="316">
        <v>3852.0000000000009</v>
      </c>
      <c r="AP1320" s="316">
        <v>3330.0000000000027</v>
      </c>
      <c r="AQ1320" s="316">
        <v>2241.0000000000018</v>
      </c>
      <c r="AR1320" s="316">
        <v>1431.0000000000032</v>
      </c>
      <c r="AS1320" s="316">
        <v>-692.99999999999636</v>
      </c>
      <c r="AT1320" s="316">
        <v>-2069.9999999999973</v>
      </c>
      <c r="AU1320" s="316">
        <v>-755.9999999999967</v>
      </c>
      <c r="AV1320" s="316">
        <f ca="1">Calc!AI24</f>
        <v>-755.9999999999967</v>
      </c>
      <c r="AX1320" s="86" t="str">
        <f t="shared" ca="1" si="105"/>
        <v>HPE</v>
      </c>
    </row>
    <row r="1321" spans="1:50" ht="23" hidden="1" customHeight="1">
      <c r="A1321" s="86" t="str">
        <f t="shared" ca="1" si="104"/>
        <v>HPQ</v>
      </c>
      <c r="F1321" s="973">
        <v>5000</v>
      </c>
      <c r="G1321" s="973">
        <v>5000</v>
      </c>
      <c r="H1321" s="973">
        <v>5000</v>
      </c>
      <c r="I1321" s="973">
        <v>5000</v>
      </c>
      <c r="J1321" s="973">
        <v>5000</v>
      </c>
      <c r="K1321" s="973">
        <v>5000</v>
      </c>
      <c r="L1321" s="973">
        <v>5000</v>
      </c>
      <c r="M1321" s="973">
        <v>5000</v>
      </c>
      <c r="N1321" s="973">
        <v>5000</v>
      </c>
      <c r="O1321" s="973">
        <v>5000</v>
      </c>
      <c r="P1321" s="973">
        <v>5000</v>
      </c>
      <c r="Q1321" s="973">
        <v>5000</v>
      </c>
      <c r="R1321" s="973">
        <v>10000</v>
      </c>
      <c r="S1321" s="973">
        <v>5000</v>
      </c>
      <c r="T1321" s="973">
        <v>9000</v>
      </c>
      <c r="U1321" s="973">
        <v>9000</v>
      </c>
      <c r="V1321" s="973">
        <v>9000</v>
      </c>
      <c r="W1321" s="973">
        <v>9000</v>
      </c>
      <c r="X1321" s="973">
        <v>9000</v>
      </c>
      <c r="Y1321" s="973">
        <v>9000</v>
      </c>
      <c r="Z1321" s="973">
        <f ca="1">Calc!G25</f>
        <v>9000</v>
      </c>
      <c r="AB1321" s="316">
        <v>2300.0000000000009</v>
      </c>
      <c r="AC1321" s="316">
        <v>2760.0000000000014</v>
      </c>
      <c r="AD1321" s="316">
        <v>2725.0000000000014</v>
      </c>
      <c r="AE1321" s="316">
        <v>4427</v>
      </c>
      <c r="AF1321" s="316">
        <v>6230</v>
      </c>
      <c r="AG1321" s="316">
        <v>6400.0000000000018</v>
      </c>
      <c r="AH1321" s="316">
        <v>6610.0000000000027</v>
      </c>
      <c r="AI1321" s="316">
        <v>4825.0000000000027</v>
      </c>
      <c r="AJ1321" s="316">
        <v>5115.0000000000018</v>
      </c>
      <c r="AK1321" s="316">
        <v>4955.0000000000018</v>
      </c>
      <c r="AL1321" s="316">
        <v>4510.0000000000018</v>
      </c>
      <c r="AM1321" s="316">
        <v>4405.0000000000009</v>
      </c>
      <c r="AN1321" s="316">
        <v>3840</v>
      </c>
      <c r="AO1321" s="316">
        <v>3590</v>
      </c>
      <c r="AP1321" s="316">
        <v>3745.0000000000009</v>
      </c>
      <c r="AQ1321" s="316">
        <v>3291.800000000002</v>
      </c>
      <c r="AR1321" s="316">
        <v>3060.0000000000023</v>
      </c>
      <c r="AS1321" s="316">
        <v>3625</v>
      </c>
      <c r="AT1321" s="316">
        <v>3440.0000000000014</v>
      </c>
      <c r="AU1321" s="316">
        <v>3535</v>
      </c>
      <c r="AV1321" s="316">
        <f ca="1">Calc!AI25</f>
        <v>3535</v>
      </c>
      <c r="AX1321" s="86" t="str">
        <f t="shared" ca="1" si="105"/>
        <v>HPQ</v>
      </c>
    </row>
    <row r="1322" spans="1:50" ht="23" hidden="1" customHeight="1">
      <c r="A1322" s="86" t="str">
        <f t="shared" ca="1" si="104"/>
        <v>IAG</v>
      </c>
      <c r="F1322" s="973">
        <v>130000</v>
      </c>
      <c r="G1322" s="973">
        <v>130000</v>
      </c>
      <c r="H1322" s="973">
        <v>110000</v>
      </c>
      <c r="I1322" s="973">
        <v>100000</v>
      </c>
      <c r="J1322" s="973">
        <v>100000</v>
      </c>
      <c r="K1322" s="973">
        <v>100000</v>
      </c>
      <c r="L1322" s="973">
        <v>100000</v>
      </c>
      <c r="M1322" s="973">
        <v>110000</v>
      </c>
      <c r="N1322" s="973">
        <v>110000</v>
      </c>
      <c r="O1322" s="973">
        <v>100000</v>
      </c>
      <c r="P1322" s="973">
        <v>100000</v>
      </c>
      <c r="Q1322" s="973">
        <v>100000</v>
      </c>
      <c r="R1322" s="973">
        <v>100000</v>
      </c>
      <c r="S1322" s="973">
        <v>100000</v>
      </c>
      <c r="T1322" s="973">
        <v>100000</v>
      </c>
      <c r="U1322" s="973">
        <v>100000</v>
      </c>
      <c r="V1322" s="973">
        <v>100000</v>
      </c>
      <c r="W1322" s="973">
        <v>100000</v>
      </c>
      <c r="X1322" s="973">
        <v>100000</v>
      </c>
      <c r="Y1322" s="973">
        <v>100000</v>
      </c>
      <c r="Z1322" s="973">
        <f ca="1">Calc!G26</f>
        <v>100000</v>
      </c>
      <c r="AB1322" s="316">
        <v>-19.999999999993179</v>
      </c>
      <c r="AC1322" s="316">
        <v>2200</v>
      </c>
      <c r="AD1322" s="316">
        <v>2762.0000000000005</v>
      </c>
      <c r="AE1322" s="316">
        <v>1169.9999999999989</v>
      </c>
      <c r="AF1322" s="316">
        <v>2881.0999999999976</v>
      </c>
      <c r="AG1322" s="316">
        <v>2159.9999999999964</v>
      </c>
      <c r="AH1322" s="316">
        <v>1680.0000000000011</v>
      </c>
      <c r="AI1322" s="316">
        <v>1989.9999999999977</v>
      </c>
      <c r="AJ1322" s="316">
        <v>0</v>
      </c>
      <c r="AK1322" s="316">
        <v>131.00000000000023</v>
      </c>
      <c r="AL1322" s="316">
        <v>170.99999999999795</v>
      </c>
      <c r="AM1322" s="316">
        <v>450.99999999999915</v>
      </c>
      <c r="AN1322" s="316">
        <v>870.99999999999795</v>
      </c>
      <c r="AO1322" s="316">
        <v>581.00000000000023</v>
      </c>
      <c r="AP1322" s="316">
        <v>711.00000000000136</v>
      </c>
      <c r="AQ1322" s="316">
        <v>1300.9999999999991</v>
      </c>
      <c r="AR1322" s="316">
        <v>1231.0000000000002</v>
      </c>
      <c r="AS1322" s="316">
        <v>1040.9999999999968</v>
      </c>
      <c r="AT1322" s="316">
        <v>1240.9999999999968</v>
      </c>
      <c r="AU1322" s="316">
        <v>40.999999999996817</v>
      </c>
      <c r="AV1322" s="316">
        <f ca="1">Calc!AI26</f>
        <v>40.999999999996817</v>
      </c>
      <c r="AX1322" s="86" t="str">
        <f t="shared" ca="1" si="105"/>
        <v>IAG</v>
      </c>
    </row>
    <row r="1323" spans="1:50" ht="23" hidden="1" customHeight="1">
      <c r="A1323" s="86" t="str">
        <f t="shared" ca="1" si="104"/>
        <v>KR</v>
      </c>
      <c r="F1323" s="973">
        <v>7000</v>
      </c>
      <c r="G1323" s="973">
        <v>7000</v>
      </c>
      <c r="H1323" s="973">
        <v>6000</v>
      </c>
      <c r="I1323" s="973">
        <v>6000</v>
      </c>
      <c r="J1323" s="973">
        <v>6000</v>
      </c>
      <c r="K1323" s="973">
        <v>6000</v>
      </c>
      <c r="L1323" s="973">
        <v>6000</v>
      </c>
      <c r="M1323" s="973">
        <v>6000</v>
      </c>
      <c r="N1323" s="973">
        <v>6000</v>
      </c>
      <c r="O1323" s="973">
        <v>5000</v>
      </c>
      <c r="P1323" s="973">
        <v>5000</v>
      </c>
      <c r="Q1323" s="973">
        <v>5000</v>
      </c>
      <c r="R1323" s="973">
        <v>5000</v>
      </c>
      <c r="S1323" s="973">
        <v>5000</v>
      </c>
      <c r="T1323" s="973">
        <v>5000</v>
      </c>
      <c r="U1323" s="973">
        <v>7000</v>
      </c>
      <c r="V1323" s="973">
        <v>7000</v>
      </c>
      <c r="W1323" s="973">
        <v>7000</v>
      </c>
      <c r="X1323" s="973">
        <v>7000</v>
      </c>
      <c r="Y1323" s="973">
        <v>7000</v>
      </c>
      <c r="Z1323" s="973">
        <f ca="1">Calc!G27</f>
        <v>7000</v>
      </c>
      <c r="AB1323" s="316">
        <v>8669.9999999999945</v>
      </c>
      <c r="AC1323" s="316">
        <v>8419.9999999999945</v>
      </c>
      <c r="AD1323" s="316">
        <v>-4.9999999999954525</v>
      </c>
      <c r="AE1323" s="316">
        <v>-1814.9999999999977</v>
      </c>
      <c r="AF1323" s="316">
        <v>-2504.9999999999955</v>
      </c>
      <c r="AG1323" s="316">
        <v>-2649.9999999999914</v>
      </c>
      <c r="AH1323" s="316">
        <v>-1209.9999999999936</v>
      </c>
      <c r="AI1323" s="316">
        <v>-1459.9999999999936</v>
      </c>
      <c r="AJ1323" s="316">
        <v>-2459.9999999999936</v>
      </c>
      <c r="AK1323" s="316">
        <v>319.99999999999318</v>
      </c>
      <c r="AL1323" s="316">
        <v>69.999999999993179</v>
      </c>
      <c r="AM1323" s="316">
        <v>-545.00000000000171</v>
      </c>
      <c r="AN1323" s="316">
        <v>324.99999999998863</v>
      </c>
      <c r="AO1323" s="316">
        <v>530.00000000000114</v>
      </c>
      <c r="AP1323" s="316">
        <v>1129.9999999999955</v>
      </c>
      <c r="AQ1323" s="316">
        <v>4699.9999999999955</v>
      </c>
      <c r="AR1323" s="316">
        <v>4639.9999999999936</v>
      </c>
      <c r="AS1323" s="316">
        <v>4442.9999999999982</v>
      </c>
      <c r="AT1323" s="316">
        <v>6109.9999999999927</v>
      </c>
      <c r="AU1323" s="316">
        <v>5134.9999999999909</v>
      </c>
      <c r="AV1323" s="316">
        <f ca="1">Calc!AI27</f>
        <v>5134.9999999999909</v>
      </c>
      <c r="AX1323" s="86" t="str">
        <f t="shared" ca="1" si="105"/>
        <v>KR</v>
      </c>
    </row>
    <row r="1324" spans="1:50" ht="23" hidden="1" customHeight="1">
      <c r="A1324" s="86" t="str">
        <f t="shared" ca="1" si="104"/>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-12179.999999999996</v>
      </c>
      <c r="AC1324" s="316">
        <v>-9510</v>
      </c>
      <c r="AD1324" s="316">
        <v>-6510</v>
      </c>
      <c r="AE1324" s="316">
        <v>-4949.9999999999955</v>
      </c>
      <c r="AF1324" s="316">
        <v>-4529.9999999999991</v>
      </c>
      <c r="AG1324" s="316">
        <v>-4889.9999999999973</v>
      </c>
      <c r="AH1324" s="316">
        <v>-4229.9999999999955</v>
      </c>
      <c r="AI1324" s="316">
        <v>-4364.9999999999945</v>
      </c>
      <c r="AJ1324" s="316">
        <v>-5399.9999999999964</v>
      </c>
      <c r="AK1324" s="316">
        <v>-5669.9999999999964</v>
      </c>
      <c r="AL1324" s="316">
        <v>-5159.9999999999964</v>
      </c>
      <c r="AM1324" s="316">
        <v>-5834.9999999999955</v>
      </c>
      <c r="AN1324" s="316">
        <v>-5579.9999999999982</v>
      </c>
      <c r="AO1324" s="316">
        <v>-5059.7999999999956</v>
      </c>
      <c r="AP1324" s="316">
        <v>-6089.9999999999982</v>
      </c>
      <c r="AQ1324" s="316">
        <v>-6479.9999999999955</v>
      </c>
      <c r="AR1324" s="316">
        <v>-8219.9999999999945</v>
      </c>
      <c r="AS1324" s="316">
        <v>-8339.9999999999982</v>
      </c>
      <c r="AT1324" s="316">
        <v>-9270</v>
      </c>
      <c r="AU1324" s="316">
        <v>-9119.9999999999982</v>
      </c>
      <c r="AV1324" s="316">
        <f ca="1">Calc!AI28</f>
        <v>-9119.9999999999982</v>
      </c>
      <c r="AX1324" s="86" t="str">
        <f t="shared" ca="1" si="105"/>
        <v>LNSR</v>
      </c>
    </row>
    <row r="1325" spans="1:50" ht="23" hidden="1" customHeight="1">
      <c r="A1325" s="86" t="str">
        <f t="shared" ca="1" si="104"/>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-4014.4500000000007</v>
      </c>
      <c r="AC1325" s="316">
        <v>-3979.8000000000006</v>
      </c>
      <c r="AD1325" s="316">
        <v>-3648.1499999999996</v>
      </c>
      <c r="AE1325" s="316">
        <v>-1183.0500000000002</v>
      </c>
      <c r="AF1325" s="316">
        <v>-811.8000000000003</v>
      </c>
      <c r="AG1325" s="316">
        <v>-707.84999999999991</v>
      </c>
      <c r="AH1325" s="316">
        <v>-748.04400000000032</v>
      </c>
      <c r="AI1325" s="316">
        <v>-905.85</v>
      </c>
      <c r="AJ1325" s="316">
        <v>-1306.7999999999995</v>
      </c>
      <c r="AK1325" s="316">
        <v>-1282.0500000000009</v>
      </c>
      <c r="AL1325" s="316">
        <v>-1291.9500000000005</v>
      </c>
      <c r="AM1325" s="316">
        <v>-1390.9500000000003</v>
      </c>
      <c r="AN1325" s="316">
        <v>-2311.65</v>
      </c>
      <c r="AO1325" s="316">
        <v>-2311.65</v>
      </c>
      <c r="AP1325" s="316">
        <v>-2737.35</v>
      </c>
      <c r="AQ1325" s="316">
        <v>-2207.7989999999995</v>
      </c>
      <c r="AR1325" s="316">
        <v>-1445.3999999999999</v>
      </c>
      <c r="AS1325" s="316">
        <v>-1569.2489999999998</v>
      </c>
      <c r="AT1325" s="316">
        <v>-1876.0500000000004</v>
      </c>
      <c r="AU1325" s="316">
        <v>-1831.5000000000005</v>
      </c>
      <c r="AV1325" s="316">
        <f ca="1">Calc!AI29</f>
        <v>-1831.5000000000005</v>
      </c>
      <c r="AX1325" s="86" t="str">
        <f t="shared" ca="1" si="105"/>
        <v>LUMN</v>
      </c>
    </row>
    <row r="1326" spans="1:50" ht="23" hidden="1" customHeight="1">
      <c r="A1326" s="86" t="str">
        <f t="shared" ca="1" si="104"/>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97019.999999999985</v>
      </c>
      <c r="AC1326" s="316">
        <v>96202.499999999985</v>
      </c>
      <c r="AD1326" s="316">
        <v>95572.5</v>
      </c>
      <c r="AE1326" s="316">
        <v>95205</v>
      </c>
      <c r="AF1326" s="316">
        <v>94979.999999999985</v>
      </c>
      <c r="AG1326" s="316">
        <v>95939.999999999985</v>
      </c>
      <c r="AH1326" s="316">
        <v>98174.999999999985</v>
      </c>
      <c r="AI1326" s="316">
        <v>97117.499999999985</v>
      </c>
      <c r="AJ1326" s="316">
        <v>94972.5</v>
      </c>
      <c r="AK1326" s="316">
        <v>94844.999999999985</v>
      </c>
      <c r="AL1326" s="316">
        <v>93389.999999999985</v>
      </c>
      <c r="AM1326" s="316">
        <v>95715</v>
      </c>
      <c r="AN1326" s="316">
        <v>96254.999999999985</v>
      </c>
      <c r="AO1326" s="316">
        <v>95527.349999999991</v>
      </c>
      <c r="AP1326" s="316">
        <v>94603.5</v>
      </c>
      <c r="AQ1326" s="316">
        <v>93667.499999999985</v>
      </c>
      <c r="AR1326" s="316">
        <v>90809.999999999985</v>
      </c>
      <c r="AS1326" s="316">
        <v>89860.5</v>
      </c>
      <c r="AT1326" s="316">
        <v>88814.999999999985</v>
      </c>
      <c r="AU1326" s="316">
        <v>87915</v>
      </c>
      <c r="AV1326" s="316">
        <f ca="1">Calc!AI30</f>
        <v>87915</v>
      </c>
      <c r="AX1326" s="86" t="str">
        <f t="shared" ca="1" si="105"/>
        <v>MRNA</v>
      </c>
    </row>
    <row r="1327" spans="1:50" ht="23" hidden="1" customHeight="1">
      <c r="A1327" s="86" t="str">
        <f t="shared" ca="1" si="104"/>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9800</v>
      </c>
      <c r="T1327" s="973">
        <v>10000</v>
      </c>
      <c r="U1327" s="973">
        <v>10000</v>
      </c>
      <c r="V1327" s="973">
        <v>10000</v>
      </c>
      <c r="W1327" s="973">
        <v>10000</v>
      </c>
      <c r="X1327" s="973">
        <v>10000</v>
      </c>
      <c r="Y1327" s="973">
        <v>10000</v>
      </c>
      <c r="Z1327" s="973">
        <f ca="1">Calc!G31</f>
        <v>10000</v>
      </c>
      <c r="AB1327" s="316">
        <v>2513.99999999999</v>
      </c>
      <c r="AC1327" s="316">
        <v>4015.4999999999973</v>
      </c>
      <c r="AD1327" s="316">
        <v>3943.4999999999945</v>
      </c>
      <c r="AE1327" s="316">
        <v>2060.9999999999927</v>
      </c>
      <c r="AF1327" s="316">
        <v>4519.4999999999909</v>
      </c>
      <c r="AG1327" s="316">
        <v>5599.4999999999973</v>
      </c>
      <c r="AH1327" s="316">
        <v>6661.7399999999943</v>
      </c>
      <c r="AI1327" s="316">
        <v>7385.9999999999927</v>
      </c>
      <c r="AJ1327" s="316">
        <v>5654.99999999999</v>
      </c>
      <c r="AK1327" s="316">
        <v>5762.9999999999936</v>
      </c>
      <c r="AL1327" s="316">
        <v>4799.9999999999918</v>
      </c>
      <c r="AM1327" s="316">
        <v>5261.9999999999973</v>
      </c>
      <c r="AN1327" s="316">
        <v>5122.4999999999964</v>
      </c>
      <c r="AO1327" s="316">
        <v>6045.7499999999927</v>
      </c>
      <c r="AP1327" s="316">
        <v>6928.4999999999909</v>
      </c>
      <c r="AQ1327" s="316">
        <v>6824.2499999999918</v>
      </c>
      <c r="AR1327" s="316">
        <v>6113.99999999999</v>
      </c>
      <c r="AS1327" s="316">
        <v>4947.2249999999976</v>
      </c>
      <c r="AT1327" s="316">
        <v>6839.3999999999924</v>
      </c>
      <c r="AU1327" s="316">
        <v>6067.49999999999</v>
      </c>
      <c r="AV1327" s="316">
        <f ca="1">Calc!AI31</f>
        <v>6067.49999999999</v>
      </c>
      <c r="AX1327" s="86" t="str">
        <f t="shared" ca="1" si="105"/>
        <v>MSFT</v>
      </c>
    </row>
    <row r="1328" spans="1:50" ht="23" hidden="1" customHeight="1">
      <c r="A1328" s="86" t="str">
        <f t="shared" ca="1" si="104"/>
        <v>NEE</v>
      </c>
      <c r="F1328" s="973">
        <v>1</v>
      </c>
      <c r="G1328" s="973">
        <v>1</v>
      </c>
      <c r="H1328" s="973">
        <v>1</v>
      </c>
      <c r="I1328" s="973">
        <v>1</v>
      </c>
      <c r="J1328" s="973">
        <v>1</v>
      </c>
      <c r="K1328" s="973">
        <v>1</v>
      </c>
      <c r="L1328" s="973">
        <v>1</v>
      </c>
      <c r="M1328" s="973">
        <v>1</v>
      </c>
      <c r="N1328" s="973">
        <v>1</v>
      </c>
      <c r="O1328" s="973">
        <v>1</v>
      </c>
      <c r="P1328" s="973">
        <v>1</v>
      </c>
      <c r="Q1328" s="973">
        <v>1</v>
      </c>
      <c r="R1328" s="973">
        <v>1</v>
      </c>
      <c r="S1328" s="973">
        <v>1</v>
      </c>
      <c r="T1328" s="973">
        <v>1</v>
      </c>
      <c r="U1328" s="973">
        <v>3001</v>
      </c>
      <c r="V1328" s="973">
        <v>3001</v>
      </c>
      <c r="W1328" s="973">
        <v>3001</v>
      </c>
      <c r="X1328" s="973">
        <v>3001</v>
      </c>
      <c r="Y1328" s="973">
        <v>3001</v>
      </c>
      <c r="Z1328" s="973">
        <f ca="1">Calc!G32</f>
        <v>3001</v>
      </c>
      <c r="AB1328" s="316">
        <v>-107.72999999999841</v>
      </c>
      <c r="AC1328" s="316">
        <v>-207.47999999999843</v>
      </c>
      <c r="AD1328" s="316">
        <v>-734.15999999999565</v>
      </c>
      <c r="AE1328" s="316">
        <v>-790.01999999999589</v>
      </c>
      <c r="AF1328" s="316">
        <v>-1129.1699999999994</v>
      </c>
      <c r="AG1328" s="316">
        <v>-1133.1599999999958</v>
      </c>
      <c r="AH1328" s="316">
        <v>-1121.190000000001</v>
      </c>
      <c r="AI1328" s="316">
        <v>-442.88999999999976</v>
      </c>
      <c r="AJ1328" s="316">
        <v>-1414.4550000000006</v>
      </c>
      <c r="AK1328" s="316">
        <v>-1464.3300000000006</v>
      </c>
      <c r="AL1328" s="316">
        <v>-1747.6199999999981</v>
      </c>
      <c r="AM1328" s="316">
        <v>-1256.8499999999965</v>
      </c>
      <c r="AN1328" s="316">
        <v>-1093.6589999999999</v>
      </c>
      <c r="AO1328" s="316">
        <v>-1619.940000000001</v>
      </c>
      <c r="AP1328" s="316">
        <v>-1236.8999999999978</v>
      </c>
      <c r="AQ1328" s="316">
        <v>-660.34500000000048</v>
      </c>
      <c r="AR1328" s="316">
        <v>-492.76499999999976</v>
      </c>
      <c r="AS1328" s="316">
        <v>614.46000000000254</v>
      </c>
      <c r="AT1328" s="316">
        <v>235.41000000000136</v>
      </c>
      <c r="AU1328" s="316">
        <v>259.3500000000023</v>
      </c>
      <c r="AV1328" s="316">
        <f ca="1">Calc!AI32</f>
        <v>259.3500000000023</v>
      </c>
      <c r="AX1328" s="86" t="str">
        <f t="shared" ca="1" si="105"/>
        <v>NEE</v>
      </c>
    </row>
    <row r="1329" spans="1:50" ht="23" hidden="1" customHeight="1">
      <c r="A1329" s="86" t="str">
        <f t="shared" ca="1" si="104"/>
        <v>NEM</v>
      </c>
      <c r="F1329" s="973">
        <v>20000</v>
      </c>
      <c r="G1329" s="973">
        <v>20000</v>
      </c>
      <c r="H1329" s="973">
        <v>20000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20000</v>
      </c>
      <c r="U1329" s="973">
        <v>18000</v>
      </c>
      <c r="V1329" s="973">
        <v>18000</v>
      </c>
      <c r="W1329" s="973">
        <v>18000</v>
      </c>
      <c r="X1329" s="973">
        <v>18000</v>
      </c>
      <c r="Y1329" s="973">
        <v>17000</v>
      </c>
      <c r="Z1329" s="973">
        <f ca="1">Calc!G33</f>
        <v>17000</v>
      </c>
      <c r="AB1329" s="316">
        <v>-300.00000000001137</v>
      </c>
      <c r="AC1329" s="316">
        <v>-2289.6000000000072</v>
      </c>
      <c r="AD1329" s="316">
        <v>-3759.9999999999909</v>
      </c>
      <c r="AE1329" s="316">
        <v>-12659.999999999996</v>
      </c>
      <c r="AF1329" s="316">
        <v>-10280.000000000002</v>
      </c>
      <c r="AG1329" s="316">
        <v>-12250</v>
      </c>
      <c r="AH1329" s="316">
        <v>-2800.0000000000114</v>
      </c>
      <c r="AI1329" s="316">
        <v>-4300.0000000000109</v>
      </c>
      <c r="AJ1329" s="316">
        <v>-17960.000000000007</v>
      </c>
      <c r="AK1329" s="316">
        <v>-18099.999999999993</v>
      </c>
      <c r="AL1329" s="316">
        <v>-18520.000000000011</v>
      </c>
      <c r="AM1329" s="316">
        <v>-21060.000000000004</v>
      </c>
      <c r="AN1329" s="316">
        <v>-17970</v>
      </c>
      <c r="AO1329" s="316">
        <v>-19420.000000000015</v>
      </c>
      <c r="AP1329" s="316">
        <v>-16400.000000000007</v>
      </c>
      <c r="AQ1329" s="316">
        <v>-290.00000000002046</v>
      </c>
      <c r="AR1329" s="316">
        <v>1299.9999999999829</v>
      </c>
      <c r="AS1329" s="316">
        <v>-4460.0000000000082</v>
      </c>
      <c r="AT1329" s="316">
        <v>-8010.0000000000191</v>
      </c>
      <c r="AU1329" s="316">
        <v>-80.000000000012506</v>
      </c>
      <c r="AV1329" s="316">
        <f ca="1">Calc!AI33</f>
        <v>-80.000000000012506</v>
      </c>
      <c r="AX1329" s="86" t="str">
        <f t="shared" ca="1" si="105"/>
        <v>NEM</v>
      </c>
    </row>
    <row r="1330" spans="1:50" ht="23" hidden="1" customHeight="1">
      <c r="A1330" s="86" t="str">
        <f t="shared" ca="1" si="104"/>
        <v>NFLX</v>
      </c>
      <c r="F1330" s="973">
        <v>3000</v>
      </c>
      <c r="G1330" s="973">
        <v>3000</v>
      </c>
      <c r="H1330" s="973">
        <v>3000</v>
      </c>
      <c r="I1330" s="973">
        <v>3000</v>
      </c>
      <c r="J1330" s="973">
        <v>30000</v>
      </c>
      <c r="K1330" s="973">
        <v>30000</v>
      </c>
      <c r="L1330" s="973">
        <v>30200</v>
      </c>
      <c r="M1330" s="973">
        <v>30200</v>
      </c>
      <c r="N1330" s="973">
        <v>32000</v>
      </c>
      <c r="O1330" s="973">
        <v>32000</v>
      </c>
      <c r="P1330" s="973">
        <v>32000</v>
      </c>
      <c r="Q1330" s="973">
        <v>32000</v>
      </c>
      <c r="R1330" s="973">
        <v>32000</v>
      </c>
      <c r="S1330" s="973">
        <v>32000</v>
      </c>
      <c r="T1330" s="973">
        <v>32000</v>
      </c>
      <c r="U1330" s="973">
        <v>32000</v>
      </c>
      <c r="V1330" s="973">
        <v>33000</v>
      </c>
      <c r="W1330" s="973">
        <v>35000</v>
      </c>
      <c r="X1330" s="973">
        <v>36000</v>
      </c>
      <c r="Y1330" s="973">
        <v>36000</v>
      </c>
      <c r="Z1330" s="973">
        <f ca="1">Calc!G34</f>
        <v>36000</v>
      </c>
      <c r="AB1330" s="316">
        <v>13509.999999999991</v>
      </c>
      <c r="AC1330" s="316">
        <v>13934.999999999991</v>
      </c>
      <c r="AD1330" s="316">
        <v>13430.999999999995</v>
      </c>
      <c r="AE1330" s="316">
        <v>12138.999999999987</v>
      </c>
      <c r="AF1330" s="316">
        <v>9265.9999999999909</v>
      </c>
      <c r="AG1330" s="316">
        <v>13575.999999999993</v>
      </c>
      <c r="AH1330" s="316">
        <v>17073.2</v>
      </c>
      <c r="AI1330" s="316">
        <v>18245.999999999996</v>
      </c>
      <c r="AJ1330" s="316">
        <v>17235.999999999989</v>
      </c>
      <c r="AK1330" s="316">
        <v>17215.999999999993</v>
      </c>
      <c r="AL1330" s="316">
        <v>15786.000000000002</v>
      </c>
      <c r="AM1330" s="316">
        <v>14530.999999999991</v>
      </c>
      <c r="AN1330" s="316">
        <v>13988.999999999991</v>
      </c>
      <c r="AO1330" s="316">
        <v>20805.999999999996</v>
      </c>
      <c r="AP1330" s="316">
        <v>19396</v>
      </c>
      <c r="AQ1330" s="316">
        <v>21036</v>
      </c>
      <c r="AR1330" s="316">
        <v>23116</v>
      </c>
      <c r="AS1330" s="316">
        <v>27325.999999999993</v>
      </c>
      <c r="AT1330" s="316">
        <v>30646</v>
      </c>
      <c r="AU1330" s="316">
        <v>29265.999999999993</v>
      </c>
      <c r="AV1330" s="316">
        <f ca="1">Calc!AI34</f>
        <v>29265.999999999993</v>
      </c>
      <c r="AX1330" s="86" t="str">
        <f t="shared" ca="1" si="105"/>
        <v>NFLX</v>
      </c>
    </row>
    <row r="1331" spans="1:50" ht="23" hidden="1" customHeight="1">
      <c r="A1331" s="86" t="str">
        <f t="shared" ca="1" si="104"/>
        <v>NOTE</v>
      </c>
      <c r="F1331" s="973">
        <v>26667</v>
      </c>
      <c r="G1331" s="973">
        <v>26667</v>
      </c>
      <c r="H1331" s="973">
        <v>26667</v>
      </c>
      <c r="I1331" s="973">
        <v>30000</v>
      </c>
      <c r="J1331" s="973">
        <v>30000</v>
      </c>
      <c r="K1331" s="973">
        <v>30000</v>
      </c>
      <c r="L1331" s="973">
        <v>30000</v>
      </c>
      <c r="M1331" s="973">
        <v>30000</v>
      </c>
      <c r="N1331" s="973">
        <v>30000</v>
      </c>
      <c r="O1331" s="973">
        <v>30000</v>
      </c>
      <c r="P1331" s="973">
        <v>30000</v>
      </c>
      <c r="Q1331" s="973">
        <v>30000</v>
      </c>
      <c r="R1331" s="973">
        <v>30000</v>
      </c>
      <c r="S1331" s="973">
        <v>30000</v>
      </c>
      <c r="T1331" s="973">
        <v>30000</v>
      </c>
      <c r="U1331" s="973">
        <v>30000</v>
      </c>
      <c r="V1331" s="973">
        <v>30000</v>
      </c>
      <c r="W1331" s="973">
        <v>49999</v>
      </c>
      <c r="X1331" s="973">
        <v>49999</v>
      </c>
      <c r="Y1331" s="973">
        <v>50000</v>
      </c>
      <c r="Z1331" s="973">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-1.8640000000000001</v>
      </c>
      <c r="AT1331" s="316">
        <v>-1.8490000000000002</v>
      </c>
      <c r="AU1331" s="316">
        <v>0</v>
      </c>
      <c r="AV1331" s="316">
        <f ca="1">Calc!AI35</f>
        <v>0</v>
      </c>
      <c r="AX1331" s="86" t="str">
        <f t="shared" ca="1" si="105"/>
        <v>NOTE</v>
      </c>
    </row>
    <row r="1332" spans="1:50" ht="23" hidden="1" customHeight="1">
      <c r="A1332" s="86" t="str">
        <f t="shared" ca="1" si="104"/>
        <v>PAAS</v>
      </c>
      <c r="F1332" s="973">
        <v>4000</v>
      </c>
      <c r="G1332" s="973">
        <v>4000</v>
      </c>
      <c r="H1332" s="973">
        <v>4000</v>
      </c>
      <c r="I1332" s="973">
        <v>2000</v>
      </c>
      <c r="J1332" s="973">
        <v>2000</v>
      </c>
      <c r="K1332" s="973">
        <v>2000</v>
      </c>
      <c r="L1332" s="973">
        <v>2000</v>
      </c>
      <c r="M1332" s="973">
        <v>2000</v>
      </c>
      <c r="N1332" s="973">
        <v>2000</v>
      </c>
      <c r="O1332" s="973">
        <v>2000</v>
      </c>
      <c r="P1332" s="973">
        <v>1000</v>
      </c>
      <c r="Q1332" s="973">
        <v>1000</v>
      </c>
      <c r="R1332" s="973">
        <v>1000</v>
      </c>
      <c r="S1332" s="973">
        <v>1000</v>
      </c>
      <c r="T1332" s="973">
        <v>1000</v>
      </c>
      <c r="U1332" s="973">
        <v>1000</v>
      </c>
      <c r="V1332" s="973">
        <v>1000</v>
      </c>
      <c r="W1332" s="973">
        <v>1000</v>
      </c>
      <c r="X1332" s="973">
        <v>1000</v>
      </c>
      <c r="Y1332" s="973">
        <v>1000</v>
      </c>
      <c r="Z1332" s="973">
        <f ca="1">Calc!G36</f>
        <v>1000</v>
      </c>
      <c r="AB1332" s="316">
        <v>2765.2499999999982</v>
      </c>
      <c r="AC1332" s="316">
        <v>2777.7500000000009</v>
      </c>
      <c r="AD1332" s="316">
        <v>2290.2999999999984</v>
      </c>
      <c r="AE1332" s="316">
        <v>686.00000000000705</v>
      </c>
      <c r="AF1332" s="316">
        <v>1566.0000000000025</v>
      </c>
      <c r="AG1332" s="316">
        <v>725.99999999999909</v>
      </c>
      <c r="AH1332" s="316">
        <v>4445.9999999999982</v>
      </c>
      <c r="AI1332" s="316">
        <v>3826.0000000000077</v>
      </c>
      <c r="AJ1332" s="316">
        <v>-6823.9999999999982</v>
      </c>
      <c r="AK1332" s="316">
        <v>-7414.0000000000018</v>
      </c>
      <c r="AL1332" s="316">
        <v>-209.99999999999375</v>
      </c>
      <c r="AM1332" s="316">
        <v>-754.99999999999545</v>
      </c>
      <c r="AN1332" s="316">
        <v>620.00000000000455</v>
      </c>
      <c r="AO1332" s="316">
        <v>385.00000000000512</v>
      </c>
      <c r="AP1332" s="316">
        <v>1020.0000000000032</v>
      </c>
      <c r="AQ1332" s="316">
        <v>1146.5999999999995</v>
      </c>
      <c r="AR1332" s="316">
        <v>1060.0000000000023</v>
      </c>
      <c r="AS1332" s="316">
        <v>-2695.6999999999953</v>
      </c>
      <c r="AT1332" s="316">
        <v>-3199.9999999999959</v>
      </c>
      <c r="AU1332" s="316">
        <v>-4890.0000000000009</v>
      </c>
      <c r="AV1332" s="316">
        <f ca="1">Calc!AI36</f>
        <v>-4890.0000000000009</v>
      </c>
      <c r="AX1332" s="86" t="str">
        <f t="shared" ca="1" si="105"/>
        <v>PAAS</v>
      </c>
    </row>
    <row r="1333" spans="1:50" ht="23" hidden="1" customHeight="1">
      <c r="A1333" s="86" t="str">
        <f t="shared" ca="1" si="104"/>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-500</v>
      </c>
      <c r="AC1333" s="316">
        <v>-500</v>
      </c>
      <c r="AD1333" s="316">
        <v>-629.99999999999898</v>
      </c>
      <c r="AE1333" s="316">
        <v>-2479.9999999999986</v>
      </c>
      <c r="AF1333" s="316">
        <v>-1240.0000000000002</v>
      </c>
      <c r="AG1333" s="316">
        <v>-759.99999999999977</v>
      </c>
      <c r="AH1333" s="316">
        <v>-559.99999999999875</v>
      </c>
      <c r="AI1333" s="316">
        <v>-580.00000000000011</v>
      </c>
      <c r="AJ1333" s="316">
        <v>-1709.9999999999991</v>
      </c>
      <c r="AK1333" s="316">
        <v>-1699.9999999999993</v>
      </c>
      <c r="AL1333" s="316">
        <v>-1979.9999999999986</v>
      </c>
      <c r="AM1333" s="316">
        <v>-1588.9999999999986</v>
      </c>
      <c r="AN1333" s="316">
        <v>-1179.9999999999998</v>
      </c>
      <c r="AO1333" s="316">
        <v>-1689.9999999999995</v>
      </c>
      <c r="AP1333" s="316">
        <v>-2580</v>
      </c>
      <c r="AQ1333" s="316">
        <v>-2540.5999999999995</v>
      </c>
      <c r="AR1333" s="316">
        <v>-1979.9999999999986</v>
      </c>
      <c r="AS1333" s="316">
        <v>-2799.9999999999991</v>
      </c>
      <c r="AT1333" s="316">
        <v>-3260</v>
      </c>
      <c r="AU1333" s="316">
        <v>-3639.9999999999986</v>
      </c>
      <c r="AV1333" s="316">
        <f ca="1">Calc!AI37</f>
        <v>-3639.9999999999986</v>
      </c>
      <c r="AX1333" s="86" t="str">
        <f t="shared" ca="1" si="105"/>
        <v>PROF</v>
      </c>
    </row>
    <row r="1334" spans="1:50" ht="23" hidden="1" customHeight="1">
      <c r="A1334" s="86" t="str">
        <f t="shared" ca="1" si="104"/>
        <v>POET</v>
      </c>
      <c r="F1334" s="973">
        <v>45000</v>
      </c>
      <c r="G1334" s="973">
        <v>45000</v>
      </c>
      <c r="H1334" s="973">
        <v>45000</v>
      </c>
      <c r="I1334" s="973">
        <v>47500</v>
      </c>
      <c r="J1334" s="973">
        <v>47500</v>
      </c>
      <c r="K1334" s="973">
        <v>47500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7587.5</v>
      </c>
      <c r="AC1334" s="316">
        <v>9312.5000000000018</v>
      </c>
      <c r="AD1334" s="316">
        <v>9250.25</v>
      </c>
      <c r="AE1334" s="316">
        <v>11675</v>
      </c>
      <c r="AF1334" s="316">
        <v>11950</v>
      </c>
      <c r="AG1334" s="316">
        <v>12214</v>
      </c>
      <c r="AH1334" s="316">
        <v>12112.500000000002</v>
      </c>
      <c r="AI1334" s="316">
        <v>11975</v>
      </c>
      <c r="AJ1334" s="316">
        <v>10762.500000000002</v>
      </c>
      <c r="AK1334" s="316">
        <v>10575.000000000002</v>
      </c>
      <c r="AL1334" s="316">
        <v>10300</v>
      </c>
      <c r="AM1334" s="316">
        <v>10812.5</v>
      </c>
      <c r="AN1334" s="316">
        <v>11037.5</v>
      </c>
      <c r="AO1334" s="316">
        <v>9238.75</v>
      </c>
      <c r="AP1334" s="316">
        <v>7650.0000000000009</v>
      </c>
      <c r="AQ1334" s="316">
        <v>6462.5</v>
      </c>
      <c r="AR1334" s="316">
        <v>7550.0000000000009</v>
      </c>
      <c r="AS1334" s="316">
        <v>5562.5000000000009</v>
      </c>
      <c r="AT1334" s="316">
        <v>4800</v>
      </c>
      <c r="AU1334" s="316">
        <v>4625.0000000000009</v>
      </c>
      <c r="AV1334" s="316">
        <f ca="1">Calc!AI38</f>
        <v>4625.0000000000009</v>
      </c>
      <c r="AX1334" s="86" t="str">
        <f t="shared" ca="1" si="105"/>
        <v>POET</v>
      </c>
    </row>
    <row r="1335" spans="1:50" ht="23" hidden="1" customHeight="1">
      <c r="A1335" s="86" t="str">
        <f t="shared" ca="1" si="104"/>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2389.77</v>
      </c>
      <c r="AC1335" s="316">
        <v>2435.7618000000002</v>
      </c>
      <c r="AD1335" s="316">
        <v>2645.28</v>
      </c>
      <c r="AE1335" s="316">
        <v>2502.7955999999999</v>
      </c>
      <c r="AF1335" s="316">
        <v>2705.7006000000001</v>
      </c>
      <c r="AG1335" s="316">
        <v>2696.6826000000001</v>
      </c>
      <c r="AH1335" s="316">
        <v>2782.3536000000004</v>
      </c>
      <c r="AI1335" s="316">
        <v>2615.2199999999998</v>
      </c>
      <c r="AJ1335" s="316">
        <v>1637.6688000000001</v>
      </c>
      <c r="AK1335" s="316">
        <v>1651.797</v>
      </c>
      <c r="AL1335" s="316">
        <v>2134.2600000000002</v>
      </c>
      <c r="AM1335" s="316">
        <v>2128.248</v>
      </c>
      <c r="AN1335" s="316">
        <v>1833.6599999999999</v>
      </c>
      <c r="AO1335" s="316">
        <v>2005.9038</v>
      </c>
      <c r="AP1335" s="316">
        <v>1833.6599999999999</v>
      </c>
      <c r="AQ1335" s="316">
        <v>1774.1412000000003</v>
      </c>
      <c r="AR1335" s="316">
        <v>1630.4544000000001</v>
      </c>
      <c r="AS1335" s="316">
        <v>1593.18</v>
      </c>
      <c r="AT1335" s="316">
        <v>1563.1200000000001</v>
      </c>
      <c r="AU1335" s="316">
        <v>1672.5383999999999</v>
      </c>
      <c r="AV1335" s="316">
        <f ca="1">Calc!AI39</f>
        <v>1672.5383999999999</v>
      </c>
      <c r="AX1335" s="86" t="str">
        <f t="shared" ca="1" si="105"/>
        <v>PW</v>
      </c>
    </row>
    <row r="1336" spans="1:50" ht="23" hidden="1" customHeight="1">
      <c r="A1336" s="86" t="str">
        <f t="shared" ca="1" si="104"/>
        <v>RIGL</v>
      </c>
      <c r="F1336" s="973">
        <v>1000</v>
      </c>
      <c r="G1336" s="973">
        <v>1000</v>
      </c>
      <c r="H1336" s="973">
        <v>1000</v>
      </c>
      <c r="I1336" s="973">
        <v>1000</v>
      </c>
      <c r="J1336" s="973">
        <v>1000</v>
      </c>
      <c r="K1336" s="973">
        <v>1000</v>
      </c>
      <c r="L1336" s="973">
        <v>1000</v>
      </c>
      <c r="M1336" s="973">
        <v>501</v>
      </c>
      <c r="N1336" s="973">
        <v>1</v>
      </c>
      <c r="O1336" s="973">
        <v>1</v>
      </c>
      <c r="P1336" s="973">
        <v>1</v>
      </c>
      <c r="Q1336" s="973">
        <v>1</v>
      </c>
      <c r="R1336" s="973">
        <v>1</v>
      </c>
      <c r="S1336" s="973">
        <v>1</v>
      </c>
      <c r="T1336" s="973">
        <v>1</v>
      </c>
      <c r="U1336" s="973">
        <v>1</v>
      </c>
      <c r="V1336" s="973">
        <v>1</v>
      </c>
      <c r="W1336" s="973">
        <v>1</v>
      </c>
      <c r="X1336" s="973">
        <v>1</v>
      </c>
      <c r="Y1336" s="973">
        <v>1</v>
      </c>
      <c r="Z1336" s="973">
        <f ca="1">Calc!G40</f>
        <v>1</v>
      </c>
      <c r="AB1336" s="316">
        <v>-1280.0000000000011</v>
      </c>
      <c r="AC1336" s="316">
        <v>1769.9999999999959</v>
      </c>
      <c r="AD1336" s="316">
        <v>3799.9999999999973</v>
      </c>
      <c r="AE1336" s="316">
        <v>-9459.9999999999945</v>
      </c>
      <c r="AF1336" s="316">
        <v>-18019.999999999996</v>
      </c>
      <c r="AG1336" s="316">
        <v>-9980.0000000000036</v>
      </c>
      <c r="AH1336" s="316">
        <v>-15129.999999999996</v>
      </c>
      <c r="AI1336" s="316">
        <v>42.41499999999688</v>
      </c>
      <c r="AJ1336" s="316">
        <v>-1480.0000000000005</v>
      </c>
      <c r="AK1336" s="316">
        <v>-1339.9999999999998</v>
      </c>
      <c r="AL1336" s="316">
        <v>-1105.0000000000005</v>
      </c>
      <c r="AM1336" s="316">
        <v>214.99999999999986</v>
      </c>
      <c r="AN1336" s="316">
        <v>1940.0000000000014</v>
      </c>
      <c r="AO1336" s="316">
        <v>1339.9999999999998</v>
      </c>
      <c r="AP1336" s="316">
        <v>535.00000000000011</v>
      </c>
      <c r="AQ1336" s="316">
        <v>504.99999999999898</v>
      </c>
      <c r="AR1336" s="316">
        <v>-320.00000000000028</v>
      </c>
      <c r="AS1336" s="316">
        <v>2625</v>
      </c>
      <c r="AT1336" s="316">
        <v>3530.0000000000009</v>
      </c>
      <c r="AU1336" s="316">
        <v>3115.0000000000018</v>
      </c>
      <c r="AV1336" s="316">
        <f ca="1">Calc!AI40</f>
        <v>3115.0000000000018</v>
      </c>
      <c r="AX1336" s="86" t="str">
        <f t="shared" ca="1" si="105"/>
        <v>RIGL</v>
      </c>
    </row>
    <row r="1337" spans="1:50" ht="23" hidden="1" customHeight="1">
      <c r="A1337" s="86" t="str">
        <f t="shared" ca="1" si="104"/>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-29600</v>
      </c>
      <c r="AC1337" s="316">
        <v>-31231.999999999993</v>
      </c>
      <c r="AD1337" s="316">
        <v>-30559.999999999993</v>
      </c>
      <c r="AE1337" s="316">
        <v>-38304</v>
      </c>
      <c r="AF1337" s="316">
        <v>-34944.000000000007</v>
      </c>
      <c r="AG1337" s="316">
        <v>-33183.999999999993</v>
      </c>
      <c r="AH1337" s="316">
        <v>-36992.000000000007</v>
      </c>
      <c r="AI1337" s="316">
        <v>-35104</v>
      </c>
      <c r="AJ1337" s="316">
        <v>-34879.999999999993</v>
      </c>
      <c r="AK1337" s="316">
        <v>-32512.000000000011</v>
      </c>
      <c r="AL1337" s="316">
        <v>-33152</v>
      </c>
      <c r="AM1337" s="316">
        <v>-32000</v>
      </c>
      <c r="AN1337" s="316">
        <v>-31807.999999999993</v>
      </c>
      <c r="AO1337" s="316">
        <v>-34400</v>
      </c>
      <c r="AP1337" s="316">
        <v>-32640.000000000007</v>
      </c>
      <c r="AQ1337" s="316">
        <v>-32320.000000000004</v>
      </c>
      <c r="AR1337" s="316">
        <v>-30655.999999999993</v>
      </c>
      <c r="AS1337" s="316">
        <v>-33055.999999999993</v>
      </c>
      <c r="AT1337" s="316">
        <v>-32416.000000000007</v>
      </c>
      <c r="AU1337" s="316">
        <v>-31776</v>
      </c>
      <c r="AV1337" s="316">
        <f ca="1">Calc!AI41</f>
        <v>-31776</v>
      </c>
      <c r="AX1337" s="86" t="str">
        <f t="shared" ca="1" si="105"/>
        <v>RWE</v>
      </c>
    </row>
    <row r="1338" spans="1:50" ht="23" hidden="1" customHeight="1">
      <c r="A1338" s="86" t="str">
        <f t="shared" ca="1" si="104"/>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1970.0000000000045</v>
      </c>
      <c r="AC1338" s="316">
        <v>3970.0000000000045</v>
      </c>
      <c r="AD1338" s="316">
        <v>4430.0000000000009</v>
      </c>
      <c r="AE1338" s="316">
        <v>5340.0000000000036</v>
      </c>
      <c r="AF1338" s="316">
        <v>6490.0000000000036</v>
      </c>
      <c r="AG1338" s="316">
        <v>6460.0000000000018</v>
      </c>
      <c r="AH1338" s="316">
        <v>6240.0000000000036</v>
      </c>
      <c r="AI1338" s="316">
        <v>6560.0000000000018</v>
      </c>
      <c r="AJ1338" s="316">
        <v>6220.0000000000045</v>
      </c>
      <c r="AK1338" s="316">
        <v>6160.0000000000018</v>
      </c>
      <c r="AL1338" s="316">
        <v>5850</v>
      </c>
      <c r="AM1338" s="316">
        <v>5780.0000000000009</v>
      </c>
      <c r="AN1338" s="316">
        <v>5990.0000000000036</v>
      </c>
      <c r="AO1338" s="316">
        <v>6110.0000000000018</v>
      </c>
      <c r="AP1338" s="316">
        <v>6260.0000000000018</v>
      </c>
      <c r="AQ1338" s="316">
        <v>5530.0000000000009</v>
      </c>
      <c r="AR1338" s="316">
        <v>4910.0000000000018</v>
      </c>
      <c r="AS1338" s="316">
        <v>5560.0000000000018</v>
      </c>
      <c r="AT1338" s="316">
        <v>5370.0000000000045</v>
      </c>
      <c r="AU1338" s="316">
        <v>5700</v>
      </c>
      <c r="AV1338" s="316">
        <f ca="1">Calc!AI42</f>
        <v>5700</v>
      </c>
      <c r="AX1338" s="86" t="str">
        <f t="shared" ca="1" si="105"/>
        <v>SAP</v>
      </c>
    </row>
    <row r="1339" spans="1:50" ht="23" hidden="1" customHeight="1">
      <c r="A1339" s="86" t="str">
        <f t="shared" ca="1" si="104"/>
        <v>SHECY</v>
      </c>
      <c r="F1339" s="973">
        <v>25000</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1036.4799999999993</v>
      </c>
      <c r="AC1339" s="316">
        <v>1289.2799999999995</v>
      </c>
      <c r="AD1339" s="316">
        <v>1169.1999999999998</v>
      </c>
      <c r="AE1339" s="316">
        <v>979.59999999999934</v>
      </c>
      <c r="AF1339" s="316">
        <v>1396.7199999999993</v>
      </c>
      <c r="AG1339" s="316">
        <v>1469.7159999999999</v>
      </c>
      <c r="AH1339" s="316">
        <v>1766.44</v>
      </c>
      <c r="AI1339" s="316">
        <v>1371.44</v>
      </c>
      <c r="AJ1339" s="316">
        <v>1099.6799999999989</v>
      </c>
      <c r="AK1339" s="316">
        <v>1099.6799999999989</v>
      </c>
      <c r="AL1339" s="316">
        <v>1004.8799999999999</v>
      </c>
      <c r="AM1339" s="316">
        <v>1017.5199999999996</v>
      </c>
      <c r="AN1339" s="316">
        <v>886.37999999999988</v>
      </c>
      <c r="AO1339" s="316">
        <v>1027.6319999999996</v>
      </c>
      <c r="AP1339" s="316">
        <v>922.71999999999946</v>
      </c>
      <c r="AQ1339" s="316">
        <v>613.03999999999928</v>
      </c>
      <c r="AR1339" s="316">
        <v>619.3599999999991</v>
      </c>
      <c r="AS1339" s="316">
        <v>785.57599999999911</v>
      </c>
      <c r="AT1339" s="316">
        <v>682.55999999999892</v>
      </c>
      <c r="AU1339" s="316">
        <v>1030.1599999999994</v>
      </c>
      <c r="AV1339" s="316">
        <f ca="1">Calc!AI43</f>
        <v>1030.1599999999994</v>
      </c>
      <c r="AX1339" s="86" t="str">
        <f t="shared" ca="1" si="105"/>
        <v>SHECY</v>
      </c>
    </row>
    <row r="1340" spans="1:50" ht="23" hidden="1" customHeight="1">
      <c r="A1340" s="86" t="str">
        <f t="shared" ca="1" si="104"/>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8752.5999000000011</v>
      </c>
      <c r="AC1340" s="316">
        <v>9922.5998999999974</v>
      </c>
      <c r="AD1340" s="316">
        <v>9922.5998999999974</v>
      </c>
      <c r="AE1340" s="316">
        <v>11452.599900000003</v>
      </c>
      <c r="AF1340" s="316">
        <v>12802.599900000001</v>
      </c>
      <c r="AG1340" s="316">
        <v>12952.599900000003</v>
      </c>
      <c r="AH1340" s="316">
        <v>13642.599899999999</v>
      </c>
      <c r="AI1340" s="316">
        <v>12652.599899999999</v>
      </c>
      <c r="AJ1340" s="316">
        <v>12502.599900000001</v>
      </c>
      <c r="AK1340" s="316">
        <v>12382.599899999999</v>
      </c>
      <c r="AL1340" s="316">
        <v>11932.599900000003</v>
      </c>
      <c r="AM1340" s="316">
        <v>12142.599899999999</v>
      </c>
      <c r="AN1340" s="316">
        <v>12052.599900000001</v>
      </c>
      <c r="AO1340" s="316">
        <v>12112.599899999999</v>
      </c>
      <c r="AP1340" s="316">
        <v>11362.599899999999</v>
      </c>
      <c r="AQ1340" s="316">
        <v>10912.599899999997</v>
      </c>
      <c r="AR1340" s="316">
        <v>11152.599899999999</v>
      </c>
      <c r="AS1340" s="316">
        <v>10492.599900000001</v>
      </c>
      <c r="AT1340" s="316">
        <v>10432.599900000003</v>
      </c>
      <c r="AU1340" s="316">
        <v>9982.5999000000029</v>
      </c>
      <c r="AV1340" s="316">
        <f ca="1">Calc!AI44</f>
        <v>9982.5999000000029</v>
      </c>
      <c r="AX1340" s="86" t="str">
        <f t="shared" ca="1" si="105"/>
        <v>SSYS</v>
      </c>
    </row>
    <row r="1341" spans="1:50" ht="23" hidden="1" customHeight="1">
      <c r="A1341" s="86" t="str">
        <f t="shared" ca="1" si="104"/>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-312.46199999999965</v>
      </c>
      <c r="AC1341" s="316">
        <v>-157.22909999999996</v>
      </c>
      <c r="AD1341" s="316">
        <v>-22.40999999999957</v>
      </c>
      <c r="AE1341" s="316">
        <v>208.70999999999998</v>
      </c>
      <c r="AF1341" s="316">
        <v>236.61000000000018</v>
      </c>
      <c r="AG1341" s="316">
        <v>228.87000000000006</v>
      </c>
      <c r="AH1341" s="316">
        <v>255.54690000000033</v>
      </c>
      <c r="AI1341" s="316">
        <v>263.25</v>
      </c>
      <c r="AJ1341" s="316">
        <v>36.990000000000123</v>
      </c>
      <c r="AK1341" s="316">
        <v>8.6400000000003274</v>
      </c>
      <c r="AL1341" s="316">
        <v>-23.669999999999959</v>
      </c>
      <c r="AM1341" s="316">
        <v>-8.0999999999997954</v>
      </c>
      <c r="AN1341" s="316">
        <v>-15.120000000000061</v>
      </c>
      <c r="AO1341" s="316">
        <v>-135.04499999999996</v>
      </c>
      <c r="AP1341" s="316">
        <v>-172.7999999999999</v>
      </c>
      <c r="AQ1341" s="316">
        <v>-202.68089999999961</v>
      </c>
      <c r="AR1341" s="316">
        <v>-247.13999999999982</v>
      </c>
      <c r="AS1341" s="316">
        <v>-199.43999999999971</v>
      </c>
      <c r="AT1341" s="316">
        <v>-214.97399999999971</v>
      </c>
      <c r="AU1341" s="316">
        <v>-173.93309999999991</v>
      </c>
      <c r="AV1341" s="316">
        <f ca="1">Calc!AI45</f>
        <v>-173.93309999999991</v>
      </c>
      <c r="AX1341" s="86" t="str">
        <f t="shared" ca="1" si="105"/>
        <v>TSLA</v>
      </c>
    </row>
    <row r="1342" spans="1:50" ht="23" hidden="1" customHeight="1">
      <c r="A1342" s="86" t="str">
        <f t="shared" ca="1" si="104"/>
        <v>TSM</v>
      </c>
      <c r="F1342" s="973">
        <v>4800</v>
      </c>
      <c r="G1342" s="973">
        <v>4500</v>
      </c>
      <c r="H1342" s="973">
        <v>4500</v>
      </c>
      <c r="I1342" s="973">
        <v>4500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1224.9999999999943</v>
      </c>
      <c r="AC1342" s="316">
        <v>-173.99999999999523</v>
      </c>
      <c r="AD1342" s="316">
        <v>900</v>
      </c>
      <c r="AE1342" s="316">
        <v>1194.0000000000055</v>
      </c>
      <c r="AF1342" s="316">
        <v>3252.0000000000095</v>
      </c>
      <c r="AG1342" s="316">
        <v>2808.0000000000041</v>
      </c>
      <c r="AH1342" s="316">
        <v>2640.0000000000036</v>
      </c>
      <c r="AI1342" s="316">
        <v>3663.0000000000109</v>
      </c>
      <c r="AJ1342" s="316">
        <v>-861.00000000000136</v>
      </c>
      <c r="AK1342" s="316">
        <v>-337.5</v>
      </c>
      <c r="AL1342" s="316">
        <v>-794.99999999999318</v>
      </c>
      <c r="AM1342" s="316">
        <v>-450</v>
      </c>
      <c r="AN1342" s="316">
        <v>-1039.4999999999925</v>
      </c>
      <c r="AO1342" s="316">
        <v>-1478.999999999985</v>
      </c>
      <c r="AP1342" s="316">
        <v>-1991.9999999999959</v>
      </c>
      <c r="AQ1342" s="316">
        <v>-1058.9999999999918</v>
      </c>
      <c r="AR1342" s="316">
        <v>-1748.9999999999952</v>
      </c>
      <c r="AS1342" s="316">
        <v>-4139.9999999999864</v>
      </c>
      <c r="AT1342" s="316">
        <v>-6386.9999999999891</v>
      </c>
      <c r="AU1342" s="316">
        <v>-4820.9999999999982</v>
      </c>
      <c r="AV1342" s="316">
        <f ca="1">Calc!AI46</f>
        <v>-4820.9999999999982</v>
      </c>
      <c r="AX1342" s="86" t="str">
        <f t="shared" ca="1" si="105"/>
        <v>TSM</v>
      </c>
    </row>
    <row r="1343" spans="1:50" ht="23" hidden="1" customHeight="1">
      <c r="A1343" s="86" t="str">
        <f t="shared" ca="1" si="104"/>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5179.5694999999987</v>
      </c>
      <c r="AC1343" s="316">
        <v>5722.0694999999996</v>
      </c>
      <c r="AD1343" s="316">
        <v>5529.5694999999987</v>
      </c>
      <c r="AE1343" s="316">
        <v>5494.5694999999987</v>
      </c>
      <c r="AF1343" s="316">
        <v>5162.0694999999987</v>
      </c>
      <c r="AG1343" s="316">
        <v>4917.0694999999987</v>
      </c>
      <c r="AH1343" s="316">
        <v>4934.5694999999996</v>
      </c>
      <c r="AI1343" s="316">
        <v>5004.5694999999987</v>
      </c>
      <c r="AJ1343" s="316">
        <v>3867.0694999999992</v>
      </c>
      <c r="AK1343" s="316">
        <v>3569.5694999999987</v>
      </c>
      <c r="AL1343" s="316">
        <v>3499.5695000000001</v>
      </c>
      <c r="AM1343" s="316">
        <v>3517.0694999999992</v>
      </c>
      <c r="AN1343" s="316">
        <v>3779.5694999999992</v>
      </c>
      <c r="AO1343" s="316">
        <v>3727.0694999999996</v>
      </c>
      <c r="AP1343" s="316">
        <v>3727.0694999999996</v>
      </c>
      <c r="AQ1343" s="316">
        <v>3569.5694999999987</v>
      </c>
      <c r="AR1343" s="316">
        <v>3604.5694999999992</v>
      </c>
      <c r="AS1343" s="316">
        <v>2204.5694999999992</v>
      </c>
      <c r="AT1343" s="316">
        <v>2187.0695000000001</v>
      </c>
      <c r="AU1343" s="316">
        <v>2292.0694999999992</v>
      </c>
      <c r="AV1343" s="316">
        <f ca="1">Calc!AI47</f>
        <v>2292.0694999999992</v>
      </c>
      <c r="AX1343" s="86" t="str">
        <f t="shared" ca="1" si="105"/>
        <v>UN0</v>
      </c>
    </row>
    <row r="1344" spans="1:50" ht="23" hidden="1" customHeight="1">
      <c r="A1344" s="86" t="str">
        <f t="shared" ca="1" si="104"/>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5"/>
        <v>UNIT</v>
      </c>
    </row>
    <row r="1345" spans="1:50" ht="23" hidden="1" customHeight="1">
      <c r="A1345" s="86" t="str">
        <f t="shared" ca="1" si="104"/>
        <v>VLVLY</v>
      </c>
      <c r="F1345" s="973">
        <v>3000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3000</v>
      </c>
      <c r="W1345" s="973">
        <v>2600</v>
      </c>
      <c r="X1345" s="973">
        <v>2600</v>
      </c>
      <c r="Y1345" s="973">
        <v>2600</v>
      </c>
      <c r="Z1345" s="973">
        <f ca="1">Calc!G49</f>
        <v>2600</v>
      </c>
      <c r="AB1345" s="316">
        <v>1249.6999999999989</v>
      </c>
      <c r="AC1345" s="316">
        <v>1359.9999999999995</v>
      </c>
      <c r="AD1345" s="316">
        <v>1331.7499999999995</v>
      </c>
      <c r="AE1345" s="316">
        <v>1019.9999999999995</v>
      </c>
      <c r="AF1345" s="316">
        <v>1234.9999999999995</v>
      </c>
      <c r="AG1345" s="316">
        <v>1037.4999999999995</v>
      </c>
      <c r="AH1345" s="316">
        <v>1295</v>
      </c>
      <c r="AI1345" s="316">
        <v>894.99999999999955</v>
      </c>
      <c r="AJ1345" s="316">
        <v>145.04999999999944</v>
      </c>
      <c r="AK1345" s="316">
        <v>139.99999999999881</v>
      </c>
      <c r="AL1345" s="316">
        <v>59.999999999998721</v>
      </c>
      <c r="AM1345" s="316">
        <v>62.5</v>
      </c>
      <c r="AN1345" s="316">
        <v>59.999999999998721</v>
      </c>
      <c r="AO1345" s="316">
        <v>199.99999999999929</v>
      </c>
      <c r="AP1345" s="316">
        <v>94.999999999998863</v>
      </c>
      <c r="AQ1345" s="316">
        <v>-263.00000000000171</v>
      </c>
      <c r="AR1345" s="316">
        <v>-685.00000000000045</v>
      </c>
      <c r="AS1345" s="316">
        <v>243.20000000000022</v>
      </c>
      <c r="AT1345" s="316">
        <v>64.000000000000057</v>
      </c>
      <c r="AU1345" s="316">
        <v>-210.00000000000085</v>
      </c>
      <c r="AV1345" s="316">
        <f ca="1">Calc!AI49</f>
        <v>-210.00000000000085</v>
      </c>
      <c r="AX1345" s="86" t="str">
        <f t="shared" ca="1" si="105"/>
        <v>VLVLY</v>
      </c>
    </row>
    <row r="1346" spans="1:50" ht="23" hidden="1" customHeight="1">
      <c r="A1346" s="86" t="str">
        <f t="shared" ca="1" si="104"/>
        <v>VONN</v>
      </c>
      <c r="F1346" s="973">
        <v>16000</v>
      </c>
      <c r="G1346" s="973">
        <v>18000</v>
      </c>
      <c r="H1346" s="973">
        <v>20000</v>
      </c>
      <c r="I1346" s="973">
        <v>19200</v>
      </c>
      <c r="J1346" s="973">
        <v>19200</v>
      </c>
      <c r="K1346" s="973">
        <v>19200</v>
      </c>
      <c r="L1346" s="973">
        <v>19200</v>
      </c>
      <c r="M1346" s="973">
        <v>19200</v>
      </c>
      <c r="N1346" s="973">
        <v>19200</v>
      </c>
      <c r="O1346" s="973">
        <v>19200</v>
      </c>
      <c r="P1346" s="973">
        <v>19200</v>
      </c>
      <c r="Q1346" s="973">
        <v>19200</v>
      </c>
      <c r="R1346" s="973">
        <v>19200</v>
      </c>
      <c r="S1346" s="973">
        <v>19200</v>
      </c>
      <c r="T1346" s="973">
        <v>19200</v>
      </c>
      <c r="U1346" s="973">
        <v>18000</v>
      </c>
      <c r="V1346" s="973">
        <v>17000</v>
      </c>
      <c r="W1346" s="973">
        <v>16500</v>
      </c>
      <c r="X1346" s="973">
        <v>16500</v>
      </c>
      <c r="Y1346" s="973">
        <v>16500</v>
      </c>
      <c r="Z1346" s="973">
        <f ca="1">Calc!G50</f>
        <v>16500</v>
      </c>
      <c r="AB1346" s="316">
        <v>44.10000000000003</v>
      </c>
      <c r="AC1346" s="316">
        <v>63</v>
      </c>
      <c r="AD1346" s="316">
        <v>60.900000000000119</v>
      </c>
      <c r="AE1346" s="316">
        <v>319.99999999999886</v>
      </c>
      <c r="AF1346" s="316">
        <v>1359.9999999999966</v>
      </c>
      <c r="AG1346" s="316">
        <v>959.99999999999659</v>
      </c>
      <c r="AH1346" s="316">
        <v>480.00000000000114</v>
      </c>
      <c r="AI1346" s="316">
        <v>719.99999999999886</v>
      </c>
      <c r="AJ1346" s="316">
        <v>319.99999999999886</v>
      </c>
      <c r="AK1346" s="316">
        <v>-160.00000000000227</v>
      </c>
      <c r="AL1346" s="316">
        <v>-240.00000000000341</v>
      </c>
      <c r="AM1346" s="316">
        <v>-400</v>
      </c>
      <c r="AN1346" s="316">
        <v>-560.00000000000227</v>
      </c>
      <c r="AO1346" s="316">
        <v>80.000000000001137</v>
      </c>
      <c r="AP1346" s="316">
        <v>-80.000000000001137</v>
      </c>
      <c r="AQ1346" s="316">
        <v>2.1000000000000298</v>
      </c>
      <c r="AR1346" s="316">
        <v>399.99999999999858</v>
      </c>
      <c r="AS1346" s="316">
        <v>505</v>
      </c>
      <c r="AT1346" s="316">
        <v>1010</v>
      </c>
      <c r="AU1346" s="316">
        <v>706.99999999999568</v>
      </c>
      <c r="AV1346" s="316">
        <f ca="1">Calc!AI50</f>
        <v>706.99999999999568</v>
      </c>
      <c r="AX1346" s="86" t="str">
        <f t="shared" ca="1" si="105"/>
        <v>VONN</v>
      </c>
    </row>
    <row r="1347" spans="1:50" ht="23" hidden="1" customHeight="1">
      <c r="A1347" s="86" t="str">
        <f t="shared" ca="1" si="104"/>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-3399.9999999999986</v>
      </c>
      <c r="AC1347" s="316">
        <v>-625</v>
      </c>
      <c r="AD1347" s="316">
        <v>-24.999999999995026</v>
      </c>
      <c r="AE1347" s="316">
        <v>-3250.0000000000018</v>
      </c>
      <c r="AF1347" s="316">
        <v>-3200.0000000000027</v>
      </c>
      <c r="AG1347" s="316">
        <v>-2374.9999999999982</v>
      </c>
      <c r="AH1347" s="316">
        <v>-774.99999999999682</v>
      </c>
      <c r="AI1347" s="316">
        <v>-1924.9999999999989</v>
      </c>
      <c r="AJ1347" s="316">
        <v>-2949.9999999999991</v>
      </c>
      <c r="AK1347" s="316">
        <v>-2850.0000000000014</v>
      </c>
      <c r="AL1347" s="316">
        <v>-3099.9999999999959</v>
      </c>
      <c r="AM1347" s="316">
        <v>-3374.9999999999945</v>
      </c>
      <c r="AN1347" s="316">
        <v>-3224.9999999999977</v>
      </c>
      <c r="AO1347" s="316">
        <v>-3999.9999999999945</v>
      </c>
      <c r="AP1347" s="316">
        <v>-3849.9999999999977</v>
      </c>
      <c r="AQ1347" s="316">
        <v>-3324.9999999999959</v>
      </c>
      <c r="AR1347" s="316">
        <v>-4299.9999999999973</v>
      </c>
      <c r="AS1347" s="316">
        <v>-5824.9999999999955</v>
      </c>
      <c r="AT1347" s="316">
        <v>-7649.9999999999964</v>
      </c>
      <c r="AU1347" s="316">
        <v>-7599.9999999999982</v>
      </c>
      <c r="AV1347" s="316">
        <f ca="1">Calc!AI51</f>
        <v>-7599.9999999999982</v>
      </c>
      <c r="AX1347" s="86" t="str">
        <f t="shared" ca="1" si="105"/>
        <v>VTRS</v>
      </c>
    </row>
    <row r="1348" spans="1:50" ht="23" hidden="1" customHeight="1">
      <c r="A1348" s="86" t="str">
        <f t="shared" ca="1" si="104"/>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5"/>
        <v>WBA</v>
      </c>
    </row>
    <row r="1349" spans="1:50" ht="23" hidden="1" customHeight="1">
      <c r="A1349" s="86" t="str">
        <f t="shared" ca="1" si="104"/>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-11411.99999999998</v>
      </c>
      <c r="AC1349" s="316">
        <v>-13535.999999999993</v>
      </c>
      <c r="AD1349" s="316">
        <v>-18035.999999999993</v>
      </c>
      <c r="AE1349" s="316">
        <v>-21437.999999999993</v>
      </c>
      <c r="AF1349" s="316">
        <v>-20987.999999999993</v>
      </c>
      <c r="AG1349" s="316">
        <v>-18377.999999999989</v>
      </c>
      <c r="AH1349" s="316">
        <v>-17189.999999999996</v>
      </c>
      <c r="AI1349" s="316">
        <v>-17531.999999999989</v>
      </c>
      <c r="AJ1349" s="316">
        <v>-14455.619999999979</v>
      </c>
      <c r="AK1349" s="316">
        <v>-13319.999999999985</v>
      </c>
      <c r="AL1349" s="316">
        <v>-15479.999999999989</v>
      </c>
      <c r="AM1349" s="316">
        <v>-17856.000000000004</v>
      </c>
      <c r="AN1349" s="316">
        <v>-14516.999999999996</v>
      </c>
      <c r="AO1349" s="316">
        <v>-17172.899999999991</v>
      </c>
      <c r="AP1349" s="316">
        <v>-18818.999999999996</v>
      </c>
      <c r="AQ1349" s="316">
        <v>-18108.000000000004</v>
      </c>
      <c r="AR1349" s="316">
        <v>-16469.999999999985</v>
      </c>
      <c r="AS1349" s="316">
        <v>-21500.999999999989</v>
      </c>
      <c r="AT1349" s="316">
        <v>-21879.000000000004</v>
      </c>
      <c r="AU1349" s="316">
        <v>-21923.999999999985</v>
      </c>
      <c r="AV1349" s="316">
        <f ca="1">Calc!AI53</f>
        <v>-21923.999999999985</v>
      </c>
      <c r="AX1349" s="86" t="str">
        <f t="shared" ca="1" si="105"/>
        <v>XOM</v>
      </c>
    </row>
    <row r="1350" spans="1:50" ht="23" hidden="1" customHeight="1">
      <c r="A1350" s="86" t="str">
        <f t="shared" ca="1" si="104"/>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27432.000000000004</v>
      </c>
      <c r="AC1350" s="316">
        <v>26352.000000000007</v>
      </c>
      <c r="AD1350" s="316">
        <v>28450.800000000007</v>
      </c>
      <c r="AE1350" s="316">
        <v>31392.000000000004</v>
      </c>
      <c r="AF1350" s="316">
        <v>34056</v>
      </c>
      <c r="AG1350" s="316">
        <v>34992</v>
      </c>
      <c r="AH1350" s="316">
        <v>36252.000000000007</v>
      </c>
      <c r="AI1350" s="316">
        <v>35136.000000000007</v>
      </c>
      <c r="AJ1350" s="316">
        <v>34812.000000000007</v>
      </c>
      <c r="AK1350" s="316">
        <v>34632</v>
      </c>
      <c r="AL1350" s="316">
        <v>34272.000000000007</v>
      </c>
      <c r="AM1350" s="316">
        <v>34775.279999999999</v>
      </c>
      <c r="AN1350" s="316">
        <v>33768</v>
      </c>
      <c r="AO1350" s="316">
        <v>33984.000000000007</v>
      </c>
      <c r="AP1350" s="316">
        <v>32760.000000000004</v>
      </c>
      <c r="AQ1350" s="316">
        <v>33480</v>
      </c>
      <c r="AR1350" s="316">
        <v>32616.000000000007</v>
      </c>
      <c r="AS1350" s="316">
        <v>31716.000000000007</v>
      </c>
      <c r="AT1350" s="316">
        <v>30960.000000000004</v>
      </c>
      <c r="AU1350" s="316">
        <v>31608.000000000004</v>
      </c>
      <c r="AV1350" s="316">
        <f ca="1">Calc!AI54</f>
        <v>31608.000000000004</v>
      </c>
      <c r="AX1350" s="86" t="str">
        <f t="shared" ca="1" si="105"/>
        <v>XPER</v>
      </c>
    </row>
    <row r="1351" spans="1:50" ht="23" hidden="1" customHeight="1">
      <c r="A1351" s="86" t="str">
        <f t="shared" ca="1" si="104"/>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5"/>
        <v>MVEALDNE</v>
      </c>
    </row>
    <row r="1352" spans="1:50" ht="23" hidden="1" customHeight="1">
      <c r="A1352" s="86" t="str">
        <f t="shared" ca="1" si="104"/>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4600</v>
      </c>
      <c r="AC1352" s="316">
        <v>6274.9999999999991</v>
      </c>
      <c r="AD1352" s="316">
        <v>6475</v>
      </c>
      <c r="AE1352" s="316">
        <v>6799.9999999999991</v>
      </c>
      <c r="AF1352" s="316">
        <v>7200</v>
      </c>
      <c r="AG1352" s="316">
        <v>7375</v>
      </c>
      <c r="AH1352" s="316">
        <v>8200</v>
      </c>
      <c r="AI1352" s="316">
        <v>7875</v>
      </c>
      <c r="AJ1352" s="316">
        <v>7424.9999999999991</v>
      </c>
      <c r="AK1352" s="316">
        <v>7350.0000000000009</v>
      </c>
      <c r="AL1352" s="316">
        <v>7200</v>
      </c>
      <c r="AM1352" s="316">
        <v>7575.0000000000009</v>
      </c>
      <c r="AN1352" s="316">
        <v>7350.0000000000009</v>
      </c>
      <c r="AO1352" s="316">
        <v>7224.9999999999991</v>
      </c>
      <c r="AP1352" s="316">
        <v>6599.9999999999991</v>
      </c>
      <c r="AQ1352" s="316">
        <v>6475</v>
      </c>
      <c r="AR1352" s="316">
        <v>6799.9999999999991</v>
      </c>
      <c r="AS1352" s="316">
        <v>8775</v>
      </c>
      <c r="AT1352" s="316">
        <v>8750</v>
      </c>
      <c r="AU1352" s="316">
        <v>7775</v>
      </c>
      <c r="AV1352" s="316">
        <f ca="1">Calc!AI56</f>
        <v>7775</v>
      </c>
      <c r="AX1352" s="86" t="str">
        <f t="shared" ca="1" si="105"/>
        <v>MVEDDD</v>
      </c>
    </row>
    <row r="1353" spans="1:50" ht="23" hidden="1" customHeight="1">
      <c r="A1353" s="86" t="str">
        <f t="shared" ca="1" si="104"/>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16029.999999999998</v>
      </c>
      <c r="AC1353" s="316">
        <v>16749.999999999996</v>
      </c>
      <c r="AD1353" s="316">
        <v>16669.999999999996</v>
      </c>
      <c r="AE1353" s="316">
        <v>16020</v>
      </c>
      <c r="AF1353" s="316">
        <v>16839.999999999996</v>
      </c>
      <c r="AG1353" s="316">
        <v>16630</v>
      </c>
      <c r="AH1353" s="316">
        <v>16689.999999999996</v>
      </c>
      <c r="AI1353" s="316">
        <v>16520</v>
      </c>
      <c r="AJ1353" s="316">
        <v>15860</v>
      </c>
      <c r="AK1353" s="316">
        <v>15860</v>
      </c>
      <c r="AL1353" s="316">
        <v>15899.999999999998</v>
      </c>
      <c r="AM1353" s="316">
        <v>16159.999999999996</v>
      </c>
      <c r="AN1353" s="316">
        <v>16589.999999999996</v>
      </c>
      <c r="AO1353" s="316">
        <v>16599.999999999996</v>
      </c>
      <c r="AP1353" s="316">
        <v>16599.999999999996</v>
      </c>
      <c r="AQ1353" s="316">
        <v>16249.999999999996</v>
      </c>
      <c r="AR1353" s="316">
        <v>16229.999999999996</v>
      </c>
      <c r="AS1353" s="316">
        <v>16659.999999999996</v>
      </c>
      <c r="AT1353" s="316">
        <v>16990</v>
      </c>
      <c r="AU1353" s="316">
        <v>16880</v>
      </c>
      <c r="AV1353" s="316">
        <f ca="1">Calc!AI57</f>
        <v>16880</v>
      </c>
      <c r="AX1353" s="86" t="str">
        <f t="shared" ca="1" si="105"/>
        <v>MVEDSY</v>
      </c>
    </row>
    <row r="1354" spans="1:50" ht="23" hidden="1" customHeight="1">
      <c r="A1354" s="86" t="str">
        <f t="shared" ca="1" si="104"/>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-10435.1</v>
      </c>
      <c r="AC1354" s="316">
        <v>-10524.799999999994</v>
      </c>
      <c r="AD1354" s="316">
        <v>-10599.55</v>
      </c>
      <c r="AE1354" s="316">
        <v>-8028.149999999996</v>
      </c>
      <c r="AF1354" s="316">
        <v>-7983.3</v>
      </c>
      <c r="AG1354" s="316">
        <v>-8192.6</v>
      </c>
      <c r="AH1354" s="316">
        <v>-8491.6</v>
      </c>
      <c r="AI1354" s="316">
        <v>-8880.2999999999975</v>
      </c>
      <c r="AJ1354" s="316">
        <v>-8656.0499999999993</v>
      </c>
      <c r="AK1354" s="316">
        <v>-8222.5</v>
      </c>
      <c r="AL1354" s="316">
        <v>-8267.3499999999967</v>
      </c>
      <c r="AM1354" s="316">
        <v>-7953.4000000000005</v>
      </c>
      <c r="AN1354" s="316">
        <v>-8147.7499999999991</v>
      </c>
      <c r="AO1354" s="316">
        <v>-9508.1999999999989</v>
      </c>
      <c r="AP1354" s="316">
        <v>-9866.9999999999964</v>
      </c>
      <c r="AQ1354" s="316">
        <v>-9059.6999999999989</v>
      </c>
      <c r="AR1354" s="316">
        <v>-8596.25</v>
      </c>
      <c r="AS1354" s="316">
        <v>-9044.7500000000018</v>
      </c>
      <c r="AT1354" s="316">
        <v>-8940.1</v>
      </c>
      <c r="AU1354" s="316">
        <v>-7400.2499999999991</v>
      </c>
      <c r="AV1354" s="316">
        <f ca="1">Calc!AI58</f>
        <v>-7400.2499999999991</v>
      </c>
      <c r="AX1354" s="86" t="str">
        <f t="shared" ca="1" si="105"/>
        <v>MVEEOAN</v>
      </c>
    </row>
    <row r="1355" spans="1:50" ht="23" hidden="1" customHeight="1">
      <c r="A1355" s="86" t="str">
        <f t="shared" ca="1" si="104"/>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36000</v>
      </c>
      <c r="W1355" s="973">
        <v>32000</v>
      </c>
      <c r="X1355" s="973">
        <v>32000</v>
      </c>
      <c r="Y1355" s="973">
        <v>32000</v>
      </c>
      <c r="Z1355" s="973">
        <f ca="1">Calc!G59</f>
        <v>32000</v>
      </c>
      <c r="AB1355" s="316">
        <v>-3392.0000000000032</v>
      </c>
      <c r="AC1355" s="316">
        <v>-3312.0000000000045</v>
      </c>
      <c r="AD1355" s="316">
        <v>-3248.0000000000045</v>
      </c>
      <c r="AE1355" s="316">
        <v>-5416.0000000000036</v>
      </c>
      <c r="AF1355" s="316">
        <v>-4960.0000000000009</v>
      </c>
      <c r="AG1355" s="316">
        <v>-4392.0000000000027</v>
      </c>
      <c r="AH1355" s="316">
        <v>-4704.0000000000009</v>
      </c>
      <c r="AI1355" s="316">
        <v>-3904.0000000000036</v>
      </c>
      <c r="AJ1355" s="316">
        <v>-3464.0000000000059</v>
      </c>
      <c r="AK1355" s="316">
        <v>-3240.0000000000018</v>
      </c>
      <c r="AL1355" s="316">
        <v>-4048.0000000000091</v>
      </c>
      <c r="AM1355" s="316">
        <v>-4232.0000000000064</v>
      </c>
      <c r="AN1355" s="316">
        <v>-4271.9999999999982</v>
      </c>
      <c r="AO1355" s="316">
        <v>-4752.0000000000027</v>
      </c>
      <c r="AP1355" s="316">
        <v>-4928.0000000000045</v>
      </c>
      <c r="AQ1355" s="316">
        <v>-4920.0000000000091</v>
      </c>
      <c r="AR1355" s="316">
        <v>-3928.0000000000045</v>
      </c>
      <c r="AS1355" s="316">
        <v>-432.00000000000216</v>
      </c>
      <c r="AT1355" s="316">
        <v>-55.999999999997385</v>
      </c>
      <c r="AU1355" s="316">
        <v>384.00000000000034</v>
      </c>
      <c r="AV1355" s="316">
        <f ca="1">Calc!AI59</f>
        <v>384.00000000000034</v>
      </c>
      <c r="AX1355" s="86" t="str">
        <f t="shared" ca="1" si="105"/>
        <v>MVEENI</v>
      </c>
    </row>
    <row r="1356" spans="1:50" ht="23" hidden="1" customHeight="1">
      <c r="A1356" s="86" t="str">
        <f t="shared" ca="1" si="104"/>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5"/>
        <v>MVEEPIX</v>
      </c>
    </row>
    <row r="1357" spans="1:50" ht="23" hidden="1" customHeight="1">
      <c r="A1357" s="86" t="str">
        <f t="shared" ca="1" si="104"/>
        <v>MVEGLE</v>
      </c>
      <c r="F1357" s="973">
        <v>7000</v>
      </c>
      <c r="G1357" s="973">
        <v>7000</v>
      </c>
      <c r="H1357" s="973">
        <v>7000</v>
      </c>
      <c r="I1357" s="973">
        <v>7000</v>
      </c>
      <c r="J1357" s="973">
        <v>7000</v>
      </c>
      <c r="K1357" s="973">
        <v>7000</v>
      </c>
      <c r="L1357" s="973">
        <v>3000</v>
      </c>
      <c r="M1357" s="973">
        <v>3000</v>
      </c>
      <c r="N1357" s="973">
        <v>3000</v>
      </c>
      <c r="O1357" s="973">
        <v>3000</v>
      </c>
      <c r="P1357" s="973">
        <v>3000</v>
      </c>
      <c r="Q1357" s="973">
        <v>3000</v>
      </c>
      <c r="R1357" s="973">
        <v>3000</v>
      </c>
      <c r="S1357" s="973">
        <v>3000</v>
      </c>
      <c r="T1357" s="973">
        <v>3000</v>
      </c>
      <c r="U1357" s="973">
        <v>3000</v>
      </c>
      <c r="V1357" s="973">
        <v>2000</v>
      </c>
      <c r="W1357" s="973">
        <v>2000</v>
      </c>
      <c r="X1357" s="973">
        <v>2000</v>
      </c>
      <c r="Y1357" s="973">
        <v>2000</v>
      </c>
      <c r="Z1357" s="973">
        <f ca="1">Calc!G61</f>
        <v>2000</v>
      </c>
      <c r="AB1357" s="316">
        <v>-7170.0000000000018</v>
      </c>
      <c r="AC1357" s="316">
        <v>-8329.9999999999982</v>
      </c>
      <c r="AD1357" s="316">
        <v>-7170.0000000000018</v>
      </c>
      <c r="AE1357" s="316">
        <v>-10509.999999999998</v>
      </c>
      <c r="AF1357" s="316">
        <v>-8710</v>
      </c>
      <c r="AG1357" s="316">
        <v>-9350.0000000000018</v>
      </c>
      <c r="AH1357" s="316">
        <v>-9950.0000000000036</v>
      </c>
      <c r="AI1357" s="316">
        <v>-9070</v>
      </c>
      <c r="AJ1357" s="316">
        <v>-12030.000000000002</v>
      </c>
      <c r="AK1357" s="316">
        <v>-12430</v>
      </c>
      <c r="AL1357" s="316">
        <v>-12469.999999999998</v>
      </c>
      <c r="AM1357" s="316">
        <v>-12250</v>
      </c>
      <c r="AN1357" s="316">
        <v>-13590.000000000004</v>
      </c>
      <c r="AO1357" s="316">
        <v>-13170.000000000002</v>
      </c>
      <c r="AP1357" s="316">
        <v>-13050.000000000004</v>
      </c>
      <c r="AQ1357" s="316">
        <v>-15030.000000000002</v>
      </c>
      <c r="AR1357" s="316">
        <v>179.99999999999972</v>
      </c>
      <c r="AS1357" s="316">
        <v>-1179.9999999999998</v>
      </c>
      <c r="AT1357" s="316">
        <v>-1759.999999999998</v>
      </c>
      <c r="AU1357" s="316">
        <v>-2640.0000000000005</v>
      </c>
      <c r="AV1357" s="316">
        <f ca="1">Calc!AI61</f>
        <v>-2640.0000000000005</v>
      </c>
      <c r="AX1357" s="86" t="str">
        <f t="shared" ca="1" si="105"/>
        <v>MVEGLE</v>
      </c>
    </row>
    <row r="1358" spans="1:50" ht="23" hidden="1" customHeight="1">
      <c r="A1358" s="86" t="str">
        <f t="shared" ca="1" si="104"/>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35.999999999999233</v>
      </c>
      <c r="AC1358" s="316">
        <v>-234.00000000000034</v>
      </c>
      <c r="AD1358" s="316">
        <v>-503.99999999999989</v>
      </c>
      <c r="AE1358" s="316">
        <v>-330.00000000000045</v>
      </c>
      <c r="AF1358" s="316">
        <v>65.999999999999659</v>
      </c>
      <c r="AG1358" s="316">
        <v>-42.000000000000171</v>
      </c>
      <c r="AH1358" s="316">
        <v>101.99999999999889</v>
      </c>
      <c r="AI1358" s="316">
        <v>-240.00000000000128</v>
      </c>
      <c r="AJ1358" s="316">
        <v>-402.00000000000102</v>
      </c>
      <c r="AK1358" s="316">
        <v>-426.00000000000051</v>
      </c>
      <c r="AL1358" s="316">
        <v>-534.00000000000034</v>
      </c>
      <c r="AM1358" s="316">
        <v>-480.00000000000045</v>
      </c>
      <c r="AN1358" s="316">
        <v>-390.00000000000125</v>
      </c>
      <c r="AO1358" s="316">
        <v>-384.00000000000034</v>
      </c>
      <c r="AP1358" s="316">
        <v>-408.00000000000193</v>
      </c>
      <c r="AQ1358" s="316">
        <v>-342.00000000000017</v>
      </c>
      <c r="AR1358" s="316">
        <v>5.9999999999988063</v>
      </c>
      <c r="AS1358" s="316">
        <v>35.999999999999233</v>
      </c>
      <c r="AT1358" s="316">
        <v>96.000000000000085</v>
      </c>
      <c r="AU1358" s="316">
        <v>11.999999999999744</v>
      </c>
      <c r="AV1358" s="316">
        <f ca="1">Calc!AI62</f>
        <v>11.999999999999744</v>
      </c>
      <c r="AX1358" s="86" t="str">
        <f t="shared" ca="1" si="105"/>
        <v>MVEORA</v>
      </c>
    </row>
    <row r="1359" spans="1:50" ht="23" hidden="1" customHeight="1">
      <c r="A1359" s="86" t="str">
        <f t="shared" ref="A1359:A1392" ca="1" si="106">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-36990.75</v>
      </c>
      <c r="AC1359" s="316">
        <v>-39030.239999999991</v>
      </c>
      <c r="AD1359" s="316">
        <v>-38190.44999999999</v>
      </c>
      <c r="AE1359" s="316">
        <v>-47868.03</v>
      </c>
      <c r="AF1359" s="316">
        <v>-43669.080000000009</v>
      </c>
      <c r="AG1359" s="316">
        <v>-41469.62999999999</v>
      </c>
      <c r="AH1359" s="316">
        <v>-46228.44000000001</v>
      </c>
      <c r="AI1359" s="316">
        <v>-43869.03</v>
      </c>
      <c r="AJ1359" s="316">
        <v>-43589.099999999991</v>
      </c>
      <c r="AK1359" s="316">
        <v>-40629.840000000018</v>
      </c>
      <c r="AL1359" s="316">
        <v>-41429.64</v>
      </c>
      <c r="AM1359" s="316">
        <v>-39990</v>
      </c>
      <c r="AN1359" s="316">
        <v>-39750.05999999999</v>
      </c>
      <c r="AO1359" s="316">
        <v>-42989.25</v>
      </c>
      <c r="AP1359" s="316">
        <v>-40789.80000000001</v>
      </c>
      <c r="AQ1359" s="316">
        <v>-40389.900000000009</v>
      </c>
      <c r="AR1359" s="316">
        <v>-38310.419999999991</v>
      </c>
      <c r="AS1359" s="316">
        <v>-41309.669999999991</v>
      </c>
      <c r="AT1359" s="316">
        <v>-40509.87000000001</v>
      </c>
      <c r="AU1359" s="316">
        <v>-39710.07</v>
      </c>
      <c r="AV1359" s="316">
        <f ca="1">Calc!AI63</f>
        <v>-39710.07</v>
      </c>
      <c r="AX1359" s="86" t="str">
        <f t="shared" ca="1" si="105"/>
        <v>MVERWE</v>
      </c>
    </row>
    <row r="1360" spans="1:50" ht="23" hidden="1" customHeight="1">
      <c r="A1360" s="86" t="str">
        <f t="shared" ca="1" si="106"/>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401</v>
      </c>
      <c r="T1360" s="973">
        <v>900</v>
      </c>
      <c r="U1360" s="973">
        <v>900</v>
      </c>
      <c r="V1360" s="973">
        <v>900</v>
      </c>
      <c r="W1360" s="973">
        <v>900</v>
      </c>
      <c r="X1360" s="973">
        <v>900</v>
      </c>
      <c r="Y1360" s="973">
        <v>900</v>
      </c>
      <c r="Z1360" s="973">
        <f ca="1">Calc!G64</f>
        <v>900</v>
      </c>
      <c r="AB1360" s="316">
        <v>19765.000000000015</v>
      </c>
      <c r="AC1360" s="316">
        <v>24765.000000000015</v>
      </c>
      <c r="AD1360" s="316">
        <v>25915.000000000007</v>
      </c>
      <c r="AE1360" s="316">
        <v>28190.000000000011</v>
      </c>
      <c r="AF1360" s="316">
        <v>31065.000000000011</v>
      </c>
      <c r="AG1360" s="316">
        <v>30990.000000000007</v>
      </c>
      <c r="AH1360" s="316">
        <v>30440.000000000011</v>
      </c>
      <c r="AI1360" s="316">
        <v>31240.000000000007</v>
      </c>
      <c r="AJ1360" s="316">
        <v>30390.000000000015</v>
      </c>
      <c r="AK1360" s="316">
        <v>30240.000000000007</v>
      </c>
      <c r="AL1360" s="316">
        <v>29465.000000000004</v>
      </c>
      <c r="AM1360" s="316">
        <v>29290.000000000007</v>
      </c>
      <c r="AN1360" s="316">
        <v>29815.000000000011</v>
      </c>
      <c r="AO1360" s="316">
        <v>30115.000000000007</v>
      </c>
      <c r="AP1360" s="316">
        <v>30490.000000000007</v>
      </c>
      <c r="AQ1360" s="316">
        <v>28665.000000000007</v>
      </c>
      <c r="AR1360" s="316">
        <v>27115.000000000007</v>
      </c>
      <c r="AS1360" s="316">
        <v>28740.000000000007</v>
      </c>
      <c r="AT1360" s="316">
        <v>28265.000000000015</v>
      </c>
      <c r="AU1360" s="316">
        <v>29090.000000000004</v>
      </c>
      <c r="AV1360" s="316">
        <f ca="1">Calc!AI64</f>
        <v>29090.000000000004</v>
      </c>
      <c r="AX1360" s="86" t="str">
        <f t="shared" ca="1" si="105"/>
        <v>MVESAP</v>
      </c>
    </row>
    <row r="1361" spans="1:50" ht="23" hidden="1" customHeight="1">
      <c r="A1361" s="86" t="str">
        <f t="shared" ca="1" si="106"/>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8017.84</v>
      </c>
      <c r="AC1361" s="316">
        <v>8774.24</v>
      </c>
      <c r="AD1361" s="316">
        <v>8505.84</v>
      </c>
      <c r="AE1361" s="316">
        <v>8457.0399999999991</v>
      </c>
      <c r="AF1361" s="316">
        <v>7993.44</v>
      </c>
      <c r="AG1361" s="316">
        <v>7651.84</v>
      </c>
      <c r="AH1361" s="316">
        <v>7676.24</v>
      </c>
      <c r="AI1361" s="316">
        <v>7773.84</v>
      </c>
      <c r="AJ1361" s="316">
        <v>6187.84</v>
      </c>
      <c r="AK1361" s="316">
        <v>5773.0399999999991</v>
      </c>
      <c r="AL1361" s="316">
        <v>5675.4400000000014</v>
      </c>
      <c r="AM1361" s="316">
        <v>5699.84</v>
      </c>
      <c r="AN1361" s="316">
        <v>6065.84</v>
      </c>
      <c r="AO1361" s="316">
        <v>5992.64</v>
      </c>
      <c r="AP1361" s="316">
        <v>5992.64</v>
      </c>
      <c r="AQ1361" s="316">
        <v>5773.0399999999991</v>
      </c>
      <c r="AR1361" s="316">
        <v>5821.84</v>
      </c>
      <c r="AS1361" s="316">
        <v>3869.8399999999997</v>
      </c>
      <c r="AT1361" s="316">
        <v>3845.4400000000014</v>
      </c>
      <c r="AU1361" s="316">
        <v>3991.8399999999997</v>
      </c>
      <c r="AV1361" s="316">
        <f ca="1">Calc!AI65</f>
        <v>3991.8399999999997</v>
      </c>
      <c r="AX1361" s="86" t="str">
        <f t="shared" ca="1" si="105"/>
        <v>MVEUN0</v>
      </c>
    </row>
    <row r="1362" spans="1:50" ht="23" hidden="1" customHeight="1">
      <c r="A1362" s="86" t="str">
        <f t="shared" ca="1" si="106"/>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-1520.999999999998</v>
      </c>
      <c r="AC1362" s="316">
        <v>-1575</v>
      </c>
      <c r="AD1362" s="316">
        <v>-1199.550000000002</v>
      </c>
      <c r="AE1362" s="316">
        <v>-1861.5000000000036</v>
      </c>
      <c r="AF1362" s="316">
        <v>-1115.9999999999995</v>
      </c>
      <c r="AG1362" s="316">
        <v>-1504.4999999999959</v>
      </c>
      <c r="AH1362" s="316">
        <v>-1031.9999999999993</v>
      </c>
      <c r="AI1362" s="316">
        <v>-1806.0000000000032</v>
      </c>
      <c r="AJ1362" s="316">
        <v>-2709.0000000000005</v>
      </c>
      <c r="AK1362" s="316">
        <v>-2632.5000000000018</v>
      </c>
      <c r="AL1362" s="316">
        <v>-2827.5000000000036</v>
      </c>
      <c r="AM1362" s="316">
        <v>-3122.9999999999991</v>
      </c>
      <c r="AN1362" s="316">
        <v>-3893.2499999999977</v>
      </c>
      <c r="AO1362" s="316">
        <v>-4060.4999999999991</v>
      </c>
      <c r="AP1362" s="316">
        <v>-3622.4999999999964</v>
      </c>
      <c r="AQ1362" s="316">
        <v>-3016.5000000000018</v>
      </c>
      <c r="AR1362" s="316">
        <v>-2816.9999999999959</v>
      </c>
      <c r="AS1362" s="316">
        <v>-2636.9999999999977</v>
      </c>
      <c r="AT1362" s="316">
        <v>-2816.9999999999959</v>
      </c>
      <c r="AU1362" s="316">
        <v>-2704.4999999999959</v>
      </c>
      <c r="AV1362" s="316">
        <f ca="1">Calc!AI66</f>
        <v>-2704.4999999999959</v>
      </c>
      <c r="AX1362" s="86" t="str">
        <f t="shared" ca="1" si="105"/>
        <v>SAFAAPL</v>
      </c>
    </row>
    <row r="1363" spans="1:50" ht="23" hidden="1" customHeight="1">
      <c r="A1363" s="86" t="str">
        <f t="shared" ca="1" si="106"/>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-14274.999999999991</v>
      </c>
      <c r="AC1363" s="316">
        <v>-11078.199999999995</v>
      </c>
      <c r="AD1363" s="316">
        <v>-11454.999999999998</v>
      </c>
      <c r="AE1363" s="316">
        <v>-6519.9999999999964</v>
      </c>
      <c r="AF1363" s="316">
        <v>-450.00000000000284</v>
      </c>
      <c r="AG1363" s="316">
        <v>234.00000000000887</v>
      </c>
      <c r="AH1363" s="316">
        <v>1400.0000000000057</v>
      </c>
      <c r="AI1363" s="316">
        <v>207.49999999999602</v>
      </c>
      <c r="AJ1363" s="316">
        <v>-4039.9999999999918</v>
      </c>
      <c r="AK1363" s="316">
        <v>-3754.9999999999955</v>
      </c>
      <c r="AL1363" s="316">
        <v>-5784.9999999999964</v>
      </c>
      <c r="AM1363" s="316">
        <v>-6685.0000000000018</v>
      </c>
      <c r="AN1363" s="316">
        <v>-6322.4999999999909</v>
      </c>
      <c r="AO1363" s="316">
        <v>-5015.0000000000009</v>
      </c>
      <c r="AP1363" s="316">
        <v>-5364.9999999999945</v>
      </c>
      <c r="AQ1363" s="316">
        <v>-2843.3500000000008</v>
      </c>
      <c r="AR1363" s="316">
        <v>-3939.9999999999977</v>
      </c>
      <c r="AS1363" s="316">
        <v>-3033.5499999999911</v>
      </c>
      <c r="AT1363" s="316">
        <v>-5064.9999999999982</v>
      </c>
      <c r="AU1363" s="316">
        <v>-4314.9999999999982</v>
      </c>
      <c r="AV1363" s="316">
        <f ca="1">Calc!AI67</f>
        <v>-4314.9999999999982</v>
      </c>
      <c r="AX1363" s="86" t="str">
        <f t="shared" ref="AX1363:AX1426" ca="1" si="107">A1363</f>
        <v>SAFAMZN</v>
      </c>
    </row>
    <row r="1364" spans="1:50" ht="23" hidden="1" customHeight="1">
      <c r="A1364" s="86" t="str">
        <f t="shared" ca="1" si="106"/>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250</v>
      </c>
      <c r="S1364" s="973">
        <v>0</v>
      </c>
      <c r="T1364" s="973">
        <v>0</v>
      </c>
      <c r="U1364" s="973">
        <v>0</v>
      </c>
      <c r="V1364" s="973">
        <v>0</v>
      </c>
      <c r="W1364" s="973">
        <v>0</v>
      </c>
      <c r="X1364" s="973">
        <v>0</v>
      </c>
      <c r="Y1364" s="973">
        <v>0</v>
      </c>
      <c r="Z1364" s="973">
        <f ca="1">Calc!G68</f>
        <v>0</v>
      </c>
      <c r="AB1364" s="316">
        <v>-13305.599999999999</v>
      </c>
      <c r="AC1364" s="316">
        <v>-12695.399999999994</v>
      </c>
      <c r="AD1364" s="316">
        <v>-11372.399999999994</v>
      </c>
      <c r="AE1364" s="316">
        <v>-11550.599999999999</v>
      </c>
      <c r="AF1364" s="316">
        <v>-10756.799999999996</v>
      </c>
      <c r="AG1364" s="316">
        <v>-12225.599999999999</v>
      </c>
      <c r="AH1364" s="316">
        <v>-12398.399999999994</v>
      </c>
      <c r="AI1364" s="316">
        <v>-9385.1999999999971</v>
      </c>
      <c r="AJ1364" s="316">
        <v>-13451.399999999994</v>
      </c>
      <c r="AK1364" s="316">
        <v>-12798</v>
      </c>
      <c r="AL1364" s="316">
        <v>-13132.799999999996</v>
      </c>
      <c r="AM1364" s="316">
        <v>-14391</v>
      </c>
      <c r="AN1364" s="316">
        <v>-15060.599999999999</v>
      </c>
      <c r="AO1364" s="316">
        <v>1685.0000000000023</v>
      </c>
      <c r="AP1364" s="316">
        <v>-90.000000000003411</v>
      </c>
      <c r="AQ1364" s="316">
        <v>1435.0000000000023</v>
      </c>
      <c r="AR1364" s="316">
        <v>2859.9999999999854</v>
      </c>
      <c r="AS1364" s="316">
        <v>2534.9999999999964</v>
      </c>
      <c r="AT1364" s="316">
        <v>4259.9999999999909</v>
      </c>
      <c r="AU1364" s="316">
        <v>5534.9999999999964</v>
      </c>
      <c r="AV1364" s="316">
        <f ca="1">Calc!AI68</f>
        <v>5534.9999999999964</v>
      </c>
      <c r="AX1364" s="86" t="str">
        <f t="shared" ca="1" si="107"/>
        <v>SAFASML</v>
      </c>
    </row>
    <row r="1365" spans="1:50" ht="23" hidden="1" customHeight="1">
      <c r="A1365" s="86" t="str">
        <f t="shared" ca="1" si="106"/>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6160.0000000000009</v>
      </c>
      <c r="AC1365" s="316">
        <v>9845</v>
      </c>
      <c r="AD1365" s="316">
        <v>10285</v>
      </c>
      <c r="AE1365" s="316">
        <v>11000</v>
      </c>
      <c r="AF1365" s="316">
        <v>11880</v>
      </c>
      <c r="AG1365" s="316">
        <v>12265.000000000002</v>
      </c>
      <c r="AH1365" s="316">
        <v>14080.000000000004</v>
      </c>
      <c r="AI1365" s="316">
        <v>13365</v>
      </c>
      <c r="AJ1365" s="316">
        <v>12375</v>
      </c>
      <c r="AK1365" s="316">
        <v>12210.000000000004</v>
      </c>
      <c r="AL1365" s="316">
        <v>11880</v>
      </c>
      <c r="AM1365" s="316">
        <v>12705.000000000004</v>
      </c>
      <c r="AN1365" s="316">
        <v>12210.000000000004</v>
      </c>
      <c r="AO1365" s="316">
        <v>11935</v>
      </c>
      <c r="AP1365" s="316">
        <v>10560</v>
      </c>
      <c r="AQ1365" s="316">
        <v>10285</v>
      </c>
      <c r="AR1365" s="316">
        <v>11000</v>
      </c>
      <c r="AS1365" s="316">
        <v>15345.000000000002</v>
      </c>
      <c r="AT1365" s="316">
        <v>15290.000000000002</v>
      </c>
      <c r="AU1365" s="316">
        <v>13145</v>
      </c>
      <c r="AV1365" s="316">
        <f ca="1">Calc!AI69</f>
        <v>13145</v>
      </c>
      <c r="AX1365" s="86" t="str">
        <f t="shared" ca="1" si="107"/>
        <v>SAFDDD</v>
      </c>
    </row>
    <row r="1366" spans="1:50" ht="23" hidden="1" customHeight="1">
      <c r="A1366" s="86" t="str">
        <f t="shared" ca="1" si="106"/>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3837.8999999999987</v>
      </c>
      <c r="AC1366" s="316">
        <v>4227.3000000000011</v>
      </c>
      <c r="AD1366" s="316">
        <v>4039.1999999999985</v>
      </c>
      <c r="AE1366" s="316">
        <v>5666.1</v>
      </c>
      <c r="AF1366" s="316">
        <v>5507.6999999999989</v>
      </c>
      <c r="AG1366" s="316">
        <v>5831.1</v>
      </c>
      <c r="AH1366" s="316">
        <v>6632.9999999999982</v>
      </c>
      <c r="AI1366" s="316">
        <v>6111.5999999999985</v>
      </c>
      <c r="AJ1366" s="316">
        <v>6311.25</v>
      </c>
      <c r="AK1366" s="316">
        <v>6448.1999999999971</v>
      </c>
      <c r="AL1366" s="316">
        <v>6105</v>
      </c>
      <c r="AM1366" s="316">
        <v>5454.9000000000005</v>
      </c>
      <c r="AN1366" s="316">
        <v>5938.3500000000013</v>
      </c>
      <c r="AO1366" s="316">
        <v>6022.5</v>
      </c>
      <c r="AP1366" s="316">
        <v>5689.199999999998</v>
      </c>
      <c r="AQ1366" s="316">
        <v>5939.9669999999987</v>
      </c>
      <c r="AR1366" s="316">
        <v>5854.199999999998</v>
      </c>
      <c r="AS1366" s="316">
        <v>5369.0999999999985</v>
      </c>
      <c r="AT1366" s="316">
        <v>4666.2</v>
      </c>
      <c r="AU1366" s="316">
        <v>3791.6999999999985</v>
      </c>
      <c r="AV1366" s="316">
        <f ca="1">Calc!AI70</f>
        <v>3791.6999999999985</v>
      </c>
      <c r="AX1366" s="86" t="str">
        <f t="shared" ca="1" si="107"/>
        <v>SAFDIS</v>
      </c>
    </row>
    <row r="1367" spans="1:50" ht="23" hidden="1" customHeight="1">
      <c r="A1367" s="86" t="str">
        <f t="shared" ca="1" si="106"/>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-40293.199999999997</v>
      </c>
      <c r="AC1367" s="316">
        <v>-40573.199999999997</v>
      </c>
      <c r="AD1367" s="316">
        <v>-44053.19999999999</v>
      </c>
      <c r="AE1367" s="316">
        <v>-43773.19999999999</v>
      </c>
      <c r="AF1367" s="316">
        <v>-38613.19999999999</v>
      </c>
      <c r="AG1367" s="316">
        <v>-40963.19999999999</v>
      </c>
      <c r="AH1367" s="316">
        <v>-39387.999999999993</v>
      </c>
      <c r="AI1367" s="316">
        <v>-43193.200000000004</v>
      </c>
      <c r="AJ1367" s="316">
        <v>-48953.2</v>
      </c>
      <c r="AK1367" s="316">
        <v>-48353.200000000004</v>
      </c>
      <c r="AL1367" s="316">
        <v>-49773.19999999999</v>
      </c>
      <c r="AM1367" s="316">
        <v>-49904.19999999999</v>
      </c>
      <c r="AN1367" s="316">
        <v>-49943.200000000004</v>
      </c>
      <c r="AO1367" s="316">
        <v>-51343.200000000012</v>
      </c>
      <c r="AP1367" s="316">
        <v>-52113.19999999999</v>
      </c>
      <c r="AQ1367" s="316">
        <v>-54843.200000000012</v>
      </c>
      <c r="AR1367" s="316">
        <v>-54803.19999999999</v>
      </c>
      <c r="AS1367" s="316">
        <v>-56253.200000000004</v>
      </c>
      <c r="AT1367" s="316">
        <v>-64343.200000000012</v>
      </c>
      <c r="AU1367" s="316">
        <v>-64423.199999999997</v>
      </c>
      <c r="AV1367" s="316">
        <f ca="1">Calc!AI71</f>
        <v>-64423.199999999997</v>
      </c>
      <c r="AX1367" s="86" t="str">
        <f t="shared" ca="1" si="107"/>
        <v>SAFGM</v>
      </c>
    </row>
    <row r="1368" spans="1:50" ht="23" hidden="1" customHeight="1">
      <c r="A1368" s="86" t="str">
        <f t="shared" ca="1" si="106"/>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-123279.99999999999</v>
      </c>
      <c r="AC1368" s="316">
        <v>-112180</v>
      </c>
      <c r="AD1368" s="316">
        <v>-64279.999999999971</v>
      </c>
      <c r="AE1368" s="316">
        <v>-85579.999999999985</v>
      </c>
      <c r="AF1368" s="316">
        <v>-68468.999999999985</v>
      </c>
      <c r="AG1368" s="316">
        <v>-75680.000000000015</v>
      </c>
      <c r="AH1368" s="316">
        <v>-80479.999999999971</v>
      </c>
      <c r="AI1368" s="316">
        <v>-77380</v>
      </c>
      <c r="AJ1368" s="316">
        <v>-97279.999999999985</v>
      </c>
      <c r="AK1368" s="316">
        <v>-94779.999999999985</v>
      </c>
      <c r="AL1368" s="316">
        <v>-94380</v>
      </c>
      <c r="AM1368" s="316">
        <v>-91579.999999999985</v>
      </c>
      <c r="AN1368" s="316">
        <v>-87380</v>
      </c>
      <c r="AO1368" s="316">
        <v>-90279.999999999985</v>
      </c>
      <c r="AP1368" s="316">
        <v>-88979.999999999971</v>
      </c>
      <c r="AQ1368" s="316">
        <v>-83079.999999999985</v>
      </c>
      <c r="AR1368" s="316">
        <v>-83779.999999999971</v>
      </c>
      <c r="AS1368" s="316">
        <v>-85680</v>
      </c>
      <c r="AT1368" s="316">
        <v>-83680.000000000015</v>
      </c>
      <c r="AU1368" s="316">
        <v>-95680</v>
      </c>
      <c r="AV1368" s="316">
        <f ca="1">Calc!AI72</f>
        <v>-95680</v>
      </c>
      <c r="AX1368" s="86" t="str">
        <f t="shared" ca="1" si="107"/>
        <v>SAFIAG</v>
      </c>
    </row>
    <row r="1369" spans="1:50" ht="23" hidden="1" customHeight="1">
      <c r="A1369" s="86" t="str">
        <f t="shared" ca="1" si="106"/>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20108</v>
      </c>
      <c r="AC1369" s="316">
        <v>19998.999999999996</v>
      </c>
      <c r="AD1369" s="316">
        <v>19914.999999999996</v>
      </c>
      <c r="AE1369" s="316">
        <v>19866</v>
      </c>
      <c r="AF1369" s="316">
        <v>19836</v>
      </c>
      <c r="AG1369" s="316">
        <v>19964</v>
      </c>
      <c r="AH1369" s="316">
        <v>20262</v>
      </c>
      <c r="AI1369" s="316">
        <v>20120.999999999996</v>
      </c>
      <c r="AJ1369" s="316">
        <v>19835</v>
      </c>
      <c r="AK1369" s="316">
        <v>19817.999999999996</v>
      </c>
      <c r="AL1369" s="316">
        <v>19623.999999999996</v>
      </c>
      <c r="AM1369" s="316">
        <v>19933.999999999996</v>
      </c>
      <c r="AN1369" s="316">
        <v>20006</v>
      </c>
      <c r="AO1369" s="316">
        <v>19908.98</v>
      </c>
      <c r="AP1369" s="316">
        <v>19785.8</v>
      </c>
      <c r="AQ1369" s="316">
        <v>19661</v>
      </c>
      <c r="AR1369" s="316">
        <v>19280</v>
      </c>
      <c r="AS1369" s="316">
        <v>19153.399999999998</v>
      </c>
      <c r="AT1369" s="316">
        <v>19014</v>
      </c>
      <c r="AU1369" s="316">
        <v>18894</v>
      </c>
      <c r="AV1369" s="316">
        <f ca="1">Calc!AI73</f>
        <v>18894</v>
      </c>
      <c r="AX1369" s="86" t="str">
        <f t="shared" ca="1" si="107"/>
        <v>SAFMRNA</v>
      </c>
    </row>
    <row r="1370" spans="1:50" ht="23" hidden="1" customHeight="1">
      <c r="A1370" s="86" t="str">
        <f t="shared" ca="1" si="106"/>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3240</v>
      </c>
      <c r="AC1370" s="316">
        <v>4860</v>
      </c>
      <c r="AD1370" s="316">
        <v>3841.199999999998</v>
      </c>
      <c r="AE1370" s="316">
        <v>6000</v>
      </c>
      <c r="AF1370" s="316">
        <v>6000</v>
      </c>
      <c r="AG1370" s="316">
        <v>6539.9999999999991</v>
      </c>
      <c r="AH1370" s="316">
        <v>6779.9999999999991</v>
      </c>
      <c r="AI1370" s="316">
        <v>7500</v>
      </c>
      <c r="AJ1370" s="316">
        <v>7500</v>
      </c>
      <c r="AK1370" s="316">
        <v>7559.9999999999991</v>
      </c>
      <c r="AL1370" s="316">
        <v>7199.9999999999982</v>
      </c>
      <c r="AM1370" s="316">
        <v>7500</v>
      </c>
      <c r="AN1370" s="316">
        <v>7740</v>
      </c>
      <c r="AO1370" s="316">
        <v>7860</v>
      </c>
      <c r="AP1370" s="316">
        <v>6719.9999999999982</v>
      </c>
      <c r="AQ1370" s="316">
        <v>6059.9999999999991</v>
      </c>
      <c r="AR1370" s="316">
        <v>8520</v>
      </c>
      <c r="AS1370" s="316">
        <v>10740</v>
      </c>
      <c r="AT1370" s="316">
        <v>11594.4</v>
      </c>
      <c r="AU1370" s="316">
        <v>12290.4</v>
      </c>
      <c r="AV1370" s="316">
        <f ca="1">Calc!AI74</f>
        <v>12290.4</v>
      </c>
      <c r="AX1370" s="86" t="str">
        <f t="shared" ca="1" si="107"/>
        <v>BLNK</v>
      </c>
    </row>
    <row r="1371" spans="1:50" ht="23" hidden="1" customHeight="1">
      <c r="A1371" s="86" t="str">
        <f t="shared" ca="1" si="106"/>
        <v>ENI</v>
      </c>
      <c r="F1371" s="973">
        <v>17000</v>
      </c>
      <c r="G1371" s="973">
        <v>17000</v>
      </c>
      <c r="H1371" s="973">
        <v>17000</v>
      </c>
      <c r="I1371" s="973">
        <v>17000</v>
      </c>
      <c r="J1371" s="973">
        <v>17000</v>
      </c>
      <c r="K1371" s="973">
        <v>17000</v>
      </c>
      <c r="L1371" s="973">
        <v>17000</v>
      </c>
      <c r="M1371" s="973">
        <v>17000</v>
      </c>
      <c r="N1371" s="973">
        <v>15000</v>
      </c>
      <c r="O1371" s="973">
        <v>15000</v>
      </c>
      <c r="P1371" s="973">
        <v>15000</v>
      </c>
      <c r="Q1371" s="973">
        <v>15000</v>
      </c>
      <c r="R1371" s="973">
        <v>15000</v>
      </c>
      <c r="S1371" s="973">
        <v>10000</v>
      </c>
      <c r="T1371" s="973">
        <v>10000</v>
      </c>
      <c r="U1371" s="973">
        <v>10000</v>
      </c>
      <c r="V1371" s="973">
        <v>10000</v>
      </c>
      <c r="W1371" s="973">
        <v>10000</v>
      </c>
      <c r="X1371" s="973">
        <v>10000</v>
      </c>
      <c r="Y1371" s="973">
        <v>10000</v>
      </c>
      <c r="Z1371" s="973">
        <f ca="1">Calc!G75</f>
        <v>10000</v>
      </c>
      <c r="AB1371" s="316">
        <v>-540.00000000000273</v>
      </c>
      <c r="AC1371" s="316">
        <v>-440.00000000000483</v>
      </c>
      <c r="AD1371" s="316">
        <v>-360.00000000000477</v>
      </c>
      <c r="AE1371" s="316">
        <v>-3070.0000000000036</v>
      </c>
      <c r="AF1371" s="316">
        <v>-2500</v>
      </c>
      <c r="AG1371" s="316">
        <v>-1790.0000000000027</v>
      </c>
      <c r="AH1371" s="316">
        <v>-2179.9999999999995</v>
      </c>
      <c r="AI1371" s="316">
        <v>-1180.0000000000032</v>
      </c>
      <c r="AJ1371" s="316">
        <v>-371.99999999999989</v>
      </c>
      <c r="AK1371" s="316">
        <v>-259.99999999999801</v>
      </c>
      <c r="AL1371" s="316">
        <v>-664.00000000000148</v>
      </c>
      <c r="AM1371" s="316">
        <v>-756.00000000000023</v>
      </c>
      <c r="AN1371" s="316">
        <v>-775.99999999999625</v>
      </c>
      <c r="AO1371" s="316">
        <v>210.00000000000796</v>
      </c>
      <c r="AP1371" s="316">
        <v>-9.9999999999944578</v>
      </c>
      <c r="AQ1371" s="316">
        <v>0</v>
      </c>
      <c r="AR1371" s="316">
        <v>1240.0000000000055</v>
      </c>
      <c r="AS1371" s="316">
        <v>1210.0000000000043</v>
      </c>
      <c r="AT1371" s="316">
        <v>1680.0000000000105</v>
      </c>
      <c r="AU1371" s="316">
        <v>2230.0000000000077</v>
      </c>
      <c r="AV1371" s="316">
        <f ca="1">Calc!AI75</f>
        <v>2230.0000000000077</v>
      </c>
      <c r="AX1371" s="86" t="str">
        <f t="shared" ca="1" si="107"/>
        <v>ENI</v>
      </c>
    </row>
    <row r="1372" spans="1:50" ht="23" hidden="1" customHeight="1">
      <c r="A1372" s="86" t="str">
        <f t="shared" ca="1" si="106"/>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1150</v>
      </c>
      <c r="AC1372" s="316">
        <v>1710.0000000000023</v>
      </c>
      <c r="AD1372" s="316">
        <v>2420.0000000000045</v>
      </c>
      <c r="AE1372" s="316">
        <v>2640.0000000000036</v>
      </c>
      <c r="AF1372" s="316">
        <v>4180.0000000000009</v>
      </c>
      <c r="AG1372" s="316">
        <v>3350</v>
      </c>
      <c r="AH1372" s="316">
        <v>3760.0000000000023</v>
      </c>
      <c r="AI1372" s="316">
        <v>3180.0000000000014</v>
      </c>
      <c r="AJ1372" s="316">
        <v>1260.0000000000023</v>
      </c>
      <c r="AK1372" s="316">
        <v>1060.0000000000023</v>
      </c>
      <c r="AL1372" s="316">
        <v>-379.99999999999551</v>
      </c>
      <c r="AM1372" s="316">
        <v>210.00000000000227</v>
      </c>
      <c r="AN1372" s="316">
        <v>300</v>
      </c>
      <c r="AO1372" s="316">
        <v>670.00000000000455</v>
      </c>
      <c r="AP1372" s="316">
        <v>1010.0000000000024</v>
      </c>
      <c r="AQ1372" s="316">
        <v>640.00000000000341</v>
      </c>
      <c r="AR1372" s="316">
        <v>590.00000000000341</v>
      </c>
      <c r="AS1372" s="316">
        <v>1730.0000000000011</v>
      </c>
      <c r="AT1372" s="316">
        <v>1920.0000000000048</v>
      </c>
      <c r="AU1372" s="316">
        <v>1050</v>
      </c>
      <c r="AV1372" s="316">
        <f ca="1">Calc!AI76</f>
        <v>1050</v>
      </c>
      <c r="AX1372" s="86" t="str">
        <f t="shared" ca="1" si="107"/>
        <v>EZJ</v>
      </c>
    </row>
    <row r="1373" spans="1:50" ht="23" hidden="1" customHeight="1">
      <c r="A1373" s="86" t="str">
        <f t="shared" ca="1" si="106"/>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-3345.0000000000005</v>
      </c>
      <c r="AC1373" s="316">
        <v>-3406.8000000000006</v>
      </c>
      <c r="AD1373" s="316">
        <v>-3555.0000000000014</v>
      </c>
      <c r="AE1373" s="316">
        <v>-3525.0000000000023</v>
      </c>
      <c r="AF1373" s="316">
        <v>-3000</v>
      </c>
      <c r="AG1373" s="316">
        <v>-2924.9999999999991</v>
      </c>
      <c r="AH1373" s="316">
        <v>-1500</v>
      </c>
      <c r="AI1373" s="316">
        <v>-2535.0000000000018</v>
      </c>
      <c r="AJ1373" s="316">
        <v>-3644.9999999999995</v>
      </c>
      <c r="AK1373" s="316">
        <v>-3510</v>
      </c>
      <c r="AL1373" s="316">
        <v>-3690.0000000000014</v>
      </c>
      <c r="AM1373" s="316">
        <v>-3674.9999999999991</v>
      </c>
      <c r="AN1373" s="316">
        <v>-2819.6999999999994</v>
      </c>
      <c r="AO1373" s="316">
        <v>-2910.0000000000018</v>
      </c>
      <c r="AP1373" s="316">
        <v>-3255.0000000000027</v>
      </c>
      <c r="AQ1373" s="316">
        <v>-3180.0000000000014</v>
      </c>
      <c r="AR1373" s="316">
        <v>-3029.9999999999995</v>
      </c>
      <c r="AS1373" s="316">
        <v>-3434.9999999999986</v>
      </c>
      <c r="AT1373" s="316">
        <v>-4154.9999999999991</v>
      </c>
      <c r="AU1373" s="316">
        <v>-4815.0000000000009</v>
      </c>
      <c r="AV1373" s="316">
        <f ca="1">Calc!AI77</f>
        <v>-4815.0000000000009</v>
      </c>
      <c r="AX1373" s="86" t="str">
        <f t="shared" ca="1" si="107"/>
        <v>F</v>
      </c>
    </row>
    <row r="1374" spans="1:50" ht="23" hidden="1" customHeight="1">
      <c r="A1374" s="86" t="str">
        <f t="shared" ca="1" si="106"/>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-47080</v>
      </c>
      <c r="AC1374" s="316">
        <v>-49399.999999999993</v>
      </c>
      <c r="AD1374" s="316">
        <v>-47080</v>
      </c>
      <c r="AE1374" s="316">
        <v>-53759.999999999993</v>
      </c>
      <c r="AF1374" s="316">
        <v>-50160</v>
      </c>
      <c r="AG1374" s="316">
        <v>-51440</v>
      </c>
      <c r="AH1374" s="316">
        <v>-52640</v>
      </c>
      <c r="AI1374" s="316">
        <v>-50879.999999999993</v>
      </c>
      <c r="AJ1374" s="316">
        <v>-56800</v>
      </c>
      <c r="AK1374" s="316">
        <v>-57599.999999999993</v>
      </c>
      <c r="AL1374" s="316">
        <v>-57679.999999999993</v>
      </c>
      <c r="AM1374" s="316">
        <v>-57239.999999999993</v>
      </c>
      <c r="AN1374" s="316">
        <v>-59920</v>
      </c>
      <c r="AO1374" s="316">
        <v>-59080</v>
      </c>
      <c r="AP1374" s="316">
        <v>-58840</v>
      </c>
      <c r="AQ1374" s="316">
        <v>-62800</v>
      </c>
      <c r="AR1374" s="316">
        <v>-60879.999999999993</v>
      </c>
      <c r="AS1374" s="316">
        <v>-63599.999999999993</v>
      </c>
      <c r="AT1374" s="316">
        <v>-64759.999999999993</v>
      </c>
      <c r="AU1374" s="316">
        <v>-66520</v>
      </c>
      <c r="AV1374" s="316">
        <f ca="1">Calc!AI78</f>
        <v>-66520</v>
      </c>
      <c r="AX1374" s="86" t="str">
        <f t="shared" ca="1" si="107"/>
        <v>GLE</v>
      </c>
    </row>
    <row r="1375" spans="1:50" ht="23" hidden="1" customHeight="1">
      <c r="A1375" s="86" t="str">
        <f t="shared" ca="1" si="106"/>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6565.9999999999964</v>
      </c>
      <c r="AC1375" s="316">
        <v>7695.9999999999982</v>
      </c>
      <c r="AD1375" s="316">
        <v>7477.9999999999973</v>
      </c>
      <c r="AE1375" s="316">
        <v>8179.9999999999955</v>
      </c>
      <c r="AF1375" s="316">
        <v>9909.9999999999964</v>
      </c>
      <c r="AG1375" s="316">
        <v>9024</v>
      </c>
      <c r="AH1375" s="316">
        <v>10050</v>
      </c>
      <c r="AI1375" s="316">
        <v>8976</v>
      </c>
      <c r="AJ1375" s="316">
        <v>8397.9999999999964</v>
      </c>
      <c r="AK1375" s="316">
        <v>8633.9999999999982</v>
      </c>
      <c r="AL1375" s="316">
        <v>8075.9999999999991</v>
      </c>
      <c r="AM1375" s="316">
        <v>8133.9999999999973</v>
      </c>
      <c r="AN1375" s="316">
        <v>7345.9999999999982</v>
      </c>
      <c r="AO1375" s="316">
        <v>6632.36</v>
      </c>
      <c r="AP1375" s="316">
        <v>6560.9999999999955</v>
      </c>
      <c r="AQ1375" s="316">
        <v>5518.0000000000009</v>
      </c>
      <c r="AR1375" s="316">
        <v>5939.9999999999982</v>
      </c>
      <c r="AS1375" s="316">
        <v>6027.4999999999982</v>
      </c>
      <c r="AT1375" s="316">
        <v>5077.9999999999973</v>
      </c>
      <c r="AU1375" s="316">
        <v>4856</v>
      </c>
      <c r="AV1375" s="316">
        <f ca="1">Calc!AI79</f>
        <v>4856</v>
      </c>
      <c r="AX1375" s="86" t="str">
        <f t="shared" ca="1" si="107"/>
        <v>GNRC</v>
      </c>
    </row>
    <row r="1376" spans="1:50" ht="23" hidden="1" customHeight="1">
      <c r="A1376" s="86" t="str">
        <f t="shared" ca="1" si="106"/>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-16121.000000000004</v>
      </c>
      <c r="AC1376" s="316">
        <v>-15547.000000000004</v>
      </c>
      <c r="AD1376" s="316">
        <v>-15345.500000000004</v>
      </c>
      <c r="AE1376" s="316">
        <v>-15858.000000000004</v>
      </c>
      <c r="AF1376" s="316">
        <v>-14500</v>
      </c>
      <c r="AG1376" s="316">
        <v>-14899</v>
      </c>
      <c r="AH1376" s="316">
        <v>-14615.999999999996</v>
      </c>
      <c r="AI1376" s="316">
        <v>-14551</v>
      </c>
      <c r="AJ1376" s="316">
        <v>-18399.5</v>
      </c>
      <c r="AK1376" s="316">
        <v>-18395.000000000004</v>
      </c>
      <c r="AL1376" s="316">
        <v>-19378.499999999996</v>
      </c>
      <c r="AM1376" s="316">
        <v>-18139.600000000006</v>
      </c>
      <c r="AN1376" s="316">
        <v>-18273.5</v>
      </c>
      <c r="AO1376" s="316">
        <v>-19237.5</v>
      </c>
      <c r="AP1376" s="316">
        <v>-20476</v>
      </c>
      <c r="AQ1376" s="316">
        <v>-20463</v>
      </c>
      <c r="AR1376" s="316">
        <v>-22256.000000000007</v>
      </c>
      <c r="AS1376" s="316">
        <v>-24647.320000000003</v>
      </c>
      <c r="AT1376" s="316">
        <v>-25739.999999999996</v>
      </c>
      <c r="AU1376" s="316">
        <v>-27904.000000000007</v>
      </c>
      <c r="AV1376" s="316">
        <f ca="1">Calc!AI80</f>
        <v>-27904.000000000007</v>
      </c>
      <c r="AX1376" s="86" t="str">
        <f t="shared" ca="1" si="107"/>
        <v>GS</v>
      </c>
    </row>
    <row r="1377" spans="1:50" ht="23" hidden="1" customHeight="1">
      <c r="A1377" s="86" t="str">
        <f t="shared" ca="1" si="106"/>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07"/>
        <v>LAZR</v>
      </c>
    </row>
    <row r="1378" spans="1:50" ht="23" hidden="1" customHeight="1">
      <c r="A1378" s="86" t="str">
        <f t="shared" ca="1" si="106"/>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1200</v>
      </c>
      <c r="V1378" s="973">
        <v>2100</v>
      </c>
      <c r="W1378" s="973">
        <v>2100</v>
      </c>
      <c r="X1378" s="973">
        <v>2100</v>
      </c>
      <c r="Y1378" s="973">
        <v>2100</v>
      </c>
      <c r="Z1378" s="973">
        <f ca="1">Calc!G82</f>
        <v>2100</v>
      </c>
      <c r="AB1378" s="316">
        <v>2437.8299999999981</v>
      </c>
      <c r="AC1378" s="316">
        <v>2635.8299999999972</v>
      </c>
      <c r="AD1378" s="316">
        <v>1537.829999999994</v>
      </c>
      <c r="AE1378" s="316">
        <v>973.82999999999527</v>
      </c>
      <c r="AF1378" s="316">
        <v>2023.8299999999954</v>
      </c>
      <c r="AG1378" s="316">
        <v>2191.8299999999958</v>
      </c>
      <c r="AH1378" s="316">
        <v>2683.8299999999963</v>
      </c>
      <c r="AI1378" s="316">
        <v>981.02999999999554</v>
      </c>
      <c r="AJ1378" s="316">
        <v>-1780.1700000000069</v>
      </c>
      <c r="AK1378" s="316">
        <v>-1702.170000000001</v>
      </c>
      <c r="AL1378" s="316">
        <v>-1414.1700000000071</v>
      </c>
      <c r="AM1378" s="316">
        <v>-1486.1700000000014</v>
      </c>
      <c r="AN1378" s="316">
        <v>-2158.1700000000042</v>
      </c>
      <c r="AO1378" s="316">
        <v>-2272.1700000000028</v>
      </c>
      <c r="AP1378" s="316">
        <v>-2446.1700000000064</v>
      </c>
      <c r="AQ1378" s="316">
        <v>-2674.1700000000037</v>
      </c>
      <c r="AR1378" s="316">
        <v>-5020.1700000000019</v>
      </c>
      <c r="AS1378" s="316">
        <v>-5710.1700000000055</v>
      </c>
      <c r="AT1378" s="316">
        <v>-7414.1700000000073</v>
      </c>
      <c r="AU1378" s="316">
        <v>-8512.1700000000055</v>
      </c>
      <c r="AV1378" s="316">
        <f ca="1">Calc!AI82</f>
        <v>-8512.1700000000055</v>
      </c>
      <c r="AX1378" s="86" t="str">
        <f t="shared" ca="1" si="107"/>
        <v>LUV</v>
      </c>
    </row>
    <row r="1379" spans="1:50" ht="23" hidden="1" customHeight="1">
      <c r="A1379" s="86" t="str">
        <f t="shared" ca="1" si="106"/>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3891.9999999999959</v>
      </c>
      <c r="AC1379" s="316">
        <v>4034.9999999999909</v>
      </c>
      <c r="AD1379" s="316">
        <v>4138</v>
      </c>
      <c r="AE1379" s="316">
        <v>4694.9999999999927</v>
      </c>
      <c r="AF1379" s="316">
        <v>6557.9999999999927</v>
      </c>
      <c r="AG1379" s="316">
        <v>6659.7499999999964</v>
      </c>
      <c r="AH1379" s="316">
        <v>5696.9999999999909</v>
      </c>
      <c r="AI1379" s="316">
        <v>5150</v>
      </c>
      <c r="AJ1379" s="316">
        <v>4521.9999999999909</v>
      </c>
      <c r="AK1379" s="316">
        <v>4775</v>
      </c>
      <c r="AL1379" s="316">
        <v>4259.9999999999909</v>
      </c>
      <c r="AM1379" s="316">
        <v>4419.4999999999936</v>
      </c>
      <c r="AN1379" s="316">
        <v>4732.9999999999927</v>
      </c>
      <c r="AO1379" s="316">
        <v>4267.9999999999945</v>
      </c>
      <c r="AP1379" s="316">
        <v>3800</v>
      </c>
      <c r="AQ1379" s="316">
        <v>5011.4999999999891</v>
      </c>
      <c r="AR1379" s="316">
        <v>4737</v>
      </c>
      <c r="AS1379" s="316">
        <v>5328.9999999999964</v>
      </c>
      <c r="AT1379" s="316">
        <v>5383.9999999999918</v>
      </c>
      <c r="AU1379" s="316">
        <v>2910.99999999999</v>
      </c>
      <c r="AV1379" s="316">
        <f ca="1">Calc!AI83</f>
        <v>2910.99999999999</v>
      </c>
      <c r="AX1379" s="86" t="str">
        <f t="shared" ca="1" si="107"/>
        <v>MA</v>
      </c>
    </row>
    <row r="1380" spans="1:50" ht="23" hidden="1" customHeight="1">
      <c r="A1380" s="86" t="str">
        <f t="shared" ca="1" si="106"/>
        <v>NVAX</v>
      </c>
      <c r="F1380" s="973">
        <v>6500</v>
      </c>
      <c r="G1380" s="973">
        <v>6500</v>
      </c>
      <c r="H1380" s="973">
        <v>6500</v>
      </c>
      <c r="I1380" s="973">
        <v>6500</v>
      </c>
      <c r="J1380" s="973">
        <v>4500</v>
      </c>
      <c r="K1380" s="973">
        <v>4500</v>
      </c>
      <c r="L1380" s="973">
        <v>4500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28334.999999999996</v>
      </c>
      <c r="AC1380" s="316">
        <v>28284.499999999996</v>
      </c>
      <c r="AD1380" s="316">
        <v>29739.999999999996</v>
      </c>
      <c r="AE1380" s="316">
        <v>31934.999999999996</v>
      </c>
      <c r="AF1380" s="316">
        <v>14280.000000000002</v>
      </c>
      <c r="AG1380" s="316">
        <v>14455.000000000002</v>
      </c>
      <c r="AH1380" s="316">
        <v>14620.000000000002</v>
      </c>
      <c r="AI1380" s="316">
        <v>14380</v>
      </c>
      <c r="AJ1380" s="316">
        <v>13980</v>
      </c>
      <c r="AK1380" s="316">
        <v>13905.000000000002</v>
      </c>
      <c r="AL1380" s="316">
        <v>13805</v>
      </c>
      <c r="AM1380" s="316">
        <v>14080</v>
      </c>
      <c r="AN1380" s="316">
        <v>14250</v>
      </c>
      <c r="AO1380" s="316">
        <v>14080.300000000001</v>
      </c>
      <c r="AP1380" s="316">
        <v>14015</v>
      </c>
      <c r="AQ1380" s="316">
        <v>14030.000000000002</v>
      </c>
      <c r="AR1380" s="316">
        <v>13945</v>
      </c>
      <c r="AS1380" s="316">
        <v>14055</v>
      </c>
      <c r="AT1380" s="316">
        <v>14115</v>
      </c>
      <c r="AU1380" s="316">
        <v>14165</v>
      </c>
      <c r="AV1380" s="316">
        <f ca="1">Calc!AI84</f>
        <v>14165</v>
      </c>
      <c r="AX1380" s="86" t="str">
        <f t="shared" ca="1" si="107"/>
        <v>NVAX</v>
      </c>
    </row>
    <row r="1381" spans="1:50" ht="23" hidden="1" customHeight="1">
      <c r="A1381" s="86" t="str">
        <f t="shared" ca="1" si="106"/>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-8995.8000000000029</v>
      </c>
      <c r="AC1381" s="316">
        <v>-9477.8000000000029</v>
      </c>
      <c r="AD1381" s="316">
        <v>-9375.8000000000029</v>
      </c>
      <c r="AE1381" s="316">
        <v>-11299.8</v>
      </c>
      <c r="AF1381" s="316">
        <v>-9987.8000000000047</v>
      </c>
      <c r="AG1381" s="316">
        <v>-9531.8000000000047</v>
      </c>
      <c r="AH1381" s="316">
        <v>-8657.8000000000029</v>
      </c>
      <c r="AI1381" s="316">
        <v>-9815.8000000000011</v>
      </c>
      <c r="AJ1381" s="316">
        <v>-11007.800000000003</v>
      </c>
      <c r="AK1381" s="316">
        <v>-10971.800000000001</v>
      </c>
      <c r="AL1381" s="316">
        <v>-10955.800000000005</v>
      </c>
      <c r="AM1381" s="316">
        <v>-10547.800000000001</v>
      </c>
      <c r="AN1381" s="316">
        <v>-11719.800000000003</v>
      </c>
      <c r="AO1381" s="316">
        <v>-12399.8</v>
      </c>
      <c r="AP1381" s="316">
        <v>-12283.800000000003</v>
      </c>
      <c r="AQ1381" s="316">
        <v>-12087.8</v>
      </c>
      <c r="AR1381" s="316">
        <v>-11699.8</v>
      </c>
      <c r="AS1381" s="316">
        <v>-11507.800000000003</v>
      </c>
      <c r="AT1381" s="316">
        <v>-11271.800000000001</v>
      </c>
      <c r="AU1381" s="316">
        <v>-11739.800000000008</v>
      </c>
      <c r="AV1381" s="316">
        <f ca="1">Calc!AI85</f>
        <v>-11739.800000000008</v>
      </c>
      <c r="AX1381" s="86" t="str">
        <f t="shared" ca="1" si="107"/>
        <v>NVS</v>
      </c>
    </row>
    <row r="1382" spans="1:50" hidden="1">
      <c r="A1382" s="86" t="str">
        <f t="shared" ca="1" si="106"/>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-3370.0000000000009</v>
      </c>
      <c r="AC1382" s="316">
        <v>-3820.0000000000005</v>
      </c>
      <c r="AD1382" s="316">
        <v>-4270</v>
      </c>
      <c r="AE1382" s="316">
        <v>-3980.0000000000005</v>
      </c>
      <c r="AF1382" s="316">
        <v>-3320.0000000000005</v>
      </c>
      <c r="AG1382" s="316">
        <v>-3500</v>
      </c>
      <c r="AH1382" s="316">
        <v>-3260.0000000000014</v>
      </c>
      <c r="AI1382" s="316">
        <v>-3830.0000000000018</v>
      </c>
      <c r="AJ1382" s="316">
        <v>-4100.0000000000018</v>
      </c>
      <c r="AK1382" s="316">
        <v>-4140.0000000000009</v>
      </c>
      <c r="AL1382" s="316">
        <v>-4320</v>
      </c>
      <c r="AM1382" s="316">
        <v>-4230</v>
      </c>
      <c r="AN1382" s="316">
        <v>-4080.0000000000018</v>
      </c>
      <c r="AO1382" s="316">
        <v>-4070.0000000000005</v>
      </c>
      <c r="AP1382" s="316">
        <v>-4110.0000000000027</v>
      </c>
      <c r="AQ1382" s="316">
        <v>-4000</v>
      </c>
      <c r="AR1382" s="316">
        <v>-3420.0000000000018</v>
      </c>
      <c r="AS1382" s="316">
        <v>-3370.0000000000009</v>
      </c>
      <c r="AT1382" s="316">
        <v>-3269.9999999999995</v>
      </c>
      <c r="AU1382" s="316">
        <v>-3410</v>
      </c>
      <c r="AV1382" s="316">
        <f ca="1">Calc!AI86</f>
        <v>-3410</v>
      </c>
      <c r="AX1382" s="86" t="str">
        <f t="shared" ca="1" si="107"/>
        <v>ORA</v>
      </c>
    </row>
    <row r="1383" spans="1:50" hidden="1">
      <c r="A1383" s="86" t="str">
        <f t="shared" ca="1" si="106"/>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12085</v>
      </c>
      <c r="AC1383" s="316">
        <v>11589.999999999996</v>
      </c>
      <c r="AD1383" s="316">
        <v>10670.699999999997</v>
      </c>
      <c r="AE1383" s="316">
        <v>9089.9999999999964</v>
      </c>
      <c r="AF1383" s="316">
        <v>9344.9999999999982</v>
      </c>
      <c r="AG1383" s="316">
        <v>10375</v>
      </c>
      <c r="AH1383" s="316">
        <v>10530.000000000002</v>
      </c>
      <c r="AI1383" s="316">
        <v>10530.000000000002</v>
      </c>
      <c r="AJ1383" s="316">
        <v>10225.000000000002</v>
      </c>
      <c r="AK1383" s="316">
        <v>10445</v>
      </c>
      <c r="AL1383" s="316">
        <v>9869.9999999999982</v>
      </c>
      <c r="AM1383" s="316">
        <v>9144.9</v>
      </c>
      <c r="AN1383" s="316">
        <v>9894.9999999999964</v>
      </c>
      <c r="AO1383" s="316">
        <v>9494.9999999999982</v>
      </c>
      <c r="AP1383" s="316">
        <v>9384.9999999999982</v>
      </c>
      <c r="AQ1383" s="316">
        <v>9189.9999999999982</v>
      </c>
      <c r="AR1383" s="316">
        <v>9430</v>
      </c>
      <c r="AS1383" s="316">
        <v>10144.999999999996</v>
      </c>
      <c r="AT1383" s="316">
        <v>10110</v>
      </c>
      <c r="AU1383" s="316">
        <v>10659.999999999996</v>
      </c>
      <c r="AV1383" s="316">
        <f ca="1">Calc!AI87</f>
        <v>10659.999999999996</v>
      </c>
      <c r="AX1383" s="86" t="str">
        <f t="shared" ca="1" si="107"/>
        <v>OXY</v>
      </c>
    </row>
    <row r="1384" spans="1:50" hidden="1">
      <c r="A1384" s="86" t="str">
        <f t="shared" ca="1" si="106"/>
        <v>PFE</v>
      </c>
      <c r="F1384" s="973">
        <v>1600</v>
      </c>
      <c r="G1384" s="973">
        <v>1600</v>
      </c>
      <c r="H1384" s="973">
        <v>1600</v>
      </c>
      <c r="I1384" s="973">
        <v>1600</v>
      </c>
      <c r="J1384" s="973">
        <v>1600</v>
      </c>
      <c r="K1384" s="973">
        <v>1600</v>
      </c>
      <c r="L1384" s="973">
        <v>0</v>
      </c>
      <c r="M1384" s="973">
        <v>0</v>
      </c>
      <c r="N1384" s="973">
        <v>2000</v>
      </c>
      <c r="O1384" s="973">
        <v>2000</v>
      </c>
      <c r="P1384" s="973">
        <v>2000</v>
      </c>
      <c r="Q1384" s="973">
        <v>2000</v>
      </c>
      <c r="R1384" s="973">
        <v>2000</v>
      </c>
      <c r="S1384" s="973">
        <v>2000</v>
      </c>
      <c r="T1384" s="973">
        <v>2000</v>
      </c>
      <c r="U1384" s="973">
        <v>2000</v>
      </c>
      <c r="V1384" s="973">
        <v>2000</v>
      </c>
      <c r="W1384" s="973">
        <v>2000</v>
      </c>
      <c r="X1384" s="973">
        <v>2000</v>
      </c>
      <c r="Y1384" s="973">
        <v>2000</v>
      </c>
      <c r="Z1384" s="973">
        <f ca="1">Calc!G88</f>
        <v>2000</v>
      </c>
      <c r="AB1384" s="316">
        <v>10587.071999999998</v>
      </c>
      <c r="AC1384" s="316">
        <v>10104.672</v>
      </c>
      <c r="AD1384" s="316">
        <v>11109.672</v>
      </c>
      <c r="AE1384" s="316">
        <v>9682.5720000000001</v>
      </c>
      <c r="AF1384" s="316">
        <v>8948.9220000000023</v>
      </c>
      <c r="AG1384" s="316">
        <v>9823.2720000000008</v>
      </c>
      <c r="AH1384" s="316">
        <v>11069.472000000002</v>
      </c>
      <c r="AI1384" s="316">
        <v>9732.8220000000038</v>
      </c>
      <c r="AJ1384" s="316">
        <v>8436.3720000000048</v>
      </c>
      <c r="AK1384" s="316">
        <v>8426.3220000000001</v>
      </c>
      <c r="AL1384" s="316">
        <v>8426.3220000000001</v>
      </c>
      <c r="AM1384" s="316">
        <v>9119.7720000000045</v>
      </c>
      <c r="AN1384" s="316">
        <v>9521.7720000000027</v>
      </c>
      <c r="AO1384" s="316">
        <v>8476.5720000000038</v>
      </c>
      <c r="AP1384" s="316">
        <v>8621.2920000000013</v>
      </c>
      <c r="AQ1384" s="316">
        <v>8627.3220000000019</v>
      </c>
      <c r="AR1384" s="316">
        <v>7803.2220000000016</v>
      </c>
      <c r="AS1384" s="316">
        <v>8697.6720000000023</v>
      </c>
      <c r="AT1384" s="316">
        <v>8295.6720000000041</v>
      </c>
      <c r="AU1384" s="316">
        <v>8225.3220000000038</v>
      </c>
      <c r="AV1384" s="316">
        <f ca="1">Calc!AI88</f>
        <v>8225.3220000000038</v>
      </c>
      <c r="AX1384" s="86" t="str">
        <f t="shared" ca="1" si="107"/>
        <v>PFE</v>
      </c>
    </row>
    <row r="1385" spans="1:50" hidden="1">
      <c r="A1385" s="86" t="str">
        <f t="shared" ca="1" si="106"/>
        <v>RIG</v>
      </c>
      <c r="F1385" s="973">
        <v>48000</v>
      </c>
      <c r="G1385" s="973">
        <v>48000</v>
      </c>
      <c r="H1385" s="973">
        <v>43000</v>
      </c>
      <c r="I1385" s="973">
        <v>43000</v>
      </c>
      <c r="J1385" s="973">
        <v>43000</v>
      </c>
      <c r="K1385" s="973">
        <v>43000</v>
      </c>
      <c r="L1385" s="973">
        <v>43000</v>
      </c>
      <c r="M1385" s="973">
        <v>43000</v>
      </c>
      <c r="N1385" s="973">
        <v>35000</v>
      </c>
      <c r="O1385" s="973">
        <v>35000</v>
      </c>
      <c r="P1385" s="973">
        <v>35000</v>
      </c>
      <c r="Q1385" s="973">
        <v>35000</v>
      </c>
      <c r="R1385" s="973">
        <v>35000</v>
      </c>
      <c r="S1385" s="973">
        <v>35000</v>
      </c>
      <c r="T1385" s="973">
        <v>27500</v>
      </c>
      <c r="U1385" s="973">
        <v>27500</v>
      </c>
      <c r="V1385" s="973">
        <v>27500</v>
      </c>
      <c r="W1385" s="973">
        <v>27500</v>
      </c>
      <c r="X1385" s="973">
        <v>27500</v>
      </c>
      <c r="Y1385" s="973">
        <v>27500</v>
      </c>
      <c r="Z1385" s="973">
        <f ca="1">Calc!G89</f>
        <v>27500</v>
      </c>
      <c r="AB1385" s="316">
        <v>5814.9000000000015</v>
      </c>
      <c r="AC1385" s="316">
        <v>5724.9000000000015</v>
      </c>
      <c r="AD1385" s="316">
        <v>-24.999999999999467</v>
      </c>
      <c r="AE1385" s="316">
        <v>-274.99999999999858</v>
      </c>
      <c r="AF1385" s="316">
        <v>-874.99999999999909</v>
      </c>
      <c r="AG1385" s="316">
        <v>-699.99999999999841</v>
      </c>
      <c r="AH1385" s="316">
        <v>324.99999999999972</v>
      </c>
      <c r="AI1385" s="316">
        <v>353.49999999999994</v>
      </c>
      <c r="AJ1385" s="316">
        <v>79.999999999998295</v>
      </c>
      <c r="AK1385" s="316">
        <v>-79.999999999998295</v>
      </c>
      <c r="AL1385" s="316">
        <v>-799.99999999999716</v>
      </c>
      <c r="AM1385" s="316">
        <v>-1264.000000000003</v>
      </c>
      <c r="AN1385" s="316">
        <v>-159.99999999999659</v>
      </c>
      <c r="AO1385" s="316">
        <v>-1280.0000000000011</v>
      </c>
      <c r="AP1385" s="316">
        <v>187.49999999999599</v>
      </c>
      <c r="AQ1385" s="316">
        <v>0</v>
      </c>
      <c r="AR1385" s="316">
        <v>224.9999999999952</v>
      </c>
      <c r="AS1385" s="316">
        <v>-450.00000000000375</v>
      </c>
      <c r="AT1385" s="316">
        <v>1312.4999999999986</v>
      </c>
      <c r="AU1385" s="316">
        <v>1387.499999999997</v>
      </c>
      <c r="AV1385" s="316">
        <f ca="1">Calc!AI89</f>
        <v>1387.499999999997</v>
      </c>
      <c r="AX1385" s="86" t="str">
        <f t="shared" ca="1" si="107"/>
        <v>RIG</v>
      </c>
    </row>
    <row r="1386" spans="1:50">
      <c r="A1386" s="86" t="str">
        <f t="shared" ca="1" si="106"/>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-6104.9999999999827</v>
      </c>
      <c r="AC1386" s="316">
        <v>-4755.0000000000027</v>
      </c>
      <c r="AD1386" s="316">
        <v>-7854.99999999999</v>
      </c>
      <c r="AE1386" s="316">
        <v>-11854.999999999976</v>
      </c>
      <c r="AF1386" s="316">
        <v>-15854.999999999996</v>
      </c>
      <c r="AG1386" s="316">
        <v>-16080.000000000005</v>
      </c>
      <c r="AH1386" s="316">
        <v>-14229.999999999982</v>
      </c>
      <c r="AI1386" s="316">
        <v>-12405.000000000009</v>
      </c>
      <c r="AJ1386" s="316">
        <v>-14192.499999999982</v>
      </c>
      <c r="AK1386" s="316">
        <v>-13004.999999999996</v>
      </c>
      <c r="AL1386" s="316">
        <v>-18155</v>
      </c>
      <c r="AM1386" s="316">
        <v>-17104.999999999996</v>
      </c>
      <c r="AN1386" s="316">
        <v>-11229.999999999976</v>
      </c>
      <c r="AO1386" s="316">
        <v>-16005.000000000002</v>
      </c>
      <c r="AP1386" s="316">
        <v>-20154.999999999993</v>
      </c>
      <c r="AQ1386" s="316">
        <v>-21754.999999999996</v>
      </c>
      <c r="AR1386" s="316">
        <v>-18705</v>
      </c>
      <c r="AS1386" s="316">
        <v>-10854.999999999996</v>
      </c>
      <c r="AT1386" s="316">
        <v>-7154.9999999999873</v>
      </c>
      <c r="AU1386" s="316">
        <v>-2204.9999999999768</v>
      </c>
      <c r="AV1386" s="316">
        <f ca="1">Calc!AI90</f>
        <v>-2204.9999999999768</v>
      </c>
      <c r="AX1386" s="86" t="str">
        <f t="shared" ca="1" si="107"/>
        <v>RRC</v>
      </c>
    </row>
    <row r="1387" spans="1:50">
      <c r="A1387" s="86" t="str">
        <f t="shared" ca="1" si="106"/>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-24780.000000000015</v>
      </c>
      <c r="AC1387" s="316">
        <v>-19959.999999999993</v>
      </c>
      <c r="AD1387" s="316">
        <v>-8519.9999999999964</v>
      </c>
      <c r="AE1387" s="316">
        <v>1589.9999999999891</v>
      </c>
      <c r="AF1387" s="316">
        <v>7239.9999999999945</v>
      </c>
      <c r="AG1387" s="316">
        <v>7530.0000000000009</v>
      </c>
      <c r="AH1387" s="316">
        <v>-3840.0000000000036</v>
      </c>
      <c r="AI1387" s="316">
        <v>-1609.9999999999995</v>
      </c>
      <c r="AJ1387" s="316">
        <v>-9119.9999999999909</v>
      </c>
      <c r="AK1387" s="316">
        <v>-7540.0000000000064</v>
      </c>
      <c r="AL1387" s="316">
        <v>-11019.999999999996</v>
      </c>
      <c r="AM1387" s="316">
        <v>-10260.000000000005</v>
      </c>
      <c r="AN1387" s="316">
        <v>2489.999999999995</v>
      </c>
      <c r="AO1387" s="316">
        <v>-1165.0000000000064</v>
      </c>
      <c r="AP1387" s="316">
        <v>299.99999999999716</v>
      </c>
      <c r="AQ1387" s="316">
        <v>439.99999999999773</v>
      </c>
      <c r="AR1387" s="316">
        <v>359.99999999999943</v>
      </c>
      <c r="AS1387" s="316">
        <v>-941.60000000000821</v>
      </c>
      <c r="AT1387" s="316">
        <v>-4040.0000000000064</v>
      </c>
      <c r="AU1387" s="316">
        <v>-4680.0000000000073</v>
      </c>
      <c r="AV1387" s="316">
        <f ca="1">Calc!AI91</f>
        <v>-4680.0000000000073</v>
      </c>
      <c r="AX1387" s="86" t="str">
        <f t="shared" ca="1" si="107"/>
        <v>XYZ</v>
      </c>
    </row>
    <row r="1388" spans="1:50">
      <c r="A1388" s="86" t="str">
        <f t="shared" ca="1" si="106"/>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-4080.0000000000127</v>
      </c>
      <c r="AC1388" s="316">
        <v>-1290.0000000000205</v>
      </c>
      <c r="AD1388" s="316">
        <v>-305.00000000000682</v>
      </c>
      <c r="AE1388" s="316">
        <v>11629.999999999996</v>
      </c>
      <c r="AF1388" s="316">
        <v>11539.999999999993</v>
      </c>
      <c r="AG1388" s="316">
        <v>10959.99999999998</v>
      </c>
      <c r="AH1388" s="316">
        <v>16250</v>
      </c>
      <c r="AI1388" s="316">
        <v>10179.999999999978</v>
      </c>
      <c r="AJ1388" s="316">
        <v>-14125</v>
      </c>
      <c r="AK1388" s="316">
        <v>-12879.999999999996</v>
      </c>
      <c r="AL1388" s="316">
        <v>-12300.000000000011</v>
      </c>
      <c r="AM1388" s="316">
        <v>-14030.000000000002</v>
      </c>
      <c r="AN1388" s="316">
        <v>-10045.000000000016</v>
      </c>
      <c r="AO1388" s="316">
        <v>-9510.00000000002</v>
      </c>
      <c r="AP1388" s="316">
        <v>-6800.0000000000109</v>
      </c>
      <c r="AQ1388" s="316">
        <v>-7805.0000000000073</v>
      </c>
      <c r="AR1388" s="316">
        <v>-5460.0000000000082</v>
      </c>
      <c r="AS1388" s="316">
        <v>3039.9999999999918</v>
      </c>
      <c r="AT1388" s="316">
        <v>7069.9999999999927</v>
      </c>
      <c r="AU1388" s="316">
        <v>6944.9999999999927</v>
      </c>
      <c r="AV1388" s="316">
        <f ca="1">Calc!AI92</f>
        <v>6944.9999999999927</v>
      </c>
      <c r="AX1388" s="86" t="str">
        <f t="shared" ca="1" si="107"/>
        <v>THC</v>
      </c>
    </row>
    <row r="1389" spans="1:50">
      <c r="A1389" s="86" t="str">
        <f t="shared" ca="1" si="106"/>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07"/>
        <v>X</v>
      </c>
    </row>
    <row r="1390" spans="1:50">
      <c r="A1390" s="86" t="str">
        <f t="shared" ca="1" si="106"/>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07"/>
        <v>LOCK</v>
      </c>
    </row>
    <row r="1391" spans="1:50">
      <c r="A1391" s="86" t="str">
        <f t="shared" ca="1" si="106"/>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200</v>
      </c>
      <c r="S1391" s="973">
        <v>0</v>
      </c>
      <c r="T1391" s="973">
        <v>0</v>
      </c>
      <c r="U1391" s="973">
        <v>0</v>
      </c>
      <c r="V1391" s="973">
        <v>0</v>
      </c>
      <c r="W1391" s="973">
        <v>0</v>
      </c>
      <c r="X1391" s="1078">
        <v>0</v>
      </c>
      <c r="Y1391" s="973">
        <v>0</v>
      </c>
      <c r="Z1391" s="973">
        <f ca="1">Calc!G95</f>
        <v>0</v>
      </c>
      <c r="AB1391" s="316">
        <v>-23519.999999999993</v>
      </c>
      <c r="AC1391" s="316">
        <v>-20129.999999999971</v>
      </c>
      <c r="AD1391" s="316">
        <v>-12779.999999999973</v>
      </c>
      <c r="AE1391" s="316">
        <v>-13769.999999999993</v>
      </c>
      <c r="AF1391" s="316">
        <v>-9359.99999999998</v>
      </c>
      <c r="AG1391" s="316">
        <v>-17519.999999999993</v>
      </c>
      <c r="AH1391" s="316">
        <v>-18479.999999999971</v>
      </c>
      <c r="AI1391" s="316">
        <v>-1739.9999999999864</v>
      </c>
      <c r="AJ1391" s="316">
        <v>-24329.999999999971</v>
      </c>
      <c r="AK1391" s="316">
        <v>-20700</v>
      </c>
      <c r="AL1391" s="316">
        <v>-22559.999999999978</v>
      </c>
      <c r="AM1391" s="316">
        <v>-29550</v>
      </c>
      <c r="AN1391" s="316">
        <v>-33269.999999999993</v>
      </c>
      <c r="AO1391" s="316">
        <v>1300</v>
      </c>
      <c r="AP1391" s="316">
        <v>-120.00000000000455</v>
      </c>
      <c r="AQ1391" s="316">
        <v>1100</v>
      </c>
      <c r="AR1391" s="316">
        <v>2239.9999999999864</v>
      </c>
      <c r="AS1391" s="316">
        <v>1979.9999999999955</v>
      </c>
      <c r="AT1391" s="316">
        <v>3359.9999999999909</v>
      </c>
      <c r="AU1391" s="316">
        <v>4379.9999999999955</v>
      </c>
      <c r="AV1391" s="316">
        <f ca="1">Calc!AI95</f>
        <v>4379.9999999999955</v>
      </c>
      <c r="AX1391" s="86" t="str">
        <f t="shared" ca="1" si="107"/>
        <v>JBASML</v>
      </c>
    </row>
    <row r="1392" spans="1:50">
      <c r="A1392" s="86" t="str">
        <f t="shared" ca="1" si="106"/>
        <v>JBEOAN</v>
      </c>
      <c r="F1392" s="973">
        <v>18000</v>
      </c>
      <c r="G1392" s="973">
        <v>18000</v>
      </c>
      <c r="H1392" s="973">
        <v>18000</v>
      </c>
      <c r="I1392" s="973">
        <v>21000</v>
      </c>
      <c r="J1392" s="973">
        <v>21000</v>
      </c>
      <c r="K1392" s="973">
        <v>21000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210.00000000000085</v>
      </c>
      <c r="AC1392" s="316">
        <v>120.0000000000081</v>
      </c>
      <c r="AD1392" s="316">
        <v>45.000000000001705</v>
      </c>
      <c r="AE1392" s="316">
        <v>2625.0000000000055</v>
      </c>
      <c r="AF1392" s="316">
        <v>2670.0000000000018</v>
      </c>
      <c r="AG1392" s="316">
        <v>2460.0000000000009</v>
      </c>
      <c r="AH1392" s="316">
        <v>2160.0000000000018</v>
      </c>
      <c r="AI1392" s="316">
        <v>1770.000000000005</v>
      </c>
      <c r="AJ1392" s="316">
        <v>1995.0000000000027</v>
      </c>
      <c r="AK1392" s="316">
        <v>2430.0000000000014</v>
      </c>
      <c r="AL1392" s="316">
        <v>2385.000000000005</v>
      </c>
      <c r="AM1392" s="316">
        <v>2700.0000000000009</v>
      </c>
      <c r="AN1392" s="316">
        <v>2505.0000000000027</v>
      </c>
      <c r="AO1392" s="316">
        <v>1140.0000000000023</v>
      </c>
      <c r="AP1392" s="316">
        <v>780.00000000000466</v>
      </c>
      <c r="AQ1392" s="316">
        <v>1590.0000000000034</v>
      </c>
      <c r="AR1392" s="316">
        <v>2055.0000000000014</v>
      </c>
      <c r="AS1392" s="316">
        <v>1605.0000000000005</v>
      </c>
      <c r="AT1392" s="316">
        <v>1710.0000000000009</v>
      </c>
      <c r="AU1392" s="316">
        <v>3255.0000000000027</v>
      </c>
      <c r="AV1392" s="316">
        <f ca="1">Calc!AI96</f>
        <v>3255.0000000000027</v>
      </c>
      <c r="AX1392" s="86" t="str">
        <f t="shared" ca="1" si="107"/>
        <v>JBEOAN</v>
      </c>
    </row>
    <row r="1393" spans="1:70">
      <c r="A1393" s="86"/>
      <c r="J1393"/>
      <c r="K1393"/>
      <c r="L1393"/>
      <c r="M1393"/>
      <c r="O1393"/>
      <c r="P1393"/>
      <c r="R1393"/>
      <c r="W1393"/>
      <c r="X1393"/>
      <c r="AX1393" s="86"/>
      <c r="BQ1393" t="s">
        <v>190</v>
      </c>
      <c r="BR1393" t="s">
        <v>2186</v>
      </c>
    </row>
    <row r="1394" spans="1:70">
      <c r="A1394" s="86"/>
      <c r="J1394"/>
      <c r="K1394"/>
      <c r="L1394"/>
      <c r="M1394"/>
      <c r="O1394"/>
      <c r="P1394"/>
      <c r="R1394"/>
      <c r="W1394"/>
      <c r="X1394"/>
      <c r="AX1394" s="86"/>
      <c r="BQ1394" t="s">
        <v>139</v>
      </c>
      <c r="BR1394" t="s">
        <v>2187</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191</v>
      </c>
      <c r="BR1395" t="s">
        <v>1878</v>
      </c>
    </row>
    <row r="1396" spans="1:70">
      <c r="A1396" s="86"/>
      <c r="F1396" s="115">
        <f t="shared" ref="F1396:Z1396" ca="1" si="108">F1297</f>
        <v>45974</v>
      </c>
      <c r="G1396" s="115">
        <f t="shared" ca="1" si="108"/>
        <v>45975</v>
      </c>
      <c r="H1396" s="115">
        <f t="shared" ca="1" si="108"/>
        <v>45978</v>
      </c>
      <c r="I1396" s="115">
        <f t="shared" ca="1" si="108"/>
        <v>45979</v>
      </c>
      <c r="J1396" s="115">
        <f t="shared" ca="1" si="108"/>
        <v>45980</v>
      </c>
      <c r="K1396" s="115">
        <f t="shared" ca="1" si="108"/>
        <v>45981</v>
      </c>
      <c r="L1396" s="115">
        <f t="shared" ca="1" si="108"/>
        <v>45982</v>
      </c>
      <c r="M1396" s="115">
        <f t="shared" ca="1" si="108"/>
        <v>45985</v>
      </c>
      <c r="N1396" s="115">
        <f t="shared" ca="1" si="108"/>
        <v>45986</v>
      </c>
      <c r="O1396" s="115">
        <f t="shared" ca="1" si="108"/>
        <v>45987</v>
      </c>
      <c r="P1396" s="115">
        <f t="shared" ca="1" si="108"/>
        <v>45988</v>
      </c>
      <c r="Q1396" s="115">
        <f t="shared" ca="1" si="108"/>
        <v>45989</v>
      </c>
      <c r="R1396" s="115">
        <f t="shared" ca="1" si="108"/>
        <v>45992</v>
      </c>
      <c r="S1396" s="115">
        <f t="shared" ca="1" si="108"/>
        <v>45993</v>
      </c>
      <c r="T1396" s="115">
        <f t="shared" ca="1" si="108"/>
        <v>45994</v>
      </c>
      <c r="U1396" s="115">
        <f t="shared" ca="1" si="108"/>
        <v>45995</v>
      </c>
      <c r="V1396" s="115">
        <f t="shared" ca="1" si="108"/>
        <v>45996</v>
      </c>
      <c r="W1396" s="115">
        <f t="shared" ca="1" si="108"/>
        <v>45999</v>
      </c>
      <c r="X1396" s="115">
        <f t="shared" ca="1" si="108"/>
        <v>46000</v>
      </c>
      <c r="Y1396" s="115">
        <f t="shared" ca="1" si="108"/>
        <v>46001</v>
      </c>
      <c r="Z1396" s="115">
        <f t="shared" ca="1" si="108"/>
        <v>46002</v>
      </c>
      <c r="AB1396" s="115">
        <f t="shared" ref="AB1396:AV1396" ca="1" si="109">F1297</f>
        <v>45974</v>
      </c>
      <c r="AC1396" s="115">
        <f t="shared" ca="1" si="109"/>
        <v>45975</v>
      </c>
      <c r="AD1396" s="115">
        <f t="shared" ca="1" si="109"/>
        <v>45978</v>
      </c>
      <c r="AE1396" s="115">
        <f t="shared" ca="1" si="109"/>
        <v>45979</v>
      </c>
      <c r="AF1396" s="115">
        <f t="shared" ca="1" si="109"/>
        <v>45980</v>
      </c>
      <c r="AG1396" s="115">
        <f t="shared" ca="1" si="109"/>
        <v>45981</v>
      </c>
      <c r="AH1396" s="115">
        <f t="shared" ca="1" si="109"/>
        <v>45982</v>
      </c>
      <c r="AI1396" s="115">
        <f t="shared" ca="1" si="109"/>
        <v>45985</v>
      </c>
      <c r="AJ1396" s="115">
        <f t="shared" ca="1" si="109"/>
        <v>45986</v>
      </c>
      <c r="AK1396" s="115">
        <f t="shared" ca="1" si="109"/>
        <v>45987</v>
      </c>
      <c r="AL1396" s="115">
        <f t="shared" ca="1" si="109"/>
        <v>45988</v>
      </c>
      <c r="AM1396" s="115">
        <f t="shared" ca="1" si="109"/>
        <v>45989</v>
      </c>
      <c r="AN1396" s="115">
        <f t="shared" ca="1" si="109"/>
        <v>45992</v>
      </c>
      <c r="AO1396" s="115">
        <f t="shared" ca="1" si="109"/>
        <v>45993</v>
      </c>
      <c r="AP1396" s="115">
        <f t="shared" ca="1" si="109"/>
        <v>45994</v>
      </c>
      <c r="AQ1396" s="115">
        <f t="shared" ca="1" si="109"/>
        <v>45995</v>
      </c>
      <c r="AR1396" s="115">
        <f t="shared" ca="1" si="109"/>
        <v>45996</v>
      </c>
      <c r="AS1396" s="115">
        <f t="shared" ca="1" si="109"/>
        <v>45999</v>
      </c>
      <c r="AT1396" s="115">
        <f t="shared" ca="1" si="109"/>
        <v>46000</v>
      </c>
      <c r="AU1396" s="115">
        <f t="shared" ca="1" si="109"/>
        <v>46001</v>
      </c>
      <c r="AV1396" s="115">
        <f t="shared" ca="1" si="109"/>
        <v>46002</v>
      </c>
      <c r="AX1396" s="86"/>
      <c r="BQ1396" t="s">
        <v>192</v>
      </c>
      <c r="BR1396" t="s">
        <v>2188</v>
      </c>
    </row>
    <row r="1397" spans="1:70">
      <c r="A1397" s="86"/>
      <c r="F1397" s="766" t="s">
        <v>2158</v>
      </c>
      <c r="G1397" s="766" t="s">
        <v>2159</v>
      </c>
      <c r="H1397" s="766" t="s">
        <v>2160</v>
      </c>
      <c r="I1397" s="766" t="s">
        <v>2161</v>
      </c>
      <c r="J1397" s="766" t="s">
        <v>2162</v>
      </c>
      <c r="K1397" s="766" t="s">
        <v>2163</v>
      </c>
      <c r="L1397" s="766" t="s">
        <v>2164</v>
      </c>
      <c r="M1397" s="766" t="s">
        <v>2165</v>
      </c>
      <c r="N1397" s="766" t="s">
        <v>2166</v>
      </c>
      <c r="O1397" s="766" t="s">
        <v>2167</v>
      </c>
      <c r="P1397" s="766" t="s">
        <v>2168</v>
      </c>
      <c r="Q1397" s="766" t="s">
        <v>2169</v>
      </c>
      <c r="R1397" s="766" t="s">
        <v>2170</v>
      </c>
      <c r="S1397" s="766" t="s">
        <v>2171</v>
      </c>
      <c r="T1397" s="766" t="s">
        <v>2172</v>
      </c>
      <c r="U1397" s="766" t="s">
        <v>2173</v>
      </c>
      <c r="V1397" s="766" t="s">
        <v>2174</v>
      </c>
      <c r="W1397" s="766" t="s">
        <v>2175</v>
      </c>
      <c r="X1397" s="766" t="s">
        <v>2176</v>
      </c>
      <c r="Y1397" s="766" t="s">
        <v>2177</v>
      </c>
      <c r="Z1397" s="766" t="s">
        <v>2178</v>
      </c>
      <c r="AB1397" s="277" t="s">
        <v>1517</v>
      </c>
      <c r="AC1397" s="277" t="s">
        <v>1518</v>
      </c>
      <c r="AD1397" s="277" t="s">
        <v>1519</v>
      </c>
      <c r="AE1397" s="277" t="s">
        <v>1520</v>
      </c>
      <c r="AF1397" s="277" t="s">
        <v>1521</v>
      </c>
      <c r="AG1397" s="277" t="s">
        <v>1522</v>
      </c>
      <c r="AH1397" s="277" t="s">
        <v>1523</v>
      </c>
      <c r="AI1397" s="277" t="s">
        <v>1524</v>
      </c>
      <c r="AJ1397" s="277" t="s">
        <v>1525</v>
      </c>
      <c r="AK1397" s="277" t="s">
        <v>1526</v>
      </c>
      <c r="AL1397" s="277" t="s">
        <v>1527</v>
      </c>
      <c r="AM1397" s="277" t="s">
        <v>1528</v>
      </c>
      <c r="AN1397" s="277" t="s">
        <v>1529</v>
      </c>
      <c r="AO1397" s="277" t="s">
        <v>1530</v>
      </c>
      <c r="AP1397" s="277" t="s">
        <v>1531</v>
      </c>
      <c r="AQ1397" s="277" t="s">
        <v>1532</v>
      </c>
      <c r="AR1397" s="277" t="s">
        <v>1533</v>
      </c>
      <c r="AS1397" s="277" t="s">
        <v>1534</v>
      </c>
      <c r="AT1397" s="277" t="s">
        <v>1535</v>
      </c>
      <c r="AU1397" s="277" t="s">
        <v>1536</v>
      </c>
      <c r="AV1397" s="277" t="s">
        <v>1537</v>
      </c>
      <c r="AX1397" s="86"/>
      <c r="BQ1397" t="s">
        <v>2189</v>
      </c>
      <c r="BR1397" t="s">
        <v>1821</v>
      </c>
    </row>
    <row r="1398" spans="1:70">
      <c r="A1398" s="86" t="str">
        <f t="shared" ref="A1398:A1457" ca="1" si="110">A1299</f>
        <v>AAPL</v>
      </c>
      <c r="F1398" s="241">
        <v>1.1076999999999999</v>
      </c>
      <c r="G1398" s="241">
        <v>1.1085</v>
      </c>
      <c r="H1398" s="241">
        <v>1.1053999999999999</v>
      </c>
      <c r="I1398" s="241">
        <v>1.1035999999999999</v>
      </c>
      <c r="J1398" s="241">
        <v>1.1082000000000001</v>
      </c>
      <c r="K1398" s="241">
        <v>1.1049</v>
      </c>
      <c r="L1398" s="241">
        <v>1.099</v>
      </c>
      <c r="M1398" s="241">
        <v>1.1042000000000001</v>
      </c>
      <c r="N1398" s="241">
        <v>1.1024</v>
      </c>
      <c r="O1398" s="241">
        <v>1.1051</v>
      </c>
      <c r="P1398" s="241">
        <v>1.1051</v>
      </c>
      <c r="Q1398" s="241">
        <v>1.1065</v>
      </c>
      <c r="R1398" s="241">
        <v>1.0878000000000001</v>
      </c>
      <c r="S1398" s="241">
        <v>1.0871</v>
      </c>
      <c r="T1398" s="241">
        <v>1.0871</v>
      </c>
      <c r="U1398" s="241">
        <v>1.0888</v>
      </c>
      <c r="V1398" s="241">
        <v>1.0908</v>
      </c>
      <c r="W1398" s="241">
        <v>1.091</v>
      </c>
      <c r="X1398" s="241">
        <v>1.0911999999999999</v>
      </c>
      <c r="Y1398" s="241">
        <v>1.0908</v>
      </c>
      <c r="Z1398" s="243">
        <f ca="1">[1]ExtEntry!$R3</f>
        <v>1.0908</v>
      </c>
      <c r="AB1398" s="316">
        <v>1215630</v>
      </c>
      <c r="AC1398" s="316">
        <v>1217250</v>
      </c>
      <c r="AD1398" s="316">
        <v>1205986.5</v>
      </c>
      <c r="AE1398" s="316">
        <v>1225845</v>
      </c>
      <c r="AF1398" s="316">
        <v>1203480</v>
      </c>
      <c r="AG1398" s="316">
        <v>1215134.9999999998</v>
      </c>
      <c r="AH1398" s="316">
        <v>1200960</v>
      </c>
      <c r="AI1398" s="316">
        <v>1224180</v>
      </c>
      <c r="AJ1398" s="316">
        <v>1251270</v>
      </c>
      <c r="AK1398" s="316">
        <v>1248975</v>
      </c>
      <c r="AL1398" s="316">
        <v>1254825</v>
      </c>
      <c r="AM1398" s="316">
        <v>1263690</v>
      </c>
      <c r="AN1398" s="316">
        <v>1286797.5</v>
      </c>
      <c r="AO1398" s="316">
        <v>1291815</v>
      </c>
      <c r="AP1398" s="316">
        <v>1278675</v>
      </c>
      <c r="AQ1398" s="316">
        <v>1260495</v>
      </c>
      <c r="AR1398" s="316">
        <v>1254509.9999999998</v>
      </c>
      <c r="AS1398" s="316">
        <v>1249110</v>
      </c>
      <c r="AT1398" s="316">
        <v>1254509.9999999998</v>
      </c>
      <c r="AU1398" s="316">
        <v>1251134.9999999998</v>
      </c>
      <c r="AV1398" s="316">
        <f ca="1">IF(_xlfn.XLOOKUP(A1398,TabCalc[Ticker],ListExtra_n)&gt;0,             _xlfn.XLOOKUP(A1398,TabCalc[Ticker],ListExtra_n)*_xlfn.XLOOKUP(A1398,TabTRADERCorrupted[ClickTick],TabTRADERCorrupted[M])*_xlfn.XLOOKUP(A1398,TabCalc[Ticker],ListScale),               "")</f>
        <v>1251134.9999999998</v>
      </c>
      <c r="AX1398" s="86" t="str">
        <f t="shared" ca="1" si="107"/>
        <v>AAPL</v>
      </c>
      <c r="BQ1398" t="s">
        <v>194</v>
      </c>
      <c r="BR1398" t="s">
        <v>701</v>
      </c>
    </row>
    <row r="1399" spans="1:70">
      <c r="A1399" s="86" t="str">
        <f t="shared" ca="1" si="110"/>
        <v>ADEA</v>
      </c>
      <c r="F1399" s="249">
        <v>2.4068999999999998</v>
      </c>
      <c r="G1399" s="249">
        <v>2.3910999999999998</v>
      </c>
      <c r="H1399" s="249">
        <v>2.3993000000000002</v>
      </c>
      <c r="I1399" s="249">
        <v>2.4091999999999998</v>
      </c>
      <c r="J1399" s="249">
        <v>2.42</v>
      </c>
      <c r="K1399" s="249">
        <v>2.4336000000000002</v>
      </c>
      <c r="L1399" s="249">
        <v>2.4491000000000001</v>
      </c>
      <c r="M1399" s="249">
        <v>2.4510999999999998</v>
      </c>
      <c r="N1399" s="249">
        <v>2.4129</v>
      </c>
      <c r="O1399" s="249">
        <v>2.3997999999999999</v>
      </c>
      <c r="P1399" s="249">
        <v>2.3997999999999999</v>
      </c>
      <c r="Q1399" s="249">
        <v>2.3993000000000002</v>
      </c>
      <c r="R1399" s="249">
        <v>2.3873000000000002</v>
      </c>
      <c r="S1399" s="249">
        <v>2.3872</v>
      </c>
      <c r="T1399" s="249">
        <v>2.3872</v>
      </c>
      <c r="U1399" s="249">
        <v>2.3875000000000002</v>
      </c>
      <c r="V1399" s="249">
        <v>2.3883999999999999</v>
      </c>
      <c r="W1399" s="249">
        <v>2.3858000000000001</v>
      </c>
      <c r="X1399" s="249">
        <v>2.3849</v>
      </c>
      <c r="Y1399" s="249">
        <v>2.3845000000000001</v>
      </c>
      <c r="Z1399" s="243">
        <f ca="1">[1]ExtEntry!$R4</f>
        <v>2.3845000000000001</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07"/>
        <v>ADEA</v>
      </c>
      <c r="BQ1399" t="s">
        <v>2191</v>
      </c>
      <c r="BR1399" t="s">
        <v>2190</v>
      </c>
    </row>
    <row r="1400" spans="1:70">
      <c r="A1400" s="86" t="str">
        <f t="shared" ca="1" si="110"/>
        <v>AET</v>
      </c>
      <c r="F1400" s="241">
        <v>1.6406000000000001</v>
      </c>
      <c r="G1400" s="241">
        <v>1.6374</v>
      </c>
      <c r="H1400" s="241">
        <v>1.6443000000000001</v>
      </c>
      <c r="I1400" s="241">
        <v>1.6375</v>
      </c>
      <c r="J1400" s="241">
        <v>1.6284000000000001</v>
      </c>
      <c r="K1400" s="241">
        <v>1.6225000000000001</v>
      </c>
      <c r="L1400" s="241">
        <v>1.6144000000000001</v>
      </c>
      <c r="M1400" s="241">
        <v>1.6088</v>
      </c>
      <c r="N1400" s="241">
        <v>1.6916</v>
      </c>
      <c r="O1400" s="241">
        <v>1.6801999999999999</v>
      </c>
      <c r="P1400" s="241">
        <v>1.6910000000000001</v>
      </c>
      <c r="Q1400" s="241">
        <v>1.6813</v>
      </c>
      <c r="R1400" s="241">
        <v>1.8685</v>
      </c>
      <c r="S1400" s="241">
        <v>1.8758999999999999</v>
      </c>
      <c r="T1400" s="241">
        <v>1.8758999999999999</v>
      </c>
      <c r="U1400" s="241">
        <v>1.8725000000000001</v>
      </c>
      <c r="V1400" s="241">
        <v>1.8619000000000001</v>
      </c>
      <c r="W1400" s="241">
        <v>1.859</v>
      </c>
      <c r="X1400" s="241">
        <v>1.8633999999999999</v>
      </c>
      <c r="Y1400" s="241">
        <v>1.8467</v>
      </c>
      <c r="Z1400" s="243">
        <f ca="1">[1]ExtEntry!$R5</f>
        <v>1.8467</v>
      </c>
      <c r="AB1400" s="316">
        <v>193200</v>
      </c>
      <c r="AC1400" s="316">
        <v>186480</v>
      </c>
      <c r="AD1400" s="316">
        <v>187740</v>
      </c>
      <c r="AE1400" s="316">
        <v>189840</v>
      </c>
      <c r="AF1400" s="316">
        <v>189000</v>
      </c>
      <c r="AG1400" s="316">
        <v>189000</v>
      </c>
      <c r="AH1400" s="316">
        <v>191100</v>
      </c>
      <c r="AI1400" s="316">
        <v>184800</v>
      </c>
      <c r="AJ1400" s="316">
        <v>168420</v>
      </c>
      <c r="AK1400" s="316">
        <v>162959.99999999997</v>
      </c>
      <c r="AL1400" s="316">
        <v>159600</v>
      </c>
      <c r="AM1400" s="316">
        <v>163800</v>
      </c>
      <c r="AN1400" s="316">
        <v>160020</v>
      </c>
      <c r="AO1400" s="316">
        <v>163800</v>
      </c>
      <c r="AP1400" s="316">
        <v>161280</v>
      </c>
      <c r="AQ1400" s="316">
        <v>162120</v>
      </c>
      <c r="AR1400" s="316">
        <v>164640.00000000003</v>
      </c>
      <c r="AS1400" s="316">
        <v>162120</v>
      </c>
      <c r="AT1400" s="316">
        <v>168420</v>
      </c>
      <c r="AU1400" s="316">
        <v>163800</v>
      </c>
      <c r="AV1400" s="316">
        <f ca="1">IF(_xlfn.XLOOKUP(A1400,TabCalc[Ticker],ListExtra_n)&gt;0,             _xlfn.XLOOKUP(A1400,TabCalc[Ticker],ListExtra_n)*_xlfn.XLOOKUP(A1400,TabTRADERCorrupted[ClickTick],TabTRADERCorrupted[M])*_xlfn.XLOOKUP(A1400,TabCalc[Ticker],ListScale),               "")</f>
        <v>163800</v>
      </c>
      <c r="AX1400" s="86" t="str">
        <f t="shared" ca="1" si="107"/>
        <v>AET</v>
      </c>
      <c r="BQ1400" t="s">
        <v>2192</v>
      </c>
      <c r="BR1400" t="s">
        <v>2193</v>
      </c>
    </row>
    <row r="1401" spans="1:70">
      <c r="A1401" s="86" t="str">
        <f t="shared" ca="1" si="110"/>
        <v>AMZN</v>
      </c>
      <c r="F1401" s="249">
        <v>1.3596999999999999</v>
      </c>
      <c r="G1401" s="249">
        <v>1.3612</v>
      </c>
      <c r="H1401" s="249">
        <v>1.3611</v>
      </c>
      <c r="I1401" s="249">
        <v>1.3676999999999999</v>
      </c>
      <c r="J1401" s="249">
        <v>1.3721000000000001</v>
      </c>
      <c r="K1401" s="249">
        <v>1.3831</v>
      </c>
      <c r="L1401" s="249">
        <v>1.3819999999999999</v>
      </c>
      <c r="M1401" s="249">
        <v>1.3906000000000001</v>
      </c>
      <c r="N1401" s="249">
        <v>1.3751</v>
      </c>
      <c r="O1401" s="249">
        <v>1.3743000000000001</v>
      </c>
      <c r="P1401" s="249">
        <v>1.3743000000000001</v>
      </c>
      <c r="Q1401" s="249">
        <v>1.3711</v>
      </c>
      <c r="R1401" s="249">
        <v>1.3728</v>
      </c>
      <c r="S1401" s="249">
        <v>1.3733</v>
      </c>
      <c r="T1401" s="249">
        <v>1.3733</v>
      </c>
      <c r="U1401" s="249">
        <v>1.3749</v>
      </c>
      <c r="V1401" s="249">
        <v>1.3761000000000001</v>
      </c>
      <c r="W1401" s="249">
        <v>1.3773</v>
      </c>
      <c r="X1401" s="249">
        <v>1.3768</v>
      </c>
      <c r="Y1401" s="249">
        <v>1.3754999999999999</v>
      </c>
      <c r="Z1401" s="243">
        <f ca="1">[1]ExtEntry!$R6</f>
        <v>1.3754999999999999</v>
      </c>
      <c r="AB1401" s="316">
        <v>1000800</v>
      </c>
      <c r="AC1401" s="316">
        <v>975225.6</v>
      </c>
      <c r="AD1401" s="316">
        <v>978240</v>
      </c>
      <c r="AE1401" s="316">
        <v>938760</v>
      </c>
      <c r="AF1401" s="316">
        <v>890200</v>
      </c>
      <c r="AG1401" s="316">
        <v>884728</v>
      </c>
      <c r="AH1401" s="316">
        <v>875400</v>
      </c>
      <c r="AI1401" s="316">
        <v>884940</v>
      </c>
      <c r="AJ1401" s="316">
        <v>918920</v>
      </c>
      <c r="AK1401" s="316">
        <v>916640</v>
      </c>
      <c r="AL1401" s="316">
        <v>932880</v>
      </c>
      <c r="AM1401" s="316">
        <v>940080</v>
      </c>
      <c r="AN1401" s="316">
        <v>937180</v>
      </c>
      <c r="AO1401" s="316">
        <v>926720</v>
      </c>
      <c r="AP1401" s="316">
        <v>929520</v>
      </c>
      <c r="AQ1401" s="316">
        <v>909346.8</v>
      </c>
      <c r="AR1401" s="316">
        <v>918120</v>
      </c>
      <c r="AS1401" s="316">
        <v>910868.39999999991</v>
      </c>
      <c r="AT1401" s="316">
        <v>927120</v>
      </c>
      <c r="AU1401" s="316">
        <v>921120</v>
      </c>
      <c r="AV1401" s="316">
        <f ca="1">IF(_xlfn.XLOOKUP(A1401,TabCalc[Ticker],ListExtra_n)&gt;0,             _xlfn.XLOOKUP(A1401,TabCalc[Ticker],ListExtra_n)*_xlfn.XLOOKUP(A1401,TabTRADERCorrupted[ClickTick],TabTRADERCorrupted[M])*_xlfn.XLOOKUP(A1401,TabCalc[Ticker],ListScale),               "")</f>
        <v>921120</v>
      </c>
      <c r="AX1401" s="86" t="str">
        <f t="shared" ca="1" si="107"/>
        <v>AMZN</v>
      </c>
      <c r="BQ1401" t="s">
        <v>2194</v>
      </c>
      <c r="BR1401" t="s">
        <v>661</v>
      </c>
    </row>
    <row r="1402" spans="1:70">
      <c r="A1402" s="86" t="str">
        <f t="shared" ca="1" si="110"/>
        <v>ALDNE</v>
      </c>
      <c r="F1402" s="241">
        <v>0.95879999999999999</v>
      </c>
      <c r="G1402" s="241">
        <v>0.95520000000000005</v>
      </c>
      <c r="H1402" s="241">
        <v>0.95709999999999995</v>
      </c>
      <c r="I1402" s="241">
        <v>0.95879999999999999</v>
      </c>
      <c r="J1402" s="241">
        <v>0.96430000000000005</v>
      </c>
      <c r="K1402" s="241">
        <v>0.97</v>
      </c>
      <c r="L1402" s="241">
        <v>0.97970000000000002</v>
      </c>
      <c r="M1402" s="241">
        <v>0.98750000000000004</v>
      </c>
      <c r="N1402" s="241">
        <v>0.98780000000000001</v>
      </c>
      <c r="O1402" s="241">
        <v>0.9869</v>
      </c>
      <c r="P1402" s="241">
        <v>0.98040000000000005</v>
      </c>
      <c r="Q1402" s="241">
        <v>0.9819</v>
      </c>
      <c r="R1402" s="241">
        <v>0.97709999999999997</v>
      </c>
      <c r="S1402" s="241">
        <v>0.96579999999999999</v>
      </c>
      <c r="T1402" s="241">
        <v>0.96579999999999999</v>
      </c>
      <c r="U1402" s="241">
        <v>0.96450000000000002</v>
      </c>
      <c r="V1402" s="241">
        <v>0.97119999999999995</v>
      </c>
      <c r="W1402" s="241">
        <v>0.97460000000000002</v>
      </c>
      <c r="X1402" s="241">
        <v>0.97109999999999996</v>
      </c>
      <c r="Y1402" s="241">
        <v>0.96899999999999997</v>
      </c>
      <c r="Z1402" s="243">
        <f ca="1">[1]ExtEntry!$R7</f>
        <v>0.96899999999999997</v>
      </c>
      <c r="AB1402" s="316">
        <v>64740.5</v>
      </c>
      <c r="AC1402" s="316">
        <v>64084.9</v>
      </c>
      <c r="AD1402" s="316">
        <v>63921</v>
      </c>
      <c r="AE1402" s="316">
        <v>54578.700000000004</v>
      </c>
      <c r="AF1402" s="316">
        <v>54906.5</v>
      </c>
      <c r="AG1402" s="316">
        <v>56381.599999999999</v>
      </c>
      <c r="AH1402" s="316">
        <v>54742.600000000006</v>
      </c>
      <c r="AI1402" s="316">
        <v>53759.200000000004</v>
      </c>
      <c r="AJ1402" s="316">
        <v>52939.700000000004</v>
      </c>
      <c r="AK1402" s="316">
        <v>50809</v>
      </c>
      <c r="AL1402" s="316">
        <v>49497.799999999996</v>
      </c>
      <c r="AM1402" s="316">
        <v>50645.1</v>
      </c>
      <c r="AN1402" s="316">
        <v>50809</v>
      </c>
      <c r="AO1402" s="316">
        <v>51464.6</v>
      </c>
      <c r="AP1402" s="316">
        <v>51300.7</v>
      </c>
      <c r="AQ1402" s="316">
        <v>50809</v>
      </c>
      <c r="AR1402" s="316">
        <v>50809</v>
      </c>
      <c r="AS1402" s="316">
        <v>48350.5</v>
      </c>
      <c r="AT1402" s="316">
        <v>49006.1</v>
      </c>
      <c r="AU1402" s="316">
        <v>45072.500000000007</v>
      </c>
      <c r="AV1402" s="316">
        <f ca="1">IF(_xlfn.XLOOKUP(A1402,TabCalc[Ticker],ListExtra_n)&gt;0,             _xlfn.XLOOKUP(A1402,TabCalc[Ticker],ListExtra_n)*_xlfn.XLOOKUP(A1402,TabTRADERCorrupted[ClickTick],TabTRADERCorrupted[M])*_xlfn.XLOOKUP(A1402,TabCalc[Ticker],ListScale),               "")</f>
        <v>45072.500000000007</v>
      </c>
      <c r="AX1402" s="86" t="str">
        <f t="shared" ca="1" si="107"/>
        <v>ALDNE</v>
      </c>
      <c r="BQ1402" t="s">
        <v>198</v>
      </c>
      <c r="BR1402" t="s">
        <v>2195</v>
      </c>
    </row>
    <row r="1403" spans="1:70">
      <c r="A1403" s="86" t="str">
        <f t="shared" ca="1" si="110"/>
        <v>ASML</v>
      </c>
      <c r="F1403" s="249">
        <v>2.1158000000000001</v>
      </c>
      <c r="G1403" s="249">
        <v>2.1168999999999998</v>
      </c>
      <c r="H1403" s="249">
        <v>2.1183000000000001</v>
      </c>
      <c r="I1403" s="249">
        <v>2.1202999999999999</v>
      </c>
      <c r="J1403" s="249">
        <v>2.1173000000000002</v>
      </c>
      <c r="K1403" s="249">
        <v>2.1166999999999998</v>
      </c>
      <c r="L1403" s="249">
        <v>2.0914000000000001</v>
      </c>
      <c r="M1403" s="249">
        <v>2.0895999999999999</v>
      </c>
      <c r="N1403" s="249">
        <v>2.0969000000000002</v>
      </c>
      <c r="O1403" s="249">
        <v>2.0773000000000001</v>
      </c>
      <c r="P1403" s="249">
        <v>2.1011000000000002</v>
      </c>
      <c r="Q1403" s="249">
        <v>2.0979000000000001</v>
      </c>
      <c r="R1403" s="249">
        <v>2.0914000000000001</v>
      </c>
      <c r="S1403" s="249">
        <v>2.0903999999999998</v>
      </c>
      <c r="T1403" s="249">
        <v>2.0903999999999998</v>
      </c>
      <c r="U1403" s="249">
        <v>2.0872999999999999</v>
      </c>
      <c r="V1403" s="249">
        <v>2.09</v>
      </c>
      <c r="W1403" s="249">
        <v>2.0893999999999999</v>
      </c>
      <c r="X1403" s="249">
        <v>2.0882999999999998</v>
      </c>
      <c r="Y1403" s="249">
        <v>2.0899000000000001</v>
      </c>
      <c r="Z1403" s="243">
        <f ca="1">[1]ExtEntry!$R8</f>
        <v>2.0899000000000001</v>
      </c>
      <c r="AB1403" s="316">
        <v>2810460</v>
      </c>
      <c r="AC1403" s="316">
        <v>2327780</v>
      </c>
      <c r="AD1403" s="316">
        <v>2264080</v>
      </c>
      <c r="AE1403" s="316">
        <v>2185250</v>
      </c>
      <c r="AF1403" s="316">
        <v>2578200</v>
      </c>
      <c r="AG1403" s="316">
        <v>2659800</v>
      </c>
      <c r="AH1403" s="316">
        <v>2669400</v>
      </c>
      <c r="AI1403" s="316">
        <v>2502000</v>
      </c>
      <c r="AJ1403" s="316">
        <v>2455110</v>
      </c>
      <c r="AK1403" s="316">
        <v>2422440</v>
      </c>
      <c r="AL1403" s="316">
        <v>2439180</v>
      </c>
      <c r="AM1403" s="316">
        <v>2502090</v>
      </c>
      <c r="AN1403" s="316">
        <v>2347750</v>
      </c>
      <c r="AO1403" s="316">
        <v>2199490</v>
      </c>
      <c r="AP1403" s="316">
        <v>2215820</v>
      </c>
      <c r="AQ1403" s="316">
        <v>2201790</v>
      </c>
      <c r="AR1403" s="316">
        <v>2188680</v>
      </c>
      <c r="AS1403" s="316">
        <v>2191670</v>
      </c>
      <c r="AT1403" s="316">
        <v>2175800</v>
      </c>
      <c r="AU1403" s="316">
        <v>2164070</v>
      </c>
      <c r="AV1403" s="316">
        <f ca="1">IF(_xlfn.XLOOKUP(A1403,TabCalc[Ticker],ListExtra_n)&gt;0,             _xlfn.XLOOKUP(A1403,TabCalc[Ticker],ListExtra_n)*_xlfn.XLOOKUP(A1403,TabTRADERCorrupted[ClickTick],TabTRADERCorrupted[M])*_xlfn.XLOOKUP(A1403,TabCalc[Ticker],ListScale),               "")</f>
        <v>2164070</v>
      </c>
      <c r="AX1403" s="86" t="str">
        <f t="shared" ca="1" si="107"/>
        <v>ASML</v>
      </c>
      <c r="BQ1403" t="s">
        <v>2196</v>
      </c>
      <c r="BR1403" t="s">
        <v>177</v>
      </c>
    </row>
    <row r="1404" spans="1:70" hidden="1">
      <c r="A1404" s="86" t="str">
        <f t="shared" ca="1" si="110"/>
        <v>AVGO</v>
      </c>
      <c r="F1404" s="249">
        <v>1.2219</v>
      </c>
      <c r="G1404" s="249">
        <v>1.2176</v>
      </c>
      <c r="H1404" s="249">
        <v>1.2213000000000001</v>
      </c>
      <c r="I1404" s="249">
        <v>1.2309000000000001</v>
      </c>
      <c r="J1404" s="249">
        <v>1.2294</v>
      </c>
      <c r="K1404" s="249">
        <v>1.2342</v>
      </c>
      <c r="L1404" s="249">
        <v>1.2214</v>
      </c>
      <c r="M1404" s="249">
        <v>1.2293000000000001</v>
      </c>
      <c r="N1404" s="249">
        <v>1.2044999999999999</v>
      </c>
      <c r="O1404" s="249">
        <v>1.2024999999999999</v>
      </c>
      <c r="P1404" s="249">
        <v>1.2024999999999999</v>
      </c>
      <c r="Q1404" s="249">
        <v>1.2040999999999999</v>
      </c>
      <c r="R1404" s="249">
        <v>1.2101</v>
      </c>
      <c r="S1404" s="249">
        <v>1.2103999999999999</v>
      </c>
      <c r="T1404" s="249">
        <v>1.2103999999999999</v>
      </c>
      <c r="U1404" s="249">
        <v>1.2089000000000001</v>
      </c>
      <c r="V1404" s="249">
        <v>1.2052</v>
      </c>
      <c r="W1404" s="249">
        <v>1.2040999999999999</v>
      </c>
      <c r="X1404" s="249">
        <v>1.2028000000000001</v>
      </c>
      <c r="Y1404" s="249">
        <v>1.2012</v>
      </c>
      <c r="Z1404" s="243">
        <f ca="1">[1]ExtEntry!$R9</f>
        <v>1.2012</v>
      </c>
      <c r="AB1404" s="316">
        <v>75385.8</v>
      </c>
      <c r="AC1404" s="316">
        <v>74676</v>
      </c>
      <c r="AD1404" s="316">
        <v>72950.849999999991</v>
      </c>
      <c r="AE1404" s="316">
        <v>71916.599999999991</v>
      </c>
      <c r="AF1404" s="316">
        <v>3405</v>
      </c>
      <c r="AG1404" s="316">
        <v>3479.7000000000003</v>
      </c>
      <c r="AH1404" s="316">
        <v>3505.4</v>
      </c>
      <c r="AI1404" s="316">
        <v>3434.9479999999999</v>
      </c>
      <c r="AJ1404" s="316">
        <v>3953.1750000000002</v>
      </c>
      <c r="AK1404" s="316">
        <v>3975.7</v>
      </c>
      <c r="AL1404" s="316">
        <v>4029.6</v>
      </c>
      <c r="AM1404" s="316">
        <v>3901.8</v>
      </c>
      <c r="AN1404" s="316">
        <v>3815.7</v>
      </c>
      <c r="AO1404" s="316">
        <v>3760</v>
      </c>
      <c r="AP1404" s="316">
        <v>3806.1000000000004</v>
      </c>
      <c r="AQ1404" s="316">
        <v>3817.3950000000004</v>
      </c>
      <c r="AR1404" s="316">
        <v>3902.4</v>
      </c>
      <c r="AS1404" s="316">
        <v>4055.491</v>
      </c>
      <c r="AT1404" s="316">
        <v>4129.7000000000007</v>
      </c>
      <c r="AU1404" s="316">
        <v>4063.7</v>
      </c>
      <c r="AV1404" s="316">
        <f ca="1">IF(_xlfn.XLOOKUP(A1404,TabCalc[Ticker],ListExtra_n)&gt;0,             _xlfn.XLOOKUP(A1404,TabCalc[Ticker],ListExtra_n)*_xlfn.XLOOKUP(A1404,TabTRADERCorrupted[ClickTick],TabTRADERCorrupted[M])*_xlfn.XLOOKUP(A1404,TabCalc[Ticker],ListScale),               "")</f>
        <v>4063.7</v>
      </c>
      <c r="AX1404" s="86" t="str">
        <f t="shared" ca="1" si="107"/>
        <v>AVGO</v>
      </c>
      <c r="BQ1404" t="s">
        <v>179</v>
      </c>
      <c r="BR1404" t="s">
        <v>2197</v>
      </c>
    </row>
    <row r="1405" spans="1:70" hidden="1">
      <c r="A1405" s="86" t="str">
        <f t="shared" ca="1" si="110"/>
        <v>AZN</v>
      </c>
      <c r="F1405" s="249">
        <v>0.3382</v>
      </c>
      <c r="G1405" s="249">
        <v>0.33989999999999998</v>
      </c>
      <c r="H1405" s="249">
        <v>0.33260000000000001</v>
      </c>
      <c r="I1405" s="249">
        <v>0.31950000000000001</v>
      </c>
      <c r="J1405" s="249">
        <v>0.31680000000000003</v>
      </c>
      <c r="K1405" s="249">
        <v>0.30880000000000002</v>
      </c>
      <c r="L1405" s="249">
        <v>0.30430000000000001</v>
      </c>
      <c r="M1405" s="249">
        <v>0.30859999999999999</v>
      </c>
      <c r="N1405" s="249">
        <v>0.31130000000000002</v>
      </c>
      <c r="O1405" s="249">
        <v>0.31919999999999998</v>
      </c>
      <c r="P1405" s="249">
        <v>0.31919999999999998</v>
      </c>
      <c r="Q1405" s="249">
        <v>0.32600000000000001</v>
      </c>
      <c r="R1405" s="249">
        <v>0.34789999999999999</v>
      </c>
      <c r="S1405" s="249">
        <v>0.3478</v>
      </c>
      <c r="T1405" s="249">
        <v>0.3478</v>
      </c>
      <c r="U1405" s="249">
        <v>0.3463</v>
      </c>
      <c r="V1405" s="249">
        <v>0.34610000000000002</v>
      </c>
      <c r="W1405" s="249">
        <v>0.34589999999999999</v>
      </c>
      <c r="X1405" s="249">
        <v>0.3478</v>
      </c>
      <c r="Y1405" s="249">
        <v>0.34470000000000001</v>
      </c>
      <c r="Z1405" s="243">
        <f ca="1">[1]ExtEntry!$R10</f>
        <v>0.34470000000000001</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07"/>
        <v>AZN</v>
      </c>
      <c r="BQ1405" t="s">
        <v>1014</v>
      </c>
      <c r="BR1405" t="s">
        <v>2198</v>
      </c>
    </row>
    <row r="1406" spans="1:70" hidden="1">
      <c r="A1406" s="86" t="str">
        <f t="shared" ca="1" si="110"/>
        <v>BLDP</v>
      </c>
      <c r="F1406" s="249">
        <v>1.7142999999999999</v>
      </c>
      <c r="G1406" s="249">
        <v>1.6777</v>
      </c>
      <c r="H1406" s="249">
        <v>1.7018</v>
      </c>
      <c r="I1406" s="249">
        <v>1.7003999999999999</v>
      </c>
      <c r="J1406" s="249">
        <v>1.7289000000000001</v>
      </c>
      <c r="K1406" s="249">
        <v>1.7453000000000001</v>
      </c>
      <c r="L1406" s="249">
        <v>1.7488999999999999</v>
      </c>
      <c r="M1406" s="249">
        <v>1.7403999999999999</v>
      </c>
      <c r="N1406" s="249">
        <v>1.7088000000000001</v>
      </c>
      <c r="O1406" s="249">
        <v>1.6793</v>
      </c>
      <c r="P1406" s="249">
        <v>1.6449</v>
      </c>
      <c r="Q1406" s="249">
        <v>1.6463000000000001</v>
      </c>
      <c r="R1406" s="249">
        <v>1.6169</v>
      </c>
      <c r="S1406" s="249">
        <v>1.6124000000000001</v>
      </c>
      <c r="T1406" s="249">
        <v>1.6124000000000001</v>
      </c>
      <c r="U1406" s="249">
        <v>1.6155999999999999</v>
      </c>
      <c r="V1406" s="249">
        <v>1.6142000000000001</v>
      </c>
      <c r="W1406" s="249">
        <v>1.6116999999999999</v>
      </c>
      <c r="X1406" s="249">
        <v>1.6082000000000001</v>
      </c>
      <c r="Y1406" s="249">
        <v>1.6123000000000001</v>
      </c>
      <c r="Z1406" s="243">
        <f ca="1">[1]ExtEntry!$R11</f>
        <v>1.6123000000000001</v>
      </c>
      <c r="AB1406" s="316">
        <v>36500</v>
      </c>
      <c r="AC1406" s="316">
        <v>35700</v>
      </c>
      <c r="AD1406" s="316">
        <v>34850</v>
      </c>
      <c r="AE1406" s="316">
        <v>30299.999999999996</v>
      </c>
      <c r="AF1406" s="316">
        <v>28900</v>
      </c>
      <c r="AG1406" s="316">
        <v>28420</v>
      </c>
      <c r="AH1406" s="316">
        <v>27250</v>
      </c>
      <c r="AI1406" s="316">
        <v>27300</v>
      </c>
      <c r="AJ1406" s="316">
        <v>27550</v>
      </c>
      <c r="AK1406" s="316">
        <v>27799.999999999996</v>
      </c>
      <c r="AL1406" s="316">
        <v>28400</v>
      </c>
      <c r="AM1406" s="316">
        <v>27300</v>
      </c>
      <c r="AN1406" s="316">
        <v>27150</v>
      </c>
      <c r="AO1406" s="316">
        <v>26300</v>
      </c>
      <c r="AP1406" s="316">
        <v>26700</v>
      </c>
      <c r="AQ1406" s="316">
        <v>27700.999999999996</v>
      </c>
      <c r="AR1406" s="316">
        <v>28200</v>
      </c>
      <c r="AS1406" s="316">
        <v>28100</v>
      </c>
      <c r="AT1406" s="316">
        <v>27799.999999999996</v>
      </c>
      <c r="AU1406" s="316">
        <v>28900</v>
      </c>
      <c r="AV1406" s="316">
        <f ca="1">IF(_xlfn.XLOOKUP(A1406,TabCalc[Ticker],ListExtra_n)&gt;0,             _xlfn.XLOOKUP(A1406,TabCalc[Ticker],ListExtra_n)*_xlfn.XLOOKUP(A1406,TabTRADERCorrupted[ClickTick],TabTRADERCorrupted[M])*_xlfn.XLOOKUP(A1406,TabCalc[Ticker],ListScale),               "")</f>
        <v>28900</v>
      </c>
      <c r="AX1406" s="86" t="str">
        <f t="shared" ca="1" si="107"/>
        <v>BLDP</v>
      </c>
      <c r="BR1406" t="s">
        <v>2199</v>
      </c>
    </row>
    <row r="1407" spans="1:70" hidden="1">
      <c r="A1407" s="86" t="str">
        <f t="shared" ca="1" si="110"/>
        <v>BMRA</v>
      </c>
      <c r="F1407" s="249">
        <v>6.2199999999999998E-2</v>
      </c>
      <c r="G1407" s="249">
        <v>5.3999999999999999E-2</v>
      </c>
      <c r="H1407" s="249">
        <v>6.0999999999999999E-2</v>
      </c>
      <c r="I1407" s="249">
        <v>6.4000000000000001E-2</v>
      </c>
      <c r="J1407" s="249">
        <v>8.2199999999999995E-2</v>
      </c>
      <c r="K1407" s="249">
        <v>9.7900000000000001E-2</v>
      </c>
      <c r="L1407" s="249">
        <v>0.11840000000000001</v>
      </c>
      <c r="M1407" s="249">
        <v>0.1052</v>
      </c>
      <c r="N1407" s="249">
        <v>6.9199999999999998E-2</v>
      </c>
      <c r="O1407" s="249">
        <v>6.6000000000000003E-2</v>
      </c>
      <c r="P1407" s="249">
        <v>6.6000000000000003E-2</v>
      </c>
      <c r="Q1407" s="249">
        <v>5.8000000000000003E-2</v>
      </c>
      <c r="R1407" s="249">
        <v>0.1193</v>
      </c>
      <c r="S1407" s="249">
        <v>0.1148</v>
      </c>
      <c r="T1407" s="249">
        <v>0.1148</v>
      </c>
      <c r="U1407" s="249">
        <v>0.11650000000000001</v>
      </c>
      <c r="V1407" s="249">
        <v>0.1157</v>
      </c>
      <c r="W1407" s="249">
        <v>0.109</v>
      </c>
      <c r="X1407" s="249">
        <v>0.10580000000000001</v>
      </c>
      <c r="Y1407" s="249">
        <v>0.11260000000000001</v>
      </c>
      <c r="Z1407" s="243">
        <f ca="1">[1]ExtEntry!$R12</f>
        <v>0.11260000000000001</v>
      </c>
      <c r="AB1407" s="316">
        <v>32250</v>
      </c>
      <c r="AC1407" s="316"/>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07"/>
        <v>BMRA</v>
      </c>
      <c r="BR1407" t="s">
        <v>2131</v>
      </c>
    </row>
    <row r="1408" spans="1:70" hidden="1">
      <c r="A1408" s="86" t="str">
        <f t="shared" ca="1" si="110"/>
        <v>C</v>
      </c>
      <c r="F1408" s="249">
        <v>1.1959</v>
      </c>
      <c r="G1408" s="249">
        <v>1.1959</v>
      </c>
      <c r="H1408" s="249">
        <v>1.1934</v>
      </c>
      <c r="I1408" s="249">
        <v>1.1949000000000001</v>
      </c>
      <c r="J1408" s="249">
        <v>1.2004999999999999</v>
      </c>
      <c r="K1408" s="249">
        <v>1.1976</v>
      </c>
      <c r="L1408" s="249">
        <v>1.1880999999999999</v>
      </c>
      <c r="M1408" s="249">
        <v>1.1980999999999999</v>
      </c>
      <c r="N1408" s="249">
        <v>1.1954</v>
      </c>
      <c r="O1408" s="249">
        <v>1.1954</v>
      </c>
      <c r="P1408" s="249">
        <v>1.1954</v>
      </c>
      <c r="Q1408" s="249">
        <v>1.1958</v>
      </c>
      <c r="R1408" s="249">
        <v>1.1786000000000001</v>
      </c>
      <c r="S1408" s="249">
        <v>1.1782999999999999</v>
      </c>
      <c r="T1408" s="249">
        <v>1.1782999999999999</v>
      </c>
      <c r="U1408" s="249">
        <v>1.1754</v>
      </c>
      <c r="V1408" s="249">
        <v>1.175</v>
      </c>
      <c r="W1408" s="249">
        <v>1.173</v>
      </c>
      <c r="X1408" s="249">
        <v>1.1719999999999999</v>
      </c>
      <c r="Y1408" s="249">
        <v>1.175</v>
      </c>
      <c r="Z1408" s="243">
        <f ca="1">[1]ExtEntry!$R13</f>
        <v>1.175</v>
      </c>
      <c r="AB1408" s="316">
        <v>508.6</v>
      </c>
      <c r="AC1408" s="316">
        <v>505.05</v>
      </c>
      <c r="AD1408" s="316">
        <v>502.59999999999997</v>
      </c>
      <c r="AE1408" s="316">
        <v>501.5</v>
      </c>
      <c r="AF1408" s="316">
        <v>491.59999999999997</v>
      </c>
      <c r="AG1408" s="316">
        <v>498</v>
      </c>
      <c r="AH1408" s="316">
        <v>490.77499999999998</v>
      </c>
      <c r="AI1408" s="316">
        <v>494.15</v>
      </c>
      <c r="AJ1408" s="316">
        <v>513.875</v>
      </c>
      <c r="AK1408" s="316">
        <v>512.55000000000007</v>
      </c>
      <c r="AL1408" s="316">
        <v>518.25</v>
      </c>
      <c r="AM1408" s="316">
        <v>516.30000000000007</v>
      </c>
      <c r="AN1408" s="316">
        <v>515.90000000000009</v>
      </c>
      <c r="AO1408" s="316">
        <v>523.45000000000005</v>
      </c>
      <c r="AP1408" s="316">
        <v>533.85</v>
      </c>
      <c r="AQ1408" s="316">
        <v>541.5</v>
      </c>
      <c r="AR1408" s="316">
        <v>544.15</v>
      </c>
      <c r="AS1408" s="316">
        <v>545.07500000000005</v>
      </c>
      <c r="AT1408" s="316">
        <v>555.625</v>
      </c>
      <c r="AU1408" s="316">
        <v>558.75</v>
      </c>
      <c r="AV1408" s="316">
        <f ca="1">IF(_xlfn.XLOOKUP(A1408,TabCalc[Ticker],ListExtra_n)&gt;0,             _xlfn.XLOOKUP(A1408,TabCalc[Ticker],ListExtra_n)*_xlfn.XLOOKUP(A1408,TabTRADERCorrupted[ClickTick],TabTRADERCorrupted[M])*_xlfn.XLOOKUP(A1408,TabCalc[Ticker],ListScale),               "")</f>
        <v>558.75</v>
      </c>
      <c r="AX1408" s="86" t="str">
        <f t="shared" ca="1" si="107"/>
        <v>C</v>
      </c>
    </row>
    <row r="1409" spans="1:50" hidden="1">
      <c r="A1409" s="86" t="str">
        <f t="shared" ca="1" si="110"/>
        <v>CSCO</v>
      </c>
      <c r="F1409" s="249">
        <v>0.86899999999999999</v>
      </c>
      <c r="G1409" s="249">
        <v>0.86990000000000001</v>
      </c>
      <c r="H1409" s="249">
        <v>0.872</v>
      </c>
      <c r="I1409" s="249">
        <v>0.85199999999999998</v>
      </c>
      <c r="J1409" s="249">
        <v>0.85029999999999994</v>
      </c>
      <c r="K1409" s="249">
        <v>0.84370000000000001</v>
      </c>
      <c r="L1409" s="249">
        <v>0.83040000000000003</v>
      </c>
      <c r="M1409" s="249">
        <v>0.84870000000000001</v>
      </c>
      <c r="N1409" s="249">
        <v>0.85809999999999997</v>
      </c>
      <c r="O1409" s="249">
        <v>0.86250000000000004</v>
      </c>
      <c r="P1409" s="249">
        <v>0.86250000000000004</v>
      </c>
      <c r="Q1409" s="249">
        <v>0.8639</v>
      </c>
      <c r="R1409" s="249">
        <v>0.86360000000000003</v>
      </c>
      <c r="S1409" s="249">
        <v>0.86240000000000006</v>
      </c>
      <c r="T1409" s="249">
        <v>0.86240000000000006</v>
      </c>
      <c r="U1409" s="249">
        <v>0.86150000000000004</v>
      </c>
      <c r="V1409" s="249">
        <v>0.86170000000000002</v>
      </c>
      <c r="W1409" s="249">
        <v>0.8599</v>
      </c>
      <c r="X1409" s="249">
        <v>0.85880000000000001</v>
      </c>
      <c r="Y1409" s="249">
        <v>0.86050000000000004</v>
      </c>
      <c r="Z1409" s="243">
        <f ca="1">[1]ExtEntry!$R14</f>
        <v>0.86050000000000004</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07"/>
        <v>CSCO</v>
      </c>
    </row>
    <row r="1410" spans="1:50" hidden="1">
      <c r="A1410" s="86" t="str">
        <f t="shared" ca="1" si="110"/>
        <v>CVS</v>
      </c>
      <c r="F1410" s="249">
        <v>0.48180000000000001</v>
      </c>
      <c r="G1410" s="249">
        <v>0.48120000000000002</v>
      </c>
      <c r="H1410" s="249">
        <v>0.47870000000000001</v>
      </c>
      <c r="I1410" s="249">
        <v>0.47760000000000002</v>
      </c>
      <c r="J1410" s="249">
        <v>0.48</v>
      </c>
      <c r="K1410" s="249">
        <v>0.47970000000000002</v>
      </c>
      <c r="L1410" s="249">
        <v>0.4844</v>
      </c>
      <c r="M1410" s="249">
        <v>0.48720000000000002</v>
      </c>
      <c r="N1410" s="249">
        <v>0.48070000000000002</v>
      </c>
      <c r="O1410" s="249">
        <v>0.47920000000000001</v>
      </c>
      <c r="P1410" s="249">
        <v>0.47920000000000001</v>
      </c>
      <c r="Q1410" s="249">
        <v>0.47989999999999999</v>
      </c>
      <c r="R1410" s="249">
        <v>0.48459999999999998</v>
      </c>
      <c r="S1410" s="249">
        <v>0.48670000000000002</v>
      </c>
      <c r="T1410" s="249">
        <v>0.48670000000000002</v>
      </c>
      <c r="U1410" s="249">
        <v>0.48920000000000002</v>
      </c>
      <c r="V1410" s="249">
        <v>0.4869</v>
      </c>
      <c r="W1410" s="249">
        <v>0.48749999999999999</v>
      </c>
      <c r="X1410" s="249">
        <v>0.48549999999999999</v>
      </c>
      <c r="Y1410" s="249">
        <v>0.48359999999999997</v>
      </c>
      <c r="Z1410" s="243">
        <f ca="1">[1]ExtEntry!$R15</f>
        <v>0.48359999999999997</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07"/>
        <v>CVS</v>
      </c>
    </row>
    <row r="1411" spans="1:50" hidden="1">
      <c r="A1411" s="86" t="str">
        <f t="shared" ca="1" si="110"/>
        <v>DDD</v>
      </c>
      <c r="F1411" s="249">
        <v>1.8775999999999999</v>
      </c>
      <c r="G1411" s="249">
        <v>1.8776999999999999</v>
      </c>
      <c r="H1411" s="249">
        <v>1.9112</v>
      </c>
      <c r="I1411" s="249">
        <v>1.9157999999999999</v>
      </c>
      <c r="J1411" s="249">
        <v>1.9231</v>
      </c>
      <c r="K1411" s="249">
        <v>1.9366000000000001</v>
      </c>
      <c r="L1411" s="249">
        <v>1.9596</v>
      </c>
      <c r="M1411" s="249">
        <v>1.968</v>
      </c>
      <c r="N1411" s="249">
        <v>1.9192</v>
      </c>
      <c r="O1411" s="249">
        <v>1.9037999999999999</v>
      </c>
      <c r="P1411" s="249">
        <v>1.9037999999999999</v>
      </c>
      <c r="Q1411" s="249">
        <v>1.8904000000000001</v>
      </c>
      <c r="R1411" s="249">
        <v>1.8752</v>
      </c>
      <c r="S1411" s="249">
        <v>1.8729</v>
      </c>
      <c r="T1411" s="249">
        <v>1.8729</v>
      </c>
      <c r="U1411" s="249">
        <v>1.8653</v>
      </c>
      <c r="V1411" s="249">
        <v>1.8692</v>
      </c>
      <c r="W1411" s="249">
        <v>1.8688</v>
      </c>
      <c r="X1411" s="249">
        <v>1.8873</v>
      </c>
      <c r="Y1411" s="249">
        <v>1.8795999999999999</v>
      </c>
      <c r="Z1411" s="243">
        <f ca="1">[1]ExtEntry!$R16</f>
        <v>1.8795999999999999</v>
      </c>
      <c r="AB1411" s="316">
        <v>117000</v>
      </c>
      <c r="AC1411" s="316">
        <v>101925</v>
      </c>
      <c r="AD1411" s="316">
        <v>100125</v>
      </c>
      <c r="AE1411" s="316">
        <v>97200</v>
      </c>
      <c r="AF1411" s="316">
        <v>93600</v>
      </c>
      <c r="AG1411" s="316">
        <v>92025</v>
      </c>
      <c r="AH1411" s="316">
        <v>84600</v>
      </c>
      <c r="AI1411" s="316">
        <v>87525</v>
      </c>
      <c r="AJ1411" s="316">
        <v>91575</v>
      </c>
      <c r="AK1411" s="316">
        <v>92249.999999999985</v>
      </c>
      <c r="AL1411" s="316">
        <v>93600</v>
      </c>
      <c r="AM1411" s="316">
        <v>90225</v>
      </c>
      <c r="AN1411" s="316">
        <v>92249.999999999985</v>
      </c>
      <c r="AO1411" s="316">
        <v>93375.000000000015</v>
      </c>
      <c r="AP1411" s="316">
        <v>99000.000000000015</v>
      </c>
      <c r="AQ1411" s="316">
        <v>100125</v>
      </c>
      <c r="AR1411" s="316">
        <v>97200</v>
      </c>
      <c r="AS1411" s="316">
        <v>79425</v>
      </c>
      <c r="AT1411" s="316">
        <v>79650</v>
      </c>
      <c r="AU1411" s="316">
        <v>88425</v>
      </c>
      <c r="AV1411" s="316">
        <f ca="1">IF(_xlfn.XLOOKUP(A1411,TabCalc[Ticker],ListExtra_n)&gt;0,             _xlfn.XLOOKUP(A1411,TabCalc[Ticker],ListExtra_n)*_xlfn.XLOOKUP(A1411,TabTRADERCorrupted[ClickTick],TabTRADERCorrupted[M])*_xlfn.XLOOKUP(A1411,TabCalc[Ticker],ListScale),               "")</f>
        <v>88425</v>
      </c>
      <c r="AX1411" s="86" t="str">
        <f t="shared" ca="1" si="107"/>
        <v>DDD</v>
      </c>
    </row>
    <row r="1412" spans="1:50" hidden="1">
      <c r="A1412" s="86" t="str">
        <f t="shared" ca="1" si="110"/>
        <v>DIS</v>
      </c>
      <c r="F1412" s="249">
        <v>1.4863999999999999</v>
      </c>
      <c r="G1412" s="249">
        <v>1.4881</v>
      </c>
      <c r="H1412" s="249">
        <v>1.4843999999999999</v>
      </c>
      <c r="I1412" s="249">
        <v>1.4917</v>
      </c>
      <c r="J1412" s="249">
        <v>1.4956</v>
      </c>
      <c r="K1412" s="249">
        <v>1.4914000000000001</v>
      </c>
      <c r="L1412" s="249">
        <v>1.4923999999999999</v>
      </c>
      <c r="M1412" s="249">
        <v>1.5003</v>
      </c>
      <c r="N1412" s="249">
        <v>1.5003</v>
      </c>
      <c r="O1412" s="249">
        <v>1.4986999999999999</v>
      </c>
      <c r="P1412" s="249">
        <v>1.4986999999999999</v>
      </c>
      <c r="Q1412" s="249">
        <v>1.4959</v>
      </c>
      <c r="R1412" s="249">
        <v>1.4451000000000001</v>
      </c>
      <c r="S1412" s="249">
        <v>1.4489000000000001</v>
      </c>
      <c r="T1412" s="249">
        <v>1.4489000000000001</v>
      </c>
      <c r="U1412" s="249">
        <v>1.4492</v>
      </c>
      <c r="V1412" s="249">
        <v>1.4507000000000001</v>
      </c>
      <c r="W1412" s="249">
        <v>1.4472</v>
      </c>
      <c r="X1412" s="249">
        <v>1.4473</v>
      </c>
      <c r="Y1412" s="249">
        <v>1.4497</v>
      </c>
      <c r="Z1412" s="243">
        <f ca="1">[1]ExtEntry!$R17</f>
        <v>1.4497</v>
      </c>
      <c r="AB1412" s="316">
        <v>72371</v>
      </c>
      <c r="AC1412" s="316">
        <v>71604</v>
      </c>
      <c r="AD1412" s="316">
        <v>71974.5</v>
      </c>
      <c r="AE1412" s="316">
        <v>68770</v>
      </c>
      <c r="AF1412" s="316">
        <v>69082</v>
      </c>
      <c r="AG1412" s="316">
        <v>68445</v>
      </c>
      <c r="AH1412" s="316">
        <v>66865.5</v>
      </c>
      <c r="AI1412" s="316">
        <v>67892.5</v>
      </c>
      <c r="AJ1412" s="316">
        <v>67499.25</v>
      </c>
      <c r="AK1412" s="316">
        <v>67229.5</v>
      </c>
      <c r="AL1412" s="316">
        <v>67905.5</v>
      </c>
      <c r="AM1412" s="316">
        <v>69186</v>
      </c>
      <c r="AN1412" s="316">
        <v>68233.75</v>
      </c>
      <c r="AO1412" s="316">
        <v>68068</v>
      </c>
      <c r="AP1412" s="316">
        <v>68724.5</v>
      </c>
      <c r="AQ1412" s="316">
        <v>68230.565000000002</v>
      </c>
      <c r="AR1412" s="316">
        <v>68399.5</v>
      </c>
      <c r="AS1412" s="316">
        <v>69355</v>
      </c>
      <c r="AT1412" s="316">
        <v>70739.5</v>
      </c>
      <c r="AU1412" s="316">
        <v>72462</v>
      </c>
      <c r="AV1412" s="316">
        <f ca="1">IF(_xlfn.XLOOKUP(A1412,TabCalc[Ticker],ListExtra_n)&gt;0,             _xlfn.XLOOKUP(A1412,TabCalc[Ticker],ListExtra_n)*_xlfn.XLOOKUP(A1412,TabTRADERCorrupted[ClickTick],TabTRADERCorrupted[M])*_xlfn.XLOOKUP(A1412,TabCalc[Ticker],ListScale),               "")</f>
        <v>72462</v>
      </c>
      <c r="AX1412" s="86" t="str">
        <f t="shared" ca="1" si="107"/>
        <v>DIS</v>
      </c>
    </row>
    <row r="1413" spans="1:50" hidden="1">
      <c r="A1413" s="86" t="str">
        <f t="shared" ca="1" si="110"/>
        <v>DSY</v>
      </c>
      <c r="F1413" s="249">
        <v>0.78910000000000002</v>
      </c>
      <c r="G1413" s="249">
        <v>0.78969999999999996</v>
      </c>
      <c r="H1413" s="249">
        <v>0.79359999999999997</v>
      </c>
      <c r="I1413" s="249">
        <v>0.78610000000000002</v>
      </c>
      <c r="J1413" s="249">
        <v>0.7883</v>
      </c>
      <c r="K1413" s="249">
        <v>0.79759999999999998</v>
      </c>
      <c r="L1413" s="249">
        <v>0.7954</v>
      </c>
      <c r="M1413" s="249">
        <v>0.79620000000000002</v>
      </c>
      <c r="N1413" s="249">
        <v>0.78900000000000003</v>
      </c>
      <c r="O1413" s="249">
        <v>0.78839999999999999</v>
      </c>
      <c r="P1413" s="249">
        <v>0.78879999999999995</v>
      </c>
      <c r="Q1413" s="249">
        <v>0.78869999999999996</v>
      </c>
      <c r="R1413" s="249">
        <v>0.78979999999999995</v>
      </c>
      <c r="S1413" s="249">
        <v>0.79169999999999996</v>
      </c>
      <c r="T1413" s="249">
        <v>0.79169999999999996</v>
      </c>
      <c r="U1413" s="249">
        <v>0.79190000000000005</v>
      </c>
      <c r="V1413" s="249">
        <v>0.79020000000000001</v>
      </c>
      <c r="W1413" s="249">
        <v>0.79120000000000001</v>
      </c>
      <c r="X1413" s="249">
        <v>0.79179999999999995</v>
      </c>
      <c r="Y1413" s="249">
        <v>0.79459999999999997</v>
      </c>
      <c r="Z1413" s="243">
        <f ca="1">[1]ExtEntry!$R18</f>
        <v>0.79459999999999997</v>
      </c>
      <c r="AB1413" s="316">
        <v>89925</v>
      </c>
      <c r="AC1413" s="316">
        <v>87225</v>
      </c>
      <c r="AD1413" s="316">
        <v>87525</v>
      </c>
      <c r="AE1413" s="316">
        <v>89962.5</v>
      </c>
      <c r="AF1413" s="316">
        <v>86887.5</v>
      </c>
      <c r="AG1413" s="316">
        <v>87675</v>
      </c>
      <c r="AH1413" s="316">
        <v>87450</v>
      </c>
      <c r="AI1413" s="316">
        <v>88087.5</v>
      </c>
      <c r="AJ1413" s="316">
        <v>90562.5</v>
      </c>
      <c r="AK1413" s="316">
        <v>90562.5</v>
      </c>
      <c r="AL1413" s="316">
        <v>90412.5</v>
      </c>
      <c r="AM1413" s="316">
        <v>89437.5</v>
      </c>
      <c r="AN1413" s="316">
        <v>87825</v>
      </c>
      <c r="AO1413" s="316">
        <v>87787.5</v>
      </c>
      <c r="AP1413" s="316">
        <v>87787.5</v>
      </c>
      <c r="AQ1413" s="316">
        <v>89100</v>
      </c>
      <c r="AR1413" s="316">
        <v>89175</v>
      </c>
      <c r="AS1413" s="316">
        <v>87562.5</v>
      </c>
      <c r="AT1413" s="316">
        <v>86325</v>
      </c>
      <c r="AU1413" s="316">
        <v>86737.5</v>
      </c>
      <c r="AV1413" s="316">
        <f ca="1">IF(_xlfn.XLOOKUP(A1413,TabCalc[Ticker],ListExtra_n)&gt;0,             _xlfn.XLOOKUP(A1413,TabCalc[Ticker],ListExtra_n)*_xlfn.XLOOKUP(A1413,TabTRADERCorrupted[ClickTick],TabTRADERCorrupted[M])*_xlfn.XLOOKUP(A1413,TabCalc[Ticker],ListScale),               "")</f>
        <v>86737.5</v>
      </c>
      <c r="AX1413" s="86" t="str">
        <f t="shared" ca="1" si="107"/>
        <v>DSY</v>
      </c>
    </row>
    <row r="1414" spans="1:50" hidden="1">
      <c r="A1414" s="86" t="str">
        <f t="shared" ca="1" si="110"/>
        <v>DVA</v>
      </c>
      <c r="F1414" s="249">
        <v>0.98980000000000001</v>
      </c>
      <c r="G1414" s="249">
        <v>0.98950000000000005</v>
      </c>
      <c r="H1414" s="249">
        <v>0.98299999999999998</v>
      </c>
      <c r="I1414" s="249">
        <v>0.98160000000000003</v>
      </c>
      <c r="J1414" s="249">
        <v>0.99280000000000002</v>
      </c>
      <c r="K1414" s="249">
        <v>0.99129999999999996</v>
      </c>
      <c r="L1414" s="249">
        <v>0.99199999999999999</v>
      </c>
      <c r="M1414" s="249">
        <v>0.99299999999999999</v>
      </c>
      <c r="N1414" s="249">
        <v>0.98709999999999998</v>
      </c>
      <c r="O1414" s="249">
        <v>0.99170000000000003</v>
      </c>
      <c r="P1414" s="249">
        <v>0.99170000000000003</v>
      </c>
      <c r="Q1414" s="249">
        <v>0.99339999999999995</v>
      </c>
      <c r="R1414" s="249">
        <v>0.98360000000000003</v>
      </c>
      <c r="S1414" s="249">
        <v>0.98409999999999997</v>
      </c>
      <c r="T1414" s="249">
        <v>0.98409999999999997</v>
      </c>
      <c r="U1414" s="249">
        <v>0.98529999999999995</v>
      </c>
      <c r="V1414" s="249">
        <v>0.9859</v>
      </c>
      <c r="W1414" s="249">
        <v>0.98629999999999995</v>
      </c>
      <c r="X1414" s="249">
        <v>0.98670000000000002</v>
      </c>
      <c r="Y1414" s="249">
        <v>0.98509999999999998</v>
      </c>
      <c r="Z1414" s="243">
        <f ca="1">[1]ExtEntry!$R19</f>
        <v>0.98509999999999998</v>
      </c>
      <c r="AB1414" s="316">
        <v>242320</v>
      </c>
      <c r="AC1414" s="316">
        <v>243640</v>
      </c>
      <c r="AD1414" s="316">
        <v>49330</v>
      </c>
      <c r="AE1414" s="316">
        <v>48624</v>
      </c>
      <c r="AF1414" s="316">
        <v>46624</v>
      </c>
      <c r="AG1414" s="316">
        <v>46062</v>
      </c>
      <c r="AH1414" s="316">
        <v>45908</v>
      </c>
      <c r="AI1414" s="316">
        <v>48408</v>
      </c>
      <c r="AJ1414" s="316">
        <v>48108</v>
      </c>
      <c r="AK1414" s="316">
        <v>48040</v>
      </c>
      <c r="AL1414" s="316">
        <v>47872</v>
      </c>
      <c r="AM1414" s="316">
        <v>48162</v>
      </c>
      <c r="AN1414" s="316">
        <v>47624</v>
      </c>
      <c r="AO1414" s="316">
        <v>47976</v>
      </c>
      <c r="AP1414" s="316">
        <v>47300</v>
      </c>
      <c r="AQ1414" s="316">
        <v>46920</v>
      </c>
      <c r="AR1414" s="316">
        <v>46956</v>
      </c>
      <c r="AS1414" s="316">
        <v>46544</v>
      </c>
      <c r="AT1414" s="316">
        <v>47472</v>
      </c>
      <c r="AU1414" s="316">
        <v>48138</v>
      </c>
      <c r="AV1414" s="316">
        <f ca="1">IF(_xlfn.XLOOKUP(A1414,TabCalc[Ticker],ListExtra_n)&gt;0,             _xlfn.XLOOKUP(A1414,TabCalc[Ticker],ListExtra_n)*_xlfn.XLOOKUP(A1414,TabTRADERCorrupted[ClickTick],TabTRADERCorrupted[M])*_xlfn.XLOOKUP(A1414,TabCalc[Ticker],ListScale),               "")</f>
        <v>48138</v>
      </c>
      <c r="AX1414" s="86" t="str">
        <f t="shared" ca="1" si="107"/>
        <v>DVA</v>
      </c>
    </row>
    <row r="1415" spans="1:50" hidden="1">
      <c r="A1415" s="86" t="str">
        <f t="shared" ca="1" si="110"/>
        <v>DXC</v>
      </c>
      <c r="F1415" s="249">
        <v>1.0907</v>
      </c>
      <c r="G1415" s="249">
        <v>1.0875999999999999</v>
      </c>
      <c r="H1415" s="249">
        <v>1.0882000000000001</v>
      </c>
      <c r="I1415" s="249">
        <v>1.0939000000000001</v>
      </c>
      <c r="J1415" s="249">
        <v>1.1083000000000001</v>
      </c>
      <c r="K1415" s="249">
        <v>1.1175999999999999</v>
      </c>
      <c r="L1415" s="249">
        <v>1.1271</v>
      </c>
      <c r="M1415" s="249">
        <v>1.1203000000000001</v>
      </c>
      <c r="N1415" s="249">
        <v>1.0972999999999999</v>
      </c>
      <c r="O1415" s="249">
        <v>1.0947</v>
      </c>
      <c r="P1415" s="249">
        <v>1.0947</v>
      </c>
      <c r="Q1415" s="249">
        <v>1.0919000000000001</v>
      </c>
      <c r="R1415" s="249">
        <v>1.0510999999999999</v>
      </c>
      <c r="S1415" s="249">
        <v>1.0511999999999999</v>
      </c>
      <c r="T1415" s="249">
        <v>1.0511999999999999</v>
      </c>
      <c r="U1415" s="249">
        <v>1.0517000000000001</v>
      </c>
      <c r="V1415" s="249">
        <v>1.0510999999999999</v>
      </c>
      <c r="W1415" s="249">
        <v>1.0463</v>
      </c>
      <c r="X1415" s="249">
        <v>1.0398000000000001</v>
      </c>
      <c r="Y1415" s="249">
        <v>1.0491999999999999</v>
      </c>
      <c r="Z1415" s="243">
        <f ca="1">[1]ExtEntry!$R20</f>
        <v>1.0491999999999999</v>
      </c>
      <c r="AB1415" s="316">
        <v>56772.91</v>
      </c>
      <c r="AC1415" s="316">
        <v>56464.584999999999</v>
      </c>
      <c r="AD1415" s="316">
        <v>54162.425000000003</v>
      </c>
      <c r="AE1415" s="316">
        <v>53073.01</v>
      </c>
      <c r="AF1415" s="316">
        <v>50236.420000000006</v>
      </c>
      <c r="AG1415" s="316">
        <v>49784.21</v>
      </c>
      <c r="AH1415" s="316">
        <v>48962.01</v>
      </c>
      <c r="AI1415" s="316">
        <v>52250.810000000005</v>
      </c>
      <c r="AJ1415" s="316">
        <v>53977.43</v>
      </c>
      <c r="AK1415" s="316">
        <v>53895.21</v>
      </c>
      <c r="AL1415" s="316">
        <v>54409.084999999999</v>
      </c>
      <c r="AM1415" s="316">
        <v>55251.839999999997</v>
      </c>
      <c r="AN1415" s="316">
        <v>55601.275000000001</v>
      </c>
      <c r="AO1415" s="316">
        <v>56238.479999999996</v>
      </c>
      <c r="AP1415" s="316">
        <v>56320.7</v>
      </c>
      <c r="AQ1415" s="316">
        <v>57325.839500000002</v>
      </c>
      <c r="AR1415" s="316">
        <v>58047.32</v>
      </c>
      <c r="AS1415" s="316">
        <v>61459.45</v>
      </c>
      <c r="AT1415" s="316">
        <v>62158.32</v>
      </c>
      <c r="AU1415" s="316">
        <v>62651.64</v>
      </c>
      <c r="AV1415" s="316">
        <f ca="1">IF(_xlfn.XLOOKUP(A1415,TabCalc[Ticker],ListExtra_n)&gt;0,             _xlfn.XLOOKUP(A1415,TabCalc[Ticker],ListExtra_n)*_xlfn.XLOOKUP(A1415,TabTRADERCorrupted[ClickTick],TabTRADERCorrupted[M])*_xlfn.XLOOKUP(A1415,TabCalc[Ticker],ListScale),               "")</f>
        <v>62651.64</v>
      </c>
      <c r="AX1415" s="86" t="str">
        <f t="shared" ca="1" si="107"/>
        <v>DXC</v>
      </c>
    </row>
    <row r="1416" spans="1:50" hidden="1">
      <c r="A1416" s="86" t="str">
        <f t="shared" ca="1" si="110"/>
        <v>EOAN</v>
      </c>
      <c r="F1416" s="249">
        <v>0.85360000000000003</v>
      </c>
      <c r="G1416" s="249">
        <v>0.85350000000000004</v>
      </c>
      <c r="H1416" s="249">
        <v>0.85299999999999998</v>
      </c>
      <c r="I1416" s="249">
        <v>0.84770000000000001</v>
      </c>
      <c r="J1416" s="249">
        <v>0.8599</v>
      </c>
      <c r="K1416" s="249">
        <v>0.86180000000000001</v>
      </c>
      <c r="L1416" s="249">
        <v>0.86380000000000001</v>
      </c>
      <c r="M1416" s="249">
        <v>0.85940000000000005</v>
      </c>
      <c r="N1416" s="249">
        <v>0.86270000000000002</v>
      </c>
      <c r="O1416" s="249">
        <v>0.85960000000000003</v>
      </c>
      <c r="P1416" s="249">
        <v>0.86150000000000004</v>
      </c>
      <c r="Q1416" s="249">
        <v>0.86080000000000001</v>
      </c>
      <c r="R1416" s="249">
        <v>0.86699999999999999</v>
      </c>
      <c r="S1416" s="249">
        <v>0.86660000000000004</v>
      </c>
      <c r="T1416" s="249">
        <v>0.86660000000000004</v>
      </c>
      <c r="U1416" s="249">
        <v>0.86150000000000004</v>
      </c>
      <c r="V1416" s="249">
        <v>0.86660000000000004</v>
      </c>
      <c r="W1416" s="249">
        <v>0.86650000000000005</v>
      </c>
      <c r="X1416" s="249">
        <v>0.86660000000000004</v>
      </c>
      <c r="Y1416" s="249">
        <v>0.86650000000000005</v>
      </c>
      <c r="Z1416" s="243">
        <f ca="1">[1]ExtEntry!$R21</f>
        <v>0.86650000000000005</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07"/>
        <v>EOAN</v>
      </c>
    </row>
    <row r="1417" spans="1:50" hidden="1">
      <c r="A1417" s="86" t="str">
        <f t="shared" ca="1" si="110"/>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07"/>
        <v>EPIX</v>
      </c>
    </row>
    <row r="1418" spans="1:50" hidden="1">
      <c r="A1418" s="86" t="str">
        <f t="shared" ca="1" si="110"/>
        <v>GM</v>
      </c>
      <c r="F1418" s="249">
        <v>1.3140000000000001</v>
      </c>
      <c r="G1418" s="249">
        <v>1.3099000000000001</v>
      </c>
      <c r="H1418" s="249">
        <v>1.3052999999999999</v>
      </c>
      <c r="I1418" s="249">
        <v>1.2962</v>
      </c>
      <c r="J1418" s="249">
        <v>1.3095000000000001</v>
      </c>
      <c r="K1418" s="249">
        <v>1.3051999999999999</v>
      </c>
      <c r="L1418" s="249">
        <v>1.2968</v>
      </c>
      <c r="M1418" s="249">
        <v>1.3019000000000001</v>
      </c>
      <c r="N1418" s="249">
        <v>1.2969999999999999</v>
      </c>
      <c r="O1418" s="249">
        <v>1.3024</v>
      </c>
      <c r="P1418" s="249">
        <v>1.3024</v>
      </c>
      <c r="Q1418" s="249">
        <v>1.3049999999999999</v>
      </c>
      <c r="R1418" s="249">
        <v>1.3274999999999999</v>
      </c>
      <c r="S1418" s="249">
        <v>1.3267</v>
      </c>
      <c r="T1418" s="249">
        <v>1.3267</v>
      </c>
      <c r="U1418" s="249">
        <v>1.3259000000000001</v>
      </c>
      <c r="V1418" s="249">
        <v>1.3252999999999999</v>
      </c>
      <c r="W1418" s="249">
        <v>1.3243</v>
      </c>
      <c r="X1418" s="249">
        <v>1.3218000000000001</v>
      </c>
      <c r="Y1418" s="249">
        <v>1.3228</v>
      </c>
      <c r="Z1418" s="243">
        <f ca="1">[1]ExtEntry!$R23</f>
        <v>1.3228</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07"/>
        <v>GM</v>
      </c>
    </row>
    <row r="1419" spans="1:50" hidden="1">
      <c r="A1419" s="86" t="str">
        <f t="shared" ca="1" si="110"/>
        <v>HPE</v>
      </c>
      <c r="F1419" s="249">
        <v>1.3427</v>
      </c>
      <c r="G1419" s="249">
        <v>1.3418000000000001</v>
      </c>
      <c r="H1419" s="249">
        <v>1.3432999999999999</v>
      </c>
      <c r="I1419" s="249">
        <v>1.3482000000000001</v>
      </c>
      <c r="J1419" s="249">
        <v>1.3647</v>
      </c>
      <c r="K1419" s="249">
        <v>1.3736999999999999</v>
      </c>
      <c r="L1419" s="249">
        <v>1.3818999999999999</v>
      </c>
      <c r="M1419" s="249">
        <v>1.3885000000000001</v>
      </c>
      <c r="N1419" s="249">
        <v>1.3604000000000001</v>
      </c>
      <c r="O1419" s="249">
        <v>1.3541000000000001</v>
      </c>
      <c r="P1419" s="249">
        <v>1.3541000000000001</v>
      </c>
      <c r="Q1419" s="249">
        <v>1.3481000000000001</v>
      </c>
      <c r="R1419" s="249">
        <v>1.3411</v>
      </c>
      <c r="S1419" s="249">
        <v>1.3418000000000001</v>
      </c>
      <c r="T1419" s="249">
        <v>1.3418000000000001</v>
      </c>
      <c r="U1419" s="249">
        <v>1.3409</v>
      </c>
      <c r="V1419" s="249">
        <v>1.3382000000000001</v>
      </c>
      <c r="W1419" s="249">
        <v>1.3332999999999999</v>
      </c>
      <c r="X1419" s="249">
        <v>1.3279000000000001</v>
      </c>
      <c r="Y1419" s="249">
        <v>1.3351999999999999</v>
      </c>
      <c r="Z1419" s="243">
        <f ca="1">[1]ExtEntry!$R24</f>
        <v>1.3351999999999999</v>
      </c>
      <c r="AB1419" s="316"/>
      <c r="AC1419" s="316"/>
      <c r="AD1419" s="316"/>
      <c r="AE1419" s="316"/>
      <c r="AF1419" s="316"/>
      <c r="AG1419" s="316"/>
      <c r="AH1419" s="316"/>
      <c r="AI1419" s="316"/>
      <c r="AJ1419" s="316"/>
      <c r="AK1419" s="316"/>
      <c r="AL1419" s="316"/>
      <c r="AM1419" s="316"/>
      <c r="AN1419" s="316"/>
      <c r="AO1419" s="316">
        <v>48356</v>
      </c>
      <c r="AP1419" s="316">
        <v>48994</v>
      </c>
      <c r="AQ1419" s="316">
        <v>50325</v>
      </c>
      <c r="AR1419" s="316">
        <v>51315</v>
      </c>
      <c r="AS1419" s="316">
        <v>53911</v>
      </c>
      <c r="AT1419" s="316">
        <v>55594</v>
      </c>
      <c r="AU1419" s="316">
        <v>53988</v>
      </c>
      <c r="AV1419" s="316">
        <f ca="1">IF(_xlfn.XLOOKUP(A1419,TabCalc[Ticker],ListExtra_n)&gt;0,             _xlfn.XLOOKUP(A1419,TabCalc[Ticker],ListExtra_n)*_xlfn.XLOOKUP(A1419,TabTRADERCorrupted[ClickTick],TabTRADERCorrupted[M])*_xlfn.XLOOKUP(A1419,TabCalc[Ticker],ListScale),               "")</f>
        <v>53988</v>
      </c>
      <c r="AX1419" s="86" t="str">
        <f t="shared" ca="1" si="107"/>
        <v>HPE</v>
      </c>
    </row>
    <row r="1420" spans="1:50" hidden="1">
      <c r="A1420" s="86" t="str">
        <f t="shared" ca="1" si="110"/>
        <v>HPQ</v>
      </c>
      <c r="F1420" s="249">
        <v>1.2286999999999999</v>
      </c>
      <c r="G1420" s="249">
        <v>1.224</v>
      </c>
      <c r="H1420" s="249">
        <v>1.2271000000000001</v>
      </c>
      <c r="I1420" s="249">
        <v>1.2373000000000001</v>
      </c>
      <c r="J1420" s="249">
        <v>1.2555000000000001</v>
      </c>
      <c r="K1420" s="249">
        <v>1.2653000000000001</v>
      </c>
      <c r="L1420" s="249">
        <v>1.2745</v>
      </c>
      <c r="M1420" s="249">
        <v>1.27</v>
      </c>
      <c r="N1420" s="249">
        <v>1.2403999999999999</v>
      </c>
      <c r="O1420" s="249">
        <v>1.2373000000000001</v>
      </c>
      <c r="P1420" s="249">
        <v>1.2373000000000001</v>
      </c>
      <c r="Q1420" s="249">
        <v>1.2306999999999999</v>
      </c>
      <c r="R1420" s="249">
        <v>1.2090000000000001</v>
      </c>
      <c r="S1420" s="249">
        <v>1.2058</v>
      </c>
      <c r="T1420" s="249">
        <v>1.2058</v>
      </c>
      <c r="U1420" s="249">
        <v>1.2072000000000001</v>
      </c>
      <c r="V1420" s="249">
        <v>1.2063999999999999</v>
      </c>
      <c r="W1420" s="249">
        <v>1.2074</v>
      </c>
      <c r="X1420" s="249">
        <v>1.2056</v>
      </c>
      <c r="Y1420" s="249">
        <v>1.2088000000000001</v>
      </c>
      <c r="Z1420" s="243">
        <f ca="1">[1]ExtEntry!$R25</f>
        <v>1.2088000000000001</v>
      </c>
      <c r="AB1420" s="316">
        <v>106560</v>
      </c>
      <c r="AC1420" s="316">
        <v>104720</v>
      </c>
      <c r="AD1420" s="316">
        <v>104860</v>
      </c>
      <c r="AE1420" s="316">
        <v>98052</v>
      </c>
      <c r="AF1420" s="316">
        <v>90840</v>
      </c>
      <c r="AG1420" s="316">
        <v>90160</v>
      </c>
      <c r="AH1420" s="316">
        <v>89320</v>
      </c>
      <c r="AI1420" s="316">
        <v>96460</v>
      </c>
      <c r="AJ1420" s="316">
        <v>95300</v>
      </c>
      <c r="AK1420" s="316">
        <v>95940</v>
      </c>
      <c r="AL1420" s="316">
        <v>97720</v>
      </c>
      <c r="AM1420" s="316">
        <v>98140</v>
      </c>
      <c r="AN1420" s="316">
        <v>225900</v>
      </c>
      <c r="AO1420" s="316">
        <v>101400</v>
      </c>
      <c r="AP1420" s="316">
        <v>201560</v>
      </c>
      <c r="AQ1420" s="316">
        <v>205185.6</v>
      </c>
      <c r="AR1420" s="316">
        <v>207040</v>
      </c>
      <c r="AS1420" s="316">
        <v>202520</v>
      </c>
      <c r="AT1420" s="316">
        <v>204000</v>
      </c>
      <c r="AU1420" s="316">
        <v>203240</v>
      </c>
      <c r="AV1420" s="316">
        <f ca="1">IF(_xlfn.XLOOKUP(A1420,TabCalc[Ticker],ListExtra_n)&gt;0,             _xlfn.XLOOKUP(A1420,TabCalc[Ticker],ListExtra_n)*_xlfn.XLOOKUP(A1420,TabTRADERCorrupted[ClickTick],TabTRADERCorrupted[M])*_xlfn.XLOOKUP(A1420,TabCalc[Ticker],ListScale),               "")</f>
        <v>203240</v>
      </c>
      <c r="AX1420" s="86" t="str">
        <f t="shared" ca="1" si="107"/>
        <v>HPQ</v>
      </c>
    </row>
    <row r="1421" spans="1:50" hidden="1">
      <c r="A1421" s="86" t="str">
        <f t="shared" ca="1" si="110"/>
        <v>IAG</v>
      </c>
      <c r="F1421" s="249">
        <v>2.2967</v>
      </c>
      <c r="G1421" s="249">
        <v>2.2978000000000001</v>
      </c>
      <c r="H1421" s="249">
        <v>2.3001999999999998</v>
      </c>
      <c r="I1421" s="249">
        <v>2.2976000000000001</v>
      </c>
      <c r="J1421" s="249">
        <v>2.3203999999999998</v>
      </c>
      <c r="K1421" s="249">
        <v>2.3380999999999998</v>
      </c>
      <c r="L1421" s="249">
        <v>2.3292000000000002</v>
      </c>
      <c r="M1421" s="249">
        <v>2.3231000000000002</v>
      </c>
      <c r="N1421" s="249">
        <v>2.3149999999999999</v>
      </c>
      <c r="O1421" s="249">
        <v>2.3075999999999999</v>
      </c>
      <c r="P1421" s="249">
        <v>2.3083</v>
      </c>
      <c r="Q1421" s="249">
        <v>2.3062</v>
      </c>
      <c r="R1421" s="249">
        <v>2.3443999999999998</v>
      </c>
      <c r="S1421" s="249">
        <v>2.3462999999999998</v>
      </c>
      <c r="T1421" s="249">
        <v>2.3462999999999998</v>
      </c>
      <c r="U1421" s="249">
        <v>2.3454000000000002</v>
      </c>
      <c r="V1421" s="249">
        <v>2.3481000000000001</v>
      </c>
      <c r="W1421" s="249">
        <v>2.3433000000000002</v>
      </c>
      <c r="X1421" s="249">
        <v>2.3458000000000001</v>
      </c>
      <c r="Y1421" s="249">
        <v>2.3477000000000001</v>
      </c>
      <c r="Z1421" s="243">
        <f ca="1">[1]ExtEntry!$R26</f>
        <v>2.3477000000000001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07"/>
        <v>IAG</v>
      </c>
    </row>
    <row r="1422" spans="1:50" hidden="1">
      <c r="A1422" s="86" t="str">
        <f t="shared" ca="1" si="110"/>
        <v>KR</v>
      </c>
      <c r="F1422" s="249">
        <v>0.58120000000000005</v>
      </c>
      <c r="G1422" s="249">
        <v>0.58309999999999995</v>
      </c>
      <c r="H1422" s="249">
        <v>0.58130000000000004</v>
      </c>
      <c r="I1422" s="249">
        <v>0.57240000000000002</v>
      </c>
      <c r="J1422" s="249">
        <v>0.5716</v>
      </c>
      <c r="K1422" s="249">
        <v>0.5605</v>
      </c>
      <c r="L1422" s="249">
        <v>0.55400000000000005</v>
      </c>
      <c r="M1422" s="249">
        <v>0.56530000000000002</v>
      </c>
      <c r="N1422" s="249">
        <v>0.57369999999999999</v>
      </c>
      <c r="O1422" s="249">
        <v>0.5746</v>
      </c>
      <c r="P1422" s="249">
        <v>0.5746</v>
      </c>
      <c r="Q1422" s="249">
        <v>0.57679999999999998</v>
      </c>
      <c r="R1422" s="249">
        <v>0.59240000000000004</v>
      </c>
      <c r="S1422" s="249">
        <v>0.59360000000000002</v>
      </c>
      <c r="T1422" s="249">
        <v>0.59360000000000002</v>
      </c>
      <c r="U1422" s="249">
        <v>0.59470000000000001</v>
      </c>
      <c r="V1422" s="249">
        <v>0.5978</v>
      </c>
      <c r="W1422" s="249">
        <v>0.59899999999999998</v>
      </c>
      <c r="X1422" s="249">
        <v>0.60019999999999996</v>
      </c>
      <c r="Y1422" s="249">
        <v>0.59730000000000005</v>
      </c>
      <c r="Z1422" s="243">
        <f ca="1">[1]ExtEntry!$R27</f>
        <v>0.59730000000000005</v>
      </c>
      <c r="AB1422" s="316">
        <v>126300</v>
      </c>
      <c r="AC1422" s="316">
        <v>126800</v>
      </c>
      <c r="AD1422" s="316">
        <v>64905</v>
      </c>
      <c r="AE1422" s="316">
        <v>66715</v>
      </c>
      <c r="AF1422" s="316">
        <v>67405</v>
      </c>
      <c r="AG1422" s="316">
        <v>67550</v>
      </c>
      <c r="AH1422" s="316">
        <v>66110</v>
      </c>
      <c r="AI1422" s="316">
        <v>66360</v>
      </c>
      <c r="AJ1422" s="316">
        <v>67360</v>
      </c>
      <c r="AK1422" s="316"/>
      <c r="AL1422" s="316"/>
      <c r="AM1422" s="316"/>
      <c r="AN1422" s="316"/>
      <c r="AO1422" s="316"/>
      <c r="AP1422" s="316"/>
      <c r="AQ1422" s="316">
        <v>125300</v>
      </c>
      <c r="AR1422" s="316">
        <v>125420</v>
      </c>
      <c r="AS1422" s="316">
        <v>125814</v>
      </c>
      <c r="AT1422" s="316">
        <v>122480</v>
      </c>
      <c r="AU1422" s="316">
        <v>124430</v>
      </c>
      <c r="AV1422" s="316">
        <f ca="1">IF(_xlfn.XLOOKUP(A1422,TabCalc[Ticker],ListExtra_n)&gt;0,             _xlfn.XLOOKUP(A1422,TabCalc[Ticker],ListExtra_n)*_xlfn.XLOOKUP(A1422,TabTRADERCorrupted[ClickTick],TabTRADERCorrupted[M])*_xlfn.XLOOKUP(A1422,TabCalc[Ticker],ListScale),               "")</f>
        <v>124430</v>
      </c>
      <c r="AX1422" s="86" t="str">
        <f t="shared" ca="1" si="107"/>
        <v>KR</v>
      </c>
    </row>
    <row r="1423" spans="1:50" hidden="1">
      <c r="A1423" s="86" t="str">
        <f t="shared" ca="1" si="110"/>
        <v>LNSR</v>
      </c>
      <c r="F1423" s="249">
        <v>0.65010000000000001</v>
      </c>
      <c r="G1423" s="249">
        <v>0.64459999999999995</v>
      </c>
      <c r="H1423" s="249">
        <v>0.65920000000000001</v>
      </c>
      <c r="I1423" s="249">
        <v>0.68640000000000001</v>
      </c>
      <c r="J1423" s="249">
        <v>0.6946</v>
      </c>
      <c r="K1423" s="249">
        <v>0.70540000000000003</v>
      </c>
      <c r="L1423" s="249">
        <v>0.71389999999999998</v>
      </c>
      <c r="M1423" s="249">
        <v>0.71909999999999996</v>
      </c>
      <c r="N1423" s="249">
        <v>0.6976</v>
      </c>
      <c r="O1423" s="249">
        <v>0.67920000000000003</v>
      </c>
      <c r="P1423" s="249">
        <v>0.67920000000000003</v>
      </c>
      <c r="Q1423" s="249">
        <v>0.67200000000000004</v>
      </c>
      <c r="R1423" s="249">
        <v>0.70760000000000001</v>
      </c>
      <c r="S1423" s="249">
        <v>0.70760000000000001</v>
      </c>
      <c r="T1423" s="249">
        <v>0.70760000000000001</v>
      </c>
      <c r="U1423" s="249">
        <v>0.70509999999999995</v>
      </c>
      <c r="V1423" s="249">
        <v>0.70150000000000001</v>
      </c>
      <c r="W1423" s="249">
        <v>0.7016</v>
      </c>
      <c r="X1423" s="249">
        <v>0.69699999999999995</v>
      </c>
      <c r="Y1423" s="249">
        <v>0.69420000000000004</v>
      </c>
      <c r="Z1423" s="243">
        <f ca="1">[1]ExtEntry!$R28</f>
        <v>0.69420000000000004</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07"/>
        <v>LNSR</v>
      </c>
    </row>
    <row r="1424" spans="1:50" hidden="1">
      <c r="A1424" s="86" t="str">
        <f t="shared" ca="1" si="110"/>
        <v>LUMN</v>
      </c>
      <c r="F1424" s="249">
        <v>1.4104000000000001</v>
      </c>
      <c r="G1424" s="249">
        <v>1.407</v>
      </c>
      <c r="H1424" s="249">
        <v>1.3963000000000001</v>
      </c>
      <c r="I1424" s="249">
        <v>1.4626999999999999</v>
      </c>
      <c r="J1424" s="249">
        <v>1.4646999999999999</v>
      </c>
      <c r="K1424" s="249">
        <v>1.4903</v>
      </c>
      <c r="L1424" s="249">
        <v>1.4999</v>
      </c>
      <c r="M1424" s="249">
        <v>1.5018</v>
      </c>
      <c r="N1424" s="249">
        <v>1.4588000000000001</v>
      </c>
      <c r="O1424" s="249">
        <v>1.4458</v>
      </c>
      <c r="P1424" s="249">
        <v>1.4458</v>
      </c>
      <c r="Q1424" s="249">
        <v>1.4359999999999999</v>
      </c>
      <c r="R1424" s="249">
        <v>1.4641</v>
      </c>
      <c r="S1424" s="249">
        <v>1.4519</v>
      </c>
      <c r="T1424" s="249">
        <v>1.4519</v>
      </c>
      <c r="U1424" s="249">
        <v>1.4502999999999999</v>
      </c>
      <c r="V1424" s="249">
        <v>1.4664999999999999</v>
      </c>
      <c r="W1424" s="249">
        <v>1.4644999999999999</v>
      </c>
      <c r="X1424" s="249">
        <v>1.4624999999999999</v>
      </c>
      <c r="Y1424" s="249">
        <v>1.464</v>
      </c>
      <c r="Z1424" s="243">
        <f ca="1">[1]ExtEntry!$R29</f>
        <v>1.464</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07"/>
        <v>LUMN</v>
      </c>
    </row>
    <row r="1425" spans="1:50" hidden="1">
      <c r="A1425" s="86" t="str">
        <f t="shared" ca="1" si="110"/>
        <v>MRNA</v>
      </c>
      <c r="F1425" s="249">
        <v>1.1276999999999999</v>
      </c>
      <c r="G1425" s="249">
        <v>1.1266</v>
      </c>
      <c r="H1425" s="249">
        <v>1.1258999999999999</v>
      </c>
      <c r="I1425" s="249">
        <v>1.1197999999999999</v>
      </c>
      <c r="J1425" s="249">
        <v>1.1215999999999999</v>
      </c>
      <c r="K1425" s="249">
        <v>1.1202000000000001</v>
      </c>
      <c r="L1425" s="249">
        <v>1.1293</v>
      </c>
      <c r="M1425" s="249">
        <v>1.1528</v>
      </c>
      <c r="N1425" s="249">
        <v>1.1208</v>
      </c>
      <c r="O1425" s="249">
        <v>1.1174999999999999</v>
      </c>
      <c r="P1425" s="249">
        <v>1.1174999999999999</v>
      </c>
      <c r="Q1425" s="249">
        <v>1.1124000000000001</v>
      </c>
      <c r="R1425" s="249">
        <v>1.1959</v>
      </c>
      <c r="S1425" s="249">
        <v>1.1958</v>
      </c>
      <c r="T1425" s="249">
        <v>1.1958</v>
      </c>
      <c r="U1425" s="249">
        <v>1.1906000000000001</v>
      </c>
      <c r="V1425" s="249">
        <v>1.1837</v>
      </c>
      <c r="W1425" s="249">
        <v>1.1797</v>
      </c>
      <c r="X1425" s="249">
        <v>1.1777</v>
      </c>
      <c r="Y1425" s="249">
        <v>1.1830000000000001</v>
      </c>
      <c r="Z1425" s="243">
        <f ca="1">[1]ExtEntry!$R30</f>
        <v>1.1830000000000001</v>
      </c>
      <c r="AB1425" s="316">
        <v>278008</v>
      </c>
      <c r="AC1425" s="316">
        <v>284439</v>
      </c>
      <c r="AD1425" s="316">
        <v>289395</v>
      </c>
      <c r="AE1425" s="316">
        <v>292286</v>
      </c>
      <c r="AF1425" s="316">
        <v>294056</v>
      </c>
      <c r="AG1425" s="316">
        <v>286504</v>
      </c>
      <c r="AH1425" s="316">
        <v>268922</v>
      </c>
      <c r="AI1425" s="316">
        <v>277241</v>
      </c>
      <c r="AJ1425" s="316">
        <v>294115</v>
      </c>
      <c r="AK1425" s="316">
        <v>295118</v>
      </c>
      <c r="AL1425" s="316">
        <v>306564</v>
      </c>
      <c r="AM1425" s="316">
        <v>288274</v>
      </c>
      <c r="AN1425" s="316">
        <v>284026</v>
      </c>
      <c r="AO1425" s="316">
        <v>289750.18</v>
      </c>
      <c r="AP1425" s="316">
        <v>297017.8</v>
      </c>
      <c r="AQ1425" s="316">
        <v>304381</v>
      </c>
      <c r="AR1425" s="316">
        <v>326860</v>
      </c>
      <c r="AS1425" s="316">
        <v>334329.39999999997</v>
      </c>
      <c r="AT1425" s="316">
        <v>342554</v>
      </c>
      <c r="AU1425" s="316">
        <v>349634</v>
      </c>
      <c r="AV1425" s="316">
        <f ca="1">IF(_xlfn.XLOOKUP(A1425,TabCalc[Ticker],ListExtra_n)&gt;0,             _xlfn.XLOOKUP(A1425,TabCalc[Ticker],ListExtra_n)*_xlfn.XLOOKUP(A1425,TabTRADERCorrupted[ClickTick],TabTRADERCorrupted[M])*_xlfn.XLOOKUP(A1425,TabCalc[Ticker],ListScale),               "")</f>
        <v>349634</v>
      </c>
      <c r="AX1425" s="86" t="str">
        <f t="shared" ca="1" si="107"/>
        <v>MRNA</v>
      </c>
    </row>
    <row r="1426" spans="1:50" hidden="1">
      <c r="A1426" s="86" t="str">
        <f t="shared" ca="1" si="110"/>
        <v>MSFT</v>
      </c>
      <c r="F1426" s="249">
        <v>1.0650999999999999</v>
      </c>
      <c r="G1426" s="249">
        <v>1.0679000000000001</v>
      </c>
      <c r="H1426" s="249">
        <v>1.0716000000000001</v>
      </c>
      <c r="I1426" s="249">
        <v>1.0689</v>
      </c>
      <c r="J1426" s="249">
        <v>1.0669</v>
      </c>
      <c r="K1426" s="249">
        <v>1.0728</v>
      </c>
      <c r="L1426" s="249">
        <v>1.0761000000000001</v>
      </c>
      <c r="M1426" s="249">
        <v>1.0825</v>
      </c>
      <c r="N1426" s="249">
        <v>1.0791999999999999</v>
      </c>
      <c r="O1426" s="249">
        <v>1.0737000000000001</v>
      </c>
      <c r="P1426" s="249">
        <v>1.0737000000000001</v>
      </c>
      <c r="Q1426" s="249">
        <v>1.0701000000000001</v>
      </c>
      <c r="R1426" s="249">
        <v>1.0724</v>
      </c>
      <c r="S1426" s="249">
        <v>1.0717000000000001</v>
      </c>
      <c r="T1426" s="249">
        <v>1.0717000000000001</v>
      </c>
      <c r="U1426" s="249">
        <v>1.0743</v>
      </c>
      <c r="V1426" s="249">
        <v>1.0729</v>
      </c>
      <c r="W1426" s="249">
        <v>1.0716000000000001</v>
      </c>
      <c r="X1426" s="249">
        <v>1.0713999999999999</v>
      </c>
      <c r="Y1426" s="249">
        <v>1.073</v>
      </c>
      <c r="Z1426" s="243">
        <f ca="1">[1]ExtEntry!$R31</f>
        <v>1.073</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07"/>
        <v>MSFT</v>
      </c>
    </row>
    <row r="1427" spans="1:50" hidden="1">
      <c r="A1427" s="86" t="str">
        <f t="shared" ca="1" si="110"/>
        <v>NEE</v>
      </c>
      <c r="F1427" s="249">
        <v>0.73509999999999998</v>
      </c>
      <c r="G1427" s="249">
        <v>0.73509999999999998</v>
      </c>
      <c r="H1427" s="249">
        <v>0.73170000000000002</v>
      </c>
      <c r="I1427" s="249">
        <v>0.72699999999999998</v>
      </c>
      <c r="J1427" s="249">
        <v>0.72150000000000003</v>
      </c>
      <c r="K1427" s="249">
        <v>0.71840000000000004</v>
      </c>
      <c r="L1427" s="249">
        <v>0.7137</v>
      </c>
      <c r="M1427" s="249">
        <v>0.71640000000000004</v>
      </c>
      <c r="N1427" s="249">
        <v>0.72719999999999996</v>
      </c>
      <c r="O1427" s="249">
        <v>0.72989999999999999</v>
      </c>
      <c r="P1427" s="249">
        <v>0.72989999999999999</v>
      </c>
      <c r="Q1427" s="249">
        <v>0.73219999999999996</v>
      </c>
      <c r="R1427" s="249">
        <v>0.72819999999999996</v>
      </c>
      <c r="S1427" s="249">
        <v>0.72819999999999996</v>
      </c>
      <c r="T1427" s="249">
        <v>0.72819999999999996</v>
      </c>
      <c r="U1427" s="249">
        <v>0.72770000000000001</v>
      </c>
      <c r="V1427" s="249">
        <v>0.72899999999999998</v>
      </c>
      <c r="W1427" s="249">
        <v>0.7329</v>
      </c>
      <c r="X1427" s="249">
        <v>0.73440000000000005</v>
      </c>
      <c r="Y1427" s="249">
        <v>0.72940000000000005</v>
      </c>
      <c r="Z1427" s="243">
        <f ca="1">[1]ExtEntry!$R32</f>
        <v>0.72940000000000005</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c r="A1428" s="86" t="str">
        <f t="shared" ca="1" si="110"/>
        <v>NEM</v>
      </c>
      <c r="F1428" s="249">
        <v>0.4461</v>
      </c>
      <c r="G1428" s="249">
        <v>0.44019999999999998</v>
      </c>
      <c r="H1428" s="249">
        <v>0.43559999999999999</v>
      </c>
      <c r="I1428" s="249">
        <v>0.41560000000000002</v>
      </c>
      <c r="J1428" s="249">
        <v>0.42280000000000001</v>
      </c>
      <c r="K1428" s="249">
        <v>0.41749999999999998</v>
      </c>
      <c r="L1428" s="249">
        <v>0.40679999999999999</v>
      </c>
      <c r="M1428" s="249">
        <v>0.434</v>
      </c>
      <c r="N1428" s="249">
        <v>0.42820000000000003</v>
      </c>
      <c r="O1428" s="249">
        <v>0.42520000000000002</v>
      </c>
      <c r="P1428" s="249">
        <v>0.42520000000000002</v>
      </c>
      <c r="Q1428" s="249">
        <v>0.43049999999999999</v>
      </c>
      <c r="R1428" s="249">
        <v>0.43080000000000002</v>
      </c>
      <c r="S1428" s="249">
        <v>0.43290000000000001</v>
      </c>
      <c r="T1428" s="249">
        <v>0.43290000000000001</v>
      </c>
      <c r="U1428" s="249">
        <v>0.43369999999999997</v>
      </c>
      <c r="V1428" s="249">
        <v>0.43319999999999997</v>
      </c>
      <c r="W1428" s="249">
        <v>0.4345</v>
      </c>
      <c r="X1428" s="249">
        <v>0.42849999999999999</v>
      </c>
      <c r="Y1428" s="249">
        <v>0.43020000000000003</v>
      </c>
      <c r="Z1428" s="243">
        <f ca="1">[1]ExtEntry!$R33</f>
        <v>0.43020000000000003</v>
      </c>
      <c r="AB1428" s="316">
        <v>408100</v>
      </c>
      <c r="AC1428" s="316">
        <v>413074</v>
      </c>
      <c r="AD1428" s="316">
        <v>416750</v>
      </c>
      <c r="AE1428" s="316">
        <v>439000</v>
      </c>
      <c r="AF1428" s="316">
        <v>433050</v>
      </c>
      <c r="AG1428" s="316">
        <v>437975</v>
      </c>
      <c r="AH1428" s="316">
        <v>414350</v>
      </c>
      <c r="AI1428" s="316">
        <v>418100</v>
      </c>
      <c r="AJ1428" s="316">
        <v>452250</v>
      </c>
      <c r="AK1428" s="316">
        <v>452600</v>
      </c>
      <c r="AL1428" s="316">
        <v>453650</v>
      </c>
      <c r="AM1428" s="316">
        <v>460000</v>
      </c>
      <c r="AN1428" s="316">
        <v>452275</v>
      </c>
      <c r="AO1428" s="316">
        <v>455900.00000000006</v>
      </c>
      <c r="AP1428" s="316">
        <v>448350</v>
      </c>
      <c r="AQ1428" s="316">
        <v>271665</v>
      </c>
      <c r="AR1428" s="316">
        <v>269280</v>
      </c>
      <c r="AS1428" s="316">
        <v>277920</v>
      </c>
      <c r="AT1428" s="316">
        <v>283245</v>
      </c>
      <c r="AU1428" s="316">
        <v>198860</v>
      </c>
      <c r="AV1428" s="316">
        <f ca="1">IF(_xlfn.XLOOKUP(A1428,TabCalc[Ticker],ListExtra_n)&gt;0,             _xlfn.XLOOKUP(A1428,TabCalc[Ticker],ListExtra_n)*_xlfn.XLOOKUP(A1428,TabTRADERCorrupted[ClickTick],TabTRADERCorrupted[M])*_xlfn.XLOOKUP(A1428,TabCalc[Ticker],ListScale),               "")</f>
        <v>198860</v>
      </c>
      <c r="AX1428" s="86" t="str">
        <f t="shared" ca="1" si="111"/>
        <v>NEM</v>
      </c>
    </row>
    <row r="1429" spans="1:50" hidden="1">
      <c r="A1429" s="86" t="str">
        <f t="shared" ca="1" si="110"/>
        <v>NFLX</v>
      </c>
      <c r="F1429" s="249">
        <v>1.7038</v>
      </c>
      <c r="G1429" s="249">
        <v>1.7038</v>
      </c>
      <c r="H1429" s="249">
        <v>1.7001999999999999</v>
      </c>
      <c r="I1429" s="249">
        <v>1.6895</v>
      </c>
      <c r="J1429" s="249">
        <v>1.6999</v>
      </c>
      <c r="K1429" s="249">
        <v>1.6837</v>
      </c>
      <c r="L1429" s="249">
        <v>1.6883999999999999</v>
      </c>
      <c r="M1429" s="249">
        <v>1.7053</v>
      </c>
      <c r="N1429" s="249">
        <v>1.7122999999999999</v>
      </c>
      <c r="O1429" s="249">
        <v>1.7087000000000001</v>
      </c>
      <c r="P1429" s="249">
        <v>1.7087000000000001</v>
      </c>
      <c r="Q1429" s="249">
        <v>1.7060999999999999</v>
      </c>
      <c r="R1429" s="249">
        <v>1.6943999999999999</v>
      </c>
      <c r="S1429" s="249">
        <v>1.6951000000000001</v>
      </c>
      <c r="T1429" s="249">
        <v>1.6951000000000001</v>
      </c>
      <c r="U1429" s="249">
        <v>1.7010000000000001</v>
      </c>
      <c r="V1429" s="249">
        <v>1.7029000000000001</v>
      </c>
      <c r="W1429" s="249">
        <v>1.7079</v>
      </c>
      <c r="X1429" s="249">
        <v>1.7085999999999999</v>
      </c>
      <c r="Y1429" s="249">
        <v>1.7051000000000001</v>
      </c>
      <c r="Z1429" s="243">
        <f ca="1">[1]ExtEntry!$R34</f>
        <v>1.7051000000000001</v>
      </c>
      <c r="AB1429" s="316"/>
      <c r="AC1429" s="316"/>
      <c r="AD1429" s="316"/>
      <c r="AE1429" s="316"/>
      <c r="AF1429" s="316">
        <v>2966340</v>
      </c>
      <c r="AG1429" s="316">
        <v>2854280</v>
      </c>
      <c r="AH1429" s="316">
        <v>2784609.36</v>
      </c>
      <c r="AI1429" s="316">
        <v>2753882</v>
      </c>
      <c r="AJ1429" s="316">
        <v>2971360</v>
      </c>
      <c r="AK1429" s="316">
        <v>2971920</v>
      </c>
      <c r="AL1429" s="316">
        <v>3011960</v>
      </c>
      <c r="AM1429" s="316">
        <v>3047100</v>
      </c>
      <c r="AN1429" s="316">
        <v>3062276</v>
      </c>
      <c r="AO1429" s="316">
        <v>2871400</v>
      </c>
      <c r="AP1429" s="316">
        <v>2910880</v>
      </c>
      <c r="AQ1429" s="316">
        <v>2864960</v>
      </c>
      <c r="AR1429" s="316">
        <v>2906960</v>
      </c>
      <c r="AS1429" s="316">
        <v>2976930</v>
      </c>
      <c r="AT1429" s="316">
        <v>2966720</v>
      </c>
      <c r="AU1429" s="316">
        <v>3010880</v>
      </c>
      <c r="AV1429" s="316">
        <f ca="1">IF(_xlfn.XLOOKUP(A1429,TabCalc[Ticker],ListExtra_n)&gt;0,             _xlfn.XLOOKUP(A1429,TabCalc[Ticker],ListExtra_n)*_xlfn.XLOOKUP(A1429,TabTRADERCorrupted[ClickTick],TabTRADERCorrupted[M])*_xlfn.XLOOKUP(A1429,TabCalc[Ticker],ListScale),               "")</f>
        <v>3010880</v>
      </c>
      <c r="AX1429" s="86" t="str">
        <f t="shared" ca="1" si="111"/>
        <v>NFLX</v>
      </c>
    </row>
    <row r="1430" spans="1:50" hidden="1">
      <c r="A1430" s="86" t="str">
        <f t="shared" ca="1" si="110"/>
        <v>NOTE</v>
      </c>
      <c r="F1430" s="249">
        <v>0.55159999999999998</v>
      </c>
      <c r="G1430" s="249">
        <v>0.56569999999999998</v>
      </c>
      <c r="H1430" s="249">
        <v>0.59709999999999996</v>
      </c>
      <c r="I1430" s="249">
        <v>0.61919999999999997</v>
      </c>
      <c r="J1430" s="249">
        <v>0.62919999999999998</v>
      </c>
      <c r="K1430" s="249">
        <v>0.66659999999999997</v>
      </c>
      <c r="L1430" s="249">
        <v>0.70189999999999997</v>
      </c>
      <c r="M1430" s="249">
        <v>0.70009999999999994</v>
      </c>
      <c r="N1430" s="249">
        <v>0.62260000000000004</v>
      </c>
      <c r="O1430" s="249">
        <v>0.59719999999999995</v>
      </c>
      <c r="P1430" s="249">
        <v>0.59719999999999995</v>
      </c>
      <c r="Q1430" s="249">
        <v>0.57709999999999995</v>
      </c>
      <c r="R1430" s="249">
        <v>0.57889999999999997</v>
      </c>
      <c r="S1430" s="249">
        <v>0.58720000000000006</v>
      </c>
      <c r="T1430" s="249">
        <v>0.58720000000000006</v>
      </c>
      <c r="U1430" s="249">
        <v>0.58609999999999995</v>
      </c>
      <c r="V1430" s="249">
        <v>0.58440000000000003</v>
      </c>
      <c r="W1430" s="249">
        <v>0.59250000000000003</v>
      </c>
      <c r="X1430" s="249">
        <v>0.59219999999999995</v>
      </c>
      <c r="Y1430" s="249">
        <v>0.58530000000000004</v>
      </c>
      <c r="Z1430" s="243">
        <f ca="1">[1]ExtEntry!$R35</f>
        <v>0.58530000000000004</v>
      </c>
      <c r="AB1430" s="316"/>
      <c r="AC1430" s="316"/>
      <c r="AD1430" s="316"/>
      <c r="AE1430" s="316"/>
      <c r="AF1430" s="316"/>
      <c r="AG1430" s="316"/>
      <c r="AH1430" s="316"/>
      <c r="AI1430" s="316"/>
      <c r="AJ1430" s="316"/>
      <c r="AK1430" s="316"/>
      <c r="AL1430" s="316"/>
      <c r="AM1430" s="316"/>
      <c r="AN1430" s="316"/>
      <c r="AO1430" s="316"/>
      <c r="AP1430" s="316"/>
      <c r="AQ1430" s="316"/>
      <c r="AR1430" s="316"/>
      <c r="AS1430" s="316">
        <v>37298.135000000002</v>
      </c>
      <c r="AT1430" s="316">
        <v>36998.15</v>
      </c>
      <c r="AU1430" s="316">
        <v>37000</v>
      </c>
      <c r="AV1430" s="316">
        <f ca="1">IF(_xlfn.XLOOKUP(A1430,TabCalc[Ticker],ListExtra_n)&gt;0,             _xlfn.XLOOKUP(A1430,TabCalc[Ticker],ListExtra_n)*_xlfn.XLOOKUP(A1430,TabTRADERCorrupted[ClickTick],TabTRADERCorrupted[M])*_xlfn.XLOOKUP(A1430,TabCalc[Ticker],ListScale),               "")</f>
        <v>37000</v>
      </c>
      <c r="AX1430" s="86" t="str">
        <f t="shared" ca="1" si="111"/>
        <v>NOTE</v>
      </c>
    </row>
    <row r="1431" spans="1:50" hidden="1">
      <c r="A1431" s="86" t="str">
        <f t="shared" ca="1" si="110"/>
        <v>PAAS</v>
      </c>
      <c r="F1431" s="249">
        <v>1.1623000000000001</v>
      </c>
      <c r="G1431" s="249">
        <v>1.1606000000000001</v>
      </c>
      <c r="H1431" s="249">
        <v>1.1608000000000001</v>
      </c>
      <c r="I1431" s="249">
        <v>1.1391</v>
      </c>
      <c r="J1431" s="249">
        <v>1.1480999999999999</v>
      </c>
      <c r="K1431" s="249">
        <v>1.1358999999999999</v>
      </c>
      <c r="L1431" s="249">
        <v>1.1254</v>
      </c>
      <c r="M1431" s="249">
        <v>1.1496</v>
      </c>
      <c r="N1431" s="249">
        <v>1.1569</v>
      </c>
      <c r="O1431" s="249">
        <v>1.1835</v>
      </c>
      <c r="P1431" s="249">
        <v>1.2019</v>
      </c>
      <c r="Q1431" s="249">
        <v>1.2261</v>
      </c>
      <c r="R1431" s="249">
        <v>1.2377</v>
      </c>
      <c r="S1431" s="249">
        <v>1.2376</v>
      </c>
      <c r="T1431" s="249">
        <v>1.2376</v>
      </c>
      <c r="U1431" s="249">
        <v>1.2402</v>
      </c>
      <c r="V1431" s="249">
        <v>1.2414000000000001</v>
      </c>
      <c r="W1431" s="249">
        <v>1.2456</v>
      </c>
      <c r="X1431" s="249">
        <v>1.2217</v>
      </c>
      <c r="Y1431" s="249">
        <v>1.2242</v>
      </c>
      <c r="Z1431" s="243">
        <f ca="1">[1]ExtEntry!$R36</f>
        <v>1.2242</v>
      </c>
      <c r="AB1431" s="316">
        <v>33770</v>
      </c>
      <c r="AC1431" s="316">
        <v>33745</v>
      </c>
      <c r="AD1431" s="316">
        <v>34719.9</v>
      </c>
      <c r="AE1431" s="316"/>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c r="A1432" s="86" t="str">
        <f t="shared" ca="1" si="110"/>
        <v>PROF</v>
      </c>
      <c r="F1432" s="249">
        <v>0.19259999999999999</v>
      </c>
      <c r="G1432" s="249">
        <v>0.1913</v>
      </c>
      <c r="H1432" s="249">
        <v>0.19359999999999999</v>
      </c>
      <c r="I1432" s="249">
        <v>0.18049999999999999</v>
      </c>
      <c r="J1432" s="249">
        <v>0.18310000000000001</v>
      </c>
      <c r="K1432" s="249">
        <v>0.186</v>
      </c>
      <c r="L1432" s="249">
        <v>0.18859999999999999</v>
      </c>
      <c r="M1432" s="249">
        <v>0.19550000000000001</v>
      </c>
      <c r="N1432" s="249">
        <v>0.19400000000000001</v>
      </c>
      <c r="O1432" s="249">
        <v>0.2039</v>
      </c>
      <c r="P1432" s="249">
        <v>0.21890000000000001</v>
      </c>
      <c r="Q1432" s="249">
        <v>0.2162</v>
      </c>
      <c r="R1432" s="249">
        <v>0.2223</v>
      </c>
      <c r="S1432" s="249">
        <v>0.23719999999999999</v>
      </c>
      <c r="T1432" s="249">
        <v>0.23719999999999999</v>
      </c>
      <c r="U1432" s="249">
        <v>0.2044</v>
      </c>
      <c r="V1432" s="249">
        <v>0.22239999999999999</v>
      </c>
      <c r="W1432" s="249">
        <v>0.21779999999999999</v>
      </c>
      <c r="X1432" s="249">
        <v>0.2041</v>
      </c>
      <c r="Y1432" s="249">
        <v>0.20330000000000001</v>
      </c>
      <c r="Z1432" s="243">
        <f ca="1">[1]ExtEntry!$R37</f>
        <v>0.20330000000000001</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c r="A1433" s="86" t="str">
        <f t="shared" ca="1" si="110"/>
        <v>POET</v>
      </c>
      <c r="F1433" s="249">
        <v>0.4708</v>
      </c>
      <c r="G1433" s="249">
        <v>0.4657</v>
      </c>
      <c r="H1433" s="249">
        <v>0.50170000000000003</v>
      </c>
      <c r="I1433" s="249">
        <v>0.52010000000000001</v>
      </c>
      <c r="J1433" s="249">
        <v>0.54090000000000005</v>
      </c>
      <c r="K1433" s="249">
        <v>0.56289999999999996</v>
      </c>
      <c r="L1433" s="249">
        <v>0.58809999999999996</v>
      </c>
      <c r="M1433" s="249">
        <v>0.58050000000000002</v>
      </c>
      <c r="N1433" s="249">
        <v>0.51080000000000003</v>
      </c>
      <c r="O1433" s="249">
        <v>0.48949999999999999</v>
      </c>
      <c r="P1433" s="249">
        <v>0.48949999999999999</v>
      </c>
      <c r="Q1433" s="249">
        <v>0.47510000000000002</v>
      </c>
      <c r="R1433" s="249">
        <v>0.36499999999999999</v>
      </c>
      <c r="S1433" s="249">
        <v>0.3614</v>
      </c>
      <c r="T1433" s="249">
        <v>0.3614</v>
      </c>
      <c r="U1433" s="249">
        <v>0.33339999999999997</v>
      </c>
      <c r="V1433" s="249">
        <v>0.33800000000000002</v>
      </c>
      <c r="W1433" s="249">
        <v>0.3281</v>
      </c>
      <c r="X1433" s="249">
        <v>0.31140000000000001</v>
      </c>
      <c r="Y1433" s="249">
        <v>0.33100000000000002</v>
      </c>
      <c r="Z1433" s="243">
        <f ca="1">[1]ExtEntry!$R38</f>
        <v>0.33100000000000002</v>
      </c>
      <c r="AB1433" s="316"/>
      <c r="AC1433" s="316"/>
      <c r="AD1433" s="316"/>
      <c r="AE1433" s="316">
        <v>11000</v>
      </c>
      <c r="AF1433" s="316">
        <v>10725</v>
      </c>
      <c r="AG1433" s="316">
        <v>10461</v>
      </c>
      <c r="AH1433" s="316">
        <v>10562.5</v>
      </c>
      <c r="AI1433" s="316">
        <v>10700</v>
      </c>
      <c r="AJ1433" s="316">
        <v>11912.5</v>
      </c>
      <c r="AK1433" s="316">
        <v>12100</v>
      </c>
      <c r="AL1433" s="316">
        <v>12375</v>
      </c>
      <c r="AM1433" s="316">
        <v>11862.5</v>
      </c>
      <c r="AN1433" s="316">
        <v>11637.5</v>
      </c>
      <c r="AO1433" s="316">
        <v>13436.25</v>
      </c>
      <c r="AP1433" s="316">
        <v>15025</v>
      </c>
      <c r="AQ1433" s="316">
        <v>16212.5</v>
      </c>
      <c r="AR1433" s="316">
        <v>15125</v>
      </c>
      <c r="AS1433" s="316">
        <v>17112.5</v>
      </c>
      <c r="AT1433" s="316">
        <v>17875</v>
      </c>
      <c r="AU1433" s="316">
        <v>18050</v>
      </c>
      <c r="AV1433" s="316">
        <f ca="1">IF(_xlfn.XLOOKUP(A1433,TabCalc[Ticker],ListExtra_n)&gt;0,             _xlfn.XLOOKUP(A1433,TabCalc[Ticker],ListExtra_n)*_xlfn.XLOOKUP(A1433,TabTRADERCorrupted[ClickTick],TabTRADERCorrupted[M])*_xlfn.XLOOKUP(A1433,TabCalc[Ticker],ListScale),               "")</f>
        <v>18050</v>
      </c>
      <c r="AX1433" s="86" t="str">
        <f t="shared" ca="1" si="111"/>
        <v>POET</v>
      </c>
    </row>
    <row r="1434" spans="1:50" hidden="1">
      <c r="A1434" s="86" t="str">
        <f t="shared" ca="1" si="110"/>
        <v>PW</v>
      </c>
      <c r="F1434" s="249">
        <v>1.5404</v>
      </c>
      <c r="G1434" s="249">
        <v>1.5295000000000001</v>
      </c>
      <c r="H1434" s="249">
        <v>1.5435000000000001</v>
      </c>
      <c r="I1434" s="249">
        <v>1.5623</v>
      </c>
      <c r="J1434" s="249">
        <v>1.5356000000000001</v>
      </c>
      <c r="K1434" s="249">
        <v>1.5496000000000001</v>
      </c>
      <c r="L1434" s="249">
        <v>1.5685</v>
      </c>
      <c r="M1434" s="249">
        <v>1.5798000000000001</v>
      </c>
      <c r="N1434" s="249">
        <v>1.5044999999999999</v>
      </c>
      <c r="O1434" s="249">
        <v>1.4864999999999999</v>
      </c>
      <c r="P1434" s="249">
        <v>1.4864999999999999</v>
      </c>
      <c r="Q1434" s="249">
        <v>1.5203</v>
      </c>
      <c r="R1434" s="249">
        <v>1.5241</v>
      </c>
      <c r="S1434" s="249">
        <v>1.5149999999999999</v>
      </c>
      <c r="T1434" s="249">
        <v>1.5149999999999999</v>
      </c>
      <c r="U1434" s="249">
        <v>1.5149999999999999</v>
      </c>
      <c r="V1434" s="249">
        <v>1.5141</v>
      </c>
      <c r="W1434" s="249">
        <v>1.5064</v>
      </c>
      <c r="X1434" s="249">
        <v>1.4976</v>
      </c>
      <c r="Y1434" s="249">
        <v>1.5168999999999999</v>
      </c>
      <c r="Z1434" s="243">
        <f ca="1">[1]ExtEntry!$R39</f>
        <v>1.5168999999999999</v>
      </c>
      <c r="AB1434" s="316">
        <v>5215</v>
      </c>
      <c r="AC1434" s="316">
        <v>5107.9000000000005</v>
      </c>
      <c r="AD1434" s="316">
        <v>4620</v>
      </c>
      <c r="AE1434" s="316">
        <v>4951.8</v>
      </c>
      <c r="AF1434" s="316">
        <v>4479.3</v>
      </c>
      <c r="AG1434" s="316">
        <v>4500.3</v>
      </c>
      <c r="AH1434" s="316">
        <v>4300.7999999999993</v>
      </c>
      <c r="AI1434" s="316">
        <v>4690</v>
      </c>
      <c r="AJ1434" s="316">
        <v>6966.4</v>
      </c>
      <c r="AK1434" s="316">
        <v>6933.5</v>
      </c>
      <c r="AL1434" s="316">
        <v>5810</v>
      </c>
      <c r="AM1434" s="316">
        <v>5824</v>
      </c>
      <c r="AN1434" s="316">
        <v>6510</v>
      </c>
      <c r="AO1434" s="316">
        <v>6108.9000000000005</v>
      </c>
      <c r="AP1434" s="316">
        <v>6510</v>
      </c>
      <c r="AQ1434" s="316">
        <v>6648.5999999999995</v>
      </c>
      <c r="AR1434" s="316">
        <v>6983.2000000000007</v>
      </c>
      <c r="AS1434" s="316">
        <v>7070</v>
      </c>
      <c r="AT1434" s="316">
        <v>7140</v>
      </c>
      <c r="AU1434" s="316">
        <v>6885.2</v>
      </c>
      <c r="AV1434" s="316">
        <f ca="1">IF(_xlfn.XLOOKUP(A1434,TabCalc[Ticker],ListExtra_n)&gt;0,             _xlfn.XLOOKUP(A1434,TabCalc[Ticker],ListExtra_n)*_xlfn.XLOOKUP(A1434,TabTRADERCorrupted[ClickTick],TabTRADERCorrupted[M])*_xlfn.XLOOKUP(A1434,TabCalc[Ticker],ListScale),               "")</f>
        <v>6885.2</v>
      </c>
      <c r="AX1434" s="86" t="str">
        <f t="shared" ca="1" si="111"/>
        <v>PW</v>
      </c>
    </row>
    <row r="1435" spans="1:50" hidden="1">
      <c r="A1435" s="86" t="str">
        <f t="shared" ca="1" si="110"/>
        <v>RIGL</v>
      </c>
      <c r="F1435" s="249">
        <v>1.181</v>
      </c>
      <c r="G1435" s="249">
        <v>1.1305000000000001</v>
      </c>
      <c r="H1435" s="249">
        <v>1.1234999999999999</v>
      </c>
      <c r="I1435" s="249">
        <v>1.0994999999999999</v>
      </c>
      <c r="J1435" s="249">
        <v>1.0785</v>
      </c>
      <c r="K1435" s="249">
        <v>1.0119</v>
      </c>
      <c r="L1435" s="249">
        <v>1.0315000000000001</v>
      </c>
      <c r="M1435" s="249">
        <v>1.0190999999999999</v>
      </c>
      <c r="N1435" s="249">
        <v>1.0490999999999999</v>
      </c>
      <c r="O1435" s="249">
        <v>1.0772999999999999</v>
      </c>
      <c r="P1435" s="249">
        <v>1.0772999999999999</v>
      </c>
      <c r="Q1435" s="249">
        <v>1.0792999999999999</v>
      </c>
      <c r="R1435" s="249">
        <v>1.1008</v>
      </c>
      <c r="S1435" s="249">
        <v>1.1062000000000001</v>
      </c>
      <c r="T1435" s="249">
        <v>1.1062000000000001</v>
      </c>
      <c r="U1435" s="249">
        <v>1.0972999999999999</v>
      </c>
      <c r="V1435" s="249">
        <v>1.0925</v>
      </c>
      <c r="W1435" s="249">
        <v>1.1052999999999999</v>
      </c>
      <c r="X1435" s="249">
        <v>1.1088</v>
      </c>
      <c r="Y1435" s="249">
        <v>1.099</v>
      </c>
      <c r="Z1435" s="243">
        <f ca="1">[1]ExtEntry!$R40</f>
        <v>1.099</v>
      </c>
      <c r="AB1435" s="316"/>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c r="A1436" s="86" t="str">
        <f t="shared" ca="1" si="110"/>
        <v>RWE</v>
      </c>
      <c r="F1436" s="249">
        <v>0.48039999999999999</v>
      </c>
      <c r="G1436" s="249">
        <v>0.4803</v>
      </c>
      <c r="H1436" s="249">
        <v>0.47949999999999998</v>
      </c>
      <c r="I1436" s="249">
        <v>0.48420000000000002</v>
      </c>
      <c r="J1436" s="249">
        <v>0.4703</v>
      </c>
      <c r="K1436" s="249">
        <v>0.46560000000000001</v>
      </c>
      <c r="L1436" s="249">
        <v>0.46160000000000001</v>
      </c>
      <c r="M1436" s="249">
        <v>0.4496</v>
      </c>
      <c r="N1436" s="249">
        <v>0.46779999999999999</v>
      </c>
      <c r="O1436" s="249">
        <v>0.46700000000000003</v>
      </c>
      <c r="P1436" s="249">
        <v>0.47560000000000002</v>
      </c>
      <c r="Q1436" s="249">
        <v>0.47489999999999999</v>
      </c>
      <c r="R1436" s="249">
        <v>0.48199999999999998</v>
      </c>
      <c r="S1436" s="249">
        <v>0.48159999999999997</v>
      </c>
      <c r="T1436" s="249">
        <v>0.48159999999999997</v>
      </c>
      <c r="U1436" s="249">
        <v>0.48039999999999999</v>
      </c>
      <c r="V1436" s="249">
        <v>0.48110000000000003</v>
      </c>
      <c r="W1436" s="249">
        <v>0.48089999999999999</v>
      </c>
      <c r="X1436" s="249">
        <v>0.4803</v>
      </c>
      <c r="Y1436" s="249">
        <v>0.48039999999999999</v>
      </c>
      <c r="Z1436" s="243">
        <f ca="1">[1]ExtEntry!$R41</f>
        <v>0.48039999999999999</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c r="A1437" s="86" t="str">
        <f t="shared" ca="1" si="110"/>
        <v>SAP</v>
      </c>
      <c r="F1437" s="249">
        <v>1.0464</v>
      </c>
      <c r="G1437" s="249">
        <v>1.0449999999999999</v>
      </c>
      <c r="H1437" s="249">
        <v>1.0488</v>
      </c>
      <c r="I1437" s="249">
        <v>1.0428999999999999</v>
      </c>
      <c r="J1437" s="249">
        <v>1.0570999999999999</v>
      </c>
      <c r="K1437" s="249">
        <v>1.0648</v>
      </c>
      <c r="L1437" s="249">
        <v>1.0689</v>
      </c>
      <c r="M1437" s="249">
        <v>1.0668</v>
      </c>
      <c r="N1437" s="249">
        <v>1.0697000000000001</v>
      </c>
      <c r="O1437" s="249">
        <v>1.0649</v>
      </c>
      <c r="P1437" s="249">
        <v>1.0605</v>
      </c>
      <c r="Q1437" s="249">
        <v>1.0584</v>
      </c>
      <c r="R1437" s="249">
        <v>1.052</v>
      </c>
      <c r="S1437" s="249">
        <v>1.054</v>
      </c>
      <c r="T1437" s="249">
        <v>1.054</v>
      </c>
      <c r="U1437" s="249">
        <v>1.0549999999999999</v>
      </c>
      <c r="V1437" s="249">
        <v>1.0537000000000001</v>
      </c>
      <c r="W1437" s="249">
        <v>1.054</v>
      </c>
      <c r="X1437" s="249">
        <v>1.0536000000000001</v>
      </c>
      <c r="Y1437" s="249">
        <v>1.0538000000000001</v>
      </c>
      <c r="Z1437" s="243">
        <f ca="1">[1]ExtEntry!$R42</f>
        <v>1.0538000000000001</v>
      </c>
      <c r="AB1437" s="316">
        <v>524285</v>
      </c>
      <c r="AC1437" s="316">
        <v>501285</v>
      </c>
      <c r="AD1437" s="316">
        <v>495995</v>
      </c>
      <c r="AE1437" s="316">
        <v>485530</v>
      </c>
      <c r="AF1437" s="316">
        <v>472305</v>
      </c>
      <c r="AG1437" s="316">
        <v>472650</v>
      </c>
      <c r="AH1437" s="316">
        <v>475180</v>
      </c>
      <c r="AI1437" s="316">
        <v>471500</v>
      </c>
      <c r="AJ1437" s="316">
        <v>475410</v>
      </c>
      <c r="AK1437" s="316">
        <v>476100</v>
      </c>
      <c r="AL1437" s="316">
        <v>479665</v>
      </c>
      <c r="AM1437" s="316">
        <v>480470</v>
      </c>
      <c r="AN1437" s="316">
        <v>478055</v>
      </c>
      <c r="AO1437" s="316">
        <v>476675</v>
      </c>
      <c r="AP1437" s="316">
        <v>474950</v>
      </c>
      <c r="AQ1437" s="316">
        <v>483345</v>
      </c>
      <c r="AR1437" s="316">
        <v>490475</v>
      </c>
      <c r="AS1437" s="316">
        <v>483000</v>
      </c>
      <c r="AT1437" s="316">
        <v>485185</v>
      </c>
      <c r="AU1437" s="316">
        <v>481390</v>
      </c>
      <c r="AV1437" s="316">
        <f ca="1">IF(_xlfn.XLOOKUP(A1437,TabCalc[Ticker],ListExtra_n)&gt;0,             _xlfn.XLOOKUP(A1437,TabCalc[Ticker],ListExtra_n)*_xlfn.XLOOKUP(A1437,TabTRADERCorrupted[ClickTick],TabTRADERCorrupted[M])*_xlfn.XLOOKUP(A1437,TabCalc[Ticker],ListScale),               "")</f>
        <v>481390</v>
      </c>
      <c r="AX1437" s="86" t="str">
        <f t="shared" ca="1" si="111"/>
        <v>SAP</v>
      </c>
    </row>
    <row r="1438" spans="1:50" hidden="1">
      <c r="A1438" s="86" t="str">
        <f t="shared" ca="1" si="110"/>
        <v>SHECY</v>
      </c>
      <c r="F1438" s="249">
        <v>1.2863</v>
      </c>
      <c r="G1438" s="249">
        <v>1.2843</v>
      </c>
      <c r="H1438" s="249">
        <v>1.2955000000000001</v>
      </c>
      <c r="I1438" s="249">
        <v>1.2892999999999999</v>
      </c>
      <c r="J1438" s="249">
        <v>1.2907999999999999</v>
      </c>
      <c r="K1438" s="249">
        <v>1.29</v>
      </c>
      <c r="L1438" s="249">
        <v>1.2951999999999999</v>
      </c>
      <c r="M1438" s="249">
        <v>1.3004</v>
      </c>
      <c r="N1438" s="249">
        <v>1.2954000000000001</v>
      </c>
      <c r="O1438" s="249">
        <v>1.2909999999999999</v>
      </c>
      <c r="P1438" s="249">
        <v>1.2903</v>
      </c>
      <c r="Q1438" s="249">
        <v>1.2902</v>
      </c>
      <c r="R1438" s="249">
        <v>1.2783</v>
      </c>
      <c r="S1438" s="249">
        <v>1.2732000000000001</v>
      </c>
      <c r="T1438" s="249">
        <v>1.2732000000000001</v>
      </c>
      <c r="U1438" s="249">
        <v>1.2749999999999999</v>
      </c>
      <c r="V1438" s="249">
        <v>1.2736000000000001</v>
      </c>
      <c r="W1438" s="249">
        <v>1.2787999999999999</v>
      </c>
      <c r="X1438" s="249">
        <v>1.2797000000000001</v>
      </c>
      <c r="Y1438" s="249">
        <v>1.28</v>
      </c>
      <c r="Z1438" s="243">
        <f ca="1">[1]ExtEntry!$R43</f>
        <v>1.28</v>
      </c>
      <c r="AB1438" s="316">
        <v>186250</v>
      </c>
      <c r="AC1438" s="316">
        <v>181250</v>
      </c>
      <c r="AD1438" s="316">
        <v>183625</v>
      </c>
      <c r="AE1438" s="316">
        <v>187375</v>
      </c>
      <c r="AF1438" s="316">
        <v>179125</v>
      </c>
      <c r="AG1438" s="316">
        <v>177681.25</v>
      </c>
      <c r="AH1438" s="316">
        <v>171812.5</v>
      </c>
      <c r="AI1438" s="316">
        <v>179625</v>
      </c>
      <c r="AJ1438" s="316">
        <v>185000</v>
      </c>
      <c r="AK1438" s="316">
        <v>185000</v>
      </c>
      <c r="AL1438" s="316">
        <v>186875</v>
      </c>
      <c r="AM1438" s="316">
        <v>186625</v>
      </c>
      <c r="AN1438" s="316">
        <v>189218.75</v>
      </c>
      <c r="AO1438" s="316">
        <v>186425</v>
      </c>
      <c r="AP1438" s="316">
        <v>188500</v>
      </c>
      <c r="AQ1438" s="316">
        <v>194625</v>
      </c>
      <c r="AR1438" s="316">
        <v>194500</v>
      </c>
      <c r="AS1438" s="316">
        <v>191212.5</v>
      </c>
      <c r="AT1438" s="316">
        <v>193250</v>
      </c>
      <c r="AU1438" s="316">
        <v>186375</v>
      </c>
      <c r="AV1438" s="316">
        <f ca="1">IF(_xlfn.XLOOKUP(A1438,TabCalc[Ticker],ListExtra_n)&gt;0,             _xlfn.XLOOKUP(A1438,TabCalc[Ticker],ListExtra_n)*_xlfn.XLOOKUP(A1438,TabTRADERCorrupted[ClickTick],TabTRADERCorrupted[M])*_xlfn.XLOOKUP(A1438,TabCalc[Ticker],ListScale),               "")</f>
        <v>186375</v>
      </c>
      <c r="AX1438" s="86" t="str">
        <f t="shared" ca="1" si="111"/>
        <v>SHECY</v>
      </c>
    </row>
    <row r="1439" spans="1:50" hidden="1">
      <c r="A1439" s="86" t="str">
        <f t="shared" ca="1" si="110"/>
        <v>SSYS</v>
      </c>
      <c r="F1439" s="249">
        <v>1.4714</v>
      </c>
      <c r="G1439" s="249">
        <v>1.4711000000000001</v>
      </c>
      <c r="H1439" s="249">
        <v>1.4815</v>
      </c>
      <c r="I1439" s="249">
        <v>1.4836</v>
      </c>
      <c r="J1439" s="249">
        <v>1.5017</v>
      </c>
      <c r="K1439" s="249">
        <v>1.5111000000000001</v>
      </c>
      <c r="L1439" s="249">
        <v>1.5210999999999999</v>
      </c>
      <c r="M1439" s="249">
        <v>1.5246</v>
      </c>
      <c r="N1439" s="249">
        <v>1.4962</v>
      </c>
      <c r="O1439" s="249">
        <v>1.4862</v>
      </c>
      <c r="P1439" s="249">
        <v>1.4862</v>
      </c>
      <c r="Q1439" s="249">
        <v>1.4776</v>
      </c>
      <c r="R1439" s="249">
        <v>1.4379999999999999</v>
      </c>
      <c r="S1439" s="249">
        <v>1.4368000000000001</v>
      </c>
      <c r="T1439" s="249">
        <v>1.4368000000000001</v>
      </c>
      <c r="U1439" s="249">
        <v>1.4350000000000001</v>
      </c>
      <c r="V1439" s="249">
        <v>1.4357</v>
      </c>
      <c r="W1439" s="249">
        <v>1.4333</v>
      </c>
      <c r="X1439" s="249">
        <v>1.4319</v>
      </c>
      <c r="Y1439" s="249">
        <v>1.4353</v>
      </c>
      <c r="Z1439" s="243">
        <f ca="1">[1]ExtEntry!$R44</f>
        <v>1.4353</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c r="A1440" s="86" t="str">
        <f t="shared" ca="1" si="110"/>
        <v>TSLA</v>
      </c>
      <c r="F1440" s="249">
        <v>1.8744000000000001</v>
      </c>
      <c r="G1440" s="249">
        <v>1.8687</v>
      </c>
      <c r="H1440" s="249">
        <v>1.8709</v>
      </c>
      <c r="I1440" s="249">
        <v>1.8945000000000001</v>
      </c>
      <c r="J1440" s="249">
        <v>1.8911</v>
      </c>
      <c r="K1440" s="249">
        <v>1.8974</v>
      </c>
      <c r="L1440" s="249">
        <v>1.895</v>
      </c>
      <c r="M1440" s="249">
        <v>1.9021999999999999</v>
      </c>
      <c r="N1440" s="249">
        <v>1.8849</v>
      </c>
      <c r="O1440" s="249">
        <v>1.8804000000000001</v>
      </c>
      <c r="P1440" s="249">
        <v>1.8804000000000001</v>
      </c>
      <c r="Q1440" s="249">
        <v>1.8775999999999999</v>
      </c>
      <c r="R1440" s="249">
        <v>1.8380000000000001</v>
      </c>
      <c r="S1440" s="249">
        <v>1.8389</v>
      </c>
      <c r="T1440" s="249">
        <v>1.8389</v>
      </c>
      <c r="U1440" s="249">
        <v>1.8354999999999999</v>
      </c>
      <c r="V1440" s="249">
        <v>1.8353999999999999</v>
      </c>
      <c r="W1440" s="249">
        <v>1.8369</v>
      </c>
      <c r="X1440" s="249">
        <v>1.8351999999999999</v>
      </c>
      <c r="Y1440" s="249">
        <v>1.837</v>
      </c>
      <c r="Z1440" s="243">
        <f ca="1">[1]ExtEntry!$R45</f>
        <v>1.837</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c r="A1441" s="86" t="str">
        <f t="shared" ca="1" si="110"/>
        <v>TSM</v>
      </c>
      <c r="F1441" s="249">
        <v>1.3110999999999999</v>
      </c>
      <c r="G1441" s="249">
        <v>1.3115000000000001</v>
      </c>
      <c r="H1441" s="249">
        <v>1.3138000000000001</v>
      </c>
      <c r="I1441" s="249">
        <v>1.3194999999999999</v>
      </c>
      <c r="J1441" s="249">
        <v>1.3197000000000001</v>
      </c>
      <c r="K1441" s="249">
        <v>1.3241000000000001</v>
      </c>
      <c r="L1441" s="249">
        <v>1.3179000000000001</v>
      </c>
      <c r="M1441" s="249">
        <v>1.3245</v>
      </c>
      <c r="N1441" s="249">
        <v>1.3171999999999999</v>
      </c>
      <c r="O1441" s="249">
        <v>1.3131999999999999</v>
      </c>
      <c r="P1441" s="249">
        <v>1.3131999999999999</v>
      </c>
      <c r="Q1441" s="249">
        <v>1.3116000000000001</v>
      </c>
      <c r="R1441" s="249">
        <v>1.2979000000000001</v>
      </c>
      <c r="S1441" s="249">
        <v>1.2961</v>
      </c>
      <c r="T1441" s="249">
        <v>1.2961</v>
      </c>
      <c r="U1441" s="249">
        <v>1.2954000000000001</v>
      </c>
      <c r="V1441" s="249">
        <v>1.296</v>
      </c>
      <c r="W1441" s="249">
        <v>1.2929999999999999</v>
      </c>
      <c r="X1441" s="249">
        <v>1.2921</v>
      </c>
      <c r="Y1441" s="249">
        <v>1.2935000000000001</v>
      </c>
      <c r="Z1441" s="243">
        <f ca="1">[1]ExtEntry!$R46</f>
        <v>1.2935000000000001</v>
      </c>
      <c r="AB1441" s="316">
        <v>823060</v>
      </c>
      <c r="AC1441" s="316">
        <v>723575</v>
      </c>
      <c r="AD1441" s="316">
        <v>714625</v>
      </c>
      <c r="AE1441" s="316">
        <v>712175</v>
      </c>
      <c r="AF1441" s="316">
        <v>695025</v>
      </c>
      <c r="AG1441" s="316">
        <v>698725</v>
      </c>
      <c r="AH1441" s="316">
        <v>700125</v>
      </c>
      <c r="AI1441" s="316">
        <v>691600</v>
      </c>
      <c r="AJ1441" s="316">
        <v>729300.00000000012</v>
      </c>
      <c r="AK1441" s="316">
        <v>724937.5</v>
      </c>
      <c r="AL1441" s="316">
        <v>728750</v>
      </c>
      <c r="AM1441" s="316">
        <v>725875</v>
      </c>
      <c r="AN1441" s="316">
        <v>730787.5</v>
      </c>
      <c r="AO1441" s="316">
        <v>734449.99999999988</v>
      </c>
      <c r="AP1441" s="316">
        <v>738725</v>
      </c>
      <c r="AQ1441" s="316">
        <v>730950</v>
      </c>
      <c r="AR1441" s="316">
        <v>736700</v>
      </c>
      <c r="AS1441" s="316">
        <v>756625</v>
      </c>
      <c r="AT1441" s="316">
        <v>775350</v>
      </c>
      <c r="AU1441" s="316">
        <v>762300</v>
      </c>
      <c r="AV1441" s="316">
        <f ca="1">IF(_xlfn.XLOOKUP(A1441,TabCalc[Ticker],ListExtra_n)&gt;0,             _xlfn.XLOOKUP(A1441,TabCalc[Ticker],ListExtra_n)*_xlfn.XLOOKUP(A1441,TabTRADERCorrupted[ClickTick],TabTRADERCorrupted[M])*_xlfn.XLOOKUP(A1441,TabCalc[Ticker],ListScale),               "")</f>
        <v>762300</v>
      </c>
      <c r="AX1441" s="86" t="str">
        <f t="shared" ca="1" si="111"/>
        <v>TSM</v>
      </c>
    </row>
    <row r="1442" spans="1:50" hidden="1">
      <c r="A1442" s="86" t="str">
        <f t="shared" ca="1" si="110"/>
        <v>UN0</v>
      </c>
      <c r="F1442" s="249">
        <v>1.0946</v>
      </c>
      <c r="G1442" s="249">
        <v>1.0945</v>
      </c>
      <c r="H1442" s="249">
        <v>1.0959000000000001</v>
      </c>
      <c r="I1442" s="249">
        <v>1.0938000000000001</v>
      </c>
      <c r="J1442" s="249">
        <v>1.0875999999999999</v>
      </c>
      <c r="K1442" s="249">
        <v>1.0843</v>
      </c>
      <c r="L1442" s="249">
        <v>1.0610999999999999</v>
      </c>
      <c r="M1442" s="249">
        <v>1.0578000000000001</v>
      </c>
      <c r="N1442" s="249">
        <v>1.0314000000000001</v>
      </c>
      <c r="O1442" s="249">
        <v>1.0419</v>
      </c>
      <c r="P1442" s="249">
        <v>1.0566</v>
      </c>
      <c r="Q1442" s="249">
        <v>1.0589999999999999</v>
      </c>
      <c r="R1442" s="249">
        <v>1.0570999999999999</v>
      </c>
      <c r="S1442" s="249">
        <v>1.0638000000000001</v>
      </c>
      <c r="T1442" s="249">
        <v>1.0638000000000001</v>
      </c>
      <c r="U1442" s="249">
        <v>1.0629</v>
      </c>
      <c r="V1442" s="249">
        <v>1.0648</v>
      </c>
      <c r="W1442" s="249">
        <v>1.0636000000000001</v>
      </c>
      <c r="X1442" s="249">
        <v>1.0692999999999999</v>
      </c>
      <c r="Y1442" s="249">
        <v>1.0679000000000001</v>
      </c>
      <c r="Z1442" s="243">
        <f ca="1">[1]ExtEntry!$R47</f>
        <v>1.0679000000000001</v>
      </c>
      <c r="AB1442" s="316">
        <v>67850</v>
      </c>
      <c r="AC1442" s="316">
        <v>64285</v>
      </c>
      <c r="AD1442" s="316">
        <v>65550</v>
      </c>
      <c r="AE1442" s="316">
        <v>65780</v>
      </c>
      <c r="AF1442" s="316">
        <v>67965</v>
      </c>
      <c r="AG1442" s="316">
        <v>69575</v>
      </c>
      <c r="AH1442" s="316">
        <v>69460</v>
      </c>
      <c r="AI1442" s="316">
        <v>69000</v>
      </c>
      <c r="AJ1442" s="316">
        <v>76475</v>
      </c>
      <c r="AK1442" s="316">
        <v>78430</v>
      </c>
      <c r="AL1442" s="316">
        <v>78890</v>
      </c>
      <c r="AM1442" s="316">
        <v>78775</v>
      </c>
      <c r="AN1442" s="316">
        <v>77050</v>
      </c>
      <c r="AO1442" s="316">
        <v>77395</v>
      </c>
      <c r="AP1442" s="316">
        <v>77395</v>
      </c>
      <c r="AQ1442" s="316">
        <v>78430</v>
      </c>
      <c r="AR1442" s="316">
        <v>78200</v>
      </c>
      <c r="AS1442" s="316">
        <v>87400</v>
      </c>
      <c r="AT1442" s="316">
        <v>87515</v>
      </c>
      <c r="AU1442" s="316">
        <v>86825</v>
      </c>
      <c r="AV1442" s="316">
        <f ca="1">IF(_xlfn.XLOOKUP(A1442,TabCalc[Ticker],ListExtra_n)&gt;0,             _xlfn.XLOOKUP(A1442,TabCalc[Ticker],ListExtra_n)*_xlfn.XLOOKUP(A1442,TabTRADERCorrupted[ClickTick],TabTRADERCorrupted[M])*_xlfn.XLOOKUP(A1442,TabCalc[Ticker],ListScale),               "")</f>
        <v>86825</v>
      </c>
      <c r="AX1442" s="86" t="str">
        <f t="shared" ca="1" si="111"/>
        <v>UN0</v>
      </c>
    </row>
    <row r="1443" spans="1:50" hidden="1">
      <c r="A1443" s="86" t="str">
        <f t="shared" ca="1" si="110"/>
        <v>UNIT</v>
      </c>
      <c r="F1443" s="249">
        <v>1.4944999999999999</v>
      </c>
      <c r="G1443" s="249">
        <v>1.4869000000000001</v>
      </c>
      <c r="H1443" s="249">
        <v>1.4749000000000001</v>
      </c>
      <c r="I1443" s="249">
        <v>1.4879</v>
      </c>
      <c r="J1443" s="249">
        <v>1.4767999999999999</v>
      </c>
      <c r="K1443" s="249">
        <v>1.4695</v>
      </c>
      <c r="L1443" s="249">
        <v>1.4686999999999999</v>
      </c>
      <c r="M1443" s="249">
        <v>1.48</v>
      </c>
      <c r="N1443" s="249">
        <v>1.4847999999999999</v>
      </c>
      <c r="O1443" s="249">
        <v>1.4924999999999999</v>
      </c>
      <c r="P1443" s="249">
        <v>1.4924999999999999</v>
      </c>
      <c r="Q1443" s="249">
        <v>1.4911000000000001</v>
      </c>
      <c r="R1443" s="249">
        <v>1.4675</v>
      </c>
      <c r="S1443" s="249">
        <v>1.4651000000000001</v>
      </c>
      <c r="T1443" s="249">
        <v>1.4651000000000001</v>
      </c>
      <c r="U1443" s="249">
        <v>1.4666999999999999</v>
      </c>
      <c r="V1443" s="249">
        <v>1.4718</v>
      </c>
      <c r="W1443" s="249">
        <v>1.4689000000000001</v>
      </c>
      <c r="X1443" s="249">
        <v>1.4693000000000001</v>
      </c>
      <c r="Y1443" s="249">
        <v>1.4696</v>
      </c>
      <c r="Z1443" s="243">
        <f ca="1">[1]ExtEntry!$R48</f>
        <v>1.4696</v>
      </c>
      <c r="AB1443" s="316">
        <v>33504</v>
      </c>
      <c r="AC1443" s="316">
        <v>32640.225000000002</v>
      </c>
      <c r="AD1443" s="316">
        <v>34367.775000000001</v>
      </c>
      <c r="AE1443" s="316">
        <v>32875.800000000003</v>
      </c>
      <c r="AF1443" s="316">
        <v>32195.250000000004</v>
      </c>
      <c r="AG1443" s="316">
        <v>30965.025000000001</v>
      </c>
      <c r="AH1443" s="316">
        <v>31462.35</v>
      </c>
      <c r="AI1443" s="316">
        <v>31540.875000000004</v>
      </c>
      <c r="AJ1443" s="316">
        <v>33582.525000000001</v>
      </c>
      <c r="AK1443" s="316">
        <v>33032.85</v>
      </c>
      <c r="AL1443" s="316">
        <v>33346.949999999997</v>
      </c>
      <c r="AM1443" s="316">
        <v>33608.699999999997</v>
      </c>
      <c r="AN1443" s="316">
        <v>34629.525000000001</v>
      </c>
      <c r="AO1443" s="316">
        <v>34943.625</v>
      </c>
      <c r="AP1443" s="316">
        <v>34865.1</v>
      </c>
      <c r="AQ1443" s="316">
        <v>35100.675000000003</v>
      </c>
      <c r="AR1443" s="316">
        <v>33451.65</v>
      </c>
      <c r="AS1443" s="316">
        <v>33739.575000000004</v>
      </c>
      <c r="AT1443" s="316">
        <v>35336.25</v>
      </c>
      <c r="AU1443" s="316">
        <v>37901.4</v>
      </c>
      <c r="AV1443" s="316">
        <f ca="1">IF(_xlfn.XLOOKUP(A1443,TabCalc[Ticker],ListExtra_n)&gt;0,             _xlfn.XLOOKUP(A1443,TabCalc[Ticker],ListExtra_n)*_xlfn.XLOOKUP(A1443,TabTRADERCorrupted[ClickTick],TabTRADERCorrupted[M])*_xlfn.XLOOKUP(A1443,TabCalc[Ticker],ListScale),               "")</f>
        <v>37901.4</v>
      </c>
      <c r="AX1443" s="86" t="str">
        <f t="shared" ca="1" si="111"/>
        <v>UNIT</v>
      </c>
    </row>
    <row r="1444" spans="1:50" hidden="1">
      <c r="A1444" s="86" t="str">
        <f t="shared" ca="1" si="110"/>
        <v>VLVLY</v>
      </c>
      <c r="F1444" s="249">
        <v>0.8992</v>
      </c>
      <c r="G1444" s="249">
        <v>0.89610000000000001</v>
      </c>
      <c r="H1444" s="249">
        <v>0.89739999999999998</v>
      </c>
      <c r="I1444" s="249">
        <v>0.8982</v>
      </c>
      <c r="J1444" s="249">
        <v>0.89639999999999997</v>
      </c>
      <c r="K1444" s="249">
        <v>0.89629999999999999</v>
      </c>
      <c r="L1444" s="249">
        <v>0.88029999999999997</v>
      </c>
      <c r="M1444" s="249">
        <v>0.88480000000000003</v>
      </c>
      <c r="N1444" s="249">
        <v>0.87839999999999996</v>
      </c>
      <c r="O1444" s="249">
        <v>0.88619999999999999</v>
      </c>
      <c r="P1444" s="249">
        <v>0.89070000000000005</v>
      </c>
      <c r="Q1444" s="249">
        <v>0.89419999999999999</v>
      </c>
      <c r="R1444" s="249">
        <v>0.89459999999999995</v>
      </c>
      <c r="S1444" s="249">
        <v>0.89470000000000005</v>
      </c>
      <c r="T1444" s="249">
        <v>0.89470000000000005</v>
      </c>
      <c r="U1444" s="249">
        <v>0.89539999999999997</v>
      </c>
      <c r="V1444" s="249">
        <v>0.89410000000000001</v>
      </c>
      <c r="W1444" s="249">
        <v>0.89500000000000002</v>
      </c>
      <c r="X1444" s="249">
        <v>0.89439999999999997</v>
      </c>
      <c r="Y1444" s="249">
        <v>0.89319999999999999</v>
      </c>
      <c r="Z1444" s="243">
        <f ca="1">[1]ExtEntry!$R49</f>
        <v>0.89319999999999999</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c r="A1445" s="86" t="str">
        <f t="shared" ca="1" si="110"/>
        <v>VONN</v>
      </c>
      <c r="F1445" s="249">
        <v>0.84670000000000001</v>
      </c>
      <c r="G1445" s="249">
        <v>0.84440000000000004</v>
      </c>
      <c r="H1445" s="249">
        <v>0.84019999999999995</v>
      </c>
      <c r="I1445" s="249">
        <v>0.81679999999999997</v>
      </c>
      <c r="J1445" s="249">
        <v>0.82520000000000004</v>
      </c>
      <c r="K1445" s="249">
        <v>0.82389999999999997</v>
      </c>
      <c r="L1445" s="249">
        <v>0.83509999999999995</v>
      </c>
      <c r="M1445" s="249">
        <v>0.83460000000000001</v>
      </c>
      <c r="N1445" s="249">
        <v>0.82350000000000001</v>
      </c>
      <c r="O1445" s="249">
        <v>0.81699999999999995</v>
      </c>
      <c r="P1445" s="249">
        <v>0.81820000000000004</v>
      </c>
      <c r="Q1445" s="249">
        <v>0.81850000000000001</v>
      </c>
      <c r="R1445" s="249">
        <v>0.81769999999999998</v>
      </c>
      <c r="S1445" s="249">
        <v>0.81730000000000003</v>
      </c>
      <c r="T1445" s="249">
        <v>0.81730000000000003</v>
      </c>
      <c r="U1445" s="249">
        <v>0.81759999999999999</v>
      </c>
      <c r="V1445" s="249">
        <v>0.81779999999999997</v>
      </c>
      <c r="W1445" s="249">
        <v>0.81810000000000005</v>
      </c>
      <c r="X1445" s="249">
        <v>0.81810000000000005</v>
      </c>
      <c r="Y1445" s="249">
        <v>0.81759999999999999</v>
      </c>
      <c r="Z1445" s="243">
        <f ca="1">[1]ExtEntry!$R50</f>
        <v>0.81759999999999999</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c r="A1446" s="86" t="str">
        <f t="shared" ca="1" si="110"/>
        <v>VTRS</v>
      </c>
      <c r="F1446" s="249">
        <v>0.83</v>
      </c>
      <c r="G1446" s="249">
        <v>0.82750000000000001</v>
      </c>
      <c r="H1446" s="249">
        <v>0.83550000000000002</v>
      </c>
      <c r="I1446" s="249">
        <v>0.81810000000000005</v>
      </c>
      <c r="J1446" s="249">
        <v>0.82340000000000002</v>
      </c>
      <c r="K1446" s="249">
        <v>0.81520000000000004</v>
      </c>
      <c r="L1446" s="249">
        <v>0.81730000000000003</v>
      </c>
      <c r="M1446" s="249">
        <v>0.82909999999999995</v>
      </c>
      <c r="N1446" s="249">
        <v>0.82830000000000004</v>
      </c>
      <c r="O1446" s="249">
        <v>0.83040000000000003</v>
      </c>
      <c r="P1446" s="249">
        <v>0.83040000000000003</v>
      </c>
      <c r="Q1446" s="249">
        <v>0.82979999999999998</v>
      </c>
      <c r="R1446" s="249">
        <v>0.80740000000000001</v>
      </c>
      <c r="S1446" s="249">
        <v>0.80800000000000005</v>
      </c>
      <c r="T1446" s="249">
        <v>0.80800000000000005</v>
      </c>
      <c r="U1446" s="249">
        <v>0.8075</v>
      </c>
      <c r="V1446" s="249">
        <v>0.80779999999999996</v>
      </c>
      <c r="W1446" s="249">
        <v>0.80500000000000005</v>
      </c>
      <c r="X1446" s="249">
        <v>0.80349999999999999</v>
      </c>
      <c r="Y1446" s="249">
        <v>0.80549999999999999</v>
      </c>
      <c r="Z1446" s="243">
        <f ca="1">[1]ExtEntry!$R51</f>
        <v>0.80549999999999999</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c r="A1447" s="86" t="str">
        <f t="shared" ca="1" si="110"/>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c r="A1448" s="86" t="str">
        <f t="shared" ca="1" si="110"/>
        <v>XOM</v>
      </c>
      <c r="F1448" s="249">
        <v>0.38169999999999998</v>
      </c>
      <c r="G1448" s="249">
        <v>0.3821</v>
      </c>
      <c r="H1448" s="249">
        <v>0.38119999999999998</v>
      </c>
      <c r="I1448" s="249">
        <v>0.37240000000000001</v>
      </c>
      <c r="J1448" s="249">
        <v>0.37459999999999999</v>
      </c>
      <c r="K1448" s="249">
        <v>0.36840000000000001</v>
      </c>
      <c r="L1448" s="249">
        <v>0.37069999999999997</v>
      </c>
      <c r="M1448" s="249">
        <v>0.37280000000000002</v>
      </c>
      <c r="N1448" s="249">
        <v>0.38109999999999999</v>
      </c>
      <c r="O1448" s="249">
        <v>0.3805</v>
      </c>
      <c r="P1448" s="249">
        <v>0.3805</v>
      </c>
      <c r="Q1448" s="249">
        <v>0.37919999999999998</v>
      </c>
      <c r="R1448" s="249">
        <v>0.36880000000000002</v>
      </c>
      <c r="S1448" s="249">
        <v>0.37009999999999998</v>
      </c>
      <c r="T1448" s="249">
        <v>0.37009999999999998</v>
      </c>
      <c r="U1448" s="249">
        <v>0.36759999999999998</v>
      </c>
      <c r="V1448" s="249">
        <v>0.36849999999999999</v>
      </c>
      <c r="W1448" s="249">
        <v>0.36919999999999997</v>
      </c>
      <c r="X1448" s="249">
        <v>0.36709999999999998</v>
      </c>
      <c r="Y1448" s="249">
        <v>0.36699999999999999</v>
      </c>
      <c r="Z1448" s="243">
        <f ca="1">[1]ExtEntry!$R53</f>
        <v>0.36699999999999999</v>
      </c>
      <c r="AB1448" s="316">
        <v>34113</v>
      </c>
      <c r="AC1448" s="316">
        <v>34467</v>
      </c>
      <c r="AD1448" s="316">
        <v>35217</v>
      </c>
      <c r="AE1448" s="316">
        <v>35784</v>
      </c>
      <c r="AF1448" s="316">
        <v>35709</v>
      </c>
      <c r="AG1448" s="316">
        <v>35274</v>
      </c>
      <c r="AH1448" s="316">
        <v>35076</v>
      </c>
      <c r="AI1448" s="316">
        <v>35133</v>
      </c>
      <c r="AJ1448" s="316">
        <v>34620.269999999997</v>
      </c>
      <c r="AK1448" s="316">
        <v>34431</v>
      </c>
      <c r="AL1448" s="316">
        <v>34791</v>
      </c>
      <c r="AM1448" s="316">
        <v>35187</v>
      </c>
      <c r="AN1448" s="316">
        <v>34630.5</v>
      </c>
      <c r="AO1448" s="316">
        <v>35073.15</v>
      </c>
      <c r="AP1448" s="316">
        <v>35347.5</v>
      </c>
      <c r="AQ1448" s="316">
        <v>35229</v>
      </c>
      <c r="AR1448" s="316">
        <v>34956</v>
      </c>
      <c r="AS1448" s="316">
        <v>35794.5</v>
      </c>
      <c r="AT1448" s="316">
        <v>35857.5</v>
      </c>
      <c r="AU1448" s="316">
        <v>35865</v>
      </c>
      <c r="AV1448" s="316">
        <f ca="1">IF(_xlfn.XLOOKUP(A1448,TabCalc[Ticker],ListExtra_n)&gt;0,             _xlfn.XLOOKUP(A1448,TabCalc[Ticker],ListExtra_n)*_xlfn.XLOOKUP(A1448,TabTRADERCorrupted[ClickTick],TabTRADERCorrupted[M])*_xlfn.XLOOKUP(A1448,TabCalc[Ticker],ListScale),               "")</f>
        <v>35865</v>
      </c>
      <c r="AX1448" s="86" t="str">
        <f t="shared" ca="1" si="111"/>
        <v>XOM</v>
      </c>
    </row>
    <row r="1449" spans="1:50" hidden="1">
      <c r="A1449" s="86" t="str">
        <f t="shared" ca="1" si="110"/>
        <v>XPER</v>
      </c>
      <c r="F1449" s="249">
        <v>1.1930000000000001</v>
      </c>
      <c r="G1449" s="249">
        <v>1.1930000000000001</v>
      </c>
      <c r="H1449" s="249">
        <v>1.135</v>
      </c>
      <c r="I1449" s="249">
        <v>1.1910000000000001</v>
      </c>
      <c r="J1449" s="249">
        <v>1.1910000000000001</v>
      </c>
      <c r="K1449" s="249">
        <v>1.1910000000000001</v>
      </c>
      <c r="L1449" s="249">
        <v>1.1910000000000001</v>
      </c>
      <c r="M1449" s="249">
        <v>1.1859999999999999</v>
      </c>
      <c r="N1449" s="249">
        <v>1.1859999999999999</v>
      </c>
      <c r="O1449" s="249">
        <v>1.1859999999999999</v>
      </c>
      <c r="P1449" s="249">
        <v>1.1859999999999999</v>
      </c>
      <c r="Q1449" s="249">
        <v>1.1859999999999999</v>
      </c>
      <c r="R1449" s="249">
        <v>1.212</v>
      </c>
      <c r="S1449" s="249">
        <v>1.212</v>
      </c>
      <c r="T1449" s="249">
        <v>1.212</v>
      </c>
      <c r="U1449" s="249">
        <v>1.212</v>
      </c>
      <c r="V1449" s="249">
        <v>1.212</v>
      </c>
      <c r="W1449" s="249">
        <v>1.202</v>
      </c>
      <c r="X1449" s="249">
        <v>1.202</v>
      </c>
      <c r="Y1449" s="249">
        <v>1.202</v>
      </c>
      <c r="Z1449" s="243">
        <f ca="1">[1]ExtEntry!$R54</f>
        <v>1.202</v>
      </c>
      <c r="AB1449" s="316">
        <v>62008</v>
      </c>
      <c r="AC1449" s="316">
        <v>63388</v>
      </c>
      <c r="AD1449" s="316">
        <v>60706.2</v>
      </c>
      <c r="AE1449" s="316">
        <v>56948</v>
      </c>
      <c r="AF1449" s="316">
        <v>53544</v>
      </c>
      <c r="AG1449" s="316">
        <v>52348</v>
      </c>
      <c r="AH1449" s="316">
        <v>50738</v>
      </c>
      <c r="AI1449" s="316">
        <v>52164</v>
      </c>
      <c r="AJ1449" s="316">
        <v>52578</v>
      </c>
      <c r="AK1449" s="316">
        <v>52808</v>
      </c>
      <c r="AL1449" s="316">
        <v>53268</v>
      </c>
      <c r="AM1449" s="316">
        <v>52624.920000000006</v>
      </c>
      <c r="AN1449" s="316">
        <v>53912</v>
      </c>
      <c r="AO1449" s="316">
        <v>53636</v>
      </c>
      <c r="AP1449" s="316">
        <v>55200</v>
      </c>
      <c r="AQ1449" s="316">
        <v>54280</v>
      </c>
      <c r="AR1449" s="316">
        <v>55383.999999999993</v>
      </c>
      <c r="AS1449" s="316">
        <v>56533.999999999993</v>
      </c>
      <c r="AT1449" s="316">
        <v>57500</v>
      </c>
      <c r="AU1449" s="316">
        <v>56672</v>
      </c>
      <c r="AV1449" s="316">
        <f ca="1">IF(_xlfn.XLOOKUP(A1449,TabCalc[Ticker],ListExtra_n)&gt;0,             _xlfn.XLOOKUP(A1449,TabCalc[Ticker],ListExtra_n)*_xlfn.XLOOKUP(A1449,TabTRADERCorrupted[ClickTick],TabTRADERCorrupted[M])*_xlfn.XLOOKUP(A1449,TabCalc[Ticker],ListScale),               "")</f>
        <v>56672</v>
      </c>
      <c r="AX1449" s="86" t="str">
        <f t="shared" ca="1" si="111"/>
        <v>XPER</v>
      </c>
    </row>
    <row r="1450" spans="1:50" hidden="1">
      <c r="A1450" s="86" t="str">
        <f t="shared" ca="1" si="110"/>
        <v>MVEALDNE</v>
      </c>
      <c r="F1450" s="249">
        <v>0.95879999999999999</v>
      </c>
      <c r="G1450" s="249">
        <v>0.95520000000000005</v>
      </c>
      <c r="H1450" s="249">
        <v>0.95709999999999995</v>
      </c>
      <c r="I1450" s="249">
        <v>0.95879999999999999</v>
      </c>
      <c r="J1450" s="249">
        <v>0.96430000000000005</v>
      </c>
      <c r="K1450" s="249">
        <v>0.97</v>
      </c>
      <c r="L1450" s="249">
        <v>0.97970000000000002</v>
      </c>
      <c r="M1450" s="249">
        <v>0.98750000000000004</v>
      </c>
      <c r="N1450" s="249">
        <v>0.98780000000000001</v>
      </c>
      <c r="O1450" s="249">
        <v>0.9869</v>
      </c>
      <c r="P1450" s="249">
        <v>0.98040000000000005</v>
      </c>
      <c r="Q1450" s="249">
        <v>0.9819</v>
      </c>
      <c r="R1450" s="249">
        <v>0.97709999999999997</v>
      </c>
      <c r="S1450" s="249">
        <v>0.96579999999999999</v>
      </c>
      <c r="T1450" s="249">
        <v>0.96579999999999999</v>
      </c>
      <c r="U1450" s="249">
        <v>0.96450000000000002</v>
      </c>
      <c r="V1450" s="249">
        <v>0.97119999999999995</v>
      </c>
      <c r="W1450" s="249">
        <v>0.97460000000000002</v>
      </c>
      <c r="X1450" s="249">
        <v>0.97109999999999996</v>
      </c>
      <c r="Y1450" s="249">
        <v>0.96899999999999997</v>
      </c>
      <c r="Z1450" s="243">
        <f ca="1">[1]ExtEntry!$R55</f>
        <v>0.96899999999999997</v>
      </c>
      <c r="AB1450" s="316">
        <v>86875.510000000009</v>
      </c>
      <c r="AC1450" s="316">
        <v>85995.758000000002</v>
      </c>
      <c r="AD1450" s="316">
        <v>85775.82</v>
      </c>
      <c r="AE1450" s="316">
        <v>73239.354000000007</v>
      </c>
      <c r="AF1450" s="316">
        <v>73679.23000000001</v>
      </c>
      <c r="AG1450" s="316">
        <v>75658.671999999991</v>
      </c>
      <c r="AH1450" s="316">
        <v>73459.292000000001</v>
      </c>
      <c r="AI1450" s="316">
        <v>72139.664000000004</v>
      </c>
      <c r="AJ1450" s="316">
        <v>71039.974000000002</v>
      </c>
      <c r="AK1450" s="316">
        <v>68180.78</v>
      </c>
      <c r="AL1450" s="316">
        <v>66421.275999999998</v>
      </c>
      <c r="AM1450" s="316">
        <v>67960.842000000004</v>
      </c>
      <c r="AN1450" s="316">
        <v>68180.78</v>
      </c>
      <c r="AO1450" s="316">
        <v>69060.532000000007</v>
      </c>
      <c r="AP1450" s="316">
        <v>68840.593999999997</v>
      </c>
      <c r="AQ1450" s="316">
        <v>68180.78</v>
      </c>
      <c r="AR1450" s="316">
        <v>68180.78</v>
      </c>
      <c r="AS1450" s="316">
        <v>64881.71</v>
      </c>
      <c r="AT1450" s="316">
        <v>65761.462</v>
      </c>
      <c r="AU1450" s="316">
        <v>60482.950000000004</v>
      </c>
      <c r="AV1450" s="316">
        <f ca="1">IF(_xlfn.XLOOKUP(A1450,TabCalc[Ticker],ListExtra_n)&gt;0,             _xlfn.XLOOKUP(A1450,TabCalc[Ticker],ListExtra_n)*_xlfn.XLOOKUP(A1450,TabTRADERCorrupted[ClickTick],TabTRADERCorrupted[M])*_xlfn.XLOOKUP(A1450,TabCalc[Ticker],ListScale),               "")</f>
        <v>60482.950000000004</v>
      </c>
      <c r="AX1450" s="86" t="str">
        <f t="shared" ca="1" si="111"/>
        <v>MVEALDNE</v>
      </c>
    </row>
    <row r="1451" spans="1:50" hidden="1">
      <c r="A1451" s="86" t="str">
        <f t="shared" ca="1" si="110"/>
        <v>MVEDDD</v>
      </c>
      <c r="F1451" s="249">
        <v>1.8775999999999999</v>
      </c>
      <c r="G1451" s="249">
        <v>1.8776999999999999</v>
      </c>
      <c r="H1451" s="249">
        <v>1.9112</v>
      </c>
      <c r="I1451" s="249">
        <v>1.9157999999999999</v>
      </c>
      <c r="J1451" s="249">
        <v>1.9231</v>
      </c>
      <c r="K1451" s="249">
        <v>1.9366000000000001</v>
      </c>
      <c r="L1451" s="249">
        <v>1.9596</v>
      </c>
      <c r="M1451" s="249">
        <v>1.968</v>
      </c>
      <c r="N1451" s="249">
        <v>1.9192</v>
      </c>
      <c r="O1451" s="249">
        <v>1.9037999999999999</v>
      </c>
      <c r="P1451" s="249">
        <v>1.9037999999999999</v>
      </c>
      <c r="Q1451" s="249">
        <v>1.8904000000000001</v>
      </c>
      <c r="R1451" s="249">
        <v>1.8752</v>
      </c>
      <c r="S1451" s="249">
        <v>1.8729</v>
      </c>
      <c r="T1451" s="249">
        <v>1.8729</v>
      </c>
      <c r="U1451" s="249">
        <v>1.8653</v>
      </c>
      <c r="V1451" s="249">
        <v>1.8692</v>
      </c>
      <c r="W1451" s="249">
        <v>1.8688</v>
      </c>
      <c r="X1451" s="249">
        <v>1.8873</v>
      </c>
      <c r="Y1451" s="249">
        <v>1.8795999999999999</v>
      </c>
      <c r="Z1451" s="243">
        <f ca="1">[1]ExtEntry!$R56</f>
        <v>1.8795999999999999</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c r="A1452" s="86" t="str">
        <f t="shared" ca="1" si="110"/>
        <v>MVEDSY</v>
      </c>
      <c r="F1452" s="249">
        <v>0.78910000000000002</v>
      </c>
      <c r="G1452" s="249">
        <v>0.78969999999999996</v>
      </c>
      <c r="H1452" s="249">
        <v>0.79359999999999997</v>
      </c>
      <c r="I1452" s="249">
        <v>0.78610000000000002</v>
      </c>
      <c r="J1452" s="249">
        <v>0.7883</v>
      </c>
      <c r="K1452" s="249">
        <v>0.79759999999999998</v>
      </c>
      <c r="L1452" s="249">
        <v>0.7954</v>
      </c>
      <c r="M1452" s="249">
        <v>0.79620000000000002</v>
      </c>
      <c r="N1452" s="249">
        <v>0.78900000000000003</v>
      </c>
      <c r="O1452" s="249">
        <v>0.78839999999999999</v>
      </c>
      <c r="P1452" s="249">
        <v>0.78879999999999995</v>
      </c>
      <c r="Q1452" s="249">
        <v>0.78869999999999996</v>
      </c>
      <c r="R1452" s="249">
        <v>0.78979999999999995</v>
      </c>
      <c r="S1452" s="249">
        <v>0.79169999999999996</v>
      </c>
      <c r="T1452" s="249">
        <v>0.79169999999999996</v>
      </c>
      <c r="U1452" s="249">
        <v>0.79190000000000005</v>
      </c>
      <c r="V1452" s="249">
        <v>0.79020000000000001</v>
      </c>
      <c r="W1452" s="249">
        <v>0.79120000000000001</v>
      </c>
      <c r="X1452" s="249">
        <v>0.79179999999999995</v>
      </c>
      <c r="Y1452" s="249">
        <v>0.79459999999999997</v>
      </c>
      <c r="Z1452" s="243">
        <f ca="1">[1]ExtEntry!$R57</f>
        <v>0.79459999999999997</v>
      </c>
      <c r="AB1452" s="316">
        <v>239800</v>
      </c>
      <c r="AC1452" s="316">
        <v>232600.00000000003</v>
      </c>
      <c r="AD1452" s="316">
        <v>233400</v>
      </c>
      <c r="AE1452" s="316">
        <v>239899.99999999997</v>
      </c>
      <c r="AF1452" s="316">
        <v>231700.00000000003</v>
      </c>
      <c r="AG1452" s="316">
        <v>233800</v>
      </c>
      <c r="AH1452" s="316">
        <v>233200</v>
      </c>
      <c r="AI1452" s="316">
        <v>234899.99999999997</v>
      </c>
      <c r="AJ1452" s="316">
        <v>241500</v>
      </c>
      <c r="AK1452" s="316">
        <v>241500</v>
      </c>
      <c r="AL1452" s="316">
        <v>241100</v>
      </c>
      <c r="AM1452" s="316">
        <v>238500</v>
      </c>
      <c r="AN1452" s="316">
        <v>234200.00000000003</v>
      </c>
      <c r="AO1452" s="316">
        <v>234100</v>
      </c>
      <c r="AP1452" s="316">
        <v>234100</v>
      </c>
      <c r="AQ1452" s="316">
        <v>237600.00000000003</v>
      </c>
      <c r="AR1452" s="316">
        <v>237800</v>
      </c>
      <c r="AS1452" s="316">
        <v>233500</v>
      </c>
      <c r="AT1452" s="316">
        <v>230200</v>
      </c>
      <c r="AU1452" s="316">
        <v>231300</v>
      </c>
      <c r="AV1452" s="316">
        <f ca="1">IF(_xlfn.XLOOKUP(A1452,TabCalc[Ticker],ListExtra_n)&gt;0,             _xlfn.XLOOKUP(A1452,TabCalc[Ticker],ListExtra_n)*_xlfn.XLOOKUP(A1452,TabTRADERCorrupted[ClickTick],TabTRADERCorrupted[M])*_xlfn.XLOOKUP(A1452,TabCalc[Ticker],ListScale),               "")</f>
        <v>231300</v>
      </c>
      <c r="AX1452" s="86" t="str">
        <f t="shared" ca="1" si="111"/>
        <v>MVEDSY</v>
      </c>
    </row>
    <row r="1453" spans="1:50" hidden="1">
      <c r="A1453" s="86" t="str">
        <f t="shared" ca="1" si="110"/>
        <v>MVEEOAN</v>
      </c>
      <c r="F1453" s="249">
        <v>0.85360000000000003</v>
      </c>
      <c r="G1453" s="249">
        <v>0.85350000000000004</v>
      </c>
      <c r="H1453" s="249">
        <v>0.85299999999999998</v>
      </c>
      <c r="I1453" s="249">
        <v>0.84770000000000001</v>
      </c>
      <c r="J1453" s="249">
        <v>0.8599</v>
      </c>
      <c r="K1453" s="249">
        <v>0.86180000000000001</v>
      </c>
      <c r="L1453" s="249">
        <v>0.86380000000000001</v>
      </c>
      <c r="M1453" s="249">
        <v>0.85940000000000005</v>
      </c>
      <c r="N1453" s="249">
        <v>0.86270000000000002</v>
      </c>
      <c r="O1453" s="249">
        <v>0.85960000000000003</v>
      </c>
      <c r="P1453" s="249">
        <v>0.86150000000000004</v>
      </c>
      <c r="Q1453" s="249">
        <v>0.86080000000000001</v>
      </c>
      <c r="R1453" s="249">
        <v>0.86699999999999999</v>
      </c>
      <c r="S1453" s="249">
        <v>0.86660000000000004</v>
      </c>
      <c r="T1453" s="249">
        <v>0.86660000000000004</v>
      </c>
      <c r="U1453" s="249">
        <v>0.86150000000000004</v>
      </c>
      <c r="V1453" s="249">
        <v>0.86660000000000004</v>
      </c>
      <c r="W1453" s="249">
        <v>0.86650000000000005</v>
      </c>
      <c r="X1453" s="249">
        <v>0.86660000000000004</v>
      </c>
      <c r="Y1453" s="249">
        <v>0.86650000000000005</v>
      </c>
      <c r="Z1453" s="243">
        <f ca="1">[1]ExtEntry!$R58</f>
        <v>0.86650000000000005</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c r="A1454" s="86" t="str">
        <f t="shared" ca="1" si="110"/>
        <v>MVEENI</v>
      </c>
      <c r="F1454" s="249">
        <v>0.83050000000000002</v>
      </c>
      <c r="G1454" s="249">
        <v>0.83030000000000004</v>
      </c>
      <c r="H1454" s="249">
        <v>0.82989999999999997</v>
      </c>
      <c r="I1454" s="249">
        <v>0.82989999999999997</v>
      </c>
      <c r="J1454" s="249">
        <v>0.82989999999999997</v>
      </c>
      <c r="K1454" s="249">
        <v>0.82489999999999997</v>
      </c>
      <c r="L1454" s="249">
        <v>0.82489999999999997</v>
      </c>
      <c r="M1454" s="249">
        <v>0.82620000000000005</v>
      </c>
      <c r="N1454" s="249">
        <v>0.83209999999999995</v>
      </c>
      <c r="O1454" s="249">
        <v>0.82989999999999997</v>
      </c>
      <c r="P1454" s="249">
        <v>0.83040000000000003</v>
      </c>
      <c r="Q1454" s="249">
        <v>0.8296</v>
      </c>
      <c r="R1454" s="249">
        <v>0.82979999999999998</v>
      </c>
      <c r="S1454" s="249">
        <v>0.82989999999999997</v>
      </c>
      <c r="T1454" s="249">
        <v>0.82989999999999997</v>
      </c>
      <c r="U1454" s="249">
        <v>0.82899999999999996</v>
      </c>
      <c r="V1454" s="249">
        <v>0.83050000000000002</v>
      </c>
      <c r="W1454" s="249">
        <v>0.83069999999999999</v>
      </c>
      <c r="X1454" s="249">
        <v>0.83040000000000003</v>
      </c>
      <c r="Y1454" s="249">
        <v>0.83089999999999997</v>
      </c>
      <c r="Z1454" s="243">
        <f ca="1">[1]ExtEntry!$R59</f>
        <v>0.83089999999999997</v>
      </c>
      <c r="AB1454" s="316">
        <v>415168</v>
      </c>
      <c r="AC1454" s="316">
        <v>414648</v>
      </c>
      <c r="AD1454" s="316">
        <v>414232</v>
      </c>
      <c r="AE1454" s="316">
        <v>428324</v>
      </c>
      <c r="AF1454" s="316">
        <v>425360</v>
      </c>
      <c r="AG1454" s="316">
        <v>421668</v>
      </c>
      <c r="AH1454" s="316">
        <v>423696</v>
      </c>
      <c r="AI1454" s="316">
        <v>418496</v>
      </c>
      <c r="AJ1454" s="316">
        <v>415636</v>
      </c>
      <c r="AK1454" s="316">
        <v>414180</v>
      </c>
      <c r="AL1454" s="316">
        <v>419432.00000000006</v>
      </c>
      <c r="AM1454" s="316">
        <v>420628</v>
      </c>
      <c r="AN1454" s="316">
        <v>420887.99999999994</v>
      </c>
      <c r="AO1454" s="316">
        <v>424008</v>
      </c>
      <c r="AP1454" s="316">
        <v>425152</v>
      </c>
      <c r="AQ1454" s="316">
        <v>425100.00000000006</v>
      </c>
      <c r="AR1454" s="316">
        <v>418652</v>
      </c>
      <c r="AS1454" s="316">
        <v>354376</v>
      </c>
      <c r="AT1454" s="316">
        <v>352308</v>
      </c>
      <c r="AU1454" s="316">
        <v>349888</v>
      </c>
      <c r="AV1454" s="316">
        <f ca="1">IF(_xlfn.XLOOKUP(A1454,TabCalc[Ticker],ListExtra_n)&gt;0,             _xlfn.XLOOKUP(A1454,TabCalc[Ticker],ListExtra_n)*_xlfn.XLOOKUP(A1454,TabTRADERCorrupted[ClickTick],TabTRADERCorrupted[M])*_xlfn.XLOOKUP(A1454,TabCalc[Ticker],ListScale),               "")</f>
        <v>349888</v>
      </c>
      <c r="AX1454" s="86" t="str">
        <f t="shared" ca="1" si="111"/>
        <v>MVEENI</v>
      </c>
    </row>
    <row r="1455" spans="1:50" hidden="1">
      <c r="A1455" s="86" t="str">
        <f t="shared" ca="1" si="110"/>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c r="A1456" s="86" t="str">
        <f t="shared" ca="1" si="110"/>
        <v>MVEGLE</v>
      </c>
      <c r="F1456" s="249">
        <v>1.389</v>
      </c>
      <c r="G1456" s="249">
        <v>1.3888</v>
      </c>
      <c r="H1456" s="249">
        <v>1.3861000000000001</v>
      </c>
      <c r="I1456" s="249">
        <v>1.3906000000000001</v>
      </c>
      <c r="J1456" s="249">
        <v>1.3869</v>
      </c>
      <c r="K1456" s="249">
        <v>1.3862000000000001</v>
      </c>
      <c r="L1456" s="249">
        <v>1.375</v>
      </c>
      <c r="M1456" s="249">
        <v>1.3704000000000001</v>
      </c>
      <c r="N1456" s="249">
        <v>1.3667</v>
      </c>
      <c r="O1456" s="249">
        <v>1.3708</v>
      </c>
      <c r="P1456" s="249">
        <v>1.3788</v>
      </c>
      <c r="Q1456" s="249">
        <v>1.3791</v>
      </c>
      <c r="R1456" s="249">
        <v>1.3816999999999999</v>
      </c>
      <c r="S1456" s="249">
        <v>1.381</v>
      </c>
      <c r="T1456" s="249">
        <v>1.381</v>
      </c>
      <c r="U1456" s="249">
        <v>1.3815</v>
      </c>
      <c r="V1456" s="249">
        <v>1.3809</v>
      </c>
      <c r="W1456" s="249">
        <v>1.3792</v>
      </c>
      <c r="X1456" s="249">
        <v>1.3784000000000001</v>
      </c>
      <c r="Y1456" s="249">
        <v>1.3729</v>
      </c>
      <c r="Z1456" s="243">
        <f ca="1">[1]ExtEntry!$R61</f>
        <v>1.3729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c r="A1457" s="86" t="str">
        <f t="shared" ca="1" si="110"/>
        <v>MVEORA</v>
      </c>
      <c r="F1457" s="249">
        <v>0.24</v>
      </c>
      <c r="G1457" s="249">
        <v>0.24049999999999999</v>
      </c>
      <c r="H1457" s="249">
        <v>0.2382</v>
      </c>
      <c r="I1457" s="249">
        <v>0.24099999999999999</v>
      </c>
      <c r="J1457" s="249">
        <v>0.2387</v>
      </c>
      <c r="K1457" s="249">
        <v>0.23849999999999999</v>
      </c>
      <c r="L1457" s="249">
        <v>0.23980000000000001</v>
      </c>
      <c r="M1457" s="249">
        <v>0.2422</v>
      </c>
      <c r="N1457" s="249">
        <v>0.23710000000000001</v>
      </c>
      <c r="O1457" s="249">
        <v>0.23569999999999999</v>
      </c>
      <c r="P1457" s="249">
        <v>0.23719999999999999</v>
      </c>
      <c r="Q1457" s="249">
        <v>0.2366</v>
      </c>
      <c r="R1457" s="249">
        <v>0.2361</v>
      </c>
      <c r="S1457" s="249">
        <v>0.23760000000000001</v>
      </c>
      <c r="T1457" s="249">
        <v>0.23760000000000001</v>
      </c>
      <c r="U1457" s="249">
        <v>0.23769999999999999</v>
      </c>
      <c r="V1457" s="249">
        <v>0.2389</v>
      </c>
      <c r="W1457" s="249">
        <v>0.2394</v>
      </c>
      <c r="X1457" s="249">
        <v>0.2397</v>
      </c>
      <c r="Y1457" s="249">
        <v>0.2427</v>
      </c>
      <c r="Z1457" s="243">
        <f ca="1">[1]ExtEntry!$R62</f>
        <v>0.2427</v>
      </c>
      <c r="AB1457" s="316">
        <v>171437.5</v>
      </c>
      <c r="AC1457" s="316">
        <v>174250</v>
      </c>
      <c r="AD1457" s="316">
        <v>177062.5</v>
      </c>
      <c r="AE1457" s="316">
        <v>175250</v>
      </c>
      <c r="AF1457" s="316">
        <v>171125</v>
      </c>
      <c r="AG1457" s="316">
        <v>172250</v>
      </c>
      <c r="AH1457" s="316">
        <v>170750</v>
      </c>
      <c r="AI1457" s="316">
        <v>174312.5</v>
      </c>
      <c r="AJ1457" s="316">
        <v>176000</v>
      </c>
      <c r="AK1457" s="316">
        <v>176250</v>
      </c>
      <c r="AL1457" s="316">
        <v>177375</v>
      </c>
      <c r="AM1457" s="316">
        <v>176812.5</v>
      </c>
      <c r="AN1457" s="316">
        <v>175875</v>
      </c>
      <c r="AO1457" s="316">
        <v>175812.5</v>
      </c>
      <c r="AP1457" s="316">
        <v>176062.5</v>
      </c>
      <c r="AQ1457" s="316">
        <v>175375</v>
      </c>
      <c r="AR1457" s="316">
        <v>171750</v>
      </c>
      <c r="AS1457" s="316">
        <v>171437.5</v>
      </c>
      <c r="AT1457" s="316">
        <v>170812.5</v>
      </c>
      <c r="AU1457" s="316">
        <v>171687.5</v>
      </c>
      <c r="AV1457" s="316">
        <f ca="1">IF(_xlfn.XLOOKUP(A1457,TabCalc[Ticker],ListExtra_n)&gt;0,             _xlfn.XLOOKUP(A1457,TabCalc[Ticker],ListExtra_n)*_xlfn.XLOOKUP(A1457,TabTRADERCorrupted[ClickTick],TabTRADERCorrupted[M])*_xlfn.XLOOKUP(A1457,TabCalc[Ticker],ListScale),               "")</f>
        <v>171687.5</v>
      </c>
      <c r="AX1457" s="86" t="str">
        <f t="shared" ca="1" si="111"/>
        <v>MVEORA</v>
      </c>
    </row>
    <row r="1458" spans="1:50" hidden="1">
      <c r="A1458" s="86" t="str">
        <f t="shared" ref="A1458:A1491" ca="1" si="112">A1359</f>
        <v>MVERWE</v>
      </c>
      <c r="F1458" s="249">
        <v>0.48039999999999999</v>
      </c>
      <c r="G1458" s="249">
        <v>0.4803</v>
      </c>
      <c r="H1458" s="249">
        <v>0.47949999999999998</v>
      </c>
      <c r="I1458" s="249">
        <v>0.48420000000000002</v>
      </c>
      <c r="J1458" s="249">
        <v>0.4703</v>
      </c>
      <c r="K1458" s="249">
        <v>0.46560000000000001</v>
      </c>
      <c r="L1458" s="249">
        <v>0.46160000000000001</v>
      </c>
      <c r="M1458" s="249">
        <v>0.4496</v>
      </c>
      <c r="N1458" s="249">
        <v>0.46779999999999999</v>
      </c>
      <c r="O1458" s="249">
        <v>0.46700000000000003</v>
      </c>
      <c r="P1458" s="249">
        <v>0.47560000000000002</v>
      </c>
      <c r="Q1458" s="249">
        <v>0.47489999999999999</v>
      </c>
      <c r="R1458" s="249">
        <v>0.48199999999999998</v>
      </c>
      <c r="S1458" s="249">
        <v>0.48159999999999997</v>
      </c>
      <c r="T1458" s="249">
        <v>0.48159999999999997</v>
      </c>
      <c r="U1458" s="249">
        <v>0.48039999999999999</v>
      </c>
      <c r="V1458" s="249">
        <v>0.48110000000000003</v>
      </c>
      <c r="W1458" s="249">
        <v>0.48089999999999999</v>
      </c>
      <c r="X1458" s="249">
        <v>0.4803</v>
      </c>
      <c r="Y1458" s="249">
        <v>0.48039999999999999</v>
      </c>
      <c r="Z1458" s="243">
        <f ca="1">[1]ExtEntry!$R63</f>
        <v>0.48039999999999999</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c r="A1459" s="86" t="str">
        <f t="shared" ca="1" si="112"/>
        <v>MVESAP</v>
      </c>
      <c r="F1459" s="249">
        <v>1.0464</v>
      </c>
      <c r="G1459" s="249">
        <v>1.0449999999999999</v>
      </c>
      <c r="H1459" s="249">
        <v>1.0488</v>
      </c>
      <c r="I1459" s="249">
        <v>1.0428999999999999</v>
      </c>
      <c r="J1459" s="249">
        <v>1.0570999999999999</v>
      </c>
      <c r="K1459" s="249">
        <v>1.0648</v>
      </c>
      <c r="L1459" s="249">
        <v>1.0689</v>
      </c>
      <c r="M1459" s="249">
        <v>1.0668</v>
      </c>
      <c r="N1459" s="249">
        <v>1.0697000000000001</v>
      </c>
      <c r="O1459" s="249">
        <v>1.0649</v>
      </c>
      <c r="P1459" s="249">
        <v>1.0605</v>
      </c>
      <c r="Q1459" s="249">
        <v>1.0584</v>
      </c>
      <c r="R1459" s="249">
        <v>1.052</v>
      </c>
      <c r="S1459" s="249">
        <v>1.054</v>
      </c>
      <c r="T1459" s="249">
        <v>1.054</v>
      </c>
      <c r="U1459" s="249">
        <v>1.0549999999999999</v>
      </c>
      <c r="V1459" s="249">
        <v>1.0537000000000001</v>
      </c>
      <c r="W1459" s="249">
        <v>1.054</v>
      </c>
      <c r="X1459" s="249">
        <v>1.0536000000000001</v>
      </c>
      <c r="Y1459" s="249">
        <v>1.0538000000000001</v>
      </c>
      <c r="Z1459" s="243">
        <f ca="1">[1]ExtEntry!$R64</f>
        <v>1.0538000000000001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c r="A1460" s="86" t="str">
        <f t="shared" ca="1" si="112"/>
        <v>MVEUN0</v>
      </c>
      <c r="F1460" s="249">
        <v>1.0946</v>
      </c>
      <c r="G1460" s="249">
        <v>1.0945</v>
      </c>
      <c r="H1460" s="249">
        <v>1.0959000000000001</v>
      </c>
      <c r="I1460" s="249">
        <v>1.0938000000000001</v>
      </c>
      <c r="J1460" s="249">
        <v>1.0875999999999999</v>
      </c>
      <c r="K1460" s="249">
        <v>1.0843</v>
      </c>
      <c r="L1460" s="249">
        <v>1.0610999999999999</v>
      </c>
      <c r="M1460" s="249">
        <v>1.0578000000000001</v>
      </c>
      <c r="N1460" s="249">
        <v>1.0314000000000001</v>
      </c>
      <c r="O1460" s="249">
        <v>1.0419</v>
      </c>
      <c r="P1460" s="249">
        <v>1.0566</v>
      </c>
      <c r="Q1460" s="249">
        <v>1.0589999999999999</v>
      </c>
      <c r="R1460" s="249">
        <v>1.0570999999999999</v>
      </c>
      <c r="S1460" s="249">
        <v>1.0638000000000001</v>
      </c>
      <c r="T1460" s="249">
        <v>1.0638000000000001</v>
      </c>
      <c r="U1460" s="249">
        <v>1.0629</v>
      </c>
      <c r="V1460" s="249">
        <v>1.0648</v>
      </c>
      <c r="W1460" s="249">
        <v>1.0636000000000001</v>
      </c>
      <c r="X1460" s="249">
        <v>1.0692999999999999</v>
      </c>
      <c r="Y1460" s="249">
        <v>1.0679000000000001</v>
      </c>
      <c r="Z1460" s="243">
        <f ca="1">[1]ExtEntry!$R65</f>
        <v>1.0679000000000001</v>
      </c>
      <c r="AB1460" s="316">
        <v>15192.5</v>
      </c>
      <c r="AC1460" s="316">
        <v>14394.25</v>
      </c>
      <c r="AD1460" s="316">
        <v>14677.5</v>
      </c>
      <c r="AE1460" s="316">
        <v>14729</v>
      </c>
      <c r="AF1460" s="316">
        <v>15218.25</v>
      </c>
      <c r="AG1460" s="316">
        <v>15578.75</v>
      </c>
      <c r="AH1460" s="316">
        <v>15553</v>
      </c>
      <c r="AI1460" s="316">
        <v>15450</v>
      </c>
      <c r="AJ1460" s="316">
        <v>17123.75</v>
      </c>
      <c r="AK1460" s="316">
        <v>17561.5</v>
      </c>
      <c r="AL1460" s="316">
        <v>17664.5</v>
      </c>
      <c r="AM1460" s="316">
        <v>17638.75</v>
      </c>
      <c r="AN1460" s="316">
        <v>17252.5</v>
      </c>
      <c r="AO1460" s="316">
        <v>17329.75</v>
      </c>
      <c r="AP1460" s="316">
        <v>17329.75</v>
      </c>
      <c r="AQ1460" s="316">
        <v>17561.5</v>
      </c>
      <c r="AR1460" s="316">
        <v>17510</v>
      </c>
      <c r="AS1460" s="316">
        <v>19570</v>
      </c>
      <c r="AT1460" s="316">
        <v>19595.75</v>
      </c>
      <c r="AU1460" s="316">
        <v>19441.25</v>
      </c>
      <c r="AV1460" s="316">
        <f ca="1">IF(_xlfn.XLOOKUP(A1460,TabCalc[Ticker],ListExtra_n)&gt;0,             _xlfn.XLOOKUP(A1460,TabCalc[Ticker],ListExtra_n)*_xlfn.XLOOKUP(A1460,TabTRADERCorrupted[ClickTick],TabTRADERCorrupted[M])*_xlfn.XLOOKUP(A1460,TabCalc[Ticker],ListScale),               "")</f>
        <v>19441.25</v>
      </c>
      <c r="AX1460" s="86" t="str">
        <f t="shared" ca="1" si="111"/>
        <v>MVEUN0</v>
      </c>
    </row>
    <row r="1461" spans="1:50" hidden="1">
      <c r="A1461" s="86" t="str">
        <f t="shared" ca="1" si="112"/>
        <v>SAFAAPL</v>
      </c>
      <c r="F1461" s="249">
        <v>1.1076999999999999</v>
      </c>
      <c r="G1461" s="249">
        <v>1.1085</v>
      </c>
      <c r="H1461" s="249">
        <v>1.1053999999999999</v>
      </c>
      <c r="I1461" s="249">
        <v>1.1035999999999999</v>
      </c>
      <c r="J1461" s="249">
        <v>1.1082000000000001</v>
      </c>
      <c r="K1461" s="249">
        <v>1.1049</v>
      </c>
      <c r="L1461" s="249">
        <v>1.099</v>
      </c>
      <c r="M1461" s="249">
        <v>1.1042000000000001</v>
      </c>
      <c r="N1461" s="249">
        <v>1.1024</v>
      </c>
      <c r="O1461" s="249">
        <v>1.1051</v>
      </c>
      <c r="P1461" s="249">
        <v>1.1051</v>
      </c>
      <c r="Q1461" s="249">
        <v>1.1065</v>
      </c>
      <c r="R1461" s="249">
        <v>1.0878000000000001</v>
      </c>
      <c r="S1461" s="249">
        <v>1.0871</v>
      </c>
      <c r="T1461" s="249">
        <v>1.0871</v>
      </c>
      <c r="U1461" s="249">
        <v>1.0888</v>
      </c>
      <c r="V1461" s="249">
        <v>1.0908</v>
      </c>
      <c r="W1461" s="249">
        <v>1.091</v>
      </c>
      <c r="X1461" s="249">
        <v>1.0911999999999999</v>
      </c>
      <c r="Y1461" s="249">
        <v>1.0908</v>
      </c>
      <c r="Z1461" s="243">
        <f ca="1">[1]ExtEntry!$R66</f>
        <v>1.0908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c r="A1462" s="86" t="str">
        <f t="shared" ca="1" si="112"/>
        <v>SAFAMZN</v>
      </c>
      <c r="F1462" s="249">
        <v>1.3596999999999999</v>
      </c>
      <c r="G1462" s="249">
        <v>1.3612</v>
      </c>
      <c r="H1462" s="249">
        <v>1.3611</v>
      </c>
      <c r="I1462" s="249">
        <v>1.3676999999999999</v>
      </c>
      <c r="J1462" s="249">
        <v>1.3721000000000001</v>
      </c>
      <c r="K1462" s="249">
        <v>1.3831</v>
      </c>
      <c r="L1462" s="249">
        <v>1.3819999999999999</v>
      </c>
      <c r="M1462" s="249">
        <v>1.3906000000000001</v>
      </c>
      <c r="N1462" s="249">
        <v>1.3751</v>
      </c>
      <c r="O1462" s="249">
        <v>1.3743000000000001</v>
      </c>
      <c r="P1462" s="249">
        <v>1.3743000000000001</v>
      </c>
      <c r="Q1462" s="249">
        <v>1.3711</v>
      </c>
      <c r="R1462" s="249">
        <v>1.3728</v>
      </c>
      <c r="S1462" s="249">
        <v>1.3733</v>
      </c>
      <c r="T1462" s="249">
        <v>1.3733</v>
      </c>
      <c r="U1462" s="249">
        <v>1.3749</v>
      </c>
      <c r="V1462" s="249">
        <v>1.3761000000000001</v>
      </c>
      <c r="W1462" s="249">
        <v>1.3773</v>
      </c>
      <c r="X1462" s="249">
        <v>1.3768</v>
      </c>
      <c r="Y1462" s="249">
        <v>1.3754999999999999</v>
      </c>
      <c r="Z1462" s="243">
        <f ca="1">[1]ExtEntry!$R67</f>
        <v>1.3754999999999999</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c r="A1463" s="86" t="str">
        <f t="shared" ca="1" si="112"/>
        <v>SAFASML</v>
      </c>
      <c r="F1463" s="249">
        <v>2.1158000000000001</v>
      </c>
      <c r="G1463" s="249">
        <v>2.1168999999999998</v>
      </c>
      <c r="H1463" s="249">
        <v>2.1183000000000001</v>
      </c>
      <c r="I1463" s="249">
        <v>2.1202999999999999</v>
      </c>
      <c r="J1463" s="249">
        <v>2.1173000000000002</v>
      </c>
      <c r="K1463" s="249">
        <v>2.1166999999999998</v>
      </c>
      <c r="L1463" s="249">
        <v>2.0914000000000001</v>
      </c>
      <c r="M1463" s="249">
        <v>2.0895999999999999</v>
      </c>
      <c r="N1463" s="249">
        <v>2.0969000000000002</v>
      </c>
      <c r="O1463" s="249">
        <v>2.0773000000000001</v>
      </c>
      <c r="P1463" s="249">
        <v>2.1011000000000002</v>
      </c>
      <c r="Q1463" s="249">
        <v>2.0979000000000001</v>
      </c>
      <c r="R1463" s="249">
        <v>2.0914000000000001</v>
      </c>
      <c r="S1463" s="249">
        <v>2.0903999999999998</v>
      </c>
      <c r="T1463" s="249">
        <v>2.0903999999999998</v>
      </c>
      <c r="U1463" s="249">
        <v>2.0872999999999999</v>
      </c>
      <c r="V1463" s="249">
        <v>2.09</v>
      </c>
      <c r="W1463" s="249">
        <v>2.0893999999999999</v>
      </c>
      <c r="X1463" s="249">
        <v>2.0882999999999998</v>
      </c>
      <c r="Y1463" s="249">
        <v>2.0899000000000001</v>
      </c>
      <c r="Z1463" s="243">
        <f ca="1">[1]ExtEntry!$R68</f>
        <v>2.0899000000000001</v>
      </c>
      <c r="AB1463" s="316">
        <v>81594</v>
      </c>
      <c r="AC1463" s="316">
        <v>80577</v>
      </c>
      <c r="AD1463" s="316">
        <v>78372</v>
      </c>
      <c r="AE1463" s="316">
        <v>78669</v>
      </c>
      <c r="AF1463" s="316">
        <v>77346</v>
      </c>
      <c r="AG1463" s="316">
        <v>79794</v>
      </c>
      <c r="AH1463" s="316">
        <v>80082</v>
      </c>
      <c r="AI1463" s="316">
        <v>75060</v>
      </c>
      <c r="AJ1463" s="316">
        <v>81837</v>
      </c>
      <c r="AK1463" s="316">
        <v>80748</v>
      </c>
      <c r="AL1463" s="316">
        <v>81306</v>
      </c>
      <c r="AM1463" s="316">
        <v>83403</v>
      </c>
      <c r="AN1463" s="316">
        <v>84519</v>
      </c>
      <c r="AO1463" s="316"/>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c r="A1464" s="86" t="str">
        <f t="shared" ca="1" si="112"/>
        <v>SAFDDD</v>
      </c>
      <c r="F1464" s="249">
        <v>1.8775999999999999</v>
      </c>
      <c r="G1464" s="249">
        <v>1.8776999999999999</v>
      </c>
      <c r="H1464" s="249">
        <v>1.9112</v>
      </c>
      <c r="I1464" s="249">
        <v>1.9157999999999999</v>
      </c>
      <c r="J1464" s="249">
        <v>1.9231</v>
      </c>
      <c r="K1464" s="249">
        <v>1.9366000000000001</v>
      </c>
      <c r="L1464" s="249">
        <v>1.9596</v>
      </c>
      <c r="M1464" s="249">
        <v>1.968</v>
      </c>
      <c r="N1464" s="249">
        <v>1.9192</v>
      </c>
      <c r="O1464" s="249">
        <v>1.9037999999999999</v>
      </c>
      <c r="P1464" s="249">
        <v>1.9037999999999999</v>
      </c>
      <c r="Q1464" s="249">
        <v>1.8904000000000001</v>
      </c>
      <c r="R1464" s="249">
        <v>1.8752</v>
      </c>
      <c r="S1464" s="249">
        <v>1.8729</v>
      </c>
      <c r="T1464" s="249">
        <v>1.8729</v>
      </c>
      <c r="U1464" s="249">
        <v>1.8653</v>
      </c>
      <c r="V1464" s="249">
        <v>1.8692</v>
      </c>
      <c r="W1464" s="249">
        <v>1.8688</v>
      </c>
      <c r="X1464" s="249">
        <v>1.8873</v>
      </c>
      <c r="Y1464" s="249">
        <v>1.8795999999999999</v>
      </c>
      <c r="Z1464" s="243">
        <f ca="1">[1]ExtEntry!$R69</f>
        <v>1.8795999999999999</v>
      </c>
      <c r="AB1464" s="316">
        <v>283790</v>
      </c>
      <c r="AC1464" s="316">
        <v>247224.75</v>
      </c>
      <c r="AD1464" s="316">
        <v>242858.75</v>
      </c>
      <c r="AE1464" s="316">
        <v>235764.00000000003</v>
      </c>
      <c r="AF1464" s="316">
        <v>227032</v>
      </c>
      <c r="AG1464" s="316">
        <v>223211.75</v>
      </c>
      <c r="AH1464" s="316">
        <v>205202</v>
      </c>
      <c r="AI1464" s="316">
        <v>212296.75</v>
      </c>
      <c r="AJ1464" s="316">
        <v>222120.25000000003</v>
      </c>
      <c r="AK1464" s="316">
        <v>223757.49999999997</v>
      </c>
      <c r="AL1464" s="316">
        <v>227032</v>
      </c>
      <c r="AM1464" s="316">
        <v>218845.75</v>
      </c>
      <c r="AN1464" s="316">
        <v>223757.49999999997</v>
      </c>
      <c r="AO1464" s="316">
        <v>226486.25000000003</v>
      </c>
      <c r="AP1464" s="316">
        <v>240130.00000000003</v>
      </c>
      <c r="AQ1464" s="316">
        <v>242858.75</v>
      </c>
      <c r="AR1464" s="316">
        <v>235764.00000000003</v>
      </c>
      <c r="AS1464" s="316">
        <v>192649.75</v>
      </c>
      <c r="AT1464" s="316">
        <v>193195.5</v>
      </c>
      <c r="AU1464" s="316">
        <v>214479.75</v>
      </c>
      <c r="AV1464" s="316">
        <f ca="1">IF(_xlfn.XLOOKUP(A1464,TabCalc[Ticker],ListExtra_n)&gt;0,             _xlfn.XLOOKUP(A1464,TabCalc[Ticker],ListExtra_n)*_xlfn.XLOOKUP(A1464,TabTRADERCorrupted[ClickTick],TabTRADERCorrupted[M])*_xlfn.XLOOKUP(A1464,TabCalc[Ticker],ListScale),               "")</f>
        <v>214479.75</v>
      </c>
      <c r="AX1464" s="86" t="str">
        <f t="shared" ca="1" si="111"/>
        <v>SAFDDD</v>
      </c>
    </row>
    <row r="1465" spans="1:50" hidden="1">
      <c r="A1465" s="86" t="str">
        <f t="shared" ca="1" si="112"/>
        <v>SAFDIS</v>
      </c>
      <c r="F1465" s="249">
        <v>1.4863999999999999</v>
      </c>
      <c r="G1465" s="249">
        <v>1.4881</v>
      </c>
      <c r="H1465" s="249">
        <v>1.4843999999999999</v>
      </c>
      <c r="I1465" s="249">
        <v>1.4917</v>
      </c>
      <c r="J1465" s="249">
        <v>1.4956</v>
      </c>
      <c r="K1465" s="249">
        <v>1.4914000000000001</v>
      </c>
      <c r="L1465" s="249">
        <v>1.4923999999999999</v>
      </c>
      <c r="M1465" s="249">
        <v>1.5003</v>
      </c>
      <c r="N1465" s="249">
        <v>1.5003</v>
      </c>
      <c r="O1465" s="249">
        <v>1.4986999999999999</v>
      </c>
      <c r="P1465" s="249">
        <v>1.4986999999999999</v>
      </c>
      <c r="Q1465" s="249">
        <v>1.4959</v>
      </c>
      <c r="R1465" s="249">
        <v>1.4451000000000001</v>
      </c>
      <c r="S1465" s="249">
        <v>1.4489000000000001</v>
      </c>
      <c r="T1465" s="249">
        <v>1.4489000000000001</v>
      </c>
      <c r="U1465" s="249">
        <v>1.4492</v>
      </c>
      <c r="V1465" s="249">
        <v>1.4507000000000001</v>
      </c>
      <c r="W1465" s="249">
        <v>1.4472</v>
      </c>
      <c r="X1465" s="249">
        <v>1.4473</v>
      </c>
      <c r="Y1465" s="249">
        <v>1.4497</v>
      </c>
      <c r="Z1465" s="243">
        <f ca="1">[1]ExtEntry!$R70</f>
        <v>1.4497</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c r="A1466" s="86" t="str">
        <f t="shared" ca="1" si="112"/>
        <v>SAFGM</v>
      </c>
      <c r="F1466" s="249">
        <v>1.3140000000000001</v>
      </c>
      <c r="G1466" s="249">
        <v>1.3099000000000001</v>
      </c>
      <c r="H1466" s="249">
        <v>1.3052999999999999</v>
      </c>
      <c r="I1466" s="249">
        <v>1.2962</v>
      </c>
      <c r="J1466" s="249">
        <v>1.3095000000000001</v>
      </c>
      <c r="K1466" s="249">
        <v>1.3051999999999999</v>
      </c>
      <c r="L1466" s="249">
        <v>1.2968</v>
      </c>
      <c r="M1466" s="249">
        <v>1.3019000000000001</v>
      </c>
      <c r="N1466" s="249">
        <v>1.2969999999999999</v>
      </c>
      <c r="O1466" s="249">
        <v>1.3024</v>
      </c>
      <c r="P1466" s="249">
        <v>1.3024</v>
      </c>
      <c r="Q1466" s="249">
        <v>1.3049999999999999</v>
      </c>
      <c r="R1466" s="249">
        <v>1.3274999999999999</v>
      </c>
      <c r="S1466" s="249">
        <v>1.3267</v>
      </c>
      <c r="T1466" s="249">
        <v>1.3267</v>
      </c>
      <c r="U1466" s="249">
        <v>1.3259000000000001</v>
      </c>
      <c r="V1466" s="249">
        <v>1.3252999999999999</v>
      </c>
      <c r="W1466" s="249">
        <v>1.3243</v>
      </c>
      <c r="X1466" s="249">
        <v>1.3218000000000001</v>
      </c>
      <c r="Y1466" s="249">
        <v>1.3228</v>
      </c>
      <c r="Z1466" s="243">
        <f ca="1">[1]ExtEntry!$R71</f>
        <v>1.3228</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c r="A1467" s="86" t="str">
        <f t="shared" ca="1" si="112"/>
        <v>SAFIAG</v>
      </c>
      <c r="F1467" s="249">
        <v>2.2967</v>
      </c>
      <c r="G1467" s="249">
        <v>2.2978000000000001</v>
      </c>
      <c r="H1467" s="249">
        <v>2.3001999999999998</v>
      </c>
      <c r="I1467" s="249">
        <v>2.2976000000000001</v>
      </c>
      <c r="J1467" s="249">
        <v>2.3203999999999998</v>
      </c>
      <c r="K1467" s="249">
        <v>2.3380999999999998</v>
      </c>
      <c r="L1467" s="249">
        <v>2.3292000000000002</v>
      </c>
      <c r="M1467" s="249">
        <v>2.3231000000000002</v>
      </c>
      <c r="N1467" s="249">
        <v>2.3149999999999999</v>
      </c>
      <c r="O1467" s="249">
        <v>2.3075999999999999</v>
      </c>
      <c r="P1467" s="249">
        <v>2.3083</v>
      </c>
      <c r="Q1467" s="249">
        <v>2.3062</v>
      </c>
      <c r="R1467" s="249">
        <v>2.3443999999999998</v>
      </c>
      <c r="S1467" s="249">
        <v>2.3462999999999998</v>
      </c>
      <c r="T1467" s="249">
        <v>2.3462999999999998</v>
      </c>
      <c r="U1467" s="249">
        <v>2.3454000000000002</v>
      </c>
      <c r="V1467" s="249">
        <v>2.3481000000000001</v>
      </c>
      <c r="W1467" s="249">
        <v>2.3433000000000002</v>
      </c>
      <c r="X1467" s="249">
        <v>2.3458000000000001</v>
      </c>
      <c r="Y1467" s="249">
        <v>2.3477000000000001</v>
      </c>
      <c r="Z1467" s="243">
        <f ca="1">[1]ExtEntry!$R72</f>
        <v>2.3477000000000001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c r="A1468" s="86" t="str">
        <f t="shared" ca="1" si="112"/>
        <v>SAFMRNA</v>
      </c>
      <c r="F1468" s="249">
        <v>1.1276999999999999</v>
      </c>
      <c r="G1468" s="249">
        <v>1.1266</v>
      </c>
      <c r="H1468" s="249">
        <v>1.1258999999999999</v>
      </c>
      <c r="I1468" s="249">
        <v>1.1197999999999999</v>
      </c>
      <c r="J1468" s="249">
        <v>1.1215999999999999</v>
      </c>
      <c r="K1468" s="249">
        <v>1.1202000000000001</v>
      </c>
      <c r="L1468" s="249">
        <v>1.1293</v>
      </c>
      <c r="M1468" s="249">
        <v>1.1528</v>
      </c>
      <c r="N1468" s="249">
        <v>1.1208</v>
      </c>
      <c r="O1468" s="249">
        <v>1.1174999999999999</v>
      </c>
      <c r="P1468" s="249">
        <v>1.1174999999999999</v>
      </c>
      <c r="Q1468" s="249">
        <v>1.1124000000000001</v>
      </c>
      <c r="R1468" s="249">
        <v>1.1959</v>
      </c>
      <c r="S1468" s="249">
        <v>1.1958</v>
      </c>
      <c r="T1468" s="249">
        <v>1.1958</v>
      </c>
      <c r="U1468" s="249">
        <v>1.1906000000000001</v>
      </c>
      <c r="V1468" s="249">
        <v>1.1837</v>
      </c>
      <c r="W1468" s="249">
        <v>1.1797</v>
      </c>
      <c r="X1468" s="249">
        <v>1.1777</v>
      </c>
      <c r="Y1468" s="249">
        <v>1.1830000000000001</v>
      </c>
      <c r="Z1468" s="243">
        <f ca="1">[1]ExtEntry!$R73</f>
        <v>1.1830000000000001</v>
      </c>
      <c r="AB1468" s="316">
        <v>106020</v>
      </c>
      <c r="AC1468" s="316">
        <v>108472.5</v>
      </c>
      <c r="AD1468" s="316">
        <v>110362.5</v>
      </c>
      <c r="AE1468" s="316">
        <v>111465</v>
      </c>
      <c r="AF1468" s="316">
        <v>112140.00000000001</v>
      </c>
      <c r="AG1468" s="316">
        <v>109260</v>
      </c>
      <c r="AH1468" s="316">
        <v>102555</v>
      </c>
      <c r="AI1468" s="316">
        <v>105727.5</v>
      </c>
      <c r="AJ1468" s="316">
        <v>112162.5</v>
      </c>
      <c r="AK1468" s="316">
        <v>112545</v>
      </c>
      <c r="AL1468" s="316">
        <v>116910</v>
      </c>
      <c r="AM1468" s="316">
        <v>109935</v>
      </c>
      <c r="AN1468" s="316">
        <v>108315</v>
      </c>
      <c r="AO1468" s="316">
        <v>110497.95</v>
      </c>
      <c r="AP1468" s="316">
        <v>113269.5</v>
      </c>
      <c r="AQ1468" s="316">
        <v>116077.50000000001</v>
      </c>
      <c r="AR1468" s="316">
        <v>124650</v>
      </c>
      <c r="AS1468" s="316">
        <v>127498.5</v>
      </c>
      <c r="AT1468" s="316">
        <v>130635</v>
      </c>
      <c r="AU1468" s="316">
        <v>133335</v>
      </c>
      <c r="AV1468" s="316">
        <f ca="1">IF(_xlfn.XLOOKUP(A1468,TabCalc[Ticker],ListExtra_n)&gt;0,             _xlfn.XLOOKUP(A1468,TabCalc[Ticker],ListExtra_n)*_xlfn.XLOOKUP(A1468,TabTRADERCorrupted[ClickTick],TabTRADERCorrupted[M])*_xlfn.XLOOKUP(A1468,TabCalc[Ticker],ListScale),               "")</f>
        <v>133335</v>
      </c>
      <c r="AX1468" s="86" t="str">
        <f t="shared" ca="1" si="111"/>
        <v>SAFMRNA</v>
      </c>
    </row>
    <row r="1469" spans="1:50" hidden="1">
      <c r="A1469" s="86" t="str">
        <f t="shared" ca="1" si="112"/>
        <v>BLNK</v>
      </c>
      <c r="F1469" s="249">
        <v>1.8866000000000001</v>
      </c>
      <c r="G1469" s="249">
        <v>1.8706</v>
      </c>
      <c r="H1469" s="249">
        <v>1.8828</v>
      </c>
      <c r="I1469" s="249">
        <v>1.89</v>
      </c>
      <c r="J1469" s="249">
        <v>1.8985000000000001</v>
      </c>
      <c r="K1469" s="249">
        <v>1.8993</v>
      </c>
      <c r="L1469" s="249">
        <v>1.9101999999999999</v>
      </c>
      <c r="M1469" s="249">
        <v>1.9179999999999999</v>
      </c>
      <c r="N1469" s="249">
        <v>1.9111</v>
      </c>
      <c r="O1469" s="249">
        <v>1.9009</v>
      </c>
      <c r="P1469" s="249">
        <v>1.9009</v>
      </c>
      <c r="Q1469" s="249">
        <v>1.8911</v>
      </c>
      <c r="R1469" s="249">
        <v>1.7316</v>
      </c>
      <c r="S1469" s="249">
        <v>1.7326999999999999</v>
      </c>
      <c r="T1469" s="249">
        <v>1.7326999999999999</v>
      </c>
      <c r="U1469" s="249">
        <v>1.7271000000000001</v>
      </c>
      <c r="V1469" s="249">
        <v>1.7379</v>
      </c>
      <c r="W1469" s="249">
        <v>1.7461</v>
      </c>
      <c r="X1469" s="249">
        <v>1.7545999999999999</v>
      </c>
      <c r="Y1469" s="249">
        <v>1.7473000000000001</v>
      </c>
      <c r="Z1469" s="243">
        <f ca="1">[1]ExtEntry!$R74</f>
        <v>1.7473000000000001</v>
      </c>
      <c r="AB1469" s="316">
        <v>147600</v>
      </c>
      <c r="AC1469" s="316">
        <v>135450</v>
      </c>
      <c r="AD1469" s="316">
        <v>143091</v>
      </c>
      <c r="AE1469" s="316">
        <v>126900</v>
      </c>
      <c r="AF1469" s="316">
        <v>126900</v>
      </c>
      <c r="AG1469" s="316">
        <v>122850</v>
      </c>
      <c r="AH1469" s="316">
        <v>121050</v>
      </c>
      <c r="AI1469" s="316">
        <v>115650</v>
      </c>
      <c r="AJ1469" s="316">
        <v>115650</v>
      </c>
      <c r="AK1469" s="316">
        <v>115200</v>
      </c>
      <c r="AL1469" s="316">
        <v>117900</v>
      </c>
      <c r="AM1469" s="316">
        <v>115650</v>
      </c>
      <c r="AN1469" s="316">
        <v>113849.99999999999</v>
      </c>
      <c r="AO1469" s="316">
        <v>112949.99999999999</v>
      </c>
      <c r="AP1469" s="316">
        <v>121500.00000000001</v>
      </c>
      <c r="AQ1469" s="316">
        <v>126450</v>
      </c>
      <c r="AR1469" s="316">
        <v>108000</v>
      </c>
      <c r="AS1469" s="316">
        <v>91349.999999999985</v>
      </c>
      <c r="AT1469" s="316">
        <v>84942</v>
      </c>
      <c r="AU1469" s="316">
        <v>79722</v>
      </c>
      <c r="AV1469" s="316">
        <f ca="1">IF(_xlfn.XLOOKUP(A1469,TabCalc[Ticker],ListExtra_n)&gt;0,             _xlfn.XLOOKUP(A1469,TabCalc[Ticker],ListExtra_n)*_xlfn.XLOOKUP(A1469,TabTRADERCorrupted[ClickTick],TabTRADERCorrupted[M])*_xlfn.XLOOKUP(A1469,TabCalc[Ticker],ListScale),               "")</f>
        <v>79722</v>
      </c>
      <c r="AX1469" s="86" t="str">
        <f t="shared" ca="1" si="111"/>
        <v>BLNK</v>
      </c>
    </row>
    <row r="1470" spans="1:50" hidden="1">
      <c r="A1470" s="86" t="str">
        <f t="shared" ca="1" si="112"/>
        <v>ENI</v>
      </c>
      <c r="F1470" s="249">
        <v>0.83050000000000002</v>
      </c>
      <c r="G1470" s="249">
        <v>0.83030000000000004</v>
      </c>
      <c r="H1470" s="249">
        <v>0.82989999999999997</v>
      </c>
      <c r="I1470" s="249">
        <v>0.82989999999999997</v>
      </c>
      <c r="J1470" s="249">
        <v>0.82989999999999997</v>
      </c>
      <c r="K1470" s="249">
        <v>0.82489999999999997</v>
      </c>
      <c r="L1470" s="249">
        <v>0.82489999999999997</v>
      </c>
      <c r="M1470" s="249">
        <v>0.82620000000000005</v>
      </c>
      <c r="N1470" s="249">
        <v>0.83209999999999995</v>
      </c>
      <c r="O1470" s="249">
        <v>0.82989999999999997</v>
      </c>
      <c r="P1470" s="249">
        <v>0.83040000000000003</v>
      </c>
      <c r="Q1470" s="249">
        <v>0.8296</v>
      </c>
      <c r="R1470" s="249">
        <v>0.82979999999999998</v>
      </c>
      <c r="S1470" s="249">
        <v>0.82989999999999997</v>
      </c>
      <c r="T1470" s="249">
        <v>0.82989999999999997</v>
      </c>
      <c r="U1470" s="249">
        <v>0.82899999999999996</v>
      </c>
      <c r="V1470" s="249">
        <v>0.83050000000000002</v>
      </c>
      <c r="W1470" s="249">
        <v>0.83069999999999999</v>
      </c>
      <c r="X1470" s="249">
        <v>0.83040000000000003</v>
      </c>
      <c r="Y1470" s="249">
        <v>0.83089999999999997</v>
      </c>
      <c r="Z1470" s="243">
        <f ca="1">[1]ExtEntry!$R75</f>
        <v>0.83089999999999997</v>
      </c>
      <c r="AB1470" s="316">
        <v>154889.60000000001</v>
      </c>
      <c r="AC1470" s="316">
        <v>154695.6</v>
      </c>
      <c r="AD1470" s="316">
        <v>154540.4</v>
      </c>
      <c r="AE1470" s="316">
        <v>159797.79999999999</v>
      </c>
      <c r="AF1470" s="316">
        <v>158692</v>
      </c>
      <c r="AG1470" s="316">
        <v>157314.6</v>
      </c>
      <c r="AH1470" s="316">
        <v>158071.19999999998</v>
      </c>
      <c r="AI1470" s="316">
        <v>156131.20000000001</v>
      </c>
      <c r="AJ1470" s="316">
        <v>123092.20000000001</v>
      </c>
      <c r="AK1470" s="316">
        <v>122661</v>
      </c>
      <c r="AL1470" s="316">
        <v>124216.40000000001</v>
      </c>
      <c r="AM1470" s="316">
        <v>124570.6</v>
      </c>
      <c r="AN1470" s="316">
        <v>124647.59999999999</v>
      </c>
      <c r="AO1470" s="316">
        <v>44031.6</v>
      </c>
      <c r="AP1470" s="316">
        <v>44150.400000000001</v>
      </c>
      <c r="AQ1470" s="316">
        <v>44145.000000000007</v>
      </c>
      <c r="AR1470" s="316">
        <v>43475.4</v>
      </c>
      <c r="AS1470" s="316">
        <v>43491.6</v>
      </c>
      <c r="AT1470" s="316">
        <v>43237.799999999996</v>
      </c>
      <c r="AU1470" s="316">
        <v>42940.800000000003</v>
      </c>
      <c r="AV1470" s="316">
        <f ca="1">IF(_xlfn.XLOOKUP(A1470,TabCalc[Ticker],ListExtra_n)&gt;0,             _xlfn.XLOOKUP(A1470,TabCalc[Ticker],ListExtra_n)*_xlfn.XLOOKUP(A1470,TabTRADERCorrupted[ClickTick],TabTRADERCorrupted[M])*_xlfn.XLOOKUP(A1470,TabCalc[Ticker],ListScale),               "")</f>
        <v>42940.800000000003</v>
      </c>
      <c r="AX1470" s="86" t="str">
        <f t="shared" ca="1" si="111"/>
        <v>ENI</v>
      </c>
    </row>
    <row r="1471" spans="1:50" hidden="1">
      <c r="A1471" s="86" t="str">
        <f t="shared" ca="1" si="112"/>
        <v>EZJ</v>
      </c>
      <c r="F1471" s="249">
        <v>2.2376</v>
      </c>
      <c r="G1471" s="249">
        <v>2.2389000000000001</v>
      </c>
      <c r="H1471" s="249">
        <v>2.2387999999999999</v>
      </c>
      <c r="I1471" s="249">
        <v>2.2389000000000001</v>
      </c>
      <c r="J1471" s="249">
        <v>2.2444999999999999</v>
      </c>
      <c r="K1471" s="249">
        <v>2.2404999999999999</v>
      </c>
      <c r="L1471" s="249">
        <v>2.2269999999999999</v>
      </c>
      <c r="M1471" s="249">
        <v>2.2349000000000001</v>
      </c>
      <c r="N1471" s="249">
        <v>2.2313000000000001</v>
      </c>
      <c r="O1471" s="249">
        <v>2.2345000000000002</v>
      </c>
      <c r="P1471" s="249">
        <v>2.2347999999999999</v>
      </c>
      <c r="Q1471" s="249">
        <v>2.2326999999999999</v>
      </c>
      <c r="R1471" s="249">
        <v>2.2570000000000001</v>
      </c>
      <c r="S1471" s="249">
        <v>2.2572000000000001</v>
      </c>
      <c r="T1471" s="249">
        <v>2.2572000000000001</v>
      </c>
      <c r="U1471" s="249">
        <v>2.2597</v>
      </c>
      <c r="V1471" s="249">
        <v>2.2568999999999999</v>
      </c>
      <c r="W1471" s="249">
        <v>2.2578</v>
      </c>
      <c r="X1471" s="249">
        <v>2.2614999999999998</v>
      </c>
      <c r="Y1471" s="249">
        <v>2.2629999999999999</v>
      </c>
      <c r="Z1471" s="243">
        <f ca="1">[1]ExtEntry!$R76</f>
        <v>2.2629999999999999</v>
      </c>
      <c r="AB1471" s="316">
        <v>51120.959999999999</v>
      </c>
      <c r="AC1471" s="316">
        <v>50529.599999999999</v>
      </c>
      <c r="AD1471" s="316">
        <v>49779.840000000004</v>
      </c>
      <c r="AE1471" s="316">
        <v>49547.520000000004</v>
      </c>
      <c r="AF1471" s="316">
        <v>47921.279999999999</v>
      </c>
      <c r="AG1471" s="316">
        <v>48797.760000000002</v>
      </c>
      <c r="AH1471" s="316">
        <v>48364.800000000003</v>
      </c>
      <c r="AI1471" s="316">
        <v>48977.279999999999</v>
      </c>
      <c r="AJ1471" s="316">
        <v>51004.800000000003</v>
      </c>
      <c r="AK1471" s="316">
        <v>51216</v>
      </c>
      <c r="AL1471" s="316">
        <v>52736.639999999999</v>
      </c>
      <c r="AM1471" s="316">
        <v>52113.599999999999</v>
      </c>
      <c r="AN1471" s="316">
        <v>52018.559999999998</v>
      </c>
      <c r="AO1471" s="316">
        <v>51627.840000000004</v>
      </c>
      <c r="AP1471" s="316">
        <v>51268.800000000003</v>
      </c>
      <c r="AQ1471" s="316">
        <v>51659.520000000004</v>
      </c>
      <c r="AR1471" s="316">
        <v>51712.32</v>
      </c>
      <c r="AS1471" s="316">
        <v>50508.480000000003</v>
      </c>
      <c r="AT1471" s="316">
        <v>50307.840000000004</v>
      </c>
      <c r="AU1471" s="316">
        <v>51226.559999999998</v>
      </c>
      <c r="AV1471" s="316">
        <f ca="1">IF(_xlfn.XLOOKUP(A1471,TabCalc[Ticker],ListExtra_n)&gt;0,             _xlfn.XLOOKUP(A1471,TabCalc[Ticker],ListExtra_n)*_xlfn.XLOOKUP(A1471,TabTRADERCorrupted[ClickTick],TabTRADERCorrupted[M])*_xlfn.XLOOKUP(A1471,TabCalc[Ticker],ListScale),               "")</f>
        <v>51226.559999999998</v>
      </c>
      <c r="AX1471" s="86" t="str">
        <f t="shared" ca="1" si="111"/>
        <v>EZJ</v>
      </c>
    </row>
    <row r="1472" spans="1:50" hidden="1">
      <c r="A1472" s="86" t="str">
        <f t="shared" ca="1" si="112"/>
        <v>F</v>
      </c>
      <c r="F1472" s="249">
        <v>1.603</v>
      </c>
      <c r="G1472" s="249">
        <v>1.5999000000000001</v>
      </c>
      <c r="H1472" s="249">
        <v>1.5939000000000001</v>
      </c>
      <c r="I1472" s="249">
        <v>1.5927</v>
      </c>
      <c r="J1472" s="249">
        <v>1.5994999999999999</v>
      </c>
      <c r="K1472" s="249">
        <v>1.5908</v>
      </c>
      <c r="L1472" s="249">
        <v>1.587</v>
      </c>
      <c r="M1472" s="249">
        <v>1.6032999999999999</v>
      </c>
      <c r="N1472" s="249">
        <v>1.5971</v>
      </c>
      <c r="O1472" s="249">
        <v>1.5999000000000001</v>
      </c>
      <c r="P1472" s="249">
        <v>1.5999000000000001</v>
      </c>
      <c r="Q1472" s="249">
        <v>1.6007</v>
      </c>
      <c r="R1472" s="249">
        <v>1.6205000000000001</v>
      </c>
      <c r="S1472" s="249">
        <v>1.6229</v>
      </c>
      <c r="T1472" s="249">
        <v>1.6229</v>
      </c>
      <c r="U1472" s="249">
        <v>1.6220000000000001</v>
      </c>
      <c r="V1472" s="249">
        <v>1.6224000000000001</v>
      </c>
      <c r="W1472" s="249">
        <v>1.6215999999999999</v>
      </c>
      <c r="X1472" s="249">
        <v>1.6220000000000001</v>
      </c>
      <c r="Y1472" s="249">
        <v>1.6207</v>
      </c>
      <c r="Z1472" s="243">
        <f ca="1">[1]ExtEntry!$R77</f>
        <v>1.6207</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c r="A1473" s="86" t="str">
        <f t="shared" ca="1" si="112"/>
        <v>GLE</v>
      </c>
      <c r="F1473" s="249">
        <v>1.389</v>
      </c>
      <c r="G1473" s="249">
        <v>1.3888</v>
      </c>
      <c r="H1473" s="249">
        <v>1.3861000000000001</v>
      </c>
      <c r="I1473" s="249">
        <v>1.3906000000000001</v>
      </c>
      <c r="J1473" s="249">
        <v>1.3869</v>
      </c>
      <c r="K1473" s="249">
        <v>1.3862000000000001</v>
      </c>
      <c r="L1473" s="249">
        <v>1.375</v>
      </c>
      <c r="M1473" s="249">
        <v>1.3704000000000001</v>
      </c>
      <c r="N1473" s="249">
        <v>1.3667</v>
      </c>
      <c r="O1473" s="249">
        <v>1.3708</v>
      </c>
      <c r="P1473" s="249">
        <v>1.3788</v>
      </c>
      <c r="Q1473" s="249">
        <v>1.3791</v>
      </c>
      <c r="R1473" s="249">
        <v>1.3816999999999999</v>
      </c>
      <c r="S1473" s="249">
        <v>1.381</v>
      </c>
      <c r="T1473" s="249">
        <v>1.381</v>
      </c>
      <c r="U1473" s="249">
        <v>1.3815</v>
      </c>
      <c r="V1473" s="249">
        <v>1.3809</v>
      </c>
      <c r="W1473" s="249">
        <v>1.3792</v>
      </c>
      <c r="X1473" s="249">
        <v>1.3784000000000001</v>
      </c>
      <c r="Y1473" s="249">
        <v>1.3729</v>
      </c>
      <c r="Z1473" s="243">
        <f ca="1">[1]ExtEntry!$R78</f>
        <v>1.3729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c r="A1474" s="86" t="str">
        <f t="shared" ca="1" si="112"/>
        <v>GNRC</v>
      </c>
      <c r="F1474" s="249">
        <v>1.8173999999999999</v>
      </c>
      <c r="G1474" s="249">
        <v>1.8148</v>
      </c>
      <c r="H1474" s="249">
        <v>1.8205</v>
      </c>
      <c r="I1474" s="249">
        <v>1.8196000000000001</v>
      </c>
      <c r="J1474" s="249">
        <v>1.8394999999999999</v>
      </c>
      <c r="K1474" s="249">
        <v>1.8402000000000001</v>
      </c>
      <c r="L1474" s="249">
        <v>1.8301000000000001</v>
      </c>
      <c r="M1474" s="249">
        <v>1.8455999999999999</v>
      </c>
      <c r="N1474" s="249">
        <v>1.8268</v>
      </c>
      <c r="O1474" s="249">
        <v>1.8232999999999999</v>
      </c>
      <c r="P1474" s="249">
        <v>1.8232999999999999</v>
      </c>
      <c r="Q1474" s="249">
        <v>1.8183</v>
      </c>
      <c r="R1474" s="249">
        <v>1.8167</v>
      </c>
      <c r="S1474" s="249">
        <v>1.8125</v>
      </c>
      <c r="T1474" s="249">
        <v>1.8125</v>
      </c>
      <c r="U1474" s="249">
        <v>1.8117000000000001</v>
      </c>
      <c r="V1474" s="249">
        <v>1.8123</v>
      </c>
      <c r="W1474" s="249">
        <v>1.8081</v>
      </c>
      <c r="X1474" s="249">
        <v>1.81</v>
      </c>
      <c r="Y1474" s="249">
        <v>1.8128</v>
      </c>
      <c r="Z1474" s="243">
        <f ca="1">[1]ExtEntry!$R79</f>
        <v>1.8128</v>
      </c>
      <c r="AB1474" s="316">
        <v>55713</v>
      </c>
      <c r="AC1474" s="316">
        <v>53735.5</v>
      </c>
      <c r="AD1474" s="316">
        <v>54117</v>
      </c>
      <c r="AE1474" s="316">
        <v>52888.500000000007</v>
      </c>
      <c r="AF1474" s="316">
        <v>49861</v>
      </c>
      <c r="AG1474" s="316">
        <v>51411.499999999993</v>
      </c>
      <c r="AH1474" s="316">
        <v>49616</v>
      </c>
      <c r="AI1474" s="316">
        <v>51495.5</v>
      </c>
      <c r="AJ1474" s="316">
        <v>52507</v>
      </c>
      <c r="AK1474" s="316">
        <v>52094</v>
      </c>
      <c r="AL1474" s="316">
        <v>53070.5</v>
      </c>
      <c r="AM1474" s="316">
        <v>52969</v>
      </c>
      <c r="AN1474" s="316">
        <v>54348</v>
      </c>
      <c r="AO1474" s="316">
        <v>55596.869999999995</v>
      </c>
      <c r="AP1474" s="316">
        <v>55721.750000000007</v>
      </c>
      <c r="AQ1474" s="316">
        <v>57546.999999999993</v>
      </c>
      <c r="AR1474" s="316">
        <v>56808.5</v>
      </c>
      <c r="AS1474" s="316">
        <v>56655.375</v>
      </c>
      <c r="AT1474" s="316">
        <v>58317</v>
      </c>
      <c r="AU1474" s="316">
        <v>58705.5</v>
      </c>
      <c r="AV1474" s="316">
        <f ca="1">IF(_xlfn.XLOOKUP(A1474,TabCalc[Ticker],ListExtra_n)&gt;0,             _xlfn.XLOOKUP(A1474,TabCalc[Ticker],ListExtra_n)*_xlfn.XLOOKUP(A1474,TabTRADERCorrupted[ClickTick],TabTRADERCorrupted[M])*_xlfn.XLOOKUP(A1474,TabCalc[Ticker],ListScale),               "")</f>
        <v>58705.5</v>
      </c>
      <c r="AX1474" s="86" t="str">
        <f t="shared" ca="1" si="111"/>
        <v>GNRC</v>
      </c>
    </row>
    <row r="1475" spans="1:70" hidden="1">
      <c r="A1475" s="86" t="str">
        <f t="shared" ca="1" si="112"/>
        <v>GS</v>
      </c>
      <c r="F1475" s="249">
        <v>1.3489</v>
      </c>
      <c r="G1475" s="249">
        <v>1.3493999999999999</v>
      </c>
      <c r="H1475" s="249">
        <v>1.3469</v>
      </c>
      <c r="I1475" s="249">
        <v>1.3427</v>
      </c>
      <c r="J1475" s="249">
        <v>1.3513999999999999</v>
      </c>
      <c r="K1475" s="249">
        <v>1.3475999999999999</v>
      </c>
      <c r="L1475" s="249">
        <v>1.3382000000000001</v>
      </c>
      <c r="M1475" s="249">
        <v>1.3464</v>
      </c>
      <c r="N1475" s="249">
        <v>1.3456999999999999</v>
      </c>
      <c r="O1475" s="249">
        <v>1.3460000000000001</v>
      </c>
      <c r="P1475" s="249">
        <v>1.3460000000000001</v>
      </c>
      <c r="Q1475" s="249">
        <v>1.3469</v>
      </c>
      <c r="R1475" s="249">
        <v>1.33</v>
      </c>
      <c r="S1475" s="249">
        <v>1.3292999999999999</v>
      </c>
      <c r="T1475" s="249">
        <v>1.3292999999999999</v>
      </c>
      <c r="U1475" s="249">
        <v>1.3268</v>
      </c>
      <c r="V1475" s="249">
        <v>1.3255999999999999</v>
      </c>
      <c r="W1475" s="249">
        <v>1.323</v>
      </c>
      <c r="X1475" s="249">
        <v>1.3211999999999999</v>
      </c>
      <c r="Y1475" s="249">
        <v>1.3242</v>
      </c>
      <c r="Z1475" s="243">
        <f ca="1">[1]ExtEntry!$R80</f>
        <v>1.3242</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c r="A1476" s="86" t="str">
        <f t="shared" ca="1" si="112"/>
        <v>LAZR</v>
      </c>
      <c r="F1476" s="249">
        <v>1.4121999999999999</v>
      </c>
      <c r="G1476" s="249">
        <v>1.4362999999999999</v>
      </c>
      <c r="H1476" s="249">
        <v>1.4366000000000001</v>
      </c>
      <c r="I1476" s="249">
        <v>1.4576</v>
      </c>
      <c r="J1476" s="249">
        <v>1.4885999999999999</v>
      </c>
      <c r="K1476" s="249">
        <v>1.5044</v>
      </c>
      <c r="L1476" s="249">
        <v>1.4961</v>
      </c>
      <c r="M1476" s="249">
        <v>1.4964999999999999</v>
      </c>
      <c r="N1476" s="249">
        <v>1.5043</v>
      </c>
      <c r="O1476" s="249">
        <v>1.4905999999999999</v>
      </c>
      <c r="P1476" s="249">
        <v>1.4905999999999999</v>
      </c>
      <c r="Q1476" s="249">
        <v>1.4744999999999999</v>
      </c>
      <c r="R1476" s="249">
        <v>1.2632000000000001</v>
      </c>
      <c r="S1476" s="249">
        <v>1.2704</v>
      </c>
      <c r="T1476" s="249">
        <v>1.2704</v>
      </c>
      <c r="U1476" s="249">
        <v>1.2644</v>
      </c>
      <c r="V1476" s="249">
        <v>1.2624</v>
      </c>
      <c r="W1476" s="249">
        <v>1.2649999999999999</v>
      </c>
      <c r="X1476" s="249">
        <v>1.2658</v>
      </c>
      <c r="Y1476" s="249">
        <v>1.2682</v>
      </c>
      <c r="Z1476" s="243">
        <f ca="1">[1]ExtEntry!$R81</f>
        <v>1.2682</v>
      </c>
      <c r="AB1476" s="316">
        <v>12604.6</v>
      </c>
      <c r="AC1476" s="316">
        <v>12079.0695</v>
      </c>
      <c r="AD1476" s="316">
        <v>12655.425000000001</v>
      </c>
      <c r="AE1476" s="316">
        <v>10266.65</v>
      </c>
      <c r="AF1476" s="316">
        <v>8803.9064999999991</v>
      </c>
      <c r="AG1476" s="316">
        <v>9004.1570000000011</v>
      </c>
      <c r="AH1476" s="316">
        <v>9388.3940000000002</v>
      </c>
      <c r="AI1476" s="316">
        <v>8901.4904999999999</v>
      </c>
      <c r="AJ1476" s="316">
        <v>8400.3559999999998</v>
      </c>
      <c r="AK1476" s="316">
        <v>8294.64</v>
      </c>
      <c r="AL1476" s="316">
        <v>9212.5395000000008</v>
      </c>
      <c r="AM1476" s="316">
        <v>8955.3649999999998</v>
      </c>
      <c r="AN1476" s="316">
        <v>8395.2734999999993</v>
      </c>
      <c r="AO1476" s="316">
        <v>8335.2999999999993</v>
      </c>
      <c r="AP1476" s="316">
        <v>8930.969000000001</v>
      </c>
      <c r="AQ1476" s="316">
        <v>11036.140500000001</v>
      </c>
      <c r="AR1476" s="316">
        <v>9449.384</v>
      </c>
      <c r="AS1476" s="316">
        <v>8950.2824999999993</v>
      </c>
      <c r="AT1476" s="316">
        <v>8879.1275000000005</v>
      </c>
      <c r="AU1476" s="316">
        <v>9821.4229999999989</v>
      </c>
      <c r="AV1476" s="316">
        <f ca="1">IF(_xlfn.XLOOKUP(A1476,TabCalc[Ticker],ListExtra_n)&gt;0,             _xlfn.XLOOKUP(A1476,TabCalc[Ticker],ListExtra_n)*_xlfn.XLOOKUP(A1476,TabTRADERCorrupted[ClickTick],TabTRADERCorrupted[M])*_xlfn.XLOOKUP(A1476,TabCalc[Ticker],ListScale),               "")</f>
        <v>9821.4229999999989</v>
      </c>
      <c r="AX1476" s="86" t="str">
        <f t="shared" ca="1" si="111"/>
        <v>LAZR</v>
      </c>
    </row>
    <row r="1477" spans="1:70" hidden="1">
      <c r="A1477" s="86" t="str">
        <f t="shared" ca="1" si="112"/>
        <v>LUV</v>
      </c>
      <c r="F1477" s="249">
        <v>1.1802999999999999</v>
      </c>
      <c r="G1477" s="249">
        <v>1.171</v>
      </c>
      <c r="H1477" s="249">
        <v>1.1620999999999999</v>
      </c>
      <c r="I1477" s="249">
        <v>1.1527000000000001</v>
      </c>
      <c r="J1477" s="249">
        <v>1.1614</v>
      </c>
      <c r="K1477" s="249">
        <v>1.1503000000000001</v>
      </c>
      <c r="L1477" s="249">
        <v>1.1404000000000001</v>
      </c>
      <c r="M1477" s="249">
        <v>1.1539999999999999</v>
      </c>
      <c r="N1477" s="249">
        <v>1.1495</v>
      </c>
      <c r="O1477" s="249">
        <v>1.1571</v>
      </c>
      <c r="P1477" s="249">
        <v>1.1571</v>
      </c>
      <c r="Q1477" s="249">
        <v>1.1667000000000001</v>
      </c>
      <c r="R1477" s="249">
        <v>1.1698</v>
      </c>
      <c r="S1477" s="249">
        <v>1.1680999999999999</v>
      </c>
      <c r="T1477" s="249">
        <v>1.1680999999999999</v>
      </c>
      <c r="U1477" s="249">
        <v>1.1687000000000001</v>
      </c>
      <c r="V1477" s="249">
        <v>1.1655</v>
      </c>
      <c r="W1477" s="249">
        <v>1.1617999999999999</v>
      </c>
      <c r="X1477" s="249">
        <v>1.1603000000000001</v>
      </c>
      <c r="Y1477" s="249">
        <v>1.1648000000000001</v>
      </c>
      <c r="Z1477" s="243">
        <f ca="1">[1]ExtEntry!$R82</f>
        <v>1.1648000000000001</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c r="A1478" s="86" t="str">
        <f t="shared" ca="1" si="112"/>
        <v>MA</v>
      </c>
      <c r="F1478" s="249">
        <v>0.86539999999999995</v>
      </c>
      <c r="G1478" s="249">
        <v>0.86609999999999998</v>
      </c>
      <c r="H1478" s="249">
        <v>0.8629</v>
      </c>
      <c r="I1478" s="249">
        <v>0.86280000000000001</v>
      </c>
      <c r="J1478" s="249">
        <v>0.87070000000000003</v>
      </c>
      <c r="K1478" s="249">
        <v>0.87460000000000004</v>
      </c>
      <c r="L1478" s="249">
        <v>0.87150000000000005</v>
      </c>
      <c r="M1478" s="249">
        <v>0.87390000000000001</v>
      </c>
      <c r="N1478" s="249">
        <v>0.86739999999999995</v>
      </c>
      <c r="O1478" s="249">
        <v>0.86860000000000004</v>
      </c>
      <c r="P1478" s="249">
        <v>0.86860000000000004</v>
      </c>
      <c r="Q1478" s="249">
        <v>0.86770000000000003</v>
      </c>
      <c r="R1478" s="249">
        <v>0.86209999999999998</v>
      </c>
      <c r="S1478" s="249">
        <v>0.86180000000000001</v>
      </c>
      <c r="T1478" s="249">
        <v>0.86180000000000001</v>
      </c>
      <c r="U1478" s="249">
        <v>0.86050000000000004</v>
      </c>
      <c r="V1478" s="249">
        <v>0.8619</v>
      </c>
      <c r="W1478" s="249">
        <v>0.8629</v>
      </c>
      <c r="X1478" s="249">
        <v>0.86350000000000005</v>
      </c>
      <c r="Y1478" s="249">
        <v>0.86240000000000006</v>
      </c>
      <c r="Z1478" s="243">
        <f ca="1">[1]ExtEntry!$R83</f>
        <v>0.86240000000000006</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c r="A1479" s="86" t="str">
        <f t="shared" ca="1" si="112"/>
        <v>NVAX</v>
      </c>
      <c r="F1479" s="249">
        <v>2.3062</v>
      </c>
      <c r="G1479" s="249">
        <v>2.3022999999999998</v>
      </c>
      <c r="H1479" s="249">
        <v>2.3031999999999999</v>
      </c>
      <c r="I1479" s="249">
        <v>2.3184999999999998</v>
      </c>
      <c r="J1479" s="249">
        <v>2.3260000000000001</v>
      </c>
      <c r="K1479" s="249">
        <v>2.3382000000000001</v>
      </c>
      <c r="L1479" s="249">
        <v>2.3508</v>
      </c>
      <c r="M1479" s="249">
        <v>2.3544</v>
      </c>
      <c r="N1479" s="249">
        <v>2.3254999999999999</v>
      </c>
      <c r="O1479" s="249">
        <v>2.3142</v>
      </c>
      <c r="P1479" s="249">
        <v>2.3142</v>
      </c>
      <c r="Q1479" s="249">
        <v>2.3077999999999999</v>
      </c>
      <c r="R1479" s="249">
        <v>2.3702999999999999</v>
      </c>
      <c r="S1479" s="249">
        <v>2.3721999999999999</v>
      </c>
      <c r="T1479" s="249">
        <v>2.3721999999999999</v>
      </c>
      <c r="U1479" s="249">
        <v>2.3687</v>
      </c>
      <c r="V1479" s="249">
        <v>2.3683000000000001</v>
      </c>
      <c r="W1479" s="249">
        <v>2.3694999999999999</v>
      </c>
      <c r="X1479" s="249">
        <v>2.3712</v>
      </c>
      <c r="Y1479" s="249">
        <v>2.3696999999999999</v>
      </c>
      <c r="Z1479" s="243">
        <f ca="1">[1]ExtEntry!$R84</f>
        <v>2.3696999999999999</v>
      </c>
      <c r="AB1479" s="316">
        <v>29222</v>
      </c>
      <c r="AC1479" s="316">
        <v>29260.38</v>
      </c>
      <c r="AD1479" s="316">
        <v>28154.2</v>
      </c>
      <c r="AE1479" s="316">
        <v>26486</v>
      </c>
      <c r="AF1479" s="316">
        <v>11826</v>
      </c>
      <c r="AG1479" s="316">
        <v>11511</v>
      </c>
      <c r="AH1479" s="316">
        <v>11223</v>
      </c>
      <c r="AI1479" s="316">
        <v>11655</v>
      </c>
      <c r="AJ1479" s="316">
        <v>12375</v>
      </c>
      <c r="AK1479" s="316">
        <v>12510</v>
      </c>
      <c r="AL1479" s="316">
        <v>12690</v>
      </c>
      <c r="AM1479" s="316">
        <v>12195</v>
      </c>
      <c r="AN1479" s="316">
        <v>11889</v>
      </c>
      <c r="AO1479" s="316">
        <v>12194.460000000001</v>
      </c>
      <c r="AP1479" s="316">
        <v>12312</v>
      </c>
      <c r="AQ1479" s="316">
        <v>12285</v>
      </c>
      <c r="AR1479" s="316">
        <v>12438</v>
      </c>
      <c r="AS1479" s="316">
        <v>12240</v>
      </c>
      <c r="AT1479" s="316">
        <v>12132</v>
      </c>
      <c r="AU1479" s="316">
        <v>12042</v>
      </c>
      <c r="AV1479" s="316">
        <f ca="1">IF(_xlfn.XLOOKUP(A1479,TabCalc[Ticker],ListExtra_n)&gt;0,             _xlfn.XLOOKUP(A1479,TabCalc[Ticker],ListExtra_n)*_xlfn.XLOOKUP(A1479,TabTRADERCorrupted[ClickTick],TabTRADERCorrupted[M])*_xlfn.XLOOKUP(A1479,TabCalc[Ticker],ListScale),               "")</f>
        <v>12042</v>
      </c>
      <c r="AX1479" s="86" t="str">
        <f t="shared" ca="1" si="111"/>
        <v>NVAX</v>
      </c>
    </row>
    <row r="1480" spans="1:70" hidden="1">
      <c r="A1480" s="86" t="str">
        <f t="shared" ca="1" si="112"/>
        <v>NVS</v>
      </c>
      <c r="F1480" s="249">
        <v>0.51480000000000004</v>
      </c>
      <c r="G1480" s="249">
        <v>0.51490000000000002</v>
      </c>
      <c r="H1480" s="249">
        <v>0.50970000000000004</v>
      </c>
      <c r="I1480" s="249">
        <v>0.50060000000000004</v>
      </c>
      <c r="J1480" s="249">
        <v>0.50090000000000001</v>
      </c>
      <c r="K1480" s="249">
        <v>0.50309999999999999</v>
      </c>
      <c r="L1480" s="249">
        <v>0.50060000000000004</v>
      </c>
      <c r="M1480" s="249">
        <v>0.51100000000000001</v>
      </c>
      <c r="N1480" s="249">
        <v>0.50619999999999998</v>
      </c>
      <c r="O1480" s="249">
        <v>0.50990000000000002</v>
      </c>
      <c r="P1480" s="249">
        <v>0.50990000000000002</v>
      </c>
      <c r="Q1480" s="249">
        <v>0.51270000000000004</v>
      </c>
      <c r="R1480" s="249">
        <v>0.50990000000000002</v>
      </c>
      <c r="S1480" s="249">
        <v>0.50670000000000004</v>
      </c>
      <c r="T1480" s="249">
        <v>0.50670000000000004</v>
      </c>
      <c r="U1480" s="249">
        <v>0.50619999999999998</v>
      </c>
      <c r="V1480" s="249">
        <v>0.50780000000000003</v>
      </c>
      <c r="W1480" s="249">
        <v>0.50880000000000003</v>
      </c>
      <c r="X1480" s="249">
        <v>0.5081</v>
      </c>
      <c r="Y1480" s="249">
        <v>0.50839999999999996</v>
      </c>
      <c r="Z1480" s="243">
        <f ca="1">[1]ExtEntry!$R85</f>
        <v>0.50839999999999996</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c r="A1481" s="86" t="str">
        <f t="shared" ca="1" si="112"/>
        <v>ORA</v>
      </c>
      <c r="F1481" s="249">
        <v>0.24</v>
      </c>
      <c r="G1481" s="249">
        <v>0.24049999999999999</v>
      </c>
      <c r="H1481" s="249">
        <v>0.2382</v>
      </c>
      <c r="I1481" s="249">
        <v>0.24099999999999999</v>
      </c>
      <c r="J1481" s="249">
        <v>0.2387</v>
      </c>
      <c r="K1481" s="249">
        <v>0.23849999999999999</v>
      </c>
      <c r="L1481" s="249">
        <v>0.23980000000000001</v>
      </c>
      <c r="M1481" s="249">
        <v>0.2422</v>
      </c>
      <c r="N1481" s="249">
        <v>0.23710000000000001</v>
      </c>
      <c r="O1481" s="249">
        <v>0.23569999999999999</v>
      </c>
      <c r="P1481" s="249">
        <v>0.23719999999999999</v>
      </c>
      <c r="Q1481" s="249">
        <v>0.2366</v>
      </c>
      <c r="R1481" s="249">
        <v>0.2361</v>
      </c>
      <c r="S1481" s="249">
        <v>0.23760000000000001</v>
      </c>
      <c r="T1481" s="249">
        <v>0.23760000000000001</v>
      </c>
      <c r="U1481" s="249">
        <v>0.23769999999999999</v>
      </c>
      <c r="V1481" s="249">
        <v>0.2389</v>
      </c>
      <c r="W1481" s="249">
        <v>0.2394</v>
      </c>
      <c r="X1481" s="249">
        <v>0.2397</v>
      </c>
      <c r="Y1481" s="249">
        <v>0.2427</v>
      </c>
      <c r="Z1481" s="243">
        <f ca="1">[1]ExtEntry!$R86</f>
        <v>0.2427</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c r="A1482" s="86" t="str">
        <f t="shared" ca="1" si="112"/>
        <v>OXY</v>
      </c>
      <c r="F1482" s="249">
        <v>0.39989999999999998</v>
      </c>
      <c r="G1482" s="249">
        <v>0.40010000000000001</v>
      </c>
      <c r="H1482" s="249">
        <v>0.40039999999999998</v>
      </c>
      <c r="I1482" s="249">
        <v>0.39019999999999999</v>
      </c>
      <c r="J1482" s="249">
        <v>0.3921</v>
      </c>
      <c r="K1482" s="249">
        <v>0.3846</v>
      </c>
      <c r="L1482" s="249">
        <v>0.39169999999999999</v>
      </c>
      <c r="M1482" s="249">
        <v>0.39429999999999998</v>
      </c>
      <c r="N1482" s="249">
        <v>0.39379999999999998</v>
      </c>
      <c r="O1482" s="249">
        <v>0.39360000000000001</v>
      </c>
      <c r="P1482" s="249">
        <v>0.39360000000000001</v>
      </c>
      <c r="Q1482" s="249">
        <v>0.39200000000000002</v>
      </c>
      <c r="R1482" s="249">
        <v>0.37769999999999998</v>
      </c>
      <c r="S1482" s="249">
        <v>0.37869999999999998</v>
      </c>
      <c r="T1482" s="249">
        <v>0.37869999999999998</v>
      </c>
      <c r="U1482" s="249">
        <v>0.37730000000000002</v>
      </c>
      <c r="V1482" s="249">
        <v>0.37719999999999998</v>
      </c>
      <c r="W1482" s="249">
        <v>0.37990000000000002</v>
      </c>
      <c r="X1482" s="249">
        <v>0.37959999999999999</v>
      </c>
      <c r="Y1482" s="249">
        <v>0.37790000000000001</v>
      </c>
      <c r="Z1482" s="243">
        <f ca="1">[1]ExtEntry!$R87</f>
        <v>0.37790000000000001</v>
      </c>
      <c r="AB1482" s="316">
        <v>115347.5</v>
      </c>
      <c r="AC1482" s="316">
        <v>116783.00000000001</v>
      </c>
      <c r="AD1482" s="316">
        <v>119448.97</v>
      </c>
      <c r="AE1482" s="316">
        <v>124033.00000000001</v>
      </c>
      <c r="AF1482" s="316">
        <v>123293.5</v>
      </c>
      <c r="AG1482" s="316">
        <v>120306.5</v>
      </c>
      <c r="AH1482" s="316">
        <v>119857</v>
      </c>
      <c r="AI1482" s="316">
        <v>119857</v>
      </c>
      <c r="AJ1482" s="316">
        <v>120741.5</v>
      </c>
      <c r="AK1482" s="316">
        <v>120103.5</v>
      </c>
      <c r="AL1482" s="316">
        <v>121771</v>
      </c>
      <c r="AM1482" s="316">
        <v>123873.79</v>
      </c>
      <c r="AN1482" s="316">
        <v>121698.50000000001</v>
      </c>
      <c r="AO1482" s="316">
        <v>122858.5</v>
      </c>
      <c r="AP1482" s="316">
        <v>123177.5</v>
      </c>
      <c r="AQ1482" s="316">
        <v>123743</v>
      </c>
      <c r="AR1482" s="316">
        <v>123047</v>
      </c>
      <c r="AS1482" s="316">
        <v>120973.50000000001</v>
      </c>
      <c r="AT1482" s="316">
        <v>121075</v>
      </c>
      <c r="AU1482" s="316">
        <v>119480.00000000001</v>
      </c>
      <c r="AV1482" s="316">
        <f ca="1">IF(_xlfn.XLOOKUP(A1482,TabCalc[Ticker],ListExtra_n)&gt;0,             _xlfn.XLOOKUP(A1482,TabCalc[Ticker],ListExtra_n)*_xlfn.XLOOKUP(A1482,TabTRADERCorrupted[ClickTick],TabTRADERCorrupted[M])*_xlfn.XLOOKUP(A1482,TabCalc[Ticker],ListScale),               "")</f>
        <v>119480.00000000001</v>
      </c>
      <c r="AX1482" s="86" t="str">
        <f t="shared" ca="1" si="111"/>
        <v>OXY</v>
      </c>
      <c r="BQ1482" t="s">
        <v>190</v>
      </c>
      <c r="BR1482" t="s">
        <v>2186</v>
      </c>
    </row>
    <row r="1483" spans="1:70" hidden="1">
      <c r="A1483" s="86" t="str">
        <f t="shared" ca="1" si="112"/>
        <v>PFE</v>
      </c>
      <c r="F1483" s="249">
        <v>0.42470000000000002</v>
      </c>
      <c r="G1483" s="249">
        <v>0.4229</v>
      </c>
      <c r="H1483" s="249">
        <v>0.41820000000000002</v>
      </c>
      <c r="I1483" s="249">
        <v>0.41010000000000002</v>
      </c>
      <c r="J1483" s="249">
        <v>0.41660000000000003</v>
      </c>
      <c r="K1483" s="249">
        <v>0.40799999999999997</v>
      </c>
      <c r="L1483" s="249">
        <v>0.41199999999999998</v>
      </c>
      <c r="M1483" s="249">
        <v>0.4204</v>
      </c>
      <c r="N1483" s="249">
        <v>0.41320000000000001</v>
      </c>
      <c r="O1483" s="249">
        <v>0.41710000000000003</v>
      </c>
      <c r="P1483" s="249">
        <v>0.41710000000000003</v>
      </c>
      <c r="Q1483" s="249">
        <v>0.41980000000000001</v>
      </c>
      <c r="R1483" s="249">
        <v>0.43140000000000001</v>
      </c>
      <c r="S1483" s="249">
        <v>0.43190000000000001</v>
      </c>
      <c r="T1483" s="249">
        <v>0.43190000000000001</v>
      </c>
      <c r="U1483" s="249">
        <v>0.43009999999999998</v>
      </c>
      <c r="V1483" s="249">
        <v>0.42899999999999999</v>
      </c>
      <c r="W1483" s="249">
        <v>0.42930000000000001</v>
      </c>
      <c r="X1483" s="249">
        <v>0.43109999999999998</v>
      </c>
      <c r="Y1483" s="249">
        <v>0.4299</v>
      </c>
      <c r="Z1483" s="243">
        <f ca="1">[1]ExtEntry!$R88</f>
        <v>0.4299</v>
      </c>
      <c r="AB1483" s="316">
        <v>7390.5000000000009</v>
      </c>
      <c r="AC1483" s="316">
        <v>7462.5</v>
      </c>
      <c r="AD1483" s="316">
        <v>7312.5</v>
      </c>
      <c r="AE1483" s="316">
        <v>7525.5</v>
      </c>
      <c r="AF1483" s="316">
        <v>7635</v>
      </c>
      <c r="AG1483" s="316">
        <v>7504.5</v>
      </c>
      <c r="AH1483" s="316"/>
      <c r="AI1483" s="316"/>
      <c r="AJ1483" s="316">
        <v>17993.5</v>
      </c>
      <c r="AK1483" s="316">
        <v>17997</v>
      </c>
      <c r="AL1483" s="316">
        <v>17997</v>
      </c>
      <c r="AM1483" s="316">
        <v>17755.5</v>
      </c>
      <c r="AN1483" s="316">
        <v>17615.5</v>
      </c>
      <c r="AO1483" s="316">
        <v>17979.5</v>
      </c>
      <c r="AP1483" s="316">
        <v>17929.099999999999</v>
      </c>
      <c r="AQ1483" s="316">
        <v>17927</v>
      </c>
      <c r="AR1483" s="316">
        <v>18214</v>
      </c>
      <c r="AS1483" s="316">
        <v>17902.5</v>
      </c>
      <c r="AT1483" s="316">
        <v>18042.5</v>
      </c>
      <c r="AU1483" s="316">
        <v>18067</v>
      </c>
      <c r="AV1483" s="316">
        <f ca="1">IF(_xlfn.XLOOKUP(A1483,TabCalc[Ticker],ListExtra_n)&gt;0,             _xlfn.XLOOKUP(A1483,TabCalc[Ticker],ListExtra_n)*_xlfn.XLOOKUP(A1483,TabTRADERCorrupted[ClickTick],TabTRADERCorrupted[M])*_xlfn.XLOOKUP(A1483,TabCalc[Ticker],ListScale),               "")</f>
        <v>18067</v>
      </c>
      <c r="AX1483" s="86" t="str">
        <f t="shared" ca="1" si="111"/>
        <v>PFE</v>
      </c>
      <c r="BQ1483" t="s">
        <v>139</v>
      </c>
      <c r="BR1483" t="s">
        <v>2187</v>
      </c>
    </row>
    <row r="1484" spans="1:70" hidden="1">
      <c r="A1484" s="86" t="str">
        <f t="shared" ca="1" si="112"/>
        <v>RIG</v>
      </c>
      <c r="F1484" s="249">
        <v>1.4067000000000001</v>
      </c>
      <c r="G1484" s="249">
        <v>1.4079999999999999</v>
      </c>
      <c r="H1484" s="249">
        <v>1.4028</v>
      </c>
      <c r="I1484" s="249">
        <v>1.3976</v>
      </c>
      <c r="J1484" s="249">
        <v>1.3928</v>
      </c>
      <c r="K1484" s="249">
        <v>1.3791</v>
      </c>
      <c r="L1484" s="249">
        <v>1.3711</v>
      </c>
      <c r="M1484" s="249">
        <v>1.3997999999999999</v>
      </c>
      <c r="N1484" s="249">
        <v>1.3986000000000001</v>
      </c>
      <c r="O1484" s="249">
        <v>1.3944000000000001</v>
      </c>
      <c r="P1484" s="249">
        <v>1.3944000000000001</v>
      </c>
      <c r="Q1484" s="249">
        <v>1.3976999999999999</v>
      </c>
      <c r="R1484" s="249">
        <v>1.3579000000000001</v>
      </c>
      <c r="S1484" s="249">
        <v>1.359</v>
      </c>
      <c r="T1484" s="249">
        <v>1.359</v>
      </c>
      <c r="U1484" s="249">
        <v>1.3554999999999999</v>
      </c>
      <c r="V1484" s="249">
        <v>1.3559000000000001</v>
      </c>
      <c r="W1484" s="249">
        <v>1.3556999999999999</v>
      </c>
      <c r="X1484" s="249">
        <v>1.3553999999999999</v>
      </c>
      <c r="Y1484" s="249">
        <v>1.3574999999999999</v>
      </c>
      <c r="Z1484" s="243">
        <f ca="1">[1]ExtEntry!$R89</f>
        <v>1.3574999999999999</v>
      </c>
      <c r="AB1484" s="316">
        <v>159695</v>
      </c>
      <c r="AC1484" s="316">
        <v>160925</v>
      </c>
      <c r="AD1484" s="316">
        <v>142560</v>
      </c>
      <c r="AE1484" s="316">
        <v>144360</v>
      </c>
      <c r="AF1484" s="316">
        <v>148680</v>
      </c>
      <c r="AG1484" s="316">
        <v>147420</v>
      </c>
      <c r="AH1484" s="316">
        <v>140040</v>
      </c>
      <c r="AI1484" s="316">
        <v>139834.80000000002</v>
      </c>
      <c r="AJ1484" s="316">
        <v>119840</v>
      </c>
      <c r="AK1484" s="316">
        <v>120400</v>
      </c>
      <c r="AL1484" s="316">
        <v>122919.99999999999</v>
      </c>
      <c r="AM1484" s="316">
        <v>124544.00000000001</v>
      </c>
      <c r="AN1484" s="316">
        <v>120679.99999999999</v>
      </c>
      <c r="AO1484" s="316">
        <v>124600</v>
      </c>
      <c r="AP1484" s="316">
        <v>91122.5</v>
      </c>
      <c r="AQ1484" s="316">
        <v>91635</v>
      </c>
      <c r="AR1484" s="316">
        <v>91020.000000000015</v>
      </c>
      <c r="AS1484" s="316">
        <v>92865</v>
      </c>
      <c r="AT1484" s="316">
        <v>88047.5</v>
      </c>
      <c r="AU1484" s="316">
        <v>87842.5</v>
      </c>
      <c r="AV1484" s="316">
        <f ca="1">IF(_xlfn.XLOOKUP(A1484,TabCalc[Ticker],ListExtra_n)&gt;0,             _xlfn.XLOOKUP(A1484,TabCalc[Ticker],ListExtra_n)*_xlfn.XLOOKUP(A1484,TabTRADERCorrupted[ClickTick],TabTRADERCorrupted[M])*_xlfn.XLOOKUP(A1484,TabCalc[Ticker],ListScale),               "")</f>
        <v>87842.5</v>
      </c>
      <c r="AX1484" s="86" t="str">
        <f t="shared" ca="1" si="111"/>
        <v>RIG</v>
      </c>
      <c r="BQ1484" t="s">
        <v>191</v>
      </c>
      <c r="BR1484" t="s">
        <v>1878</v>
      </c>
    </row>
    <row r="1485" spans="1:70">
      <c r="A1485" s="86" t="str">
        <f t="shared" ca="1" si="112"/>
        <v>RRC</v>
      </c>
      <c r="F1485" s="241">
        <v>0.47420000000000001</v>
      </c>
      <c r="G1485" s="241">
        <v>0.4748</v>
      </c>
      <c r="H1485" s="241">
        <v>0.47449999999999998</v>
      </c>
      <c r="I1485" s="241">
        <v>0.46650000000000003</v>
      </c>
      <c r="J1485" s="241">
        <v>0.46539999999999998</v>
      </c>
      <c r="K1485" s="241">
        <v>0.45250000000000001</v>
      </c>
      <c r="L1485" s="241">
        <v>0.44259999999999999</v>
      </c>
      <c r="M1485" s="241">
        <v>0.45710000000000001</v>
      </c>
      <c r="N1485" s="241">
        <v>0.46970000000000001</v>
      </c>
      <c r="O1485" s="241">
        <v>0.4698</v>
      </c>
      <c r="P1485" s="241">
        <v>0.4698</v>
      </c>
      <c r="Q1485" s="241">
        <v>0.46989999999999998</v>
      </c>
      <c r="R1485" s="241">
        <v>0.50600000000000001</v>
      </c>
      <c r="S1485" s="241">
        <v>0.5091</v>
      </c>
      <c r="T1485" s="241">
        <v>0.5091</v>
      </c>
      <c r="U1485" s="241">
        <v>0.50290000000000001</v>
      </c>
      <c r="V1485" s="241">
        <v>0.50290000000000001</v>
      </c>
      <c r="W1485" s="241">
        <v>0.50870000000000004</v>
      </c>
      <c r="X1485" s="241">
        <v>0.50960000000000005</v>
      </c>
      <c r="Y1485" s="241">
        <v>0.50519999999999998</v>
      </c>
      <c r="Z1485" s="243">
        <f ca="1">[1]ExtEntry!$R90</f>
        <v>0.50519999999999998</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2188</v>
      </c>
    </row>
    <row r="1486" spans="1:70">
      <c r="A1486" s="86" t="str">
        <f t="shared" ca="1" si="112"/>
        <v>XYZ</v>
      </c>
      <c r="F1486" s="249">
        <v>2.6463000000000001</v>
      </c>
      <c r="G1486" s="249">
        <v>2.6461999999999999</v>
      </c>
      <c r="H1486" s="249">
        <v>2.6457000000000002</v>
      </c>
      <c r="I1486" s="249">
        <v>2.6739999999999999</v>
      </c>
      <c r="J1486" s="249">
        <v>2.6848000000000001</v>
      </c>
      <c r="K1486" s="249">
        <v>2.6939000000000002</v>
      </c>
      <c r="L1486" s="249">
        <v>2.6732999999999998</v>
      </c>
      <c r="M1486" s="249">
        <v>2.6749999999999998</v>
      </c>
      <c r="N1486" s="249">
        <v>2.6688999999999998</v>
      </c>
      <c r="O1486" s="249">
        <v>2.6631999999999998</v>
      </c>
      <c r="P1486" s="249">
        <v>2.6631999999999998</v>
      </c>
      <c r="Q1486" s="249">
        <v>2.6577999999999999</v>
      </c>
      <c r="R1486" s="249">
        <v>2.6627000000000001</v>
      </c>
      <c r="S1486" s="249">
        <v>2.6717</v>
      </c>
      <c r="T1486" s="249">
        <v>2.6717</v>
      </c>
      <c r="U1486" s="249">
        <v>2.6695000000000002</v>
      </c>
      <c r="V1486" s="249">
        <v>2.6688000000000001</v>
      </c>
      <c r="W1486" s="249">
        <v>2.6697000000000002</v>
      </c>
      <c r="X1486" s="249">
        <v>2.6688999999999998</v>
      </c>
      <c r="Y1486" s="249">
        <v>2.6663000000000001</v>
      </c>
      <c r="Z1486" s="243">
        <f ca="1">[1]ExtEntry!$R91</f>
        <v>2.6663000000000001</v>
      </c>
      <c r="AB1486" s="316">
        <v>11047.5</v>
      </c>
      <c r="AC1486" s="316">
        <v>10686</v>
      </c>
      <c r="AD1486" s="316">
        <v>9828</v>
      </c>
      <c r="AE1486" s="316">
        <v>9069.75</v>
      </c>
      <c r="AF1486" s="316">
        <v>8646</v>
      </c>
      <c r="AG1486" s="316">
        <v>8624.25</v>
      </c>
      <c r="AH1486" s="316">
        <v>9477</v>
      </c>
      <c r="AI1486" s="316">
        <v>9309.75</v>
      </c>
      <c r="AJ1486" s="316">
        <v>9872.9999999999982</v>
      </c>
      <c r="AK1486" s="316">
        <v>9754.5</v>
      </c>
      <c r="AL1486" s="316">
        <v>10015.5</v>
      </c>
      <c r="AM1486" s="316">
        <v>9958.5</v>
      </c>
      <c r="AN1486" s="316">
        <v>9002.25</v>
      </c>
      <c r="AO1486" s="316">
        <v>9276.375</v>
      </c>
      <c r="AP1486" s="316">
        <v>9166.5</v>
      </c>
      <c r="AQ1486" s="316">
        <v>9156</v>
      </c>
      <c r="AR1486" s="316">
        <v>9162</v>
      </c>
      <c r="AS1486" s="316">
        <v>9259.6200000000008</v>
      </c>
      <c r="AT1486" s="316">
        <v>9492</v>
      </c>
      <c r="AU1486" s="316">
        <v>9540</v>
      </c>
      <c r="AV1486" s="316">
        <f ca="1">IF(_xlfn.XLOOKUP(A1486,TabCalc[Ticker],ListExtra_n)&gt;0,             _xlfn.XLOOKUP(A1486,TabCalc[Ticker],ListExtra_n)*_xlfn.XLOOKUP(A1486,TabTRADERCorrupted[ClickTick],TabTRADERCorrupted[M])*_xlfn.XLOOKUP(A1486,TabCalc[Ticker],ListScale),               "")</f>
        <v>9540</v>
      </c>
      <c r="AX1486" s="86" t="str">
        <f t="shared" ca="1" si="111"/>
        <v>XYZ</v>
      </c>
      <c r="BQ1486" t="s">
        <v>2189</v>
      </c>
      <c r="BR1486" t="s">
        <v>1821</v>
      </c>
    </row>
    <row r="1487" spans="1:70">
      <c r="A1487" s="86" t="str">
        <f t="shared" ca="1" si="112"/>
        <v>THC</v>
      </c>
      <c r="F1487" s="241">
        <v>1.4472</v>
      </c>
      <c r="G1487" s="241">
        <v>1.4473</v>
      </c>
      <c r="H1487" s="241">
        <v>1.4489000000000001</v>
      </c>
      <c r="I1487" s="241">
        <v>1.4581</v>
      </c>
      <c r="J1487" s="241">
        <v>1.4630000000000001</v>
      </c>
      <c r="K1487" s="241">
        <v>1.4632000000000001</v>
      </c>
      <c r="L1487" s="241">
        <v>1.46</v>
      </c>
      <c r="M1487" s="241">
        <v>1.4737</v>
      </c>
      <c r="N1487" s="241">
        <v>1.4367000000000001</v>
      </c>
      <c r="O1487" s="241">
        <v>1.4418</v>
      </c>
      <c r="P1487" s="241">
        <v>1.4418</v>
      </c>
      <c r="Q1487" s="241">
        <v>1.4444999999999999</v>
      </c>
      <c r="R1487" s="241">
        <v>1.4024000000000001</v>
      </c>
      <c r="S1487" s="241">
        <v>1.4025000000000001</v>
      </c>
      <c r="T1487" s="241">
        <v>1.4025000000000001</v>
      </c>
      <c r="U1487" s="241">
        <v>1.4037999999999999</v>
      </c>
      <c r="V1487" s="241">
        <v>1.4034</v>
      </c>
      <c r="W1487" s="241">
        <v>1.4063000000000001</v>
      </c>
      <c r="X1487" s="241">
        <v>1.4089</v>
      </c>
      <c r="Y1487" s="241">
        <v>1.4053</v>
      </c>
      <c r="Z1487" s="243">
        <f ca="1">[1]ExtEntry!$R92</f>
        <v>1.4053</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701</v>
      </c>
    </row>
    <row r="1488" spans="1:70">
      <c r="A1488" s="86" t="str">
        <f t="shared" ca="1" si="112"/>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1"/>
        <v>X</v>
      </c>
      <c r="BQ1488" t="s">
        <v>2191</v>
      </c>
      <c r="BR1488" t="s">
        <v>2190</v>
      </c>
    </row>
    <row r="1489" spans="1:70">
      <c r="A1489" s="86" t="str">
        <f t="shared" ca="1" si="112"/>
        <v>LOCK</v>
      </c>
      <c r="F1489" s="241">
        <v>0.57769999999999999</v>
      </c>
      <c r="G1489" s="241">
        <v>0.57769999999999999</v>
      </c>
      <c r="H1489" s="241">
        <v>0.57769999999999999</v>
      </c>
      <c r="I1489" s="241">
        <v>0.58169999999999999</v>
      </c>
      <c r="J1489" s="241">
        <v>0.58169999999999999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0.621</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1"/>
        <v>LOCK</v>
      </c>
      <c r="BQ1489" t="s">
        <v>2192</v>
      </c>
      <c r="BR1489" t="s">
        <v>2193</v>
      </c>
    </row>
    <row r="1490" spans="1:70">
      <c r="A1490" s="86" t="str">
        <f t="shared" ca="1" si="112"/>
        <v>JBASML</v>
      </c>
      <c r="F1490" s="249">
        <v>2.1158000000000001</v>
      </c>
      <c r="G1490" s="249">
        <v>2.1168999999999998</v>
      </c>
      <c r="H1490" s="249">
        <v>2.1183000000000001</v>
      </c>
      <c r="I1490" s="249">
        <v>2.1202999999999999</v>
      </c>
      <c r="J1490" s="249">
        <v>2.1173000000000002</v>
      </c>
      <c r="K1490" s="249">
        <v>2.1166999999999998</v>
      </c>
      <c r="L1490" s="249">
        <v>2.0914000000000001</v>
      </c>
      <c r="M1490" s="249">
        <v>2.0895999999999999</v>
      </c>
      <c r="N1490" s="249">
        <v>2.0969000000000002</v>
      </c>
      <c r="O1490" s="249">
        <v>2.0773000000000001</v>
      </c>
      <c r="P1490" s="249">
        <v>2.1011000000000002</v>
      </c>
      <c r="Q1490" s="249">
        <v>2.0979000000000001</v>
      </c>
      <c r="R1490" s="249">
        <v>2.0914000000000001</v>
      </c>
      <c r="S1490" s="249">
        <v>2.0903999999999998</v>
      </c>
      <c r="T1490" s="249">
        <v>2.0903999999999998</v>
      </c>
      <c r="U1490" s="249">
        <v>2.0872999999999999</v>
      </c>
      <c r="V1490" s="249">
        <v>2.09</v>
      </c>
      <c r="W1490" s="249">
        <v>2.0893999999999999</v>
      </c>
      <c r="X1490" s="249">
        <v>2.0882999999999998</v>
      </c>
      <c r="Y1490" s="249">
        <v>2.0899000000000001</v>
      </c>
      <c r="Z1490" s="243">
        <f ca="1">[1]ExtEntry!$R95</f>
        <v>2.0899000000000001</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1"/>
        <v>JBASML</v>
      </c>
      <c r="BQ1490" t="s">
        <v>2194</v>
      </c>
      <c r="BR1490" t="s">
        <v>661</v>
      </c>
    </row>
    <row r="1491" spans="1:70">
      <c r="A1491" s="86" t="str">
        <f t="shared" ca="1" si="112"/>
        <v>JBEOAN</v>
      </c>
      <c r="F1491" s="241">
        <v>0.85360000000000003</v>
      </c>
      <c r="G1491" s="241">
        <v>0.85350000000000004</v>
      </c>
      <c r="H1491" s="241">
        <v>0.85299999999999998</v>
      </c>
      <c r="I1491" s="241">
        <v>0.84770000000000001</v>
      </c>
      <c r="J1491" s="241">
        <v>0.8599</v>
      </c>
      <c r="K1491" s="241">
        <v>0.86180000000000001</v>
      </c>
      <c r="L1491" s="241">
        <v>0.86380000000000001</v>
      </c>
      <c r="M1491" s="241">
        <v>0.85940000000000005</v>
      </c>
      <c r="N1491" s="241">
        <v>0.86270000000000002</v>
      </c>
      <c r="O1491" s="241">
        <v>0.85960000000000003</v>
      </c>
      <c r="P1491" s="241">
        <v>0.86150000000000004</v>
      </c>
      <c r="Q1491" s="241">
        <v>0.86080000000000001</v>
      </c>
      <c r="R1491" s="241">
        <v>0.86699999999999999</v>
      </c>
      <c r="S1491" s="241">
        <v>0.86660000000000004</v>
      </c>
      <c r="T1491" s="241">
        <v>0.86660000000000004</v>
      </c>
      <c r="U1491" s="241">
        <v>0.86150000000000004</v>
      </c>
      <c r="V1491" s="241">
        <v>0.86660000000000004</v>
      </c>
      <c r="W1491" s="241">
        <v>0.86650000000000005</v>
      </c>
      <c r="X1491" s="241">
        <v>0.86660000000000004</v>
      </c>
      <c r="Y1491" s="241">
        <v>0.86650000000000005</v>
      </c>
      <c r="Z1491" s="243">
        <f ca="1">[1]ExtEntry!$R96</f>
        <v>0.86650000000000005</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2195</v>
      </c>
    </row>
    <row r="1492" spans="1:70">
      <c r="A1492" s="86"/>
      <c r="AX1492" s="86"/>
      <c r="BQ1492" t="s">
        <v>2196</v>
      </c>
      <c r="BR1492" t="s">
        <v>177</v>
      </c>
    </row>
    <row r="1493" spans="1:70">
      <c r="A1493" s="86"/>
      <c r="C1493" s="709"/>
      <c r="D1493" s="709"/>
      <c r="E1493" s="710" t="s">
        <v>2089</v>
      </c>
      <c r="F1493" s="90"/>
      <c r="G1493" s="90"/>
      <c r="H1493" s="90"/>
      <c r="I1493" s="90"/>
      <c r="J1493" s="711"/>
      <c r="K1493" s="712"/>
      <c r="L1493" s="713"/>
      <c r="AX1493" s="86"/>
      <c r="BQ1493" t="s">
        <v>179</v>
      </c>
      <c r="BR1493" t="s">
        <v>2197</v>
      </c>
    </row>
    <row r="1494" spans="1:70">
      <c r="A1494" s="86"/>
      <c r="AX1494" s="86"/>
      <c r="BQ1494" t="s">
        <v>1014</v>
      </c>
      <c r="BR1494" t="s">
        <v>2198</v>
      </c>
    </row>
    <row r="1495" spans="1:70">
      <c r="A1495" s="86"/>
      <c r="F1495" s="115">
        <f ca="1">F1396</f>
        <v>45974</v>
      </c>
      <c r="G1495" s="115">
        <f t="shared" ref="G1495:Z1495" ca="1" si="114">G1396</f>
        <v>45975</v>
      </c>
      <c r="H1495" s="115">
        <f t="shared" ca="1" si="114"/>
        <v>45978</v>
      </c>
      <c r="I1495" s="115">
        <f t="shared" ca="1" si="114"/>
        <v>45979</v>
      </c>
      <c r="J1495" s="115">
        <f t="shared" ca="1" si="114"/>
        <v>45980</v>
      </c>
      <c r="K1495" s="115">
        <f t="shared" ca="1" si="114"/>
        <v>45981</v>
      </c>
      <c r="L1495" s="115">
        <f t="shared" ca="1" si="114"/>
        <v>45982</v>
      </c>
      <c r="M1495" s="115">
        <f t="shared" ca="1" si="114"/>
        <v>45985</v>
      </c>
      <c r="N1495" s="115">
        <f t="shared" ca="1" si="114"/>
        <v>45986</v>
      </c>
      <c r="O1495" s="115">
        <f t="shared" ca="1" si="114"/>
        <v>45987</v>
      </c>
      <c r="P1495" s="115">
        <f t="shared" ca="1" si="114"/>
        <v>45988</v>
      </c>
      <c r="Q1495" s="115">
        <f t="shared" ca="1" si="114"/>
        <v>45989</v>
      </c>
      <c r="R1495" s="115">
        <f t="shared" ca="1" si="114"/>
        <v>45992</v>
      </c>
      <c r="S1495" s="115">
        <f t="shared" ca="1" si="114"/>
        <v>45993</v>
      </c>
      <c r="T1495" s="115">
        <f t="shared" ca="1" si="114"/>
        <v>45994</v>
      </c>
      <c r="U1495" s="115">
        <f t="shared" ca="1" si="114"/>
        <v>45995</v>
      </c>
      <c r="V1495" s="115">
        <f t="shared" ca="1" si="114"/>
        <v>45996</v>
      </c>
      <c r="W1495" s="115">
        <f t="shared" ca="1" si="114"/>
        <v>45999</v>
      </c>
      <c r="X1495" s="115">
        <f t="shared" ca="1" si="114"/>
        <v>46000</v>
      </c>
      <c r="Y1495" s="115">
        <f t="shared" ca="1" si="114"/>
        <v>46001</v>
      </c>
      <c r="Z1495" s="115">
        <f t="shared" ca="1" si="114"/>
        <v>46002</v>
      </c>
      <c r="AB1495" s="115">
        <f t="shared" ref="AB1495:AV1495" ca="1" si="115">F1396</f>
        <v>45974</v>
      </c>
      <c r="AC1495" s="115">
        <f t="shared" ca="1" si="115"/>
        <v>45975</v>
      </c>
      <c r="AD1495" s="115">
        <f t="shared" ca="1" si="115"/>
        <v>45978</v>
      </c>
      <c r="AE1495" s="115">
        <f t="shared" ca="1" si="115"/>
        <v>45979</v>
      </c>
      <c r="AF1495" s="115">
        <f t="shared" ca="1" si="115"/>
        <v>45980</v>
      </c>
      <c r="AG1495" s="115">
        <f t="shared" ca="1" si="115"/>
        <v>45981</v>
      </c>
      <c r="AH1495" s="115">
        <f t="shared" ca="1" si="115"/>
        <v>45982</v>
      </c>
      <c r="AI1495" s="115">
        <f t="shared" ca="1" si="115"/>
        <v>45985</v>
      </c>
      <c r="AJ1495" s="115">
        <f t="shared" ca="1" si="115"/>
        <v>45986</v>
      </c>
      <c r="AK1495" s="115">
        <f t="shared" ca="1" si="115"/>
        <v>45987</v>
      </c>
      <c r="AL1495" s="115">
        <f t="shared" ca="1" si="115"/>
        <v>45988</v>
      </c>
      <c r="AM1495" s="115">
        <f t="shared" ca="1" si="115"/>
        <v>45989</v>
      </c>
      <c r="AN1495" s="115">
        <f t="shared" ca="1" si="115"/>
        <v>45992</v>
      </c>
      <c r="AO1495" s="115">
        <f t="shared" ca="1" si="115"/>
        <v>45993</v>
      </c>
      <c r="AP1495" s="115">
        <f t="shared" ca="1" si="115"/>
        <v>45994</v>
      </c>
      <c r="AQ1495" s="115">
        <f t="shared" ca="1" si="115"/>
        <v>45995</v>
      </c>
      <c r="AR1495" s="115">
        <f t="shared" ca="1" si="115"/>
        <v>45996</v>
      </c>
      <c r="AS1495" s="115">
        <f t="shared" ca="1" si="115"/>
        <v>45999</v>
      </c>
      <c r="AT1495" s="115">
        <f t="shared" ca="1" si="115"/>
        <v>46000</v>
      </c>
      <c r="AU1495" s="115">
        <f t="shared" ca="1" si="115"/>
        <v>46001</v>
      </c>
      <c r="AV1495" s="115">
        <f t="shared" ca="1" si="115"/>
        <v>46002</v>
      </c>
      <c r="AX1495" s="86"/>
      <c r="BR1495" t="s">
        <v>2199</v>
      </c>
    </row>
    <row r="1496" spans="1:70">
      <c r="A1496" s="86"/>
      <c r="F1496" t="s">
        <v>2340</v>
      </c>
      <c r="G1496" t="s">
        <v>2341</v>
      </c>
      <c r="H1496" t="s">
        <v>2342</v>
      </c>
      <c r="I1496" t="s">
        <v>2343</v>
      </c>
      <c r="J1496" t="s">
        <v>2344</v>
      </c>
      <c r="K1496" t="s">
        <v>2345</v>
      </c>
      <c r="L1496" t="s">
        <v>2346</v>
      </c>
      <c r="M1496" t="s">
        <v>2347</v>
      </c>
      <c r="N1496" t="s">
        <v>2348</v>
      </c>
      <c r="O1496" t="s">
        <v>2349</v>
      </c>
      <c r="P1496" t="s">
        <v>2350</v>
      </c>
      <c r="Q1496" t="s">
        <v>2351</v>
      </c>
      <c r="R1496" t="s">
        <v>2352</v>
      </c>
      <c r="S1496" t="s">
        <v>2353</v>
      </c>
      <c r="T1496" t="s">
        <v>2354</v>
      </c>
      <c r="U1496" t="s">
        <v>2355</v>
      </c>
      <c r="V1496" t="s">
        <v>2356</v>
      </c>
      <c r="W1496" t="s">
        <v>2357</v>
      </c>
      <c r="X1496" t="s">
        <v>2358</v>
      </c>
      <c r="Y1496" t="s">
        <v>2359</v>
      </c>
      <c r="Z1496" t="s">
        <v>2360</v>
      </c>
      <c r="AB1496" s="277" t="s">
        <v>2136</v>
      </c>
      <c r="AC1496" s="277" t="s">
        <v>2137</v>
      </c>
      <c r="AD1496" s="277" t="s">
        <v>2138</v>
      </c>
      <c r="AE1496" s="277" t="s">
        <v>2139</v>
      </c>
      <c r="AF1496" s="277" t="s">
        <v>2140</v>
      </c>
      <c r="AG1496" s="277" t="s">
        <v>2141</v>
      </c>
      <c r="AH1496" s="277" t="s">
        <v>2142</v>
      </c>
      <c r="AI1496" s="277" t="s">
        <v>2143</v>
      </c>
      <c r="AJ1496" s="277" t="s">
        <v>2144</v>
      </c>
      <c r="AK1496" s="277" t="s">
        <v>2145</v>
      </c>
      <c r="AL1496" s="277" t="s">
        <v>2146</v>
      </c>
      <c r="AM1496" s="277" t="s">
        <v>2147</v>
      </c>
      <c r="AN1496" s="277" t="s">
        <v>2148</v>
      </c>
      <c r="AO1496" s="277" t="s">
        <v>2149</v>
      </c>
      <c r="AP1496" s="277" t="s">
        <v>2150</v>
      </c>
      <c r="AQ1496" s="277" t="s">
        <v>2151</v>
      </c>
      <c r="AR1496" s="277" t="s">
        <v>2152</v>
      </c>
      <c r="AS1496" s="277" t="s">
        <v>2153</v>
      </c>
      <c r="AT1496" s="277" t="s">
        <v>2154</v>
      </c>
      <c r="AU1496" s="277" t="s">
        <v>2155</v>
      </c>
      <c r="AV1496" s="277" t="s">
        <v>2156</v>
      </c>
      <c r="AX1496" s="86"/>
      <c r="BR1496" t="s">
        <v>2131</v>
      </c>
    </row>
    <row r="1497" spans="1:70">
      <c r="A1497" s="86" t="str">
        <f t="shared" ref="A1497:A1556" ca="1" si="116">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-0.25</v>
      </c>
      <c r="AC1497" s="918">
        <v>-0.25</v>
      </c>
      <c r="AD1497" s="918">
        <v>-0.33333333333333343</v>
      </c>
      <c r="AE1497" s="918">
        <v>-0.39999999999999997</v>
      </c>
      <c r="AF1497" s="918">
        <v>0</v>
      </c>
      <c r="AG1497" s="918">
        <v>0</v>
      </c>
      <c r="AH1497" s="918">
        <v>-0.19999999999999996</v>
      </c>
      <c r="AI1497" s="918">
        <v>-1</v>
      </c>
      <c r="AJ1497" s="918">
        <v>-1</v>
      </c>
      <c r="AK1497" s="918">
        <v>-1</v>
      </c>
      <c r="AL1497" s="918">
        <v>-0.27272727272727271</v>
      </c>
      <c r="AM1497" s="918">
        <v>-0.38461538461538458</v>
      </c>
      <c r="AN1497" s="918">
        <v>-0.19999999999999996</v>
      </c>
      <c r="AO1497" s="918">
        <v>-0.19999999999999996</v>
      </c>
      <c r="AP1497" s="918">
        <v>0.11111111111111116</v>
      </c>
      <c r="AQ1497" s="918">
        <v>-0.19999999999999996</v>
      </c>
      <c r="AR1497" s="918">
        <v>-0.19999999999999996</v>
      </c>
      <c r="AS1497" s="918">
        <v>-0.60000000000000009</v>
      </c>
      <c r="AT1497" s="918">
        <v>-1</v>
      </c>
      <c r="AU1497" s="918" t="e">
        <v>#VALUE!</v>
      </c>
      <c r="AV1497" s="918" t="e">
        <f ca="1">_xlfn.XLOOKUP(A1497,TabCalc[Ticker],TabCalc[Imp150])</f>
        <v>#VALUE!</v>
      </c>
      <c r="AX1497" s="86" t="str">
        <f t="shared" ca="1" si="113"/>
        <v>AAPL</v>
      </c>
    </row>
    <row r="1498" spans="1:70">
      <c r="A1498" s="86" t="str">
        <f t="shared" ca="1" si="116"/>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-0.33333333333333343</v>
      </c>
      <c r="AC1498" s="918">
        <v>-0.33333333333333343</v>
      </c>
      <c r="AD1498" s="918">
        <v>-0.33333333333333343</v>
      </c>
      <c r="AE1498" s="918">
        <v>-0.33333333333333343</v>
      </c>
      <c r="AF1498" s="918">
        <v>-0.27272727272727271</v>
      </c>
      <c r="AG1498" s="918">
        <v>-0.27272727272727271</v>
      </c>
      <c r="AH1498" s="918">
        <v>-0.71428571428571441</v>
      </c>
      <c r="AI1498" s="918">
        <v>-0.71428571428571441</v>
      </c>
      <c r="AJ1498" s="918">
        <v>-1</v>
      </c>
      <c r="AK1498" s="918">
        <v>-1</v>
      </c>
      <c r="AL1498" s="918">
        <v>-1</v>
      </c>
      <c r="AM1498" s="918">
        <v>-1</v>
      </c>
      <c r="AN1498" s="918">
        <v>-1</v>
      </c>
      <c r="AO1498" s="918">
        <v>-1</v>
      </c>
      <c r="AP1498" s="918">
        <v>-1</v>
      </c>
      <c r="AQ1498" s="918">
        <v>-1</v>
      </c>
      <c r="AR1498" s="918">
        <v>-1</v>
      </c>
      <c r="AS1498" s="918">
        <v>-0.39999999999999997</v>
      </c>
      <c r="AT1498" s="918">
        <v>-0.39999999999999997</v>
      </c>
      <c r="AU1498" s="918" t="e">
        <v>#VALUE!</v>
      </c>
      <c r="AV1498" s="918" t="e">
        <f ca="1">_xlfn.XLOOKUP(A1498,TabCalc[Ticker],TabCalc[Imp150])</f>
        <v>#VALUE!</v>
      </c>
      <c r="AX1498" s="86" t="str">
        <f t="shared" ca="1" si="113"/>
        <v>ADEA</v>
      </c>
    </row>
    <row r="1499" spans="1:70">
      <c r="A1499" s="86" t="str">
        <f t="shared" ca="1" si="116"/>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-0.25</v>
      </c>
      <c r="AJ1499" s="918">
        <v>-0.19999999999999996</v>
      </c>
      <c r="AK1499" s="918">
        <v>-0.19999999999999996</v>
      </c>
      <c r="AL1499" s="918">
        <v>-0.19999999999999996</v>
      </c>
      <c r="AM1499" s="918">
        <v>-0.29411764705882343</v>
      </c>
      <c r="AN1499" s="918">
        <v>0</v>
      </c>
      <c r="AO1499" s="918">
        <v>-0.36842105263157898</v>
      </c>
      <c r="AP1499" s="918">
        <v>-0.36842105263157898</v>
      </c>
      <c r="AQ1499" s="918">
        <v>-0.36842105263157898</v>
      </c>
      <c r="AR1499" s="918">
        <v>-0.36842105263157898</v>
      </c>
      <c r="AS1499" s="918">
        <v>-0.16666666666666657</v>
      </c>
      <c r="AT1499" s="918">
        <v>-0.16666666666666657</v>
      </c>
      <c r="AU1499" s="918" t="e">
        <v>#VALUE!</v>
      </c>
      <c r="AV1499" s="918" t="e">
        <f ca="1">_xlfn.XLOOKUP(A1499,TabCalc[Ticker],TabCalc[Imp150])</f>
        <v>#VALUE!</v>
      </c>
      <c r="AX1499" s="86" t="str">
        <f t="shared" ca="1" si="113"/>
        <v>AET</v>
      </c>
    </row>
    <row r="1500" spans="1:70">
      <c r="A1500" s="86" t="str">
        <f t="shared" ca="1" si="116"/>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-0.5</v>
      </c>
      <c r="AC1500" s="918">
        <v>-0.5</v>
      </c>
      <c r="AD1500" s="918">
        <v>-0.5</v>
      </c>
      <c r="AE1500" s="918">
        <v>-0.25</v>
      </c>
      <c r="AF1500" s="918">
        <v>-1</v>
      </c>
      <c r="AG1500" s="918">
        <v>-1</v>
      </c>
      <c r="AH1500" s="918">
        <v>-0.11111111111111116</v>
      </c>
      <c r="AI1500" s="918">
        <v>-0.11111111111111116</v>
      </c>
      <c r="AJ1500" s="918">
        <v>0</v>
      </c>
      <c r="AK1500" s="918">
        <v>0</v>
      </c>
      <c r="AL1500" s="918">
        <v>-1</v>
      </c>
      <c r="AM1500" s="918">
        <v>0.14285714285714279</v>
      </c>
      <c r="AN1500" s="918">
        <v>0.14285714285714279</v>
      </c>
      <c r="AO1500" s="918">
        <v>0.14285714285714279</v>
      </c>
      <c r="AP1500" s="918">
        <v>0.14285714285714279</v>
      </c>
      <c r="AQ1500" s="918">
        <v>-1</v>
      </c>
      <c r="AR1500" s="918">
        <v>-1</v>
      </c>
      <c r="AS1500" s="918">
        <v>-1</v>
      </c>
      <c r="AT1500" s="918">
        <v>0.33333333333333326</v>
      </c>
      <c r="AU1500" s="918" t="e">
        <v>#VALUE!</v>
      </c>
      <c r="AV1500" s="918" t="e">
        <f ca="1">_xlfn.XLOOKUP(A1500,TabCalc[Ticker],TabCalc[Imp150])</f>
        <v>#VALUE!</v>
      </c>
      <c r="AX1500" s="86" t="str">
        <f t="shared" ca="1" si="113"/>
        <v>AMZN</v>
      </c>
    </row>
    <row r="1501" spans="1:70">
      <c r="A1501" s="86" t="str">
        <f t="shared" ca="1" si="116"/>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-1</v>
      </c>
      <c r="AC1501" s="918">
        <v>-1</v>
      </c>
      <c r="AD1501" s="918">
        <v>-1</v>
      </c>
      <c r="AE1501" s="918">
        <v>-1</v>
      </c>
      <c r="AF1501" s="918">
        <v>-1</v>
      </c>
      <c r="AG1501" s="918">
        <v>-1</v>
      </c>
      <c r="AH1501" s="918">
        <v>-1</v>
      </c>
      <c r="AI1501" s="918">
        <v>0.25</v>
      </c>
      <c r="AJ1501" s="918">
        <v>-0.33333333333333343</v>
      </c>
      <c r="AK1501" s="918">
        <v>-0.33333333333333343</v>
      </c>
      <c r="AL1501" s="918">
        <v>-0.33333333333333343</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v>-0.33333333333333343</v>
      </c>
      <c r="AU1501" s="918" t="e">
        <v>#VALUE!</v>
      </c>
      <c r="AV1501" s="918" t="e">
        <f ca="1">_xlfn.XLOOKUP(A1501,TabCalc[Ticker],TabCalc[Imp150])</f>
        <v>#VALUE!</v>
      </c>
      <c r="AX1501" s="86" t="str">
        <f t="shared" ca="1" si="113"/>
        <v>ALDNE</v>
      </c>
    </row>
    <row r="1502" spans="1:70">
      <c r="A1502" s="86" t="str">
        <f t="shared" ca="1" si="116"/>
        <v>ASML</v>
      </c>
      <c r="F1502" s="918">
        <v>-1</v>
      </c>
      <c r="G1502" s="918">
        <v>-1</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v>-1</v>
      </c>
      <c r="Y1502" s="918" t="e">
        <v>#VALUE!</v>
      </c>
      <c r="Z1502" s="918" t="e">
        <f ca="1">_xlfn.XLOOKUP(A1398,TabCalc[Ticker],TabCalc[Imp20])</f>
        <v>#VALUE!</v>
      </c>
      <c r="AB1502" s="918">
        <v>-0.33333333333333343</v>
      </c>
      <c r="AC1502" s="918">
        <v>0.125</v>
      </c>
      <c r="AD1502" s="918">
        <v>9.0909090909090828E-2</v>
      </c>
      <c r="AE1502" s="918">
        <v>9.0909090909090828E-2</v>
      </c>
      <c r="AF1502" s="918">
        <v>0.125</v>
      </c>
      <c r="AG1502" s="918">
        <v>0.125</v>
      </c>
      <c r="AH1502" s="918">
        <v>-0.25</v>
      </c>
      <c r="AI1502" s="918">
        <v>-0.25</v>
      </c>
      <c r="AJ1502" s="918">
        <v>0.19999999999999996</v>
      </c>
      <c r="AK1502" s="918">
        <v>0.4285714285714286</v>
      </c>
      <c r="AL1502" s="918">
        <v>0.4285714285714286</v>
      </c>
      <c r="AM1502" s="918">
        <v>-0.77777777777777768</v>
      </c>
      <c r="AN1502" s="918">
        <v>-0.33333333333333343</v>
      </c>
      <c r="AO1502" s="918">
        <v>7.6923076923076872E-2</v>
      </c>
      <c r="AP1502" s="918">
        <v>7.6923076923076872E-2</v>
      </c>
      <c r="AQ1502" s="918">
        <v>7.6923076923076872E-2</v>
      </c>
      <c r="AR1502" s="918">
        <v>0</v>
      </c>
      <c r="AS1502" s="918">
        <v>-0.33333333333333343</v>
      </c>
      <c r="AT1502" s="918">
        <v>-0.33333333333333343</v>
      </c>
      <c r="AU1502" s="918">
        <v>-0.33333333333333343</v>
      </c>
      <c r="AV1502" s="918">
        <f ca="1">_xlfn.XLOOKUP(A1502,TabCalc[Ticker],TabCalc[Imp150])</f>
        <v>-0.33333333333333343</v>
      </c>
      <c r="AX1502" s="86" t="str">
        <f t="shared" ca="1" si="113"/>
        <v>ASML</v>
      </c>
    </row>
    <row r="1503" spans="1:70" hidden="1">
      <c r="A1503" s="86" t="str">
        <f t="shared" ca="1" si="116"/>
        <v>AVGO</v>
      </c>
      <c r="F1503" s="918">
        <v>-1</v>
      </c>
      <c r="G1503" s="918">
        <v>-1</v>
      </c>
      <c r="H1503" s="918">
        <v>-1</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v>-1</v>
      </c>
      <c r="Y1503" s="918" t="e">
        <v>#VALUE!</v>
      </c>
      <c r="Z1503" s="918" t="e">
        <f ca="1">_xlfn.XLOOKUP(A1399,TabCalc[Ticker],TabCalc[Imp20])</f>
        <v>#VALUE!</v>
      </c>
      <c r="AB1503" s="918">
        <v>0.14285714285714279</v>
      </c>
      <c r="AC1503" s="918">
        <v>0.14285714285714279</v>
      </c>
      <c r="AD1503" s="918">
        <v>0.14285714285714279</v>
      </c>
      <c r="AE1503" s="918">
        <v>0.14285714285714279</v>
      </c>
      <c r="AF1503" s="918">
        <v>-0.26315789473684209</v>
      </c>
      <c r="AG1503" s="918">
        <v>-0.26315789473684209</v>
      </c>
      <c r="AH1503" s="918">
        <v>-0.26315789473684209</v>
      </c>
      <c r="AI1503" s="918">
        <v>-0.26315789473684209</v>
      </c>
      <c r="AJ1503" s="918">
        <v>0</v>
      </c>
      <c r="AK1503" s="918">
        <v>0</v>
      </c>
      <c r="AL1503" s="918">
        <v>0</v>
      </c>
      <c r="AM1503" s="918">
        <v>-0.17647058823529416</v>
      </c>
      <c r="AN1503" s="918">
        <v>-0.19999999999999996</v>
      </c>
      <c r="AO1503" s="918">
        <v>-0.19999999999999996</v>
      </c>
      <c r="AP1503" s="918">
        <v>-0.19999999999999996</v>
      </c>
      <c r="AQ1503" s="918">
        <v>-0.19999999999999996</v>
      </c>
      <c r="AR1503" s="918">
        <v>-0.19999999999999996</v>
      </c>
      <c r="AS1503" s="918">
        <v>-1</v>
      </c>
      <c r="AT1503" s="918">
        <v>-1</v>
      </c>
      <c r="AU1503" s="918">
        <v>-1</v>
      </c>
      <c r="AV1503" s="918">
        <f ca="1">_xlfn.XLOOKUP(A1503,TabCalc[Ticker],TabCalc[Imp150])</f>
        <v>-1</v>
      </c>
      <c r="AX1503" s="86" t="str">
        <f t="shared" ca="1" si="113"/>
        <v>AVGO</v>
      </c>
    </row>
    <row r="1504" spans="1:70" hidden="1">
      <c r="A1504" s="86" t="str">
        <f t="shared" ca="1" si="116"/>
        <v>AZN</v>
      </c>
      <c r="F1504" s="918">
        <v>-1</v>
      </c>
      <c r="G1504" s="918">
        <v>-1</v>
      </c>
      <c r="H1504" s="918">
        <v>-1</v>
      </c>
      <c r="I1504" s="918">
        <v>-1</v>
      </c>
      <c r="J1504" s="918">
        <v>-1</v>
      </c>
      <c r="K1504" s="918">
        <v>-1</v>
      </c>
      <c r="L1504" s="918">
        <v>-1</v>
      </c>
      <c r="M1504" s="918">
        <v>-1</v>
      </c>
      <c r="N1504" s="918">
        <v>-1</v>
      </c>
      <c r="O1504" s="918">
        <v>-1</v>
      </c>
      <c r="P1504" s="918">
        <v>-1</v>
      </c>
      <c r="Q1504" s="918">
        <v>-1</v>
      </c>
      <c r="R1504" s="918">
        <v>-1</v>
      </c>
      <c r="S1504" s="918">
        <v>-0.89473684210526327</v>
      </c>
      <c r="T1504" s="918">
        <v>-0.89473684210526327</v>
      </c>
      <c r="U1504" s="918">
        <v>-0.89473684210526327</v>
      </c>
      <c r="V1504" s="918">
        <v>-0.89473684210526327</v>
      </c>
      <c r="W1504" s="918">
        <v>-1</v>
      </c>
      <c r="X1504" s="918">
        <v>-1</v>
      </c>
      <c r="Y1504" s="918" t="e">
        <v>#VALUE!</v>
      </c>
      <c r="Z1504" s="918" t="e">
        <f ca="1">_xlfn.XLOOKUP(A1400,TabCalc[Ticker],TabCalc[Imp20])</f>
        <v>#VALUE!</v>
      </c>
      <c r="AB1504" s="918">
        <v>0.14285714285714279</v>
      </c>
      <c r="AC1504" s="918">
        <v>0.14285714285714279</v>
      </c>
      <c r="AD1504" s="918">
        <v>0.14285714285714279</v>
      </c>
      <c r="AE1504" s="918">
        <v>-0.14285714285714285</v>
      </c>
      <c r="AF1504" s="918">
        <v>-1</v>
      </c>
      <c r="AG1504" s="918">
        <v>-1</v>
      </c>
      <c r="AH1504" s="918">
        <v>-1</v>
      </c>
      <c r="AI1504" s="918">
        <v>-1</v>
      </c>
      <c r="AJ1504" s="918">
        <v>-0.71428571428571441</v>
      </c>
      <c r="AK1504" s="918">
        <v>-0.71428571428571441</v>
      </c>
      <c r="AL1504" s="918">
        <v>-0.33333333333333343</v>
      </c>
      <c r="AM1504" s="918">
        <v>-0.33333333333333343</v>
      </c>
      <c r="AN1504" s="918">
        <v>-0.77777777777777768</v>
      </c>
      <c r="AO1504" s="918">
        <v>-0.77777777777777768</v>
      </c>
      <c r="AP1504" s="918">
        <v>-0.77777777777777768</v>
      </c>
      <c r="AQ1504" s="918">
        <v>-0.77777777777777768</v>
      </c>
      <c r="AR1504" s="918">
        <v>-0.19999999999999996</v>
      </c>
      <c r="AS1504" s="918">
        <v>-0.14285714285714285</v>
      </c>
      <c r="AT1504" s="918">
        <v>-0.5</v>
      </c>
      <c r="AU1504" s="918">
        <v>-0.5</v>
      </c>
      <c r="AV1504" s="918">
        <f ca="1">_xlfn.XLOOKUP(A1504,TabCalc[Ticker],TabCalc[Imp150])</f>
        <v>-0.5</v>
      </c>
      <c r="AX1504" s="86" t="str">
        <f t="shared" ca="1" si="113"/>
        <v>AZN</v>
      </c>
    </row>
    <row r="1505" spans="1:50" hidden="1">
      <c r="A1505" s="86" t="str">
        <f t="shared" ca="1" si="116"/>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v>-1</v>
      </c>
      <c r="Y1505" s="918" t="e">
        <v>#VALUE!</v>
      </c>
      <c r="Z1505" s="918" t="e">
        <f ca="1">_xlfn.XLOOKUP(A1401,TabCalc[Ticker],TabCalc[Imp20])</f>
        <v>#VALUE!</v>
      </c>
      <c r="AB1505" s="918">
        <v>-0.19999999999999996</v>
      </c>
      <c r="AC1505" s="918">
        <v>-0.19999999999999996</v>
      </c>
      <c r="AD1505" s="918">
        <v>-0.19999999999999996</v>
      </c>
      <c r="AE1505" s="918">
        <v>0</v>
      </c>
      <c r="AF1505" s="918">
        <v>0</v>
      </c>
      <c r="AG1505" s="918">
        <v>0</v>
      </c>
      <c r="AH1505" s="918">
        <v>0</v>
      </c>
      <c r="AI1505" s="918">
        <v>0</v>
      </c>
      <c r="AJ1505" s="918">
        <v>-1</v>
      </c>
      <c r="AK1505" s="918">
        <v>-1</v>
      </c>
      <c r="AL1505" s="918">
        <v>-1</v>
      </c>
      <c r="AM1505" s="918">
        <v>-1</v>
      </c>
      <c r="AN1505" s="918">
        <v>-1</v>
      </c>
      <c r="AO1505" s="918">
        <v>-1</v>
      </c>
      <c r="AP1505" s="918">
        <v>-1</v>
      </c>
      <c r="AQ1505" s="918">
        <v>-1</v>
      </c>
      <c r="AR1505" s="918">
        <v>-1</v>
      </c>
      <c r="AS1505" s="918">
        <v>0.25</v>
      </c>
      <c r="AT1505" s="918">
        <v>0.25</v>
      </c>
      <c r="AU1505" s="918">
        <v>0.25</v>
      </c>
      <c r="AV1505" s="918">
        <f ca="1">_xlfn.XLOOKUP(A1505,TabCalc[Ticker],TabCalc[Imp150])</f>
        <v>0.25</v>
      </c>
      <c r="AX1505" s="86" t="str">
        <f t="shared" ca="1" si="113"/>
        <v>BLDP</v>
      </c>
    </row>
    <row r="1506" spans="1:50" hidden="1">
      <c r="A1506" s="86" t="str">
        <f t="shared" ca="1" si="116"/>
        <v>BMRA</v>
      </c>
      <c r="F1506" s="918">
        <v>-1</v>
      </c>
      <c r="G1506" s="918">
        <v>-1</v>
      </c>
      <c r="H1506" s="918">
        <v>-1</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v>-1</v>
      </c>
      <c r="Y1506" s="918" t="e">
        <v>#VALUE!</v>
      </c>
      <c r="Z1506" s="918" t="e">
        <f ca="1">_xlfn.XLOOKUP(A1402,TabCalc[Ticker],TabCalc[Imp20])</f>
        <v>#VALUE!</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0.33333333333333326</v>
      </c>
      <c r="AJ1506" s="918">
        <v>-1</v>
      </c>
      <c r="AK1506" s="918">
        <v>-1</v>
      </c>
      <c r="AL1506" s="918">
        <v>-1</v>
      </c>
      <c r="AM1506" s="918">
        <v>-0.38461538461538458</v>
      </c>
      <c r="AN1506" s="918">
        <v>-0.38461538461538458</v>
      </c>
      <c r="AO1506" s="918">
        <v>-0.38461538461538458</v>
      </c>
      <c r="AP1506" s="918">
        <v>-0.38461538461538458</v>
      </c>
      <c r="AQ1506" s="918">
        <v>-0.38461538461538458</v>
      </c>
      <c r="AR1506" s="918">
        <v>-0.38461538461538458</v>
      </c>
      <c r="AS1506" s="918">
        <v>-0.19999999999999996</v>
      </c>
      <c r="AT1506" s="918">
        <v>-0.19999999999999996</v>
      </c>
      <c r="AU1506" s="918">
        <v>-0.19999999999999996</v>
      </c>
      <c r="AV1506" s="918">
        <f ca="1">_xlfn.XLOOKUP(A1506,TabCalc[Ticker],TabCalc[Imp150])</f>
        <v>-0.19999999999999996</v>
      </c>
      <c r="AX1506" s="86" t="str">
        <f t="shared" ca="1" si="113"/>
        <v>BMRA</v>
      </c>
    </row>
    <row r="1507" spans="1:50" hidden="1">
      <c r="A1507" s="86" t="str">
        <f t="shared" ca="1" si="116"/>
        <v>C</v>
      </c>
      <c r="F1507" s="918">
        <v>-1</v>
      </c>
      <c r="G1507" s="918">
        <v>-1</v>
      </c>
      <c r="H1507" s="918">
        <v>-1</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v>-1</v>
      </c>
      <c r="Z1507" s="918">
        <f ca="1">_xlfn.XLOOKUP(A1403,TabCalc[Ticker],TabCalc[Imp20])</f>
        <v>-1</v>
      </c>
      <c r="AB1507" s="918">
        <v>0</v>
      </c>
      <c r="AC1507" s="918">
        <v>0.4285714285714286</v>
      </c>
      <c r="AD1507" s="918">
        <v>0.4285714285714286</v>
      </c>
      <c r="AE1507" s="918">
        <v>0.4285714285714286</v>
      </c>
      <c r="AF1507" s="918">
        <v>0.4285714285714286</v>
      </c>
      <c r="AG1507" s="918">
        <v>0.4285714285714286</v>
      </c>
      <c r="AH1507" s="918">
        <v>0.4285714285714286</v>
      </c>
      <c r="AI1507" s="918">
        <v>0.4285714285714286</v>
      </c>
      <c r="AJ1507" s="918">
        <v>-1</v>
      </c>
      <c r="AK1507" s="918">
        <v>-1</v>
      </c>
      <c r="AL1507" s="918">
        <v>-1</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ca="1" si="113"/>
        <v>C</v>
      </c>
    </row>
    <row r="1508" spans="1:50" hidden="1">
      <c r="A1508" s="86" t="str">
        <f t="shared" ca="1" si="116"/>
        <v>CSCO</v>
      </c>
      <c r="F1508" s="918">
        <v>-1</v>
      </c>
      <c r="G1508" s="918">
        <v>-1</v>
      </c>
      <c r="H1508" s="918">
        <v>-1</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-0.5</v>
      </c>
      <c r="AC1508" s="918">
        <v>-0.5</v>
      </c>
      <c r="AD1508" s="918">
        <v>-0.5</v>
      </c>
      <c r="AE1508" s="918">
        <v>-0.5</v>
      </c>
      <c r="AF1508" s="918">
        <v>-0.5</v>
      </c>
      <c r="AG1508" s="918">
        <v>-0.5</v>
      </c>
      <c r="AH1508" s="918">
        <v>-0.5</v>
      </c>
      <c r="AI1508" s="918">
        <v>-0.25</v>
      </c>
      <c r="AJ1508" s="918">
        <v>-1</v>
      </c>
      <c r="AK1508" s="918">
        <v>-1</v>
      </c>
      <c r="AL1508" s="918">
        <v>-1</v>
      </c>
      <c r="AM1508" s="918">
        <v>-1</v>
      </c>
      <c r="AN1508" s="918">
        <v>-0.39999999999999997</v>
      </c>
      <c r="AO1508" s="918">
        <v>-0.39999999999999997</v>
      </c>
      <c r="AP1508" s="918">
        <v>-0.27272727272727271</v>
      </c>
      <c r="AQ1508" s="918">
        <v>0</v>
      </c>
      <c r="AR1508" s="918">
        <v>-0.5</v>
      </c>
      <c r="AS1508" s="918">
        <v>-0.45454545454545459</v>
      </c>
      <c r="AT1508" s="918">
        <v>-0.33333333333333343</v>
      </c>
      <c r="AU1508" s="918">
        <v>-0.33333333333333343</v>
      </c>
      <c r="AV1508" s="918">
        <f ca="1">_xlfn.XLOOKUP(A1508,TabCalc[Ticker],TabCalc[Imp150])</f>
        <v>-0.33333333333333343</v>
      </c>
      <c r="AX1508" s="86" t="str">
        <f t="shared" ca="1" si="113"/>
        <v>CSCO</v>
      </c>
    </row>
    <row r="1509" spans="1:50" hidden="1">
      <c r="A1509" s="86" t="str">
        <f t="shared" ca="1" si="116"/>
        <v>CVS</v>
      </c>
      <c r="F1509" s="918">
        <v>-1</v>
      </c>
      <c r="G1509" s="918">
        <v>-1</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f ca="1">_xlfn.XLOOKUP(A1405,TabCalc[Ticker],TabCalc[Imp20])</f>
        <v>-1</v>
      </c>
      <c r="AB1509" s="918">
        <v>-0.19999999999999996</v>
      </c>
      <c r="AC1509" s="918">
        <v>-0.19999999999999996</v>
      </c>
      <c r="AD1509" s="918">
        <v>-0.19999999999999996</v>
      </c>
      <c r="AE1509" s="918">
        <v>0</v>
      </c>
      <c r="AF1509" s="918">
        <v>0</v>
      </c>
      <c r="AG1509" s="918">
        <v>0</v>
      </c>
      <c r="AH1509" s="918">
        <v>0</v>
      </c>
      <c r="AI1509" s="918">
        <v>0</v>
      </c>
      <c r="AJ1509" s="918">
        <v>-0.11111111111111116</v>
      </c>
      <c r="AK1509" s="918">
        <v>-0.11111111111111116</v>
      </c>
      <c r="AL1509" s="918">
        <v>-0.11111111111111116</v>
      </c>
      <c r="AM1509" s="918">
        <v>-0.11111111111111116</v>
      </c>
      <c r="AN1509" s="918">
        <v>-0.11111111111111116</v>
      </c>
      <c r="AO1509" s="918">
        <v>-0.11111111111111116</v>
      </c>
      <c r="AP1509" s="918">
        <v>-0.11111111111111116</v>
      </c>
      <c r="AQ1509" s="918">
        <v>-0.11111111111111116</v>
      </c>
      <c r="AR1509" s="918">
        <v>-0.11111111111111116</v>
      </c>
      <c r="AS1509" s="918">
        <v>0.14285714285714279</v>
      </c>
      <c r="AT1509" s="918">
        <v>0.14285714285714279</v>
      </c>
      <c r="AU1509" s="918">
        <v>0.14285714285714279</v>
      </c>
      <c r="AV1509" s="918">
        <f ca="1">_xlfn.XLOOKUP(A1509,TabCalc[Ticker],TabCalc[Imp150])</f>
        <v>0.14285714285714279</v>
      </c>
      <c r="AX1509" s="86" t="str">
        <f t="shared" ca="1" si="113"/>
        <v>CVS</v>
      </c>
    </row>
    <row r="1510" spans="1:50" hidden="1">
      <c r="A1510" s="86" t="str">
        <f t="shared" ca="1" si="116"/>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-5.1851851851851816E-2</v>
      </c>
      <c r="AE1510" s="918">
        <v>-0.2592592592592593</v>
      </c>
      <c r="AF1510" s="918">
        <v>-0.2592592592592593</v>
      </c>
      <c r="AG1510" s="918">
        <v>-0.2592592592592593</v>
      </c>
      <c r="AH1510" s="918">
        <v>-0.2592592592592593</v>
      </c>
      <c r="AI1510" s="918">
        <v>-0.2592592592592593</v>
      </c>
      <c r="AJ1510" s="918">
        <v>-1</v>
      </c>
      <c r="AK1510" s="918">
        <v>-1</v>
      </c>
      <c r="AL1510" s="918">
        <v>-1</v>
      </c>
      <c r="AM1510" s="918">
        <v>-1</v>
      </c>
      <c r="AN1510" s="918">
        <v>-1</v>
      </c>
      <c r="AO1510" s="918">
        <v>-1</v>
      </c>
      <c r="AP1510" s="918">
        <v>-1</v>
      </c>
      <c r="AQ1510" s="918">
        <v>-1</v>
      </c>
      <c r="AR1510" s="918">
        <v>-1</v>
      </c>
      <c r="AS1510" s="918">
        <v>0.375</v>
      </c>
      <c r="AT1510" s="918">
        <v>0.375</v>
      </c>
      <c r="AU1510" s="918">
        <v>0.375</v>
      </c>
      <c r="AV1510" s="918">
        <f ca="1">_xlfn.XLOOKUP(A1510,TabCalc[Ticker],TabCalc[Imp150])</f>
        <v>0.375</v>
      </c>
      <c r="AX1510" s="86" t="str">
        <f t="shared" ca="1" si="113"/>
        <v>DDD</v>
      </c>
    </row>
    <row r="1511" spans="1:50" hidden="1">
      <c r="A1511" s="86" t="str">
        <f t="shared" ca="1" si="116"/>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0.33333333333333326</v>
      </c>
      <c r="N1511" s="918">
        <v>-1</v>
      </c>
      <c r="O1511" s="918">
        <v>-1</v>
      </c>
      <c r="P1511" s="918">
        <v>-1</v>
      </c>
      <c r="Q1511" s="918">
        <v>-1</v>
      </c>
      <c r="R1511" s="918">
        <v>-1</v>
      </c>
      <c r="S1511" s="918">
        <v>-1</v>
      </c>
      <c r="T1511" s="918">
        <v>-1</v>
      </c>
      <c r="U1511" s="918">
        <v>-1</v>
      </c>
      <c r="V1511" s="918">
        <v>-1</v>
      </c>
      <c r="W1511" s="918">
        <v>-1</v>
      </c>
      <c r="X1511" s="918">
        <v>-1</v>
      </c>
      <c r="Y1511" s="918">
        <v>-1</v>
      </c>
      <c r="Z1511" s="918">
        <f ca="1">_xlfn.XLOOKUP(A1407,TabCalc[Ticker],TabCalc[Imp20])</f>
        <v>-1</v>
      </c>
      <c r="AB1511" s="918">
        <v>0.60000000000000009</v>
      </c>
      <c r="AC1511" s="918">
        <v>0.60000000000000009</v>
      </c>
      <c r="AD1511" s="918">
        <v>0.60000000000000009</v>
      </c>
      <c r="AE1511" s="918">
        <v>0.60000000000000009</v>
      </c>
      <c r="AF1511" s="918">
        <v>0.60000000000000009</v>
      </c>
      <c r="AG1511" s="918">
        <v>0.60000000000000009</v>
      </c>
      <c r="AH1511" s="918">
        <v>0.60000000000000009</v>
      </c>
      <c r="AI1511" s="918">
        <v>0.60000000000000009</v>
      </c>
      <c r="AJ1511" s="918">
        <v>-0.33333333333333343</v>
      </c>
      <c r="AK1511" s="918">
        <v>-0.33333333333333343</v>
      </c>
      <c r="AL1511" s="918">
        <v>-0.33333333333333343</v>
      </c>
      <c r="AM1511" s="918">
        <v>-0.33333333333333343</v>
      </c>
      <c r="AN1511" s="918">
        <v>-0.33333333333333343</v>
      </c>
      <c r="AO1511" s="918">
        <v>-0.33333333333333343</v>
      </c>
      <c r="AP1511" s="918">
        <v>-0.33333333333333343</v>
      </c>
      <c r="AQ1511" s="918">
        <v>-0.33333333333333343</v>
      </c>
      <c r="AR1511" s="918">
        <v>-0.33333333333333343</v>
      </c>
      <c r="AS1511" s="918">
        <v>-1</v>
      </c>
      <c r="AT1511" s="918">
        <v>-1</v>
      </c>
      <c r="AU1511" s="918">
        <v>-1</v>
      </c>
      <c r="AV1511" s="918">
        <f ca="1">_xlfn.XLOOKUP(A1511,TabCalc[Ticker],TabCalc[Imp150])</f>
        <v>-1</v>
      </c>
      <c r="AX1511" s="86" t="str">
        <f t="shared" ca="1" si="113"/>
        <v>DIS</v>
      </c>
    </row>
    <row r="1512" spans="1:50" hidden="1">
      <c r="A1512" s="86" t="str">
        <f t="shared" ca="1" si="116"/>
        <v>DSY</v>
      </c>
      <c r="F1512" s="918">
        <v>-1</v>
      </c>
      <c r="G1512" s="918">
        <v>-1</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0</v>
      </c>
      <c r="AC1512" s="918">
        <v>-1</v>
      </c>
      <c r="AD1512" s="918">
        <v>-1</v>
      </c>
      <c r="AE1512" s="918">
        <v>0.14285714285714279</v>
      </c>
      <c r="AF1512" s="918">
        <v>-0.25</v>
      </c>
      <c r="AG1512" s="918">
        <v>-0.19999999999999996</v>
      </c>
      <c r="AH1512" s="918">
        <v>-0.19999999999999996</v>
      </c>
      <c r="AI1512" s="918">
        <v>-0.19999999999999996</v>
      </c>
      <c r="AJ1512" s="918">
        <v>-1</v>
      </c>
      <c r="AK1512" s="918">
        <v>-1</v>
      </c>
      <c r="AL1512" s="918">
        <v>-1</v>
      </c>
      <c r="AM1512" s="918">
        <v>-1</v>
      </c>
      <c r="AN1512" s="918">
        <v>-1</v>
      </c>
      <c r="AO1512" s="918">
        <v>-1</v>
      </c>
      <c r="AP1512" s="918">
        <v>-1</v>
      </c>
      <c r="AQ1512" s="918">
        <v>-1</v>
      </c>
      <c r="AR1512" s="918">
        <v>-1</v>
      </c>
      <c r="AS1512" s="918">
        <v>0.5</v>
      </c>
      <c r="AT1512" s="918">
        <v>0.5</v>
      </c>
      <c r="AU1512" s="918">
        <v>0.5</v>
      </c>
      <c r="AV1512" s="918">
        <f ca="1">_xlfn.XLOOKUP(A1512,TabCalc[Ticker],TabCalc[Imp150])</f>
        <v>0.5</v>
      </c>
      <c r="AX1512" s="86" t="str">
        <f t="shared" ca="1" si="113"/>
        <v>DSY</v>
      </c>
    </row>
    <row r="1513" spans="1:50" hidden="1">
      <c r="A1513" s="86" t="str">
        <f t="shared" ca="1" si="116"/>
        <v>DVA</v>
      </c>
      <c r="F1513" s="918">
        <v>-1</v>
      </c>
      <c r="G1513" s="918">
        <v>-1</v>
      </c>
      <c r="H1513" s="918">
        <v>-1</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-0.33333333333333343</v>
      </c>
      <c r="AC1513" s="918">
        <v>-0.33333333333333343</v>
      </c>
      <c r="AD1513" s="918">
        <v>0</v>
      </c>
      <c r="AE1513" s="918">
        <v>-0.33333333333333343</v>
      </c>
      <c r="AF1513" s="918">
        <v>-0.33333333333333343</v>
      </c>
      <c r="AG1513" s="918">
        <v>-0.33333333333333343</v>
      </c>
      <c r="AH1513" s="918">
        <v>-0.33333333333333343</v>
      </c>
      <c r="AI1513" s="918">
        <v>0.66666666666666674</v>
      </c>
      <c r="AJ1513" s="918">
        <v>-1</v>
      </c>
      <c r="AK1513" s="918">
        <v>-1</v>
      </c>
      <c r="AL1513" s="918">
        <v>-1</v>
      </c>
      <c r="AM1513" s="918">
        <v>-0.33333333333333343</v>
      </c>
      <c r="AN1513" s="918">
        <v>-0.33333333333333343</v>
      </c>
      <c r="AO1513" s="918">
        <v>-0.33333333333333343</v>
      </c>
      <c r="AP1513" s="918">
        <v>-0.33333333333333343</v>
      </c>
      <c r="AQ1513" s="918">
        <v>-0.33333333333333343</v>
      </c>
      <c r="AR1513" s="918">
        <v>-0.33333333333333343</v>
      </c>
      <c r="AS1513" s="918">
        <v>-1</v>
      </c>
      <c r="AT1513" s="918">
        <v>-1</v>
      </c>
      <c r="AU1513" s="918">
        <v>-1</v>
      </c>
      <c r="AV1513" s="918">
        <f ca="1">_xlfn.XLOOKUP(A1513,TabCalc[Ticker],TabCalc[Imp150])</f>
        <v>-1</v>
      </c>
      <c r="AX1513" s="86" t="str">
        <f t="shared" ca="1" si="113"/>
        <v>DVA</v>
      </c>
    </row>
    <row r="1514" spans="1:50" hidden="1">
      <c r="A1514" s="86" t="str">
        <f t="shared" ca="1" si="116"/>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-0.45454545454545459</v>
      </c>
      <c r="AC1514" s="918">
        <v>-0.45454545454545459</v>
      </c>
      <c r="AD1514" s="918">
        <v>-0.45454545454545459</v>
      </c>
      <c r="AE1514" s="918">
        <v>-0.45454545454545459</v>
      </c>
      <c r="AF1514" s="918">
        <v>-0.45454545454545459</v>
      </c>
      <c r="AG1514" s="918">
        <v>-0.45454545454545459</v>
      </c>
      <c r="AH1514" s="918">
        <v>-0.45454545454545459</v>
      </c>
      <c r="AI1514" s="918">
        <v>-0.45454545454545459</v>
      </c>
      <c r="AJ1514" s="918">
        <v>-0.66666666666666674</v>
      </c>
      <c r="AK1514" s="918">
        <v>-0.66666666666666674</v>
      </c>
      <c r="AL1514" s="918">
        <v>-0.66666666666666674</v>
      </c>
      <c r="AM1514" s="918">
        <v>-0.66666666666666674</v>
      </c>
      <c r="AN1514" s="918">
        <v>-0.66666666666666674</v>
      </c>
      <c r="AO1514" s="918">
        <v>-0.66666666666666674</v>
      </c>
      <c r="AP1514" s="918">
        <v>-0.66666666666666674</v>
      </c>
      <c r="AQ1514" s="918">
        <v>-0.66666666666666674</v>
      </c>
      <c r="AR1514" s="918">
        <v>-0.66666666666666674</v>
      </c>
      <c r="AS1514" s="918">
        <v>0</v>
      </c>
      <c r="AT1514" s="918">
        <v>9.0909090909090828E-2</v>
      </c>
      <c r="AU1514" s="918" t="e">
        <v>#VALUE!</v>
      </c>
      <c r="AV1514" s="918" t="e">
        <f ca="1">_xlfn.XLOOKUP(A1514,TabCalc[Ticker],TabCalc[Imp150])</f>
        <v>#VALUE!</v>
      </c>
      <c r="AX1514" s="86" t="str">
        <f t="shared" ca="1" si="113"/>
        <v>DXC</v>
      </c>
    </row>
    <row r="1515" spans="1:50" hidden="1">
      <c r="A1515" s="86" t="str">
        <f t="shared" ca="1" si="116"/>
        <v>EOAN</v>
      </c>
      <c r="F1515" s="918">
        <v>-0.28571428571428564</v>
      </c>
      <c r="G1515" s="918">
        <v>-0.28571428571428564</v>
      </c>
      <c r="H1515" s="918">
        <v>-0.28571428571428564</v>
      </c>
      <c r="I1515" s="918">
        <v>-1</v>
      </c>
      <c r="J1515" s="918">
        <v>-1</v>
      </c>
      <c r="K1515" s="918">
        <v>-1</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0</v>
      </c>
      <c r="AC1515" s="918">
        <v>0</v>
      </c>
      <c r="AD1515" s="918">
        <v>0</v>
      </c>
      <c r="AE1515" s="918">
        <v>0</v>
      </c>
      <c r="AF1515" s="918">
        <v>-1</v>
      </c>
      <c r="AG1515" s="918">
        <v>-1</v>
      </c>
      <c r="AH1515" s="918">
        <v>-0.39999999999999997</v>
      </c>
      <c r="AI1515" s="918">
        <v>-0.39999999999999997</v>
      </c>
      <c r="AJ1515" s="918">
        <v>-0.19999999999999996</v>
      </c>
      <c r="AK1515" s="918">
        <v>-0.14285714285714285</v>
      </c>
      <c r="AL1515" s="918">
        <v>-0.14285714285714285</v>
      </c>
      <c r="AM1515" s="918">
        <v>-0.14285714285714285</v>
      </c>
      <c r="AN1515" s="918">
        <v>0.19999999999999996</v>
      </c>
      <c r="AO1515" s="918">
        <v>-1</v>
      </c>
      <c r="AP1515" s="918">
        <v>-1</v>
      </c>
      <c r="AQ1515" s="918">
        <v>-1</v>
      </c>
      <c r="AR1515" s="918">
        <v>-0.11111111111111116</v>
      </c>
      <c r="AS1515" s="918">
        <v>-0.19999999999999996</v>
      </c>
      <c r="AT1515" s="918">
        <v>-0.19999999999999996</v>
      </c>
      <c r="AU1515" s="918">
        <v>-0.19999999999999996</v>
      </c>
      <c r="AV1515" s="918">
        <f ca="1">_xlfn.XLOOKUP(A1515,TabCalc[Ticker],TabCalc[Imp150])</f>
        <v>-0.19999999999999996</v>
      </c>
      <c r="AX1515" s="86" t="str">
        <f t="shared" ca="1" si="113"/>
        <v>EOAN</v>
      </c>
    </row>
    <row r="1516" spans="1:50" hidden="1">
      <c r="A1516" s="86" t="str">
        <f t="shared" ca="1" si="116"/>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8.2644628099173278E-3</v>
      </c>
      <c r="AJ1516" s="918">
        <v>-1</v>
      </c>
      <c r="AK1516" s="918">
        <v>-1</v>
      </c>
      <c r="AL1516" s="918">
        <v>-1</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3"/>
        <v>EPIX</v>
      </c>
    </row>
    <row r="1517" spans="1:50" hidden="1">
      <c r="A1517" s="86" t="str">
        <f t="shared" ca="1" si="116"/>
        <v>GM</v>
      </c>
      <c r="F1517" s="918">
        <v>-1</v>
      </c>
      <c r="G1517" s="918">
        <v>-1</v>
      </c>
      <c r="H1517" s="918">
        <v>-1</v>
      </c>
      <c r="I1517" s="918">
        <v>-0.71428571428571441</v>
      </c>
      <c r="J1517" s="918">
        <v>-1</v>
      </c>
      <c r="K1517" s="918">
        <v>-1</v>
      </c>
      <c r="L1517" s="918">
        <v>-1</v>
      </c>
      <c r="M1517" s="918">
        <v>-1</v>
      </c>
      <c r="N1517" s="918">
        <v>-1</v>
      </c>
      <c r="O1517" s="918">
        <v>-1</v>
      </c>
      <c r="P1517" s="918">
        <v>-1</v>
      </c>
      <c r="Q1517" s="918">
        <v>-1</v>
      </c>
      <c r="R1517" s="918">
        <v>-1</v>
      </c>
      <c r="S1517" s="918">
        <v>-1</v>
      </c>
      <c r="T1517" s="918">
        <v>-1</v>
      </c>
      <c r="U1517" s="918">
        <v>-1</v>
      </c>
      <c r="V1517" s="918">
        <v>-1</v>
      </c>
      <c r="W1517" s="918">
        <v>-1</v>
      </c>
      <c r="X1517" s="918">
        <v>-1</v>
      </c>
      <c r="Y1517" s="918">
        <v>-1</v>
      </c>
      <c r="Z1517" s="918">
        <f ca="1">_xlfn.XLOOKUP(A1413,TabCalc[Ticker],TabCalc[Imp20])</f>
        <v>-1</v>
      </c>
      <c r="AB1517" s="918">
        <v>-0.11111111111111116</v>
      </c>
      <c r="AC1517" s="918">
        <v>-0.11111111111111116</v>
      </c>
      <c r="AD1517" s="918">
        <v>-0.11111111111111116</v>
      </c>
      <c r="AE1517" s="918">
        <v>-0.11111111111111116</v>
      </c>
      <c r="AF1517" s="918">
        <v>-0.11111111111111116</v>
      </c>
      <c r="AG1517" s="918">
        <v>0.60000000000000009</v>
      </c>
      <c r="AH1517" s="918">
        <v>0.60000000000000009</v>
      </c>
      <c r="AI1517" s="918">
        <v>0.60000000000000009</v>
      </c>
      <c r="AJ1517" s="918">
        <v>-1</v>
      </c>
      <c r="AK1517" s="918">
        <v>-1</v>
      </c>
      <c r="AL1517" s="918">
        <v>-1</v>
      </c>
      <c r="AM1517" s="918">
        <v>-1</v>
      </c>
      <c r="AN1517" s="918">
        <v>-1</v>
      </c>
      <c r="AO1517" s="918">
        <v>-1</v>
      </c>
      <c r="AP1517" s="918">
        <v>-1</v>
      </c>
      <c r="AQ1517" s="918">
        <v>-1</v>
      </c>
      <c r="AR1517" s="918">
        <v>-1</v>
      </c>
      <c r="AS1517" s="918">
        <v>-0.55555555555555558</v>
      </c>
      <c r="AT1517" s="918">
        <v>-0.55555555555555558</v>
      </c>
      <c r="AU1517" s="918">
        <v>-0.55555555555555558</v>
      </c>
      <c r="AV1517" s="918">
        <f ca="1">_xlfn.XLOOKUP(A1517,TabCalc[Ticker],TabCalc[Imp150])</f>
        <v>-0.55555555555555558</v>
      </c>
      <c r="AX1517" s="86" t="str">
        <f t="shared" ca="1" si="113"/>
        <v>GM</v>
      </c>
    </row>
    <row r="1518" spans="1:50" hidden="1">
      <c r="A1518" s="86" t="str">
        <f t="shared" ca="1" si="116"/>
        <v>HPE</v>
      </c>
      <c r="F1518" s="918">
        <v>-1</v>
      </c>
      <c r="G1518" s="918">
        <v>-1</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0.5</v>
      </c>
      <c r="AC1518" s="918">
        <v>0.5</v>
      </c>
      <c r="AD1518" s="918">
        <v>0.5</v>
      </c>
      <c r="AE1518" s="918">
        <v>0.5</v>
      </c>
      <c r="AF1518" s="918">
        <v>0.5</v>
      </c>
      <c r="AG1518" s="918">
        <v>0.5</v>
      </c>
      <c r="AH1518" s="918">
        <v>0.5</v>
      </c>
      <c r="AI1518" s="918">
        <v>-0.14285714285714285</v>
      </c>
      <c r="AJ1518" s="918">
        <v>-1</v>
      </c>
      <c r="AK1518" s="918">
        <v>-1</v>
      </c>
      <c r="AL1518" s="918">
        <v>-1</v>
      </c>
      <c r="AM1518" s="918">
        <v>-0.55555555555555558</v>
      </c>
      <c r="AN1518" s="918">
        <v>-0.55555555555555558</v>
      </c>
      <c r="AO1518" s="918">
        <v>-0.39999999999999997</v>
      </c>
      <c r="AP1518" s="918">
        <v>-0.39999999999999997</v>
      </c>
      <c r="AQ1518" s="918">
        <v>-0.19999999999999996</v>
      </c>
      <c r="AR1518" s="918">
        <v>-0.19999999999999996</v>
      </c>
      <c r="AS1518" s="918">
        <v>-0.45454545454545459</v>
      </c>
      <c r="AT1518" s="918">
        <v>-0.45454545454545459</v>
      </c>
      <c r="AU1518" s="918">
        <v>-0.45454545454545459</v>
      </c>
      <c r="AV1518" s="918">
        <f ca="1">_xlfn.XLOOKUP(A1518,TabCalc[Ticker],TabCalc[Imp150])</f>
        <v>-0.45454545454545459</v>
      </c>
      <c r="AX1518" s="86" t="str">
        <f t="shared" ca="1" si="113"/>
        <v>HPE</v>
      </c>
    </row>
    <row r="1519" spans="1:50" hidden="1">
      <c r="A1519" s="86" t="str">
        <f t="shared" ca="1" si="116"/>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v>-1</v>
      </c>
      <c r="Y1519" s="918" t="e">
        <v>#VALUE!</v>
      </c>
      <c r="Z1519" s="918" t="e">
        <f ca="1">_xlfn.XLOOKUP(A1415,TabCalc[Ticker],TabCalc[Imp20])</f>
        <v>#VALUE!</v>
      </c>
      <c r="AB1519" s="918">
        <v>-0.27272727272727271</v>
      </c>
      <c r="AC1519" s="918">
        <v>-0.27272727272727271</v>
      </c>
      <c r="AD1519" s="918">
        <v>-0.27272727272727271</v>
      </c>
      <c r="AE1519" s="918">
        <v>-0.33333333333333343</v>
      </c>
      <c r="AF1519" s="918">
        <v>-0.33333333333333343</v>
      </c>
      <c r="AG1519" s="918">
        <v>-0.33333333333333343</v>
      </c>
      <c r="AH1519" s="918">
        <v>-0.33333333333333343</v>
      </c>
      <c r="AI1519" s="918">
        <v>-0.33333333333333343</v>
      </c>
      <c r="AJ1519" s="918">
        <v>-0.5</v>
      </c>
      <c r="AK1519" s="918">
        <v>-0.5</v>
      </c>
      <c r="AL1519" s="918">
        <v>-0.5</v>
      </c>
      <c r="AM1519" s="918">
        <v>-0.5</v>
      </c>
      <c r="AN1519" s="918">
        <v>0</v>
      </c>
      <c r="AO1519" s="918">
        <v>0</v>
      </c>
      <c r="AP1519" s="918">
        <v>-1</v>
      </c>
      <c r="AQ1519" s="918">
        <v>0.19999999999999996</v>
      </c>
      <c r="AR1519" s="918">
        <v>0</v>
      </c>
      <c r="AS1519" s="918">
        <v>0.71428571428571419</v>
      </c>
      <c r="AT1519" s="918">
        <v>0.71428571428571419</v>
      </c>
      <c r="AU1519" s="918">
        <v>0.71428571428571419</v>
      </c>
      <c r="AV1519" s="918">
        <f ca="1">_xlfn.XLOOKUP(A1519,TabCalc[Ticker],TabCalc[Imp150])</f>
        <v>0.71428571428571419</v>
      </c>
      <c r="AX1519" s="86" t="str">
        <f t="shared" ca="1" si="113"/>
        <v>HPQ</v>
      </c>
    </row>
    <row r="1520" spans="1:50" hidden="1">
      <c r="A1520" s="86" t="str">
        <f t="shared" ca="1" si="116"/>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0.60000000000000009</v>
      </c>
      <c r="AC1520" s="918">
        <v>0.60000000000000009</v>
      </c>
      <c r="AD1520" s="918">
        <v>4.3478260869565188E-2</v>
      </c>
      <c r="AE1520" s="918">
        <v>0.1333333333333333</v>
      </c>
      <c r="AF1520" s="918">
        <v>0.1333333333333333</v>
      </c>
      <c r="AG1520" s="918">
        <v>0.11111111111111116</v>
      </c>
      <c r="AH1520" s="918">
        <v>0</v>
      </c>
      <c r="AI1520" s="918">
        <v>1</v>
      </c>
      <c r="AJ1520" s="918">
        <v>-1</v>
      </c>
      <c r="AK1520" s="918">
        <v>0.21212121212121215</v>
      </c>
      <c r="AL1520" s="918">
        <v>0.21212121212121215</v>
      </c>
      <c r="AM1520" s="918">
        <v>0.23529411764705888</v>
      </c>
      <c r="AN1520" s="918">
        <v>0.23529411764705888</v>
      </c>
      <c r="AO1520" s="918">
        <v>0.23529411764705888</v>
      </c>
      <c r="AP1520" s="918">
        <v>0.23529411764705888</v>
      </c>
      <c r="AQ1520" s="918">
        <v>0.23529411764705888</v>
      </c>
      <c r="AR1520" s="918">
        <v>0</v>
      </c>
      <c r="AS1520" s="918">
        <v>4.7619047619047672E-2</v>
      </c>
      <c r="AT1520" s="918">
        <v>4.7619047619047672E-2</v>
      </c>
      <c r="AU1520" s="918">
        <v>4.7619047619047672E-2</v>
      </c>
      <c r="AV1520" s="918">
        <f ca="1">_xlfn.XLOOKUP(A1520,TabCalc[Ticker],TabCalc[Imp150])</f>
        <v>4.7619047619047672E-2</v>
      </c>
      <c r="AX1520" s="86" t="str">
        <f t="shared" ca="1" si="113"/>
        <v>IAG</v>
      </c>
    </row>
    <row r="1521" spans="1:50" hidden="1">
      <c r="A1521" s="86" t="str">
        <f t="shared" ca="1" si="116"/>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-1</v>
      </c>
      <c r="AC1521" s="918">
        <v>-1</v>
      </c>
      <c r="AD1521" s="918">
        <v>-0.75</v>
      </c>
      <c r="AE1521" s="918">
        <v>-0.75</v>
      </c>
      <c r="AF1521" s="918">
        <v>-0.75</v>
      </c>
      <c r="AG1521" s="918">
        <v>-0.75</v>
      </c>
      <c r="AH1521" s="918">
        <v>-0.75</v>
      </c>
      <c r="AI1521" s="918">
        <v>-0.33333333333333343</v>
      </c>
      <c r="AJ1521" s="918">
        <v>-0.16666666666666657</v>
      </c>
      <c r="AK1521" s="918">
        <v>-0.16666666666666657</v>
      </c>
      <c r="AL1521" s="918">
        <v>-0.16666666666666657</v>
      </c>
      <c r="AM1521" s="918">
        <v>-0.16666666666666657</v>
      </c>
      <c r="AN1521" s="918">
        <v>-0.16666666666666657</v>
      </c>
      <c r="AO1521" s="918">
        <v>-0.16666666666666657</v>
      </c>
      <c r="AP1521" s="918">
        <v>-0.16666666666666657</v>
      </c>
      <c r="AQ1521" s="918">
        <v>-1</v>
      </c>
      <c r="AR1521" s="918">
        <v>0.39999999999999991</v>
      </c>
      <c r="AS1521" s="918">
        <v>-1</v>
      </c>
      <c r="AT1521" s="918">
        <v>-0.33333333333333343</v>
      </c>
      <c r="AU1521" s="918">
        <v>-0.33333333333333343</v>
      </c>
      <c r="AV1521" s="918">
        <f ca="1">_xlfn.XLOOKUP(A1521,TabCalc[Ticker],TabCalc[Imp150])</f>
        <v>-0.33333333333333343</v>
      </c>
      <c r="AX1521" s="86" t="str">
        <f t="shared" ca="1" si="113"/>
        <v>KR</v>
      </c>
    </row>
    <row r="1522" spans="1:50" hidden="1">
      <c r="A1522" s="86" t="str">
        <f t="shared" ca="1" si="116"/>
        <v>LNSR</v>
      </c>
      <c r="F1522" s="918">
        <v>-1</v>
      </c>
      <c r="G1522" s="918">
        <v>-1</v>
      </c>
      <c r="H1522" s="918">
        <v>-1</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3"/>
        <v>LNSR</v>
      </c>
    </row>
    <row r="1523" spans="1:50" hidden="1">
      <c r="A1523" s="86" t="str">
        <f t="shared" ca="1" si="116"/>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7.6923076923076872E-2</v>
      </c>
      <c r="AC1523" s="918">
        <v>7.6923076923076872E-2</v>
      </c>
      <c r="AD1523" s="918">
        <v>7.6923076923076872E-2</v>
      </c>
      <c r="AE1523" s="918">
        <v>7.6923076923076872E-2</v>
      </c>
      <c r="AF1523" s="918">
        <v>-0.125</v>
      </c>
      <c r="AG1523" s="918">
        <v>-0.125</v>
      </c>
      <c r="AH1523" s="918">
        <v>-0.125</v>
      </c>
      <c r="AI1523" s="918">
        <v>-0.125</v>
      </c>
      <c r="AJ1523" s="918">
        <v>-0.27272727272727271</v>
      </c>
      <c r="AK1523" s="918">
        <v>-0.27272727272727271</v>
      </c>
      <c r="AL1523" s="918">
        <v>-0.27272727272727271</v>
      </c>
      <c r="AM1523" s="918">
        <v>-0.27272727272727271</v>
      </c>
      <c r="AN1523" s="918">
        <v>-0.27272727272727271</v>
      </c>
      <c r="AO1523" s="918">
        <v>-0.27272727272727271</v>
      </c>
      <c r="AP1523" s="918">
        <v>-0.27272727272727271</v>
      </c>
      <c r="AQ1523" s="918">
        <v>-0.27272727272727271</v>
      </c>
      <c r="AR1523" s="918">
        <v>-0.27272727272727271</v>
      </c>
      <c r="AS1523" s="918">
        <v>0.25</v>
      </c>
      <c r="AT1523" s="918">
        <v>0.25</v>
      </c>
      <c r="AU1523" s="918">
        <v>0.25</v>
      </c>
      <c r="AV1523" s="918">
        <f ca="1">_xlfn.XLOOKUP(A1523,TabCalc[Ticker],TabCalc[Imp150])</f>
        <v>0.25</v>
      </c>
      <c r="AX1523" s="86" t="str">
        <f t="shared" ca="1" si="113"/>
        <v>LUMN</v>
      </c>
    </row>
    <row r="1524" spans="1:50" hidden="1">
      <c r="A1524" s="86" t="str">
        <f t="shared" ca="1" si="116"/>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0.15789473684210531</v>
      </c>
      <c r="AC1524" s="918">
        <v>0.15789473684210531</v>
      </c>
      <c r="AD1524" s="918">
        <v>0.15789473684210531</v>
      </c>
      <c r="AE1524" s="918">
        <v>0.15789473684210531</v>
      </c>
      <c r="AF1524" s="918">
        <v>0.15789473684210531</v>
      </c>
      <c r="AG1524" s="918">
        <v>0.15789473684210531</v>
      </c>
      <c r="AH1524" s="918">
        <v>0.15789473684210531</v>
      </c>
      <c r="AI1524" s="918">
        <v>0.15789473684210531</v>
      </c>
      <c r="AJ1524" s="918">
        <v>-0.19999999999999996</v>
      </c>
      <c r="AK1524" s="918">
        <v>-0.19999999999999996</v>
      </c>
      <c r="AL1524" s="918">
        <v>-0.19999999999999996</v>
      </c>
      <c r="AM1524" s="918">
        <v>-0.19999999999999996</v>
      </c>
      <c r="AN1524" s="918">
        <v>-0.19999999999999996</v>
      </c>
      <c r="AO1524" s="918">
        <v>-0.19999999999999996</v>
      </c>
      <c r="AP1524" s="918">
        <v>-0.19999999999999996</v>
      </c>
      <c r="AQ1524" s="918">
        <v>-1</v>
      </c>
      <c r="AR1524" s="918">
        <v>-1</v>
      </c>
      <c r="AS1524" s="918">
        <v>-0.11111111111111116</v>
      </c>
      <c r="AT1524" s="918">
        <v>-0.11111111111111116</v>
      </c>
      <c r="AU1524" s="918">
        <v>-0.11111111111111116</v>
      </c>
      <c r="AV1524" s="918">
        <f ca="1">_xlfn.XLOOKUP(A1524,TabCalc[Ticker],TabCalc[Imp150])</f>
        <v>-0.11111111111111116</v>
      </c>
      <c r="AX1524" s="86" t="str">
        <f t="shared" ca="1" si="113"/>
        <v>MRNA</v>
      </c>
    </row>
    <row r="1525" spans="1:50" hidden="1">
      <c r="A1525" s="86" t="str">
        <f t="shared" ca="1" si="116"/>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v>-1</v>
      </c>
      <c r="Z1525" s="918">
        <f ca="1">_xlfn.XLOOKUP(A1421,TabCalc[Ticker],TabCalc[Imp20])</f>
        <v>-1</v>
      </c>
      <c r="AB1525" s="918">
        <v>-0.19999999999999996</v>
      </c>
      <c r="AC1525" s="918">
        <v>-0.19999999999999996</v>
      </c>
      <c r="AD1525" s="918">
        <v>-0.19999999999999996</v>
      </c>
      <c r="AE1525" s="918">
        <v>-0.19999999999999996</v>
      </c>
      <c r="AF1525" s="918">
        <v>-0.19999999999999996</v>
      </c>
      <c r="AG1525" s="918">
        <v>-0.19999999999999996</v>
      </c>
      <c r="AH1525" s="918">
        <v>-0.19999999999999996</v>
      </c>
      <c r="AI1525" s="918">
        <v>-0.19999999999999996</v>
      </c>
      <c r="AJ1525" s="918">
        <v>-1</v>
      </c>
      <c r="AK1525" s="918">
        <v>-1</v>
      </c>
      <c r="AL1525" s="918">
        <v>-1</v>
      </c>
      <c r="AM1525" s="918">
        <v>-1</v>
      </c>
      <c r="AN1525" s="918">
        <v>-1</v>
      </c>
      <c r="AO1525" s="918">
        <v>-1</v>
      </c>
      <c r="AP1525" s="918">
        <v>-1</v>
      </c>
      <c r="AQ1525" s="918">
        <v>-0.33333333333333343</v>
      </c>
      <c r="AR1525" s="918">
        <v>-1</v>
      </c>
      <c r="AS1525" s="918">
        <v>-0.60000000000000009</v>
      </c>
      <c r="AT1525" s="918">
        <v>-0.60000000000000009</v>
      </c>
      <c r="AU1525" s="918">
        <v>-0.33333333333333343</v>
      </c>
      <c r="AV1525" s="918">
        <f ca="1">_xlfn.XLOOKUP(A1525,TabCalc[Ticker],TabCalc[Imp150])</f>
        <v>-0.33333333333333343</v>
      </c>
      <c r="AX1525" s="86" t="str">
        <f t="shared" ca="1" si="113"/>
        <v>MSFT</v>
      </c>
    </row>
    <row r="1526" spans="1:50" hidden="1">
      <c r="A1526" s="86" t="str">
        <f t="shared" ca="1" si="116"/>
        <v>NEE</v>
      </c>
      <c r="F1526" s="918">
        <v>-1</v>
      </c>
      <c r="G1526" s="918">
        <v>-1</v>
      </c>
      <c r="H1526" s="918">
        <v>-1</v>
      </c>
      <c r="I1526" s="918">
        <v>-1</v>
      </c>
      <c r="J1526" s="918">
        <v>-1</v>
      </c>
      <c r="K1526" s="918">
        <v>-1</v>
      </c>
      <c r="L1526" s="918">
        <v>-1</v>
      </c>
      <c r="M1526" s="918">
        <v>-0.77777777777777768</v>
      </c>
      <c r="N1526" s="918">
        <v>-1</v>
      </c>
      <c r="O1526" s="918">
        <v>-1</v>
      </c>
      <c r="P1526" s="918">
        <v>-1</v>
      </c>
      <c r="Q1526" s="918">
        <v>-1</v>
      </c>
      <c r="R1526" s="918">
        <v>-1</v>
      </c>
      <c r="S1526" s="918">
        <v>-1</v>
      </c>
      <c r="T1526" s="918">
        <v>-1</v>
      </c>
      <c r="U1526" s="918">
        <v>-1</v>
      </c>
      <c r="V1526" s="918">
        <v>-1</v>
      </c>
      <c r="W1526" s="918">
        <v>-1</v>
      </c>
      <c r="X1526" s="918">
        <v>-1</v>
      </c>
      <c r="Y1526" s="918">
        <v>-1</v>
      </c>
      <c r="Z1526" s="918">
        <f ca="1">_xlfn.XLOOKUP(A1422,TabCalc[Ticker],TabCalc[Imp20])</f>
        <v>-1</v>
      </c>
      <c r="AB1526" s="918">
        <v>0</v>
      </c>
      <c r="AC1526" s="918">
        <v>0</v>
      </c>
      <c r="AD1526" s="918">
        <v>0</v>
      </c>
      <c r="AE1526" s="918">
        <v>0</v>
      </c>
      <c r="AF1526" s="918">
        <v>0</v>
      </c>
      <c r="AG1526" s="918">
        <v>0</v>
      </c>
      <c r="AH1526" s="918">
        <v>0</v>
      </c>
      <c r="AI1526" s="918">
        <v>0</v>
      </c>
      <c r="AJ1526" s="918">
        <v>-1</v>
      </c>
      <c r="AK1526" s="918">
        <v>-1</v>
      </c>
      <c r="AL1526" s="918">
        <v>-1</v>
      </c>
      <c r="AM1526" s="918">
        <v>-1</v>
      </c>
      <c r="AN1526" s="918">
        <v>-1</v>
      </c>
      <c r="AO1526" s="918">
        <v>-1</v>
      </c>
      <c r="AP1526" s="918">
        <v>-1</v>
      </c>
      <c r="AQ1526" s="918">
        <v>-0.5</v>
      </c>
      <c r="AR1526" s="918">
        <v>-0.5</v>
      </c>
      <c r="AS1526" s="918">
        <v>-1</v>
      </c>
      <c r="AT1526" s="918">
        <v>-1</v>
      </c>
      <c r="AU1526" s="918">
        <v>-1</v>
      </c>
      <c r="AV1526" s="918">
        <f ca="1">_xlfn.XLOOKUP(A1526,TabCalc[Ticker],TabCalc[Imp150])</f>
        <v>-1</v>
      </c>
      <c r="AX1526" s="86" t="str">
        <f t="shared" ca="1" si="113"/>
        <v>NEE</v>
      </c>
    </row>
    <row r="1527" spans="1:50" hidden="1">
      <c r="A1527" s="86" t="str">
        <f t="shared" ca="1" si="116"/>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-0.39999999999999997</v>
      </c>
      <c r="AC1527" s="918">
        <v>-0.23076923076923078</v>
      </c>
      <c r="AD1527" s="918">
        <v>0.33333333333333326</v>
      </c>
      <c r="AE1527" s="918">
        <v>0.33333333333333326</v>
      </c>
      <c r="AF1527" s="918">
        <v>0.33333333333333326</v>
      </c>
      <c r="AG1527" s="918">
        <v>0.33333333333333326</v>
      </c>
      <c r="AH1527" s="918">
        <v>-0.60000000000000009</v>
      </c>
      <c r="AI1527" s="918">
        <v>-0.27272727272727271</v>
      </c>
      <c r="AJ1527" s="918">
        <v>-0.19999999999999996</v>
      </c>
      <c r="AK1527" s="918">
        <v>-0.19999999999999996</v>
      </c>
      <c r="AL1527" s="918">
        <v>-0.19999999999999996</v>
      </c>
      <c r="AM1527" s="918">
        <v>-0.60000000000000009</v>
      </c>
      <c r="AN1527" s="918">
        <v>-0.60000000000000009</v>
      </c>
      <c r="AO1527" s="918">
        <v>-0.60000000000000009</v>
      </c>
      <c r="AP1527" s="918">
        <v>-0.60000000000000009</v>
      </c>
      <c r="AQ1527" s="918">
        <v>0.14285714285714279</v>
      </c>
      <c r="AR1527" s="918">
        <v>0.14285714285714279</v>
      </c>
      <c r="AS1527" s="918">
        <v>-0.16666666666666657</v>
      </c>
      <c r="AT1527" s="918">
        <v>-0.16666666666666657</v>
      </c>
      <c r="AU1527" s="918" t="e">
        <v>#VALUE!</v>
      </c>
      <c r="AV1527" s="918" t="e">
        <f ca="1">_xlfn.XLOOKUP(A1527,TabCalc[Ticker],TabCalc[Imp150])</f>
        <v>#VALUE!</v>
      </c>
      <c r="AX1527" s="86" t="str">
        <f t="shared" ca="1" si="113"/>
        <v>NEM</v>
      </c>
    </row>
    <row r="1528" spans="1:50" hidden="1">
      <c r="A1528" s="86" t="str">
        <f t="shared" ca="1" si="116"/>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-0.33333333333333343</v>
      </c>
      <c r="AC1528" s="918">
        <v>-0.33333333333333343</v>
      </c>
      <c r="AD1528" s="918">
        <v>-0.33333333333333343</v>
      </c>
      <c r="AE1528" s="918">
        <v>-0.33333333333333343</v>
      </c>
      <c r="AF1528" s="918">
        <v>0</v>
      </c>
      <c r="AG1528" s="918">
        <v>0</v>
      </c>
      <c r="AH1528" s="918">
        <v>-0.39999999999999997</v>
      </c>
      <c r="AI1528" s="918">
        <v>-0.39999999999999997</v>
      </c>
      <c r="AJ1528" s="918">
        <v>-0.45454545454545459</v>
      </c>
      <c r="AK1528" s="918">
        <v>-0.16666666666666657</v>
      </c>
      <c r="AL1528" s="918">
        <v>-0.16666666666666657</v>
      </c>
      <c r="AM1528" s="918">
        <v>0</v>
      </c>
      <c r="AN1528" s="918">
        <v>0</v>
      </c>
      <c r="AO1528" s="918">
        <v>0</v>
      </c>
      <c r="AP1528" s="918">
        <v>0.11111111111111116</v>
      </c>
      <c r="AQ1528" s="918">
        <v>0.11111111111111116</v>
      </c>
      <c r="AR1528" s="918">
        <v>0</v>
      </c>
      <c r="AS1528" s="918">
        <v>0.5</v>
      </c>
      <c r="AT1528" s="918">
        <v>-1</v>
      </c>
      <c r="AU1528" s="918">
        <v>-1</v>
      </c>
      <c r="AV1528" s="918">
        <f ca="1">_xlfn.XLOOKUP(A1528,TabCalc[Ticker],TabCalc[Imp150])</f>
        <v>-1</v>
      </c>
      <c r="AX1528" s="86" t="str">
        <f t="shared" ca="1" si="113"/>
        <v>NFLX</v>
      </c>
    </row>
    <row r="1529" spans="1:50" hidden="1">
      <c r="A1529" s="86" t="str">
        <f t="shared" ca="1" si="116"/>
        <v>NOTE</v>
      </c>
      <c r="F1529" s="918">
        <v>-1</v>
      </c>
      <c r="G1529" s="918">
        <v>-1</v>
      </c>
      <c r="H1529" s="918">
        <v>-1</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-0.16666666666666657</v>
      </c>
      <c r="AC1529" s="918">
        <v>-0.16666666666666657</v>
      </c>
      <c r="AD1529" s="918">
        <v>-0.16666666666666657</v>
      </c>
      <c r="AE1529" s="918">
        <v>-0.16666666666666657</v>
      </c>
      <c r="AF1529" s="918">
        <v>-0.16666666666666657</v>
      </c>
      <c r="AG1529" s="918">
        <v>-0.16666666666666657</v>
      </c>
      <c r="AH1529" s="918">
        <v>-0.16666666666666657</v>
      </c>
      <c r="AI1529" s="918">
        <v>-0.16666666666666657</v>
      </c>
      <c r="AJ1529" s="918">
        <v>-0.33333333333333343</v>
      </c>
      <c r="AK1529" s="918">
        <v>-0.33333333333333343</v>
      </c>
      <c r="AL1529" s="918">
        <v>-0.55555555555555558</v>
      </c>
      <c r="AM1529" s="918">
        <v>-0.55555555555555558</v>
      </c>
      <c r="AN1529" s="918">
        <v>-0.55555555555555558</v>
      </c>
      <c r="AO1529" s="918">
        <v>-0.55555555555555558</v>
      </c>
      <c r="AP1529" s="918">
        <v>-0.55555555555555558</v>
      </c>
      <c r="AQ1529" s="918">
        <v>-0.55555555555555558</v>
      </c>
      <c r="AR1529" s="918">
        <v>-0.4285714285714286</v>
      </c>
      <c r="AS1529" s="918">
        <v>-7.1428571428571397E-2</v>
      </c>
      <c r="AT1529" s="918">
        <v>-7.1428571428571397E-2</v>
      </c>
      <c r="AU1529" s="918">
        <v>-0.45454545454545459</v>
      </c>
      <c r="AV1529" s="918">
        <f ca="1">_xlfn.XLOOKUP(A1529,TabCalc[Ticker],TabCalc[Imp150])</f>
        <v>-0.45454545454545459</v>
      </c>
      <c r="AX1529" s="86" t="str">
        <f t="shared" ca="1" si="113"/>
        <v>NOTE</v>
      </c>
    </row>
    <row r="1530" spans="1:50" hidden="1">
      <c r="A1530" s="86" t="str">
        <f t="shared" ca="1" si="116"/>
        <v>PAAS</v>
      </c>
      <c r="F1530" s="918">
        <v>-1</v>
      </c>
      <c r="G1530" s="918">
        <v>-1</v>
      </c>
      <c r="H1530" s="918">
        <v>-1</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0.33333333333333326</v>
      </c>
      <c r="AC1530" s="918">
        <v>0.33333333333333326</v>
      </c>
      <c r="AD1530" s="918">
        <v>0.33333333333333326</v>
      </c>
      <c r="AE1530" s="918">
        <v>0.33333333333333326</v>
      </c>
      <c r="AF1530" s="918">
        <v>0.33333333333333326</v>
      </c>
      <c r="AG1530" s="918">
        <v>0.33333333333333326</v>
      </c>
      <c r="AH1530" s="918">
        <v>0.33333333333333326</v>
      </c>
      <c r="AI1530" s="918">
        <v>0.33333333333333326</v>
      </c>
      <c r="AJ1530" s="918">
        <v>-0.10000000000000003</v>
      </c>
      <c r="AK1530" s="918">
        <v>-0.10000000000000003</v>
      </c>
      <c r="AL1530" s="918">
        <v>-0.10000000000000003</v>
      </c>
      <c r="AM1530" s="918">
        <v>-0.10000000000000003</v>
      </c>
      <c r="AN1530" s="918">
        <v>-0.10000000000000003</v>
      </c>
      <c r="AO1530" s="918">
        <v>-0.10000000000000003</v>
      </c>
      <c r="AP1530" s="918">
        <v>-0.10000000000000003</v>
      </c>
      <c r="AQ1530" s="918">
        <v>-0.10000000000000003</v>
      </c>
      <c r="AR1530" s="918">
        <v>0.5</v>
      </c>
      <c r="AS1530" s="918">
        <v>-0.14285714285714285</v>
      </c>
      <c r="AT1530" s="918">
        <v>0</v>
      </c>
      <c r="AU1530" s="918">
        <v>0</v>
      </c>
      <c r="AV1530" s="918">
        <f ca="1">_xlfn.XLOOKUP(A1530,TabCalc[Ticker],TabCalc[Imp150])</f>
        <v>0</v>
      </c>
      <c r="AX1530" s="86" t="str">
        <f t="shared" ca="1" si="113"/>
        <v>PAAS</v>
      </c>
    </row>
    <row r="1531" spans="1:50" hidden="1">
      <c r="A1531" s="86" t="str">
        <f t="shared" ca="1" si="116"/>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5.2631578947368363E-2</v>
      </c>
      <c r="AC1531" s="918">
        <v>5.2631578947368363E-2</v>
      </c>
      <c r="AD1531" s="918">
        <v>5.2631578947368363E-2</v>
      </c>
      <c r="AE1531" s="918">
        <v>-1</v>
      </c>
      <c r="AF1531" s="918">
        <v>-0.5</v>
      </c>
      <c r="AG1531" s="918">
        <v>0.10000000000000009</v>
      </c>
      <c r="AH1531" s="918">
        <v>0.10000000000000009</v>
      </c>
      <c r="AI1531" s="918">
        <v>0.10000000000000009</v>
      </c>
      <c r="AJ1531" s="918">
        <v>-0.16666666666666657</v>
      </c>
      <c r="AK1531" s="918">
        <v>-0.16666666666666657</v>
      </c>
      <c r="AL1531" s="918">
        <v>-0.16666666666666657</v>
      </c>
      <c r="AM1531" s="918">
        <v>-0.16666666666666657</v>
      </c>
      <c r="AN1531" s="918">
        <v>-0.25</v>
      </c>
      <c r="AO1531" s="918">
        <v>-0.25</v>
      </c>
      <c r="AP1531" s="918">
        <v>0.10000000000000009</v>
      </c>
      <c r="AQ1531" s="918">
        <v>0.10000000000000009</v>
      </c>
      <c r="AR1531" s="918">
        <v>-0.28000000000000003</v>
      </c>
      <c r="AS1531" s="918">
        <v>-1</v>
      </c>
      <c r="AT1531" s="918">
        <v>-7.6923076923076872E-2</v>
      </c>
      <c r="AU1531" s="918">
        <v>-7.6923076923076872E-2</v>
      </c>
      <c r="AV1531" s="918">
        <f ca="1">_xlfn.XLOOKUP(A1531,TabCalc[Ticker],TabCalc[Imp150])</f>
        <v>-7.6923076923076872E-2</v>
      </c>
      <c r="AX1531" s="86" t="str">
        <f t="shared" ca="1" si="113"/>
        <v>PROF</v>
      </c>
    </row>
    <row r="1532" spans="1:50" hidden="1">
      <c r="A1532" s="86" t="str">
        <f t="shared" ca="1" si="116"/>
        <v>POET</v>
      </c>
      <c r="F1532" s="918">
        <v>-1</v>
      </c>
      <c r="G1532" s="918">
        <v>-1</v>
      </c>
      <c r="H1532" s="918">
        <v>-0.77777777777777768</v>
      </c>
      <c r="I1532" s="918">
        <v>-0.77777777777777768</v>
      </c>
      <c r="J1532" s="918">
        <v>-1</v>
      </c>
      <c r="K1532" s="918">
        <v>-1</v>
      </c>
      <c r="L1532" s="918">
        <v>-1</v>
      </c>
      <c r="M1532" s="918">
        <v>-1</v>
      </c>
      <c r="N1532" s="918">
        <v>-1</v>
      </c>
      <c r="O1532" s="918">
        <v>-1</v>
      </c>
      <c r="P1532" s="918">
        <v>-1</v>
      </c>
      <c r="Q1532" s="918">
        <v>-1</v>
      </c>
      <c r="R1532" s="918">
        <v>-1</v>
      </c>
      <c r="S1532" s="918">
        <v>-1</v>
      </c>
      <c r="T1532" s="918">
        <v>-1</v>
      </c>
      <c r="U1532" s="918">
        <v>-1</v>
      </c>
      <c r="V1532" s="918">
        <v>-1</v>
      </c>
      <c r="W1532" s="918">
        <v>-1</v>
      </c>
      <c r="X1532" s="918">
        <v>-1</v>
      </c>
      <c r="Y1532" s="918" t="e">
        <v>#VALUE!</v>
      </c>
      <c r="Z1532" s="918" t="e">
        <f ca="1">_xlfn.XLOOKUP(A1428,TabCalc[Ticker],TabCalc[Imp20])</f>
        <v>#VALUE!</v>
      </c>
      <c r="AB1532" s="918">
        <v>-1</v>
      </c>
      <c r="AC1532" s="918">
        <v>-1</v>
      </c>
      <c r="AD1532" s="918">
        <v>-1</v>
      </c>
      <c r="AE1532" s="918">
        <v>-1</v>
      </c>
      <c r="AF1532" s="918">
        <v>-1</v>
      </c>
      <c r="AG1532" s="918">
        <v>-1</v>
      </c>
      <c r="AH1532" s="918">
        <v>-1</v>
      </c>
      <c r="AI1532" s="918">
        <v>-1</v>
      </c>
      <c r="AJ1532" s="918">
        <v>-0.5</v>
      </c>
      <c r="AK1532" s="918">
        <v>-0.5</v>
      </c>
      <c r="AL1532" s="918">
        <v>-0.5</v>
      </c>
      <c r="AM1532" s="918">
        <v>-0.5</v>
      </c>
      <c r="AN1532" s="918">
        <v>-0.5</v>
      </c>
      <c r="AO1532" s="918">
        <v>-0.5</v>
      </c>
      <c r="AP1532" s="918">
        <v>-0.25</v>
      </c>
      <c r="AQ1532" s="918">
        <v>-5.2631578947368529E-2</v>
      </c>
      <c r="AR1532" s="918">
        <v>-0.33333333333333343</v>
      </c>
      <c r="AS1532" s="918">
        <v>-0.17647058823529416</v>
      </c>
      <c r="AT1532" s="918">
        <v>0</v>
      </c>
      <c r="AU1532" s="918" t="e">
        <v>#VALUE!</v>
      </c>
      <c r="AV1532" s="918" t="e">
        <f ca="1">_xlfn.XLOOKUP(A1532,TabCalc[Ticker],TabCalc[Imp150])</f>
        <v>#VALUE!</v>
      </c>
      <c r="AX1532" s="86" t="str">
        <f t="shared" ca="1" si="113"/>
        <v>POET</v>
      </c>
    </row>
    <row r="1533" spans="1:50" hidden="1">
      <c r="A1533" s="86" t="str">
        <f t="shared" ca="1" si="116"/>
        <v>PW</v>
      </c>
      <c r="F1533" s="918">
        <v>-1</v>
      </c>
      <c r="G1533" s="918">
        <v>-1</v>
      </c>
      <c r="H1533" s="918">
        <v>-1</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-0.33333333333333343</v>
      </c>
      <c r="AC1533" s="918">
        <v>-0.33333333333333343</v>
      </c>
      <c r="AD1533" s="918">
        <v>-0.33333333333333343</v>
      </c>
      <c r="AE1533" s="918">
        <v>-0.33333333333333343</v>
      </c>
      <c r="AF1533" s="918">
        <v>-0.33333333333333343</v>
      </c>
      <c r="AG1533" s="918">
        <v>-0.33333333333333343</v>
      </c>
      <c r="AH1533" s="918">
        <v>-0.33333333333333343</v>
      </c>
      <c r="AI1533" s="918">
        <v>-0.33333333333333343</v>
      </c>
      <c r="AJ1533" s="918">
        <v>-1</v>
      </c>
      <c r="AK1533" s="918">
        <v>-1</v>
      </c>
      <c r="AL1533" s="918">
        <v>-1</v>
      </c>
      <c r="AM1533" s="918">
        <v>-1</v>
      </c>
      <c r="AN1533" s="918">
        <v>-1</v>
      </c>
      <c r="AO1533" s="918">
        <v>-1</v>
      </c>
      <c r="AP1533" s="918">
        <v>-1</v>
      </c>
      <c r="AQ1533" s="918">
        <v>-1</v>
      </c>
      <c r="AR1533" s="918">
        <v>-1</v>
      </c>
      <c r="AS1533" s="918">
        <v>-0.29411764705882343</v>
      </c>
      <c r="AT1533" s="918">
        <v>-0.29411764705882343</v>
      </c>
      <c r="AU1533" s="918">
        <v>-0.29411764705882343</v>
      </c>
      <c r="AV1533" s="918">
        <f ca="1">_xlfn.XLOOKUP(A1533,TabCalc[Ticker],TabCalc[Imp150])</f>
        <v>-0.29411764705882343</v>
      </c>
      <c r="AX1533" s="86" t="str">
        <f t="shared" ca="1" si="113"/>
        <v>PW</v>
      </c>
    </row>
    <row r="1534" spans="1:50" hidden="1">
      <c r="A1534" s="86" t="str">
        <f t="shared" ca="1" si="116"/>
        <v>RIGL</v>
      </c>
      <c r="F1534" s="918">
        <v>-1</v>
      </c>
      <c r="G1534" s="918">
        <v>-1</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-0.5</v>
      </c>
      <c r="AC1534" s="918">
        <v>-0.5</v>
      </c>
      <c r="AD1534" s="918">
        <v>-0.5</v>
      </c>
      <c r="AE1534" s="918">
        <v>-0.5</v>
      </c>
      <c r="AF1534" s="918">
        <v>-0.5</v>
      </c>
      <c r="AG1534" s="918">
        <v>0.30434782608695654</v>
      </c>
      <c r="AH1534" s="918">
        <v>-0.33333333333333343</v>
      </c>
      <c r="AI1534" s="918">
        <v>-0.16666666666666657</v>
      </c>
      <c r="AJ1534" s="918">
        <v>-1</v>
      </c>
      <c r="AK1534" s="918">
        <v>-1</v>
      </c>
      <c r="AL1534" s="918">
        <v>-1</v>
      </c>
      <c r="AM1534" s="918">
        <v>0</v>
      </c>
      <c r="AN1534" s="918">
        <v>0</v>
      </c>
      <c r="AO1534" s="918">
        <v>0</v>
      </c>
      <c r="AP1534" s="918">
        <v>0</v>
      </c>
      <c r="AQ1534" s="918">
        <v>0</v>
      </c>
      <c r="AR1534" s="918">
        <v>0</v>
      </c>
      <c r="AS1534" s="918">
        <v>-1</v>
      </c>
      <c r="AT1534" s="918">
        <v>-5.8823529411764719E-2</v>
      </c>
      <c r="AU1534" s="918">
        <v>-5.8823529411764719E-2</v>
      </c>
      <c r="AV1534" s="918">
        <f ca="1">_xlfn.XLOOKUP(A1534,TabCalc[Ticker],TabCalc[Imp150])</f>
        <v>-5.8823529411764719E-2</v>
      </c>
      <c r="AX1534" s="86" t="str">
        <f t="shared" ca="1" si="113"/>
        <v>RIGL</v>
      </c>
    </row>
    <row r="1535" spans="1:50" hidden="1">
      <c r="A1535" s="86" t="str">
        <f t="shared" ca="1" si="116"/>
        <v>RWE</v>
      </c>
      <c r="F1535" s="918">
        <v>-1</v>
      </c>
      <c r="G1535" s="918">
        <v>-1</v>
      </c>
      <c r="H1535" s="918">
        <v>-1</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0</v>
      </c>
      <c r="AC1535" s="918">
        <v>0</v>
      </c>
      <c r="AD1535" s="918">
        <v>0</v>
      </c>
      <c r="AE1535" s="918">
        <v>0</v>
      </c>
      <c r="AF1535" s="918">
        <v>0</v>
      </c>
      <c r="AG1535" s="918">
        <v>0</v>
      </c>
      <c r="AH1535" s="918">
        <v>0</v>
      </c>
      <c r="AI1535" s="918">
        <v>0</v>
      </c>
      <c r="AJ1535" s="918">
        <v>0.14285714285714279</v>
      </c>
      <c r="AK1535" s="918">
        <v>0.14285714285714279</v>
      </c>
      <c r="AL1535" s="918">
        <v>0.14285714285714279</v>
      </c>
      <c r="AM1535" s="918">
        <v>0.14285714285714279</v>
      </c>
      <c r="AN1535" s="918">
        <v>0.14285714285714279</v>
      </c>
      <c r="AO1535" s="918">
        <v>0.14285714285714279</v>
      </c>
      <c r="AP1535" s="918">
        <v>0.14285714285714279</v>
      </c>
      <c r="AQ1535" s="918">
        <v>0.14285714285714279</v>
      </c>
      <c r="AR1535" s="918">
        <v>0.14285714285714279</v>
      </c>
      <c r="AS1535" s="918">
        <v>0.33333333333333326</v>
      </c>
      <c r="AT1535" s="918">
        <v>0.33333333333333326</v>
      </c>
      <c r="AU1535" s="918">
        <v>0.33333333333333326</v>
      </c>
      <c r="AV1535" s="918">
        <f ca="1">_xlfn.XLOOKUP(A1535,TabCalc[Ticker],TabCalc[Imp150])</f>
        <v>0.33333333333333326</v>
      </c>
      <c r="AX1535" s="86" t="str">
        <f t="shared" ca="1" si="113"/>
        <v>RWE</v>
      </c>
    </row>
    <row r="1536" spans="1:50" hidden="1">
      <c r="A1536" s="86" t="str">
        <f t="shared" ca="1" si="116"/>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-1</v>
      </c>
      <c r="V1536" s="918">
        <v>-0.84000000000000008</v>
      </c>
      <c r="W1536" s="918">
        <v>-1</v>
      </c>
      <c r="X1536" s="918">
        <v>-1</v>
      </c>
      <c r="Y1536" s="918">
        <v>-1</v>
      </c>
      <c r="Z1536" s="918">
        <f ca="1">_xlfn.XLOOKUP(A1432,TabCalc[Ticker],TabCalc[Imp20])</f>
        <v>-1</v>
      </c>
      <c r="AB1536" s="918">
        <v>0.14285714285714279</v>
      </c>
      <c r="AC1536" s="918">
        <v>0</v>
      </c>
      <c r="AD1536" s="918">
        <v>0.19999999999999996</v>
      </c>
      <c r="AE1536" s="918">
        <v>0.19999999999999996</v>
      </c>
      <c r="AF1536" s="918">
        <v>0.19999999999999996</v>
      </c>
      <c r="AG1536" s="918">
        <v>0</v>
      </c>
      <c r="AH1536" s="918">
        <v>-0.4285714285714286</v>
      </c>
      <c r="AI1536" s="918">
        <v>-0.4285714285714286</v>
      </c>
      <c r="AJ1536" s="918">
        <v>0.125</v>
      </c>
      <c r="AK1536" s="918">
        <v>-0.14285714285714285</v>
      </c>
      <c r="AL1536" s="918">
        <v>-0.19999999999999996</v>
      </c>
      <c r="AM1536" s="918">
        <v>-0.4285714285714286</v>
      </c>
      <c r="AN1536" s="918">
        <v>-0.4285714285714286</v>
      </c>
      <c r="AO1536" s="918">
        <v>-0.4285714285714286</v>
      </c>
      <c r="AP1536" s="918">
        <v>-0.60000000000000009</v>
      </c>
      <c r="AQ1536" s="918">
        <v>-0.60000000000000009</v>
      </c>
      <c r="AR1536" s="918">
        <v>-0.66666666666666674</v>
      </c>
      <c r="AS1536" s="918">
        <v>-0.63636363636363624</v>
      </c>
      <c r="AT1536" s="918">
        <v>-0.63636363636363624</v>
      </c>
      <c r="AU1536" s="918">
        <v>-0.63636363636363624</v>
      </c>
      <c r="AV1536" s="918">
        <f ca="1">_xlfn.XLOOKUP(A1536,TabCalc[Ticker],TabCalc[Imp150])</f>
        <v>-0.63636363636363624</v>
      </c>
      <c r="AX1536" s="86" t="str">
        <f t="shared" ca="1" si="113"/>
        <v>SAP</v>
      </c>
    </row>
    <row r="1537" spans="1:50" hidden="1">
      <c r="A1537" s="86" t="str">
        <f t="shared" ca="1" si="116"/>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v>-1</v>
      </c>
      <c r="Y1537" s="918" t="e">
        <v>#VALUE!</v>
      </c>
      <c r="Z1537" s="918" t="e">
        <f ca="1">_xlfn.XLOOKUP(A1433,TabCalc[Ticker],TabCalc[Imp20])</f>
        <v>#VALUE!</v>
      </c>
      <c r="AB1537" s="918">
        <v>0.5</v>
      </c>
      <c r="AC1537" s="918">
        <v>0.5</v>
      </c>
      <c r="AD1537" s="918">
        <v>0.5</v>
      </c>
      <c r="AE1537" s="918">
        <v>0.5</v>
      </c>
      <c r="AF1537" s="918">
        <v>0.5</v>
      </c>
      <c r="AG1537" s="918">
        <v>0.5</v>
      </c>
      <c r="AH1537" s="918">
        <v>0.5</v>
      </c>
      <c r="AI1537" s="918">
        <v>0.5</v>
      </c>
      <c r="AJ1537" s="918">
        <v>-1</v>
      </c>
      <c r="AK1537" s="918">
        <v>-1</v>
      </c>
      <c r="AL1537" s="918">
        <v>-1</v>
      </c>
      <c r="AM1537" s="918">
        <v>-1</v>
      </c>
      <c r="AN1537" s="918">
        <v>-1</v>
      </c>
      <c r="AO1537" s="918">
        <v>-1</v>
      </c>
      <c r="AP1537" s="918">
        <v>-1</v>
      </c>
      <c r="AQ1537" s="918">
        <v>-1</v>
      </c>
      <c r="AR1537" s="918">
        <v>-1</v>
      </c>
      <c r="AS1537" s="918">
        <v>-0.60000000000000009</v>
      </c>
      <c r="AT1537" s="918">
        <v>-0.60000000000000009</v>
      </c>
      <c r="AU1537" s="918">
        <v>-0.60000000000000009</v>
      </c>
      <c r="AV1537" s="918">
        <f ca="1">_xlfn.XLOOKUP(A1537,TabCalc[Ticker],TabCalc[Imp150])</f>
        <v>-0.60000000000000009</v>
      </c>
      <c r="AX1537" s="86" t="str">
        <f t="shared" ca="1" si="113"/>
        <v>SHECY</v>
      </c>
    </row>
    <row r="1538" spans="1:50" hidden="1">
      <c r="A1538" s="86" t="str">
        <f t="shared" ca="1" si="116"/>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-9.0909090909090884E-2</v>
      </c>
      <c r="AJ1538" s="918">
        <v>-1</v>
      </c>
      <c r="AK1538" s="918">
        <v>-1</v>
      </c>
      <c r="AL1538" s="918">
        <v>-1</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3"/>
        <v>SSYS</v>
      </c>
    </row>
    <row r="1539" spans="1:50" hidden="1">
      <c r="A1539" s="86" t="str">
        <f t="shared" ca="1" si="116"/>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7.6923076923076872E-2</v>
      </c>
      <c r="AC1539" s="918">
        <v>7.6923076923076872E-2</v>
      </c>
      <c r="AD1539" s="918">
        <v>7.6923076923076872E-2</v>
      </c>
      <c r="AE1539" s="918">
        <v>7.6923076923076872E-2</v>
      </c>
      <c r="AF1539" s="918">
        <v>7.6923076923076872E-2</v>
      </c>
      <c r="AG1539" s="918">
        <v>7.6923076923076872E-2</v>
      </c>
      <c r="AH1539" s="918">
        <v>7.6923076923076872E-2</v>
      </c>
      <c r="AI1539" s="918">
        <v>7.6923076923076872E-2</v>
      </c>
      <c r="AJ1539" s="918">
        <v>0.66666666666666674</v>
      </c>
      <c r="AK1539" s="918">
        <v>0.66666666666666674</v>
      </c>
      <c r="AL1539" s="918">
        <v>0.66666666666666674</v>
      </c>
      <c r="AM1539" s="918">
        <v>0.66666666666666674</v>
      </c>
      <c r="AN1539" s="918">
        <v>0.66666666666666674</v>
      </c>
      <c r="AO1539" s="918">
        <v>0.66666666666666674</v>
      </c>
      <c r="AP1539" s="918">
        <v>0.66666666666666674</v>
      </c>
      <c r="AQ1539" s="918">
        <v>0.66666666666666674</v>
      </c>
      <c r="AR1539" s="918">
        <v>0.66666666666666674</v>
      </c>
      <c r="AS1539" s="918">
        <v>-0.4285714285714286</v>
      </c>
      <c r="AT1539" s="918">
        <v>0.66666666666666674</v>
      </c>
      <c r="AU1539" s="918">
        <v>0.66666666666666674</v>
      </c>
      <c r="AV1539" s="918">
        <f ca="1">_xlfn.XLOOKUP(A1539,TabCalc[Ticker],TabCalc[Imp150])</f>
        <v>0.66666666666666674</v>
      </c>
      <c r="AX1539" s="86" t="str">
        <f t="shared" ca="1" si="113"/>
        <v>TSLA</v>
      </c>
    </row>
    <row r="1540" spans="1:50" hidden="1">
      <c r="A1540" s="86" t="str">
        <f t="shared" ca="1" si="116"/>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-0.36842105263157898</v>
      </c>
      <c r="AC1540" s="918">
        <v>-0.36842105263157898</v>
      </c>
      <c r="AD1540" s="918">
        <v>-0.36842105263157898</v>
      </c>
      <c r="AE1540" s="918">
        <v>-0.36842105263157898</v>
      </c>
      <c r="AF1540" s="918">
        <v>-0.36842105263157898</v>
      </c>
      <c r="AG1540" s="918">
        <v>-0.36842105263157898</v>
      </c>
      <c r="AH1540" s="918">
        <v>-0.36842105263157898</v>
      </c>
      <c r="AI1540" s="918">
        <v>-0.36842105263157898</v>
      </c>
      <c r="AJ1540" s="918">
        <v>1</v>
      </c>
      <c r="AK1540" s="918">
        <v>1</v>
      </c>
      <c r="AL1540" s="918">
        <v>1</v>
      </c>
      <c r="AM1540" s="918">
        <v>1</v>
      </c>
      <c r="AN1540" s="918">
        <v>-0.28571428571428564</v>
      </c>
      <c r="AO1540" s="918">
        <v>-0.28571428571428564</v>
      </c>
      <c r="AP1540" s="918">
        <v>-0.28571428571428564</v>
      </c>
      <c r="AQ1540" s="918">
        <v>-0.28571428571428564</v>
      </c>
      <c r="AR1540" s="918">
        <v>-0.28571428571428564</v>
      </c>
      <c r="AS1540" s="918">
        <v>-0.23076923076923078</v>
      </c>
      <c r="AT1540" s="918">
        <v>-0.23076923076923078</v>
      </c>
      <c r="AU1540" s="918" t="e">
        <v>#VALUE!</v>
      </c>
      <c r="AV1540" s="918" t="e">
        <f ca="1">_xlfn.XLOOKUP(A1540,TabCalc[Ticker],TabCalc[Imp150])</f>
        <v>#VALUE!</v>
      </c>
      <c r="AX1540" s="86" t="str">
        <f t="shared" ca="1" si="113"/>
        <v>TSM</v>
      </c>
    </row>
    <row r="1541" spans="1:50" hidden="1">
      <c r="A1541" s="86" t="str">
        <f t="shared" ca="1" si="116"/>
        <v>UN0</v>
      </c>
      <c r="F1541" s="918">
        <v>-1</v>
      </c>
      <c r="G1541" s="918">
        <v>-1</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-0.5</v>
      </c>
      <c r="AC1541" s="918">
        <v>-0.5</v>
      </c>
      <c r="AD1541" s="918">
        <v>-0.5</v>
      </c>
      <c r="AE1541" s="918">
        <v>-0.5</v>
      </c>
      <c r="AF1541" s="918">
        <v>-0.5</v>
      </c>
      <c r="AG1541" s="918">
        <v>-0.5</v>
      </c>
      <c r="AH1541" s="918">
        <v>-0.5</v>
      </c>
      <c r="AI1541" s="918">
        <v>-0.5</v>
      </c>
      <c r="AJ1541" s="918">
        <v>-1</v>
      </c>
      <c r="AK1541" s="918">
        <v>-1</v>
      </c>
      <c r="AL1541" s="918">
        <v>-1</v>
      </c>
      <c r="AM1541" s="918">
        <v>-1</v>
      </c>
      <c r="AN1541" s="918">
        <v>-1</v>
      </c>
      <c r="AO1541" s="918">
        <v>-1</v>
      </c>
      <c r="AP1541" s="918">
        <v>-1</v>
      </c>
      <c r="AQ1541" s="918">
        <v>-1</v>
      </c>
      <c r="AR1541" s="918">
        <v>-1</v>
      </c>
      <c r="AS1541" s="918">
        <v>-1</v>
      </c>
      <c r="AT1541" s="918">
        <v>-1</v>
      </c>
      <c r="AU1541" s="918" t="e">
        <v>#VALUE!</v>
      </c>
      <c r="AV1541" s="918" t="e">
        <f ca="1">_xlfn.XLOOKUP(A1541,TabCalc[Ticker],TabCalc[Imp150])</f>
        <v>#VALUE!</v>
      </c>
      <c r="AX1541" s="86" t="str">
        <f t="shared" ca="1" si="113"/>
        <v>UN0</v>
      </c>
    </row>
    <row r="1542" spans="1:50" hidden="1">
      <c r="A1542" s="86" t="str">
        <f t="shared" ca="1" si="116"/>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v>-1</v>
      </c>
      <c r="AU1542" s="918" t="e">
        <v>#VALUE!</v>
      </c>
      <c r="AV1542" s="918" t="e">
        <f ca="1">_xlfn.XLOOKUP(A1542,TabCalc[Ticker],TabCalc[Imp150])</f>
        <v>#VALUE!</v>
      </c>
      <c r="AX1542" s="86" t="str">
        <f t="shared" ca="1" si="113"/>
        <v>UNIT</v>
      </c>
    </row>
    <row r="1543" spans="1:50" hidden="1">
      <c r="A1543" s="86" t="str">
        <f t="shared" ca="1" si="116"/>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-9.0909090909090884E-2</v>
      </c>
      <c r="N1543" s="918">
        <v>-1</v>
      </c>
      <c r="O1543" s="918">
        <v>-1</v>
      </c>
      <c r="P1543" s="918">
        <v>-1</v>
      </c>
      <c r="Q1543" s="918">
        <v>-1</v>
      </c>
      <c r="R1543" s="918">
        <v>-1</v>
      </c>
      <c r="S1543" s="918">
        <v>-1</v>
      </c>
      <c r="T1543" s="918">
        <v>-1</v>
      </c>
      <c r="U1543" s="918">
        <v>-1</v>
      </c>
      <c r="V1543" s="918">
        <v>-1</v>
      </c>
      <c r="W1543" s="918">
        <v>-1</v>
      </c>
      <c r="X1543" s="918">
        <v>-1</v>
      </c>
      <c r="Y1543" s="918">
        <v>-1</v>
      </c>
      <c r="Z1543" s="918">
        <f ca="1">_xlfn.XLOOKUP(A1439,TabCalc[Ticker],TabCalc[Imp20])</f>
        <v>-1</v>
      </c>
      <c r="AB1543" s="918">
        <v>-0.33333333333333343</v>
      </c>
      <c r="AC1543" s="918">
        <v>-0.33333333333333343</v>
      </c>
      <c r="AD1543" s="918">
        <v>-0.33333333333333343</v>
      </c>
      <c r="AE1543" s="918">
        <v>-0.33333333333333343</v>
      </c>
      <c r="AF1543" s="918">
        <v>-0.33333333333333343</v>
      </c>
      <c r="AG1543" s="918">
        <v>-0.33333333333333343</v>
      </c>
      <c r="AH1543" s="918">
        <v>-0.33333333333333343</v>
      </c>
      <c r="AI1543" s="918">
        <v>-0.55555555555555558</v>
      </c>
      <c r="AJ1543" s="918">
        <v>-1</v>
      </c>
      <c r="AK1543" s="918">
        <v>-0.625</v>
      </c>
      <c r="AL1543" s="918">
        <v>-0.625</v>
      </c>
      <c r="AM1543" s="918">
        <v>-0.52941176470588225</v>
      </c>
      <c r="AN1543" s="918">
        <v>-0.52941176470588225</v>
      </c>
      <c r="AO1543" s="918">
        <v>-0.52941176470588225</v>
      </c>
      <c r="AP1543" s="918">
        <v>-0.52941176470588225</v>
      </c>
      <c r="AQ1543" s="918">
        <v>-0.52941176470588225</v>
      </c>
      <c r="AR1543" s="918">
        <v>-0.19999999999999996</v>
      </c>
      <c r="AS1543" s="918">
        <v>-1</v>
      </c>
      <c r="AT1543" s="918">
        <v>-1</v>
      </c>
      <c r="AU1543" s="918">
        <v>-1</v>
      </c>
      <c r="AV1543" s="918">
        <f ca="1">_xlfn.XLOOKUP(A1543,TabCalc[Ticker],TabCalc[Imp150])</f>
        <v>-1</v>
      </c>
      <c r="AX1543" s="86" t="str">
        <f t="shared" ca="1" si="113"/>
        <v>VLVLY</v>
      </c>
    </row>
    <row r="1544" spans="1:50" hidden="1">
      <c r="A1544" s="86" t="str">
        <f t="shared" ca="1" si="116"/>
        <v>VONN</v>
      </c>
      <c r="F1544" s="918">
        <v>-1</v>
      </c>
      <c r="G1544" s="918">
        <v>-1</v>
      </c>
      <c r="H1544" s="918">
        <v>-1</v>
      </c>
      <c r="I1544" s="918">
        <v>-1</v>
      </c>
      <c r="J1544" s="918">
        <v>-1</v>
      </c>
      <c r="K1544" s="918">
        <v>-1</v>
      </c>
      <c r="L1544" s="918">
        <v>-1</v>
      </c>
      <c r="M1544" s="918">
        <v>-1</v>
      </c>
      <c r="N1544" s="918">
        <v>-1</v>
      </c>
      <c r="O1544" s="918">
        <v>-1</v>
      </c>
      <c r="P1544" s="918">
        <v>-1</v>
      </c>
      <c r="Q1544" s="918">
        <v>-1</v>
      </c>
      <c r="R1544" s="918">
        <v>-1</v>
      </c>
      <c r="S1544" s="918">
        <v>-1</v>
      </c>
      <c r="T1544" s="918">
        <v>-1</v>
      </c>
      <c r="U1544" s="918">
        <v>-1</v>
      </c>
      <c r="V1544" s="918">
        <v>-1</v>
      </c>
      <c r="W1544" s="918">
        <v>-0.71428571428571441</v>
      </c>
      <c r="X1544" s="918">
        <v>-1</v>
      </c>
      <c r="Y1544" s="918">
        <v>-1</v>
      </c>
      <c r="Z1544" s="918">
        <f ca="1">_xlfn.XLOOKUP(A1440,TabCalc[Ticker],TabCalc[Imp20])</f>
        <v>-1</v>
      </c>
      <c r="AB1544" s="918">
        <v>-0.33333333333333343</v>
      </c>
      <c r="AC1544" s="918">
        <v>-0.33333333333333343</v>
      </c>
      <c r="AD1544" s="918">
        <v>0.33333333333333326</v>
      </c>
      <c r="AE1544" s="918">
        <v>0.33333333333333326</v>
      </c>
      <c r="AF1544" s="918">
        <v>0.33333333333333326</v>
      </c>
      <c r="AG1544" s="918">
        <v>0.33333333333333326</v>
      </c>
      <c r="AH1544" s="918">
        <v>-1</v>
      </c>
      <c r="AI1544" s="918">
        <v>-1</v>
      </c>
      <c r="AJ1544" s="918">
        <v>-1</v>
      </c>
      <c r="AK1544" s="918">
        <v>-0.39999999999999997</v>
      </c>
      <c r="AL1544" s="918">
        <v>-1</v>
      </c>
      <c r="AM1544" s="918">
        <v>-0.45454545454545459</v>
      </c>
      <c r="AN1544" s="918">
        <v>-1</v>
      </c>
      <c r="AO1544" s="918">
        <v>-0.41666666666666657</v>
      </c>
      <c r="AP1544" s="918">
        <v>-0.41666666666666657</v>
      </c>
      <c r="AQ1544" s="918">
        <v>-0.83333333333333326</v>
      </c>
      <c r="AR1544" s="918">
        <v>-1</v>
      </c>
      <c r="AS1544" s="918">
        <v>-0.625</v>
      </c>
      <c r="AT1544" s="918">
        <v>-0.625</v>
      </c>
      <c r="AU1544" s="918">
        <v>-0.625</v>
      </c>
      <c r="AV1544" s="918">
        <f ca="1">_xlfn.XLOOKUP(A1544,TabCalc[Ticker],TabCalc[Imp150])</f>
        <v>-0.625</v>
      </c>
      <c r="AX1544" s="86" t="str">
        <f t="shared" ca="1" si="113"/>
        <v>VONN</v>
      </c>
    </row>
    <row r="1545" spans="1:50" hidden="1">
      <c r="A1545" s="86" t="str">
        <f t="shared" ca="1" si="116"/>
        <v>VTRS</v>
      </c>
      <c r="F1545" s="918">
        <v>-1</v>
      </c>
      <c r="G1545" s="918">
        <v>-1</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v>-1</v>
      </c>
      <c r="Y1545" s="918" t="e">
        <v>#VALUE!</v>
      </c>
      <c r="Z1545" s="918" t="e">
        <f ca="1">_xlfn.XLOOKUP(A1441,TabCalc[Ticker],TabCalc[Imp20])</f>
        <v>#VALUE!</v>
      </c>
      <c r="AB1545" s="918">
        <v>0.33333333333333326</v>
      </c>
      <c r="AC1545" s="918">
        <v>0.33333333333333326</v>
      </c>
      <c r="AD1545" s="918">
        <v>0.33333333333333326</v>
      </c>
      <c r="AE1545" s="918">
        <v>0.33333333333333326</v>
      </c>
      <c r="AF1545" s="918">
        <v>0.33333333333333326</v>
      </c>
      <c r="AG1545" s="918">
        <v>0.33333333333333326</v>
      </c>
      <c r="AH1545" s="918">
        <v>0.33333333333333326</v>
      </c>
      <c r="AI1545" s="918">
        <v>0.33333333333333326</v>
      </c>
      <c r="AJ1545" s="918">
        <v>-0.33333333333333343</v>
      </c>
      <c r="AK1545" s="918">
        <v>-0.33333333333333343</v>
      </c>
      <c r="AL1545" s="918">
        <v>-0.33333333333333343</v>
      </c>
      <c r="AM1545" s="918">
        <v>-0.33333333333333343</v>
      </c>
      <c r="AN1545" s="918">
        <v>-1</v>
      </c>
      <c r="AO1545" s="918">
        <v>-1</v>
      </c>
      <c r="AP1545" s="918">
        <v>-1</v>
      </c>
      <c r="AQ1545" s="918">
        <v>-1</v>
      </c>
      <c r="AR1545" s="918">
        <v>-1</v>
      </c>
      <c r="AS1545" s="918">
        <v>-0.66666666666666674</v>
      </c>
      <c r="AT1545" s="918">
        <v>0.39130434782608692</v>
      </c>
      <c r="AU1545" s="918">
        <v>0.39130434782608692</v>
      </c>
      <c r="AV1545" s="918">
        <f ca="1">_xlfn.XLOOKUP(A1545,TabCalc[Ticker],TabCalc[Imp150])</f>
        <v>0.39130434782608692</v>
      </c>
      <c r="AX1545" s="86" t="str">
        <f t="shared" ca="1" si="113"/>
        <v>VTRS</v>
      </c>
    </row>
    <row r="1546" spans="1:50" hidden="1">
      <c r="A1546" s="86" t="str">
        <f t="shared" ca="1" si="116"/>
        <v>WBA</v>
      </c>
      <c r="F1546" s="918">
        <v>-1</v>
      </c>
      <c r="G1546" s="918">
        <v>-1</v>
      </c>
      <c r="H1546" s="918">
        <v>-1</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v>-1</v>
      </c>
      <c r="Y1546" s="918" t="e">
        <v>#VALUE!</v>
      </c>
      <c r="Z1546" s="918" t="e">
        <f ca="1">_xlfn.XLOOKUP(A1442,TabCalc[Ticker],TabCalc[Imp20])</f>
        <v>#VALUE!</v>
      </c>
      <c r="AB1546" s="918">
        <v>-0.39999999999999997</v>
      </c>
      <c r="AC1546" s="918">
        <v>-0.39999999999999997</v>
      </c>
      <c r="AD1546" s="918">
        <v>-0.39999999999999997</v>
      </c>
      <c r="AE1546" s="918">
        <v>-0.39999999999999997</v>
      </c>
      <c r="AF1546" s="918">
        <v>-0.39999999999999997</v>
      </c>
      <c r="AG1546" s="918">
        <v>-0.39999999999999997</v>
      </c>
      <c r="AH1546" s="918">
        <v>-0.39999999999999997</v>
      </c>
      <c r="AI1546" s="918">
        <v>-0.39999999999999997</v>
      </c>
      <c r="AJ1546" s="918">
        <v>-1</v>
      </c>
      <c r="AK1546" s="918">
        <v>-1</v>
      </c>
      <c r="AL1546" s="918">
        <v>-1</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3"/>
        <v>WBA</v>
      </c>
    </row>
    <row r="1547" spans="1:50" hidden="1">
      <c r="A1547" s="86" t="str">
        <f t="shared" ca="1" si="116"/>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v>-1</v>
      </c>
      <c r="Y1547" s="918" t="e">
        <v>#VALUE!</v>
      </c>
      <c r="Z1547" s="918" t="e">
        <f ca="1">_xlfn.XLOOKUP(A1443,TabCalc[Ticker],TabCalc[Imp20])</f>
        <v>#VALUE!</v>
      </c>
      <c r="AB1547" s="918">
        <v>0</v>
      </c>
      <c r="AC1547" s="918">
        <v>0</v>
      </c>
      <c r="AD1547" s="918">
        <v>0</v>
      </c>
      <c r="AE1547" s="918">
        <v>0</v>
      </c>
      <c r="AF1547" s="918">
        <v>0</v>
      </c>
      <c r="AG1547" s="918">
        <v>0</v>
      </c>
      <c r="AH1547" s="918">
        <v>0</v>
      </c>
      <c r="AI1547" s="918">
        <v>0</v>
      </c>
      <c r="AJ1547" s="918">
        <v>-1</v>
      </c>
      <c r="AK1547" s="918">
        <v>-1</v>
      </c>
      <c r="AL1547" s="918">
        <v>-1</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3"/>
        <v>XOM</v>
      </c>
    </row>
    <row r="1548" spans="1:50" hidden="1">
      <c r="A1548" s="86" t="str">
        <f t="shared" ca="1" si="116"/>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-4.5045045045045029E-2</v>
      </c>
      <c r="AC1548" s="918">
        <v>-0.75</v>
      </c>
      <c r="AD1548" s="918">
        <v>-0.75</v>
      </c>
      <c r="AE1548" s="918">
        <v>-0.75</v>
      </c>
      <c r="AF1548" s="918">
        <v>-0.75</v>
      </c>
      <c r="AG1548" s="918">
        <v>-0.75</v>
      </c>
      <c r="AH1548" s="918">
        <v>-0.75</v>
      </c>
      <c r="AI1548" s="918">
        <v>-0.75</v>
      </c>
      <c r="AJ1548" s="918">
        <v>0</v>
      </c>
      <c r="AK1548" s="918">
        <v>0</v>
      </c>
      <c r="AL1548" s="918">
        <v>0</v>
      </c>
      <c r="AM1548" s="918">
        <v>0</v>
      </c>
      <c r="AN1548" s="918">
        <v>0</v>
      </c>
      <c r="AO1548" s="918">
        <v>0</v>
      </c>
      <c r="AP1548" s="918">
        <v>0.11111111111111116</v>
      </c>
      <c r="AQ1548" s="918">
        <v>0.11111111111111116</v>
      </c>
      <c r="AR1548" s="918">
        <v>0.11111111111111116</v>
      </c>
      <c r="AS1548" s="918">
        <v>0.19999999999999996</v>
      </c>
      <c r="AT1548" s="918">
        <v>0.19999999999999996</v>
      </c>
      <c r="AU1548" s="918">
        <v>0.19999999999999996</v>
      </c>
      <c r="AV1548" s="918">
        <f ca="1">_xlfn.XLOOKUP(A1548,TabCalc[Ticker],TabCalc[Imp150])</f>
        <v>0.19999999999999996</v>
      </c>
      <c r="AX1548" s="86" t="str">
        <f t="shared" ca="1" si="113"/>
        <v>XPER</v>
      </c>
    </row>
    <row r="1549" spans="1:50" hidden="1">
      <c r="A1549" s="86" t="str">
        <f t="shared" ca="1" si="116"/>
        <v>MVEALDNE</v>
      </c>
      <c r="F1549" s="918">
        <v>-1</v>
      </c>
      <c r="G1549" s="918">
        <v>-1</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v>-1</v>
      </c>
      <c r="Z1549" s="918">
        <f ca="1">_xlfn.XLOOKUP(A1445,TabCalc[Ticker],TabCalc[Imp20])</f>
        <v>-1</v>
      </c>
      <c r="AB1549" s="918">
        <v>-1</v>
      </c>
      <c r="AC1549" s="918">
        <v>-1</v>
      </c>
      <c r="AD1549" s="918">
        <v>-1</v>
      </c>
      <c r="AE1549" s="918">
        <v>-1</v>
      </c>
      <c r="AF1549" s="918">
        <v>-1</v>
      </c>
      <c r="AG1549" s="918">
        <v>-1</v>
      </c>
      <c r="AH1549" s="918">
        <v>-1</v>
      </c>
      <c r="AI1549" s="918">
        <v>-1</v>
      </c>
      <c r="AJ1549" s="918">
        <v>-0.33333333333333343</v>
      </c>
      <c r="AK1549" s="918">
        <v>-0.33333333333333343</v>
      </c>
      <c r="AL1549" s="918">
        <v>-0.33333333333333343</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3"/>
        <v>MVEALDNE</v>
      </c>
    </row>
    <row r="1550" spans="1:50" hidden="1">
      <c r="A1550" s="86" t="str">
        <f t="shared" ca="1" si="116"/>
        <v>MVEDDD</v>
      </c>
      <c r="F1550" s="918">
        <v>-1</v>
      </c>
      <c r="G1550" s="918">
        <v>-1</v>
      </c>
      <c r="H1550" s="918">
        <v>-1</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-1</v>
      </c>
      <c r="AJ1550" s="918">
        <v>0.19999999999999996</v>
      </c>
      <c r="AK1550" s="918">
        <v>0.19999999999999996</v>
      </c>
      <c r="AL1550" s="918">
        <v>0.19999999999999996</v>
      </c>
      <c r="AM1550" s="918">
        <v>0.19999999999999996</v>
      </c>
      <c r="AN1550" s="918">
        <v>0.19999999999999996</v>
      </c>
      <c r="AO1550" s="918">
        <v>0.19999999999999996</v>
      </c>
      <c r="AP1550" s="918">
        <v>0.19999999999999996</v>
      </c>
      <c r="AQ1550" s="918">
        <v>0.19999999999999996</v>
      </c>
      <c r="AR1550" s="918">
        <v>0.19999999999999996</v>
      </c>
      <c r="AS1550" s="918">
        <v>0.375</v>
      </c>
      <c r="AT1550" s="918">
        <v>0.375</v>
      </c>
      <c r="AU1550" s="918">
        <v>0.375</v>
      </c>
      <c r="AV1550" s="918">
        <f ca="1">_xlfn.XLOOKUP(A1550,TabCalc[Ticker],TabCalc[Imp150])</f>
        <v>0.375</v>
      </c>
      <c r="AX1550" s="86" t="str">
        <f t="shared" ca="1" si="113"/>
        <v>MVEDDD</v>
      </c>
    </row>
    <row r="1551" spans="1:50" hidden="1">
      <c r="A1551" s="86" t="str">
        <f t="shared" ca="1" si="116"/>
        <v>MVEDSY</v>
      </c>
      <c r="F1551" s="918">
        <v>-1</v>
      </c>
      <c r="G1551" s="918">
        <v>-1</v>
      </c>
      <c r="H1551" s="918">
        <v>-1</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0</v>
      </c>
      <c r="AC1551" s="918">
        <v>0</v>
      </c>
      <c r="AD1551" s="918">
        <v>0</v>
      </c>
      <c r="AE1551" s="918">
        <v>0</v>
      </c>
      <c r="AF1551" s="918">
        <v>0</v>
      </c>
      <c r="AG1551" s="918">
        <v>0</v>
      </c>
      <c r="AH1551" s="918">
        <v>0</v>
      </c>
      <c r="AI1551" s="918">
        <v>0</v>
      </c>
      <c r="AJ1551" s="918">
        <v>-1</v>
      </c>
      <c r="AK1551" s="918">
        <v>-1</v>
      </c>
      <c r="AL1551" s="918">
        <v>-1</v>
      </c>
      <c r="AM1551" s="918">
        <v>-1</v>
      </c>
      <c r="AN1551" s="918">
        <v>-1</v>
      </c>
      <c r="AO1551" s="918">
        <v>-1</v>
      </c>
      <c r="AP1551" s="918">
        <v>-1</v>
      </c>
      <c r="AQ1551" s="918">
        <v>-1</v>
      </c>
      <c r="AR1551" s="918">
        <v>-1</v>
      </c>
      <c r="AS1551" s="918">
        <v>0.5</v>
      </c>
      <c r="AT1551" s="918">
        <v>0.5</v>
      </c>
      <c r="AU1551" s="918">
        <v>0.5</v>
      </c>
      <c r="AV1551" s="918">
        <f ca="1">_xlfn.XLOOKUP(A1551,TabCalc[Ticker],TabCalc[Imp150])</f>
        <v>0.5</v>
      </c>
      <c r="AX1551" s="86" t="str">
        <f t="shared" ca="1" si="113"/>
        <v>MVEDSY</v>
      </c>
    </row>
    <row r="1552" spans="1:50" hidden="1">
      <c r="A1552" s="86" t="str">
        <f t="shared" ca="1" si="116"/>
        <v>MVEEOAN</v>
      </c>
      <c r="F1552" s="918">
        <v>-1</v>
      </c>
      <c r="G1552" s="918">
        <v>-1</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0</v>
      </c>
      <c r="AC1552" s="918">
        <v>0</v>
      </c>
      <c r="AD1552" s="918">
        <v>0</v>
      </c>
      <c r="AE1552" s="918">
        <v>0</v>
      </c>
      <c r="AF1552" s="918">
        <v>-1</v>
      </c>
      <c r="AG1552" s="918">
        <v>-1</v>
      </c>
      <c r="AH1552" s="918">
        <v>-1</v>
      </c>
      <c r="AI1552" s="918">
        <v>-1</v>
      </c>
      <c r="AJ1552" s="918">
        <v>-0.19999999999999996</v>
      </c>
      <c r="AK1552" s="918">
        <v>-0.19999999999999996</v>
      </c>
      <c r="AL1552" s="918">
        <v>-0.19999999999999996</v>
      </c>
      <c r="AM1552" s="918">
        <v>-0.19999999999999996</v>
      </c>
      <c r="AN1552" s="918">
        <v>-0.19999999999999996</v>
      </c>
      <c r="AO1552" s="918">
        <v>-0.19999999999999996</v>
      </c>
      <c r="AP1552" s="918">
        <v>-0.19999999999999996</v>
      </c>
      <c r="AQ1552" s="918">
        <v>-0.19999999999999996</v>
      </c>
      <c r="AR1552" s="918">
        <v>-0.19999999999999996</v>
      </c>
      <c r="AS1552" s="918">
        <v>-0.5</v>
      </c>
      <c r="AT1552" s="918">
        <v>-0.5</v>
      </c>
      <c r="AU1552" s="918">
        <v>-0.5</v>
      </c>
      <c r="AV1552" s="918">
        <f ca="1">_xlfn.XLOOKUP(A1552,TabCalc[Ticker],TabCalc[Imp150])</f>
        <v>-0.5</v>
      </c>
      <c r="AX1552" s="86" t="str">
        <f t="shared" ca="1" si="113"/>
        <v>MVEEOAN</v>
      </c>
    </row>
    <row r="1553" spans="1:50" hidden="1">
      <c r="A1553" s="86" t="str">
        <f t="shared" ca="1" si="116"/>
        <v>MVEENI</v>
      </c>
      <c r="F1553" s="918">
        <v>0.14285714285714279</v>
      </c>
      <c r="G1553" s="918">
        <v>-1</v>
      </c>
      <c r="H1553" s="918">
        <v>-1</v>
      </c>
      <c r="I1553" s="918">
        <v>-1</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-0.5</v>
      </c>
      <c r="AC1553" s="918">
        <v>-0.5</v>
      </c>
      <c r="AD1553" s="918">
        <v>-0.5</v>
      </c>
      <c r="AE1553" s="918">
        <v>-0.5</v>
      </c>
      <c r="AF1553" s="918">
        <v>-0.5</v>
      </c>
      <c r="AG1553" s="918">
        <v>-0.5</v>
      </c>
      <c r="AH1553" s="918">
        <v>-0.5</v>
      </c>
      <c r="AI1553" s="918">
        <v>-0.5</v>
      </c>
      <c r="AJ1553" s="918">
        <v>-0.19999999999999996</v>
      </c>
      <c r="AK1553" s="918">
        <v>-0.5</v>
      </c>
      <c r="AL1553" s="918">
        <v>-0.33333333333333343</v>
      </c>
      <c r="AM1553" s="918">
        <v>-0.33333333333333343</v>
      </c>
      <c r="AN1553" s="918">
        <v>-0.33333333333333343</v>
      </c>
      <c r="AO1553" s="918">
        <v>-0.66666666666666674</v>
      </c>
      <c r="AP1553" s="918">
        <v>-0.66666666666666674</v>
      </c>
      <c r="AQ1553" s="918">
        <v>0.19999999999999996</v>
      </c>
      <c r="AR1553" s="918">
        <v>0.19999999999999996</v>
      </c>
      <c r="AS1553" s="918">
        <v>0</v>
      </c>
      <c r="AT1553" s="918">
        <v>0</v>
      </c>
      <c r="AU1553" s="918">
        <v>0</v>
      </c>
      <c r="AV1553" s="918">
        <f ca="1">_xlfn.XLOOKUP(A1553,TabCalc[Ticker],TabCalc[Imp150])</f>
        <v>0</v>
      </c>
      <c r="AX1553" s="86" t="str">
        <f t="shared" ca="1" si="113"/>
        <v>MVEENI</v>
      </c>
    </row>
    <row r="1554" spans="1:50" hidden="1">
      <c r="A1554" s="86" t="str">
        <f t="shared" ca="1" si="116"/>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8.2644628099173278E-3</v>
      </c>
      <c r="AJ1554" s="918">
        <v>-1</v>
      </c>
      <c r="AK1554" s="918">
        <v>-1</v>
      </c>
      <c r="AL1554" s="918">
        <v>-1</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3"/>
        <v>MVEEPIX</v>
      </c>
    </row>
    <row r="1555" spans="1:50" hidden="1">
      <c r="A1555" s="86" t="str">
        <f t="shared" ca="1" si="116"/>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0.4285714285714286</v>
      </c>
      <c r="AC1555" s="918">
        <v>0.4285714285714286</v>
      </c>
      <c r="AD1555" s="918">
        <v>0.4285714285714286</v>
      </c>
      <c r="AE1555" s="918">
        <v>-0.4285714285714286</v>
      </c>
      <c r="AF1555" s="918">
        <v>-0.35999999999999993</v>
      </c>
      <c r="AG1555" s="918">
        <v>-0.35999999999999993</v>
      </c>
      <c r="AH1555" s="918">
        <v>0.39999999999999991</v>
      </c>
      <c r="AI1555" s="918">
        <v>0.39999999999999991</v>
      </c>
      <c r="AJ1555" s="918">
        <v>-1</v>
      </c>
      <c r="AK1555" s="918">
        <v>-0.33333333333333343</v>
      </c>
      <c r="AL1555" s="918">
        <v>-0.33333333333333343</v>
      </c>
      <c r="AM1555" s="918">
        <v>-0.33333333333333343</v>
      </c>
      <c r="AN1555" s="918">
        <v>5.2631578947368363E-2</v>
      </c>
      <c r="AO1555" s="918">
        <v>-0.14285714285714285</v>
      </c>
      <c r="AP1555" s="918">
        <v>-0.14285714285714285</v>
      </c>
      <c r="AQ1555" s="918">
        <v>0.30434782608695654</v>
      </c>
      <c r="AR1555" s="918">
        <v>0.30434782608695654</v>
      </c>
      <c r="AS1555" s="918">
        <v>-0.125</v>
      </c>
      <c r="AT1555" s="918">
        <v>-0.125</v>
      </c>
      <c r="AU1555" s="918" t="e">
        <v>#VALUE!</v>
      </c>
      <c r="AV1555" s="918" t="e">
        <f ca="1">_xlfn.XLOOKUP(A1555,TabCalc[Ticker],TabCalc[Imp150])</f>
        <v>#VALUE!</v>
      </c>
      <c r="AX1555" s="86" t="str">
        <f t="shared" ref="AX1555:AX1618" ca="1" si="117">A1555</f>
        <v>MVEGLE</v>
      </c>
    </row>
    <row r="1556" spans="1:50" hidden="1">
      <c r="A1556" s="86" t="str">
        <f t="shared" ca="1" si="116"/>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-0.38461538461538458</v>
      </c>
      <c r="AC1556" s="918">
        <v>-0.38461538461538458</v>
      </c>
      <c r="AD1556" s="918">
        <v>-0.38461538461538458</v>
      </c>
      <c r="AE1556" s="918">
        <v>-0.38461538461538458</v>
      </c>
      <c r="AF1556" s="918">
        <v>-0.38461538461538458</v>
      </c>
      <c r="AG1556" s="918">
        <v>-0.38461538461538458</v>
      </c>
      <c r="AH1556" s="918">
        <v>-0.38461538461538458</v>
      </c>
      <c r="AI1556" s="918">
        <v>-0.38461538461538458</v>
      </c>
      <c r="AJ1556" s="918">
        <v>-0.25</v>
      </c>
      <c r="AK1556" s="918">
        <v>-0.25</v>
      </c>
      <c r="AL1556" s="918">
        <v>-0.19999999999999996</v>
      </c>
      <c r="AM1556" s="918">
        <v>-0.19999999999999996</v>
      </c>
      <c r="AN1556" s="918">
        <v>-0.19999999999999996</v>
      </c>
      <c r="AO1556" s="918">
        <v>-0.19999999999999996</v>
      </c>
      <c r="AP1556" s="918">
        <v>-0.19999999999999996</v>
      </c>
      <c r="AQ1556" s="918">
        <v>-1</v>
      </c>
      <c r="AR1556" s="918">
        <v>-1</v>
      </c>
      <c r="AS1556" s="918">
        <v>0.14285714285714279</v>
      </c>
      <c r="AT1556" s="918">
        <v>0.14285714285714279</v>
      </c>
      <c r="AU1556" s="918">
        <v>0.14285714285714279</v>
      </c>
      <c r="AV1556" s="918">
        <f ca="1">_xlfn.XLOOKUP(A1556,TabCalc[Ticker],TabCalc[Imp150])</f>
        <v>0.14285714285714279</v>
      </c>
      <c r="AX1556" s="86" t="str">
        <f t="shared" ca="1" si="117"/>
        <v>MVEORA</v>
      </c>
    </row>
    <row r="1557" spans="1:50" hidden="1">
      <c r="A1557" s="86" t="str">
        <f t="shared" ref="A1557:A1590" ca="1" si="118">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0</v>
      </c>
      <c r="AC1557" s="918">
        <v>0</v>
      </c>
      <c r="AD1557" s="918">
        <v>0</v>
      </c>
      <c r="AE1557" s="918">
        <v>-0.19999999999999996</v>
      </c>
      <c r="AF1557" s="918">
        <v>-0.19999999999999996</v>
      </c>
      <c r="AG1557" s="918">
        <v>-0.19999999999999996</v>
      </c>
      <c r="AH1557" s="918">
        <v>-0.19999999999999996</v>
      </c>
      <c r="AI1557" s="918">
        <v>-0.19999999999999996</v>
      </c>
      <c r="AJ1557" s="918">
        <v>-1</v>
      </c>
      <c r="AK1557" s="918">
        <v>-1</v>
      </c>
      <c r="AL1557" s="918">
        <v>-1</v>
      </c>
      <c r="AM1557" s="918">
        <v>-1</v>
      </c>
      <c r="AN1557" s="918">
        <v>-1</v>
      </c>
      <c r="AO1557" s="918">
        <v>-1</v>
      </c>
      <c r="AP1557" s="918">
        <v>-1</v>
      </c>
      <c r="AQ1557" s="918">
        <v>-1</v>
      </c>
      <c r="AR1557" s="918">
        <v>-1</v>
      </c>
      <c r="AS1557" s="918">
        <v>0.33333333333333326</v>
      </c>
      <c r="AT1557" s="918">
        <v>0.33333333333333326</v>
      </c>
      <c r="AU1557" s="918">
        <v>0.33333333333333326</v>
      </c>
      <c r="AV1557" s="918">
        <f ca="1">_xlfn.XLOOKUP(A1557,TabCalc[Ticker],TabCalc[Imp150])</f>
        <v>0.33333333333333326</v>
      </c>
      <c r="AX1557" s="86" t="str">
        <f t="shared" ca="1" si="117"/>
        <v>MVERWE</v>
      </c>
    </row>
    <row r="1558" spans="1:50" hidden="1">
      <c r="A1558" s="86" t="str">
        <f t="shared" ca="1" si="118"/>
        <v>MVESAP</v>
      </c>
      <c r="F1558" s="918">
        <v>-1</v>
      </c>
      <c r="G1558" s="918">
        <v>-1</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0.14285714285714279</v>
      </c>
      <c r="AC1558" s="918">
        <v>0.14285714285714279</v>
      </c>
      <c r="AD1558" s="918">
        <v>0.19999999999999996</v>
      </c>
      <c r="AE1558" s="918">
        <v>-0.33333333333333343</v>
      </c>
      <c r="AF1558" s="918">
        <v>-0.33333333333333343</v>
      </c>
      <c r="AG1558" s="918">
        <v>-0.33333333333333343</v>
      </c>
      <c r="AH1558" s="918">
        <v>-0.33333333333333343</v>
      </c>
      <c r="AI1558" s="918">
        <v>-0.33333333333333343</v>
      </c>
      <c r="AJ1558" s="918">
        <v>0.125</v>
      </c>
      <c r="AK1558" s="918">
        <v>-0.14285714285714285</v>
      </c>
      <c r="AL1558" s="918">
        <v>-0.14285714285714285</v>
      </c>
      <c r="AM1558" s="918">
        <v>-0.4285714285714286</v>
      </c>
      <c r="AN1558" s="918">
        <v>-0.4285714285714286</v>
      </c>
      <c r="AO1558" s="918">
        <v>-0.4285714285714286</v>
      </c>
      <c r="AP1558" s="918">
        <v>-0.60000000000000009</v>
      </c>
      <c r="AQ1558" s="918">
        <v>-0.60000000000000009</v>
      </c>
      <c r="AR1558" s="918">
        <v>-0.60000000000000009</v>
      </c>
      <c r="AS1558" s="918">
        <v>-0.55555555555555558</v>
      </c>
      <c r="AT1558" s="918">
        <v>-0.55555555555555558</v>
      </c>
      <c r="AU1558" s="918" t="e">
        <v>#VALUE!</v>
      </c>
      <c r="AV1558" s="918" t="e">
        <f ca="1">_xlfn.XLOOKUP(A1558,TabCalc[Ticker],TabCalc[Imp150])</f>
        <v>#VALUE!</v>
      </c>
      <c r="AX1558" s="86" t="str">
        <f t="shared" ca="1" si="117"/>
        <v>MVESAP</v>
      </c>
    </row>
    <row r="1559" spans="1:50" hidden="1">
      <c r="A1559" s="86" t="str">
        <f t="shared" ca="1" si="118"/>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-0.5</v>
      </c>
      <c r="AC1559" s="918">
        <v>-0.5</v>
      </c>
      <c r="AD1559" s="918">
        <v>-0.5</v>
      </c>
      <c r="AE1559" s="918">
        <v>-0.5</v>
      </c>
      <c r="AF1559" s="918">
        <v>-0.5</v>
      </c>
      <c r="AG1559" s="918">
        <v>-0.5</v>
      </c>
      <c r="AH1559" s="918">
        <v>-0.5</v>
      </c>
      <c r="AI1559" s="918">
        <v>-0.5</v>
      </c>
      <c r="AJ1559" s="918">
        <v>-1</v>
      </c>
      <c r="AK1559" s="918">
        <v>-1</v>
      </c>
      <c r="AL1559" s="918">
        <v>-1</v>
      </c>
      <c r="AM1559" s="918">
        <v>-1</v>
      </c>
      <c r="AN1559" s="918">
        <v>-1</v>
      </c>
      <c r="AO1559" s="918">
        <v>-1</v>
      </c>
      <c r="AP1559" s="918">
        <v>-1</v>
      </c>
      <c r="AQ1559" s="918">
        <v>-1</v>
      </c>
      <c r="AR1559" s="918">
        <v>-1</v>
      </c>
      <c r="AS1559" s="918">
        <v>-0.14285714285714285</v>
      </c>
      <c r="AT1559" s="918">
        <v>-0.14285714285714285</v>
      </c>
      <c r="AU1559" s="918">
        <v>-0.14285714285714285</v>
      </c>
      <c r="AV1559" s="918">
        <f ca="1">_xlfn.XLOOKUP(A1559,TabCalc[Ticker],TabCalc[Imp150])</f>
        <v>-0.14285714285714285</v>
      </c>
      <c r="AX1559" s="86" t="str">
        <f t="shared" ca="1" si="117"/>
        <v>MVEUN0</v>
      </c>
    </row>
    <row r="1560" spans="1:50" hidden="1">
      <c r="A1560" s="86" t="str">
        <f t="shared" ca="1" si="118"/>
        <v>SAFAAPL</v>
      </c>
      <c r="F1560" s="918">
        <v>-1</v>
      </c>
      <c r="G1560" s="918">
        <v>-1</v>
      </c>
      <c r="H1560" s="918">
        <v>-1</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v>-1</v>
      </c>
      <c r="Y1560" s="918" t="e">
        <v>#VALUE!</v>
      </c>
      <c r="Z1560" s="918" t="e">
        <f ca="1">_xlfn.XLOOKUP(A1456,TabCalc[Ticker],TabCalc[Imp20])</f>
        <v>#VALUE!</v>
      </c>
      <c r="AB1560" s="918">
        <v>-0.25</v>
      </c>
      <c r="AC1560" s="918">
        <v>-0.25</v>
      </c>
      <c r="AD1560" s="918">
        <v>-0.25</v>
      </c>
      <c r="AE1560" s="918">
        <v>-0.25</v>
      </c>
      <c r="AF1560" s="918">
        <v>0</v>
      </c>
      <c r="AG1560" s="918">
        <v>0.60000000000000009</v>
      </c>
      <c r="AH1560" s="918">
        <v>0.60000000000000009</v>
      </c>
      <c r="AI1560" s="918">
        <v>0.60000000000000009</v>
      </c>
      <c r="AJ1560" s="918">
        <v>-1</v>
      </c>
      <c r="AK1560" s="918">
        <v>-1</v>
      </c>
      <c r="AL1560" s="918">
        <v>-1</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17"/>
        <v>SAFAAPL</v>
      </c>
    </row>
    <row r="1561" spans="1:50" hidden="1">
      <c r="A1561" s="86" t="str">
        <f t="shared" ca="1" si="118"/>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-0.5</v>
      </c>
      <c r="AC1561" s="918">
        <v>-0.5</v>
      </c>
      <c r="AD1561" s="918">
        <v>-0.5</v>
      </c>
      <c r="AE1561" s="918">
        <v>-0.5</v>
      </c>
      <c r="AF1561" s="918">
        <v>-0.5</v>
      </c>
      <c r="AG1561" s="918">
        <v>-0.5</v>
      </c>
      <c r="AH1561" s="918">
        <v>-0.5</v>
      </c>
      <c r="AI1561" s="918">
        <v>-0.5</v>
      </c>
      <c r="AJ1561" s="918">
        <v>-1</v>
      </c>
      <c r="AK1561" s="918">
        <v>-1</v>
      </c>
      <c r="AL1561" s="918">
        <v>-1</v>
      </c>
      <c r="AM1561" s="918">
        <v>-1</v>
      </c>
      <c r="AN1561" s="918">
        <v>-1</v>
      </c>
      <c r="AO1561" s="918">
        <v>-1</v>
      </c>
      <c r="AP1561" s="918">
        <v>-1</v>
      </c>
      <c r="AQ1561" s="918">
        <v>-1</v>
      </c>
      <c r="AR1561" s="918">
        <v>-1</v>
      </c>
      <c r="AS1561" s="918">
        <v>-0.33333333333333343</v>
      </c>
      <c r="AT1561" s="918">
        <v>-0.33333333333333343</v>
      </c>
      <c r="AU1561" s="918">
        <v>-0.33333333333333343</v>
      </c>
      <c r="AV1561" s="918">
        <f ca="1">_xlfn.XLOOKUP(A1561,TabCalc[Ticker],TabCalc[Imp150])</f>
        <v>-0.33333333333333343</v>
      </c>
      <c r="AX1561" s="86" t="str">
        <f t="shared" ca="1" si="117"/>
        <v>SAFAMZN</v>
      </c>
    </row>
    <row r="1562" spans="1:50" hidden="1">
      <c r="A1562" s="86" t="str">
        <f t="shared" ca="1" si="118"/>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-0.33333333333333343</v>
      </c>
      <c r="AC1562" s="918">
        <v>-0.33333333333333343</v>
      </c>
      <c r="AD1562" s="918">
        <v>-0.33333333333333343</v>
      </c>
      <c r="AE1562" s="918">
        <v>9.0909090909090828E-2</v>
      </c>
      <c r="AF1562" s="918">
        <v>0.125</v>
      </c>
      <c r="AG1562" s="918">
        <v>0.125</v>
      </c>
      <c r="AH1562" s="918">
        <v>0.125</v>
      </c>
      <c r="AI1562" s="918">
        <v>0.125</v>
      </c>
      <c r="AJ1562" s="918">
        <v>0.19999999999999996</v>
      </c>
      <c r="AK1562" s="918">
        <v>0.19999999999999996</v>
      </c>
      <c r="AL1562" s="918">
        <v>0.19999999999999996</v>
      </c>
      <c r="AM1562" s="918">
        <v>-0.77777777777777768</v>
      </c>
      <c r="AN1562" s="918">
        <v>-0.77777777777777768</v>
      </c>
      <c r="AO1562" s="918">
        <v>-0.77777777777777768</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17"/>
        <v>SAFASML</v>
      </c>
    </row>
    <row r="1563" spans="1:50" hidden="1">
      <c r="A1563" s="86" t="str">
        <f t="shared" ca="1" si="118"/>
        <v>SAFDDD</v>
      </c>
      <c r="F1563" s="918">
        <v>-1</v>
      </c>
      <c r="G1563" s="918">
        <v>-1</v>
      </c>
      <c r="H1563" s="918">
        <v>-1</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v>-1</v>
      </c>
      <c r="Y1563" s="918" t="e">
        <v>#VALUE!</v>
      </c>
      <c r="Z1563" s="918" t="e">
        <f ca="1">_xlfn.XLOOKUP(A1459,TabCalc[Ticker],TabCalc[Imp20])</f>
        <v>#VALUE!</v>
      </c>
      <c r="AB1563" s="918">
        <v>-4.7619047619047672E-2</v>
      </c>
      <c r="AC1563" s="918">
        <v>-4.7619047619047672E-2</v>
      </c>
      <c r="AD1563" s="918">
        <v>-4.7619047619047672E-2</v>
      </c>
      <c r="AE1563" s="918">
        <v>-4.7619047619047672E-2</v>
      </c>
      <c r="AF1563" s="918">
        <v>-4.7619047619047672E-2</v>
      </c>
      <c r="AG1563" s="918">
        <v>-4.7619047619047672E-2</v>
      </c>
      <c r="AH1563" s="918">
        <v>-4.7619047619047672E-2</v>
      </c>
      <c r="AI1563" s="918">
        <v>-4.7619047619047672E-2</v>
      </c>
      <c r="AJ1563" s="918">
        <v>0.19999999999999996</v>
      </c>
      <c r="AK1563" s="918">
        <v>0.19999999999999996</v>
      </c>
      <c r="AL1563" s="918">
        <v>0.19999999999999996</v>
      </c>
      <c r="AM1563" s="918">
        <v>0.19999999999999996</v>
      </c>
      <c r="AN1563" s="918">
        <v>0.33333333333333326</v>
      </c>
      <c r="AO1563" s="918">
        <v>0.33333333333333326</v>
      </c>
      <c r="AP1563" s="918">
        <v>0.33333333333333326</v>
      </c>
      <c r="AQ1563" s="918">
        <v>0.33333333333333326</v>
      </c>
      <c r="AR1563" s="918">
        <v>0.33333333333333326</v>
      </c>
      <c r="AS1563" s="918">
        <v>-0.15789473684210531</v>
      </c>
      <c r="AT1563" s="918">
        <v>-0.15789473684210531</v>
      </c>
      <c r="AU1563" s="918">
        <v>-0.15789473684210531</v>
      </c>
      <c r="AV1563" s="918">
        <f ca="1">_xlfn.XLOOKUP(A1563,TabCalc[Ticker],TabCalc[Imp150])</f>
        <v>-0.15789473684210531</v>
      </c>
      <c r="AX1563" s="86" t="str">
        <f t="shared" ca="1" si="117"/>
        <v>SAFDDD</v>
      </c>
    </row>
    <row r="1564" spans="1:50" hidden="1">
      <c r="A1564" s="86" t="str">
        <f t="shared" ca="1" si="118"/>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0.60000000000000009</v>
      </c>
      <c r="AC1564" s="918">
        <v>0.60000000000000009</v>
      </c>
      <c r="AD1564" s="918">
        <v>0.60000000000000009</v>
      </c>
      <c r="AE1564" s="918">
        <v>0.60000000000000009</v>
      </c>
      <c r="AF1564" s="918">
        <v>0.60000000000000009</v>
      </c>
      <c r="AG1564" s="918">
        <v>0.60000000000000009</v>
      </c>
      <c r="AH1564" s="918">
        <v>0.60000000000000009</v>
      </c>
      <c r="AI1564" s="918">
        <v>0.60000000000000009</v>
      </c>
      <c r="AJ1564" s="918">
        <v>-1</v>
      </c>
      <c r="AK1564" s="918">
        <v>-1</v>
      </c>
      <c r="AL1564" s="918">
        <v>-1</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17"/>
        <v>SAFDIS</v>
      </c>
    </row>
    <row r="1565" spans="1:50" hidden="1">
      <c r="A1565" s="86" t="str">
        <f t="shared" ca="1" si="118"/>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17"/>
        <v>SAFGM</v>
      </c>
    </row>
    <row r="1566" spans="1:50" hidden="1">
      <c r="A1566" s="86" t="str">
        <f t="shared" ca="1" si="118"/>
        <v>SAFIAG</v>
      </c>
      <c r="F1566" s="918">
        <v>-1</v>
      </c>
      <c r="G1566" s="918">
        <v>-1</v>
      </c>
      <c r="H1566" s="918">
        <v>-1</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17"/>
        <v>SAFIAG</v>
      </c>
    </row>
    <row r="1567" spans="1:50" hidden="1">
      <c r="A1567" s="86" t="str">
        <f t="shared" ca="1" si="118"/>
        <v>SAFMRNA</v>
      </c>
      <c r="F1567" s="918">
        <v>-1</v>
      </c>
      <c r="G1567" s="918">
        <v>-1</v>
      </c>
      <c r="H1567" s="918">
        <v>-1</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0.15789473684210531</v>
      </c>
      <c r="AC1567" s="918">
        <v>0.15789473684210531</v>
      </c>
      <c r="AD1567" s="918">
        <v>0.15789473684210531</v>
      </c>
      <c r="AE1567" s="918">
        <v>0.15789473684210531</v>
      </c>
      <c r="AF1567" s="918">
        <v>0.15789473684210531</v>
      </c>
      <c r="AG1567" s="918">
        <v>0.15789473684210531</v>
      </c>
      <c r="AH1567" s="918">
        <v>0.15789473684210531</v>
      </c>
      <c r="AI1567" s="918">
        <v>0.15789473684210531</v>
      </c>
      <c r="AJ1567" s="918">
        <v>-0.19999999999999996</v>
      </c>
      <c r="AK1567" s="918">
        <v>-0.19999999999999996</v>
      </c>
      <c r="AL1567" s="918">
        <v>-0.19999999999999996</v>
      </c>
      <c r="AM1567" s="918">
        <v>-0.19999999999999996</v>
      </c>
      <c r="AN1567" s="918">
        <v>-0.19999999999999996</v>
      </c>
      <c r="AO1567" s="918">
        <v>-0.19999999999999996</v>
      </c>
      <c r="AP1567" s="918">
        <v>-0.19999999999999996</v>
      </c>
      <c r="AQ1567" s="918">
        <v>-0.19999999999999996</v>
      </c>
      <c r="AR1567" s="918">
        <v>-0.19999999999999996</v>
      </c>
      <c r="AS1567" s="918">
        <v>-1</v>
      </c>
      <c r="AT1567" s="918">
        <v>-1</v>
      </c>
      <c r="AU1567" s="918">
        <v>-1</v>
      </c>
      <c r="AV1567" s="918">
        <f ca="1">_xlfn.XLOOKUP(A1567,TabCalc[Ticker],TabCalc[Imp150])</f>
        <v>-1</v>
      </c>
      <c r="AX1567" s="86" t="str">
        <f t="shared" ca="1" si="117"/>
        <v>SAFMRNA</v>
      </c>
    </row>
    <row r="1568" spans="1:50" hidden="1">
      <c r="A1568" s="86" t="str">
        <f t="shared" ca="1" si="118"/>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-0.41666666666666657</v>
      </c>
      <c r="AC1568" s="918">
        <v>-0.41666666666666657</v>
      </c>
      <c r="AD1568" s="918">
        <v>-0.41666666666666657</v>
      </c>
      <c r="AE1568" s="918">
        <v>-0.41666666666666657</v>
      </c>
      <c r="AF1568" s="918">
        <v>-0.41666666666666657</v>
      </c>
      <c r="AG1568" s="918">
        <v>-0.41666666666666657</v>
      </c>
      <c r="AH1568" s="918">
        <v>-0.41666666666666657</v>
      </c>
      <c r="AI1568" s="918">
        <v>-0.41666666666666657</v>
      </c>
      <c r="AJ1568" s="918">
        <v>-1</v>
      </c>
      <c r="AK1568" s="918">
        <v>-1</v>
      </c>
      <c r="AL1568" s="918">
        <v>-1</v>
      </c>
      <c r="AM1568" s="918">
        <v>-1</v>
      </c>
      <c r="AN1568" s="918">
        <v>-1</v>
      </c>
      <c r="AO1568" s="918">
        <v>-1</v>
      </c>
      <c r="AP1568" s="918">
        <v>-1</v>
      </c>
      <c r="AQ1568" s="918">
        <v>-1</v>
      </c>
      <c r="AR1568" s="918">
        <v>-1</v>
      </c>
      <c r="AS1568" s="918">
        <v>-1</v>
      </c>
      <c r="AT1568" s="918">
        <v>-1</v>
      </c>
      <c r="AU1568" s="918" t="e">
        <v>#VALUE!</v>
      </c>
      <c r="AV1568" s="918" t="e">
        <f ca="1">_xlfn.XLOOKUP(A1568,TabCalc[Ticker],TabCalc[Imp150])</f>
        <v>#VALUE!</v>
      </c>
      <c r="AX1568" s="86" t="str">
        <f t="shared" ca="1" si="117"/>
        <v>BLNK</v>
      </c>
    </row>
    <row r="1569" spans="1:50" hidden="1">
      <c r="A1569" s="86" t="str">
        <f t="shared" ca="1" si="118"/>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-0.5</v>
      </c>
      <c r="AC1569" s="918">
        <v>-0.5</v>
      </c>
      <c r="AD1569" s="918">
        <v>-0.5</v>
      </c>
      <c r="AE1569" s="918">
        <v>-0.54838709677419351</v>
      </c>
      <c r="AF1569" s="918">
        <v>-0.54838709677419351</v>
      </c>
      <c r="AG1569" s="918">
        <v>0</v>
      </c>
      <c r="AH1569" s="918">
        <v>-0.19999999999999996</v>
      </c>
      <c r="AI1569" s="918">
        <v>-0.19999999999999996</v>
      </c>
      <c r="AJ1569" s="918">
        <v>-0.19999999999999996</v>
      </c>
      <c r="AK1569" s="918">
        <v>-0.19999999999999996</v>
      </c>
      <c r="AL1569" s="918">
        <v>-0.33333333333333343</v>
      </c>
      <c r="AM1569" s="918">
        <v>-0.33333333333333343</v>
      </c>
      <c r="AN1569" s="918">
        <v>-0.33333333333333343</v>
      </c>
      <c r="AO1569" s="918">
        <v>-0.66666666666666674</v>
      </c>
      <c r="AP1569" s="918">
        <v>-0.66666666666666674</v>
      </c>
      <c r="AQ1569" s="918">
        <v>-0.66666666666666674</v>
      </c>
      <c r="AR1569" s="918">
        <v>-0.66666666666666674</v>
      </c>
      <c r="AS1569" s="918">
        <v>0</v>
      </c>
      <c r="AT1569" s="918">
        <v>0</v>
      </c>
      <c r="AU1569" s="918">
        <v>0</v>
      </c>
      <c r="AV1569" s="918">
        <f ca="1">_xlfn.XLOOKUP(A1569,TabCalc[Ticker],TabCalc[Imp150])</f>
        <v>0</v>
      </c>
      <c r="AX1569" s="86" t="str">
        <f t="shared" ca="1" si="117"/>
        <v>ENI</v>
      </c>
    </row>
    <row r="1570" spans="1:50" hidden="1">
      <c r="A1570" s="86" t="str">
        <f t="shared" ca="1" si="118"/>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-0.55555555555555558</v>
      </c>
      <c r="AC1570" s="918">
        <v>-0.55555555555555558</v>
      </c>
      <c r="AD1570" s="918">
        <v>-0.55555555555555558</v>
      </c>
      <c r="AE1570" s="918">
        <v>-0.81818181818181812</v>
      </c>
      <c r="AF1570" s="918">
        <v>-0.81818181818181812</v>
      </c>
      <c r="AG1570" s="918">
        <v>-0.81818181818181812</v>
      </c>
      <c r="AH1570" s="918">
        <v>-0.81818181818181812</v>
      </c>
      <c r="AI1570" s="918">
        <v>0.14285714285714279</v>
      </c>
      <c r="AJ1570" s="918">
        <v>0.33333333333333326</v>
      </c>
      <c r="AK1570" s="918">
        <v>0.33333333333333326</v>
      </c>
      <c r="AL1570" s="918">
        <v>-0.625</v>
      </c>
      <c r="AM1570" s="918">
        <v>0</v>
      </c>
      <c r="AN1570" s="918">
        <v>0</v>
      </c>
      <c r="AO1570" s="918">
        <v>0</v>
      </c>
      <c r="AP1570" s="918">
        <v>0</v>
      </c>
      <c r="AQ1570" s="918">
        <v>0</v>
      </c>
      <c r="AR1570" s="918">
        <v>0</v>
      </c>
      <c r="AS1570" s="918">
        <v>-0.5</v>
      </c>
      <c r="AT1570" s="918">
        <v>-0.5</v>
      </c>
      <c r="AU1570" s="918">
        <v>-0.5</v>
      </c>
      <c r="AV1570" s="918">
        <f ca="1">_xlfn.XLOOKUP(A1570,TabCalc[Ticker],TabCalc[Imp150])</f>
        <v>-0.5</v>
      </c>
      <c r="AX1570" s="86" t="str">
        <f t="shared" ca="1" si="117"/>
        <v>EZJ</v>
      </c>
    </row>
    <row r="1571" spans="1:50" hidden="1">
      <c r="A1571" s="86" t="str">
        <f t="shared" ca="1" si="118"/>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17"/>
        <v>F</v>
      </c>
    </row>
    <row r="1572" spans="1:50" hidden="1">
      <c r="A1572" s="86" t="str">
        <f t="shared" ca="1" si="118"/>
        <v>GLE</v>
      </c>
      <c r="F1572" s="918">
        <v>-1</v>
      </c>
      <c r="G1572" s="918">
        <v>-1</v>
      </c>
      <c r="H1572" s="918">
        <v>-1</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17"/>
        <v>GLE</v>
      </c>
    </row>
    <row r="1573" spans="1:50" hidden="1">
      <c r="A1573" s="86" t="str">
        <f t="shared" ca="1" si="118"/>
        <v>GNRC</v>
      </c>
      <c r="F1573" s="918">
        <v>-1</v>
      </c>
      <c r="G1573" s="918">
        <v>-1</v>
      </c>
      <c r="H1573" s="918">
        <v>-1</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v>-1</v>
      </c>
      <c r="Y1573" s="918" t="e">
        <v>#VALUE!</v>
      </c>
      <c r="Z1573" s="918" t="e">
        <f ca="1">_xlfn.XLOOKUP(A1469,TabCalc[Ticker],TabCalc[Imp20])</f>
        <v>#VALUE!</v>
      </c>
      <c r="AB1573" s="918">
        <v>-0.16666666666666657</v>
      </c>
      <c r="AC1573" s="918">
        <v>-0.16666666666666657</v>
      </c>
      <c r="AD1573" s="918">
        <v>-0.16666666666666657</v>
      </c>
      <c r="AE1573" s="918">
        <v>-0.16666666666666657</v>
      </c>
      <c r="AF1573" s="918">
        <v>-0.16666666666666657</v>
      </c>
      <c r="AG1573" s="918">
        <v>-0.16666666666666657</v>
      </c>
      <c r="AH1573" s="918">
        <v>-0.16666666666666657</v>
      </c>
      <c r="AI1573" s="918">
        <v>-0.16666666666666657</v>
      </c>
      <c r="AJ1573" s="918">
        <v>-1</v>
      </c>
      <c r="AK1573" s="918">
        <v>-1</v>
      </c>
      <c r="AL1573" s="918">
        <v>-1</v>
      </c>
      <c r="AM1573" s="918">
        <v>-1</v>
      </c>
      <c r="AN1573" s="918">
        <v>-1</v>
      </c>
      <c r="AO1573" s="918">
        <v>-1</v>
      </c>
      <c r="AP1573" s="918">
        <v>-1</v>
      </c>
      <c r="AQ1573" s="918">
        <v>-1</v>
      </c>
      <c r="AR1573" s="918">
        <v>-1</v>
      </c>
      <c r="AS1573" s="918">
        <v>7.6923076923076872E-2</v>
      </c>
      <c r="AT1573" s="918">
        <v>7.6923076923076872E-2</v>
      </c>
      <c r="AU1573" s="918">
        <v>7.6923076923076872E-2</v>
      </c>
      <c r="AV1573" s="918">
        <f ca="1">_xlfn.XLOOKUP(A1573,TabCalc[Ticker],TabCalc[Imp150])</f>
        <v>7.6923076923076872E-2</v>
      </c>
      <c r="AX1573" s="86" t="str">
        <f t="shared" ca="1" si="117"/>
        <v>GNRC</v>
      </c>
    </row>
    <row r="1574" spans="1:50" hidden="1">
      <c r="A1574" s="86" t="str">
        <f t="shared" ca="1" si="118"/>
        <v>GS</v>
      </c>
      <c r="F1574" s="918">
        <v>-1</v>
      </c>
      <c r="G1574" s="918">
        <v>-1</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17"/>
        <v>GS</v>
      </c>
    </row>
    <row r="1575" spans="1:50" hidden="1">
      <c r="A1575" s="86" t="str">
        <f t="shared" ca="1" si="118"/>
        <v>LAZR</v>
      </c>
      <c r="F1575" s="918">
        <v>-1</v>
      </c>
      <c r="G1575" s="918">
        <v>-1</v>
      </c>
      <c r="H1575" s="918">
        <v>-1</v>
      </c>
      <c r="I1575" s="918">
        <v>-1</v>
      </c>
      <c r="J1575" s="918">
        <v>-1</v>
      </c>
      <c r="K1575" s="918">
        <v>-1</v>
      </c>
      <c r="L1575" s="918">
        <v>-1</v>
      </c>
      <c r="M1575" s="918">
        <v>-0.71428571428571441</v>
      </c>
      <c r="N1575" s="918">
        <v>-1</v>
      </c>
      <c r="O1575" s="918">
        <v>-1</v>
      </c>
      <c r="P1575" s="918">
        <v>-1</v>
      </c>
      <c r="Q1575" s="918">
        <v>-1</v>
      </c>
      <c r="R1575" s="918">
        <v>-1</v>
      </c>
      <c r="S1575" s="918">
        <v>-1</v>
      </c>
      <c r="T1575" s="918">
        <v>-1</v>
      </c>
      <c r="U1575" s="918">
        <v>-1</v>
      </c>
      <c r="V1575" s="918">
        <v>-1</v>
      </c>
      <c r="W1575" s="918">
        <v>-1</v>
      </c>
      <c r="X1575" s="918">
        <v>-1</v>
      </c>
      <c r="Y1575" s="918">
        <v>-1</v>
      </c>
      <c r="Z1575" s="918">
        <f ca="1">_xlfn.XLOOKUP(A1471,TabCalc[Ticker],TabCalc[Imp20])</f>
        <v>-1</v>
      </c>
      <c r="AB1575" s="918">
        <v>-0.33333333333333343</v>
      </c>
      <c r="AC1575" s="918">
        <v>-0.33333333333333343</v>
      </c>
      <c r="AD1575" s="918">
        <v>-0.33333333333333343</v>
      </c>
      <c r="AE1575" s="918">
        <v>-0.33333333333333343</v>
      </c>
      <c r="AF1575" s="918">
        <v>-0.33333333333333343</v>
      </c>
      <c r="AG1575" s="918">
        <v>-0.33333333333333343</v>
      </c>
      <c r="AH1575" s="918">
        <v>-0.33333333333333343</v>
      </c>
      <c r="AI1575" s="918">
        <v>-0.33333333333333343</v>
      </c>
      <c r="AJ1575" s="918">
        <v>-0.17241379310344834</v>
      </c>
      <c r="AK1575" s="918">
        <v>-0.17241379310344834</v>
      </c>
      <c r="AL1575" s="918">
        <v>-4.7619047619047672E-2</v>
      </c>
      <c r="AM1575" s="918">
        <v>-4.7619047619047672E-2</v>
      </c>
      <c r="AN1575" s="918">
        <v>-4.7619047619047672E-2</v>
      </c>
      <c r="AO1575" s="918">
        <v>-4.7619047619047672E-2</v>
      </c>
      <c r="AP1575" s="918">
        <v>-4.7619047619047672E-2</v>
      </c>
      <c r="AQ1575" s="918">
        <v>-4.7619047619047672E-2</v>
      </c>
      <c r="AR1575" s="918">
        <v>-4.7619047619047672E-2</v>
      </c>
      <c r="AS1575" s="918">
        <v>-0.39130434782608692</v>
      </c>
      <c r="AT1575" s="918">
        <v>-0.39130434782608692</v>
      </c>
      <c r="AU1575" s="918">
        <v>-0.39130434782608692</v>
      </c>
      <c r="AV1575" s="918">
        <f ca="1">_xlfn.XLOOKUP(A1575,TabCalc[Ticker],TabCalc[Imp150])</f>
        <v>-0.39130434782608692</v>
      </c>
      <c r="AX1575" s="86" t="str">
        <f t="shared" ca="1" si="117"/>
        <v>LAZR</v>
      </c>
    </row>
    <row r="1576" spans="1:50" hidden="1">
      <c r="A1576" s="86" t="str">
        <f t="shared" ca="1" si="118"/>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-0.14285714285714285</v>
      </c>
      <c r="AC1576" s="918">
        <v>-0.14285714285714285</v>
      </c>
      <c r="AD1576" s="918">
        <v>-0.14285714285714285</v>
      </c>
      <c r="AE1576" s="918">
        <v>-0.14285714285714285</v>
      </c>
      <c r="AF1576" s="918">
        <v>-0.14285714285714285</v>
      </c>
      <c r="AG1576" s="918">
        <v>-0.14285714285714285</v>
      </c>
      <c r="AH1576" s="918">
        <v>-0.14285714285714285</v>
      </c>
      <c r="AI1576" s="918">
        <v>-0.14285714285714285</v>
      </c>
      <c r="AJ1576" s="918">
        <v>-1</v>
      </c>
      <c r="AK1576" s="918">
        <v>-1</v>
      </c>
      <c r="AL1576" s="918">
        <v>-1</v>
      </c>
      <c r="AM1576" s="918">
        <v>-1</v>
      </c>
      <c r="AN1576" s="918">
        <v>0.33333333333333326</v>
      </c>
      <c r="AO1576" s="918">
        <v>0.33333333333333326</v>
      </c>
      <c r="AP1576" s="918">
        <v>0.33333333333333326</v>
      </c>
      <c r="AQ1576" s="918">
        <v>0.33333333333333326</v>
      </c>
      <c r="AR1576" s="918">
        <v>-0.5</v>
      </c>
      <c r="AS1576" s="918">
        <v>-1</v>
      </c>
      <c r="AT1576" s="918">
        <v>-0.5</v>
      </c>
      <c r="AU1576" s="918" t="e">
        <v>#VALUE!</v>
      </c>
      <c r="AV1576" s="918" t="e">
        <f ca="1">_xlfn.XLOOKUP(A1576,TabCalc[Ticker],TabCalc[Imp150])</f>
        <v>#VALUE!</v>
      </c>
      <c r="AX1576" s="86" t="str">
        <f t="shared" ca="1" si="117"/>
        <v>LUV</v>
      </c>
    </row>
    <row r="1577" spans="1:50" hidden="1">
      <c r="A1577" s="86" t="str">
        <f t="shared" ca="1" si="118"/>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-0.75</v>
      </c>
      <c r="AC1577" s="918">
        <v>-0.75</v>
      </c>
      <c r="AD1577" s="918">
        <v>-0.75</v>
      </c>
      <c r="AE1577" s="918">
        <v>-0.75</v>
      </c>
      <c r="AF1577" s="918">
        <v>-0.75</v>
      </c>
      <c r="AG1577" s="918">
        <v>-0.75</v>
      </c>
      <c r="AH1577" s="918">
        <v>-0.75</v>
      </c>
      <c r="AI1577" s="918">
        <v>-0.75</v>
      </c>
      <c r="AJ1577" s="918">
        <v>-0.39999999999999997</v>
      </c>
      <c r="AK1577" s="918">
        <v>-0.39999999999999997</v>
      </c>
      <c r="AL1577" s="918">
        <v>-0.39999999999999997</v>
      </c>
      <c r="AM1577" s="918">
        <v>-0.39999999999999997</v>
      </c>
      <c r="AN1577" s="918">
        <v>-0.39999999999999997</v>
      </c>
      <c r="AO1577" s="918">
        <v>-0.39999999999999997</v>
      </c>
      <c r="AP1577" s="918">
        <v>-0.66666666666666674</v>
      </c>
      <c r="AQ1577" s="918">
        <v>-0.66666666666666674</v>
      </c>
      <c r="AR1577" s="918">
        <v>-0.66666666666666674</v>
      </c>
      <c r="AS1577" s="918">
        <v>-0.5</v>
      </c>
      <c r="AT1577" s="918">
        <v>-0.5</v>
      </c>
      <c r="AU1577" s="918">
        <v>-0.5</v>
      </c>
      <c r="AV1577" s="918">
        <f ca="1">_xlfn.XLOOKUP(A1577,TabCalc[Ticker],TabCalc[Imp150])</f>
        <v>-0.5</v>
      </c>
      <c r="AX1577" s="86" t="str">
        <f t="shared" ca="1" si="117"/>
        <v>MA</v>
      </c>
    </row>
    <row r="1578" spans="1:50" hidden="1">
      <c r="A1578" s="86" t="str">
        <f t="shared" ca="1" si="118"/>
        <v>NVAX</v>
      </c>
      <c r="F1578" s="918">
        <v>-1</v>
      </c>
      <c r="G1578" s="918">
        <v>-1</v>
      </c>
      <c r="H1578" s="918">
        <v>-1</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-0.19999999999999996</v>
      </c>
      <c r="AC1578" s="918">
        <v>-0.19999999999999996</v>
      </c>
      <c r="AD1578" s="918">
        <v>-0.19999999999999996</v>
      </c>
      <c r="AE1578" s="918">
        <v>-0.19999999999999996</v>
      </c>
      <c r="AF1578" s="918">
        <v>-5.8823529411764719E-2</v>
      </c>
      <c r="AG1578" s="918">
        <v>-0.11111111111111116</v>
      </c>
      <c r="AH1578" s="918">
        <v>-0.15789473684210531</v>
      </c>
      <c r="AI1578" s="918">
        <v>-0.19999999999999996</v>
      </c>
      <c r="AJ1578" s="918">
        <v>-0.5</v>
      </c>
      <c r="AK1578" s="918">
        <v>-0.5</v>
      </c>
      <c r="AL1578" s="918">
        <v>-0.5</v>
      </c>
      <c r="AM1578" s="918">
        <v>-0.5</v>
      </c>
      <c r="AN1578" s="918">
        <v>-0.5</v>
      </c>
      <c r="AO1578" s="918">
        <v>-0.5</v>
      </c>
      <c r="AP1578" s="918">
        <v>-1</v>
      </c>
      <c r="AQ1578" s="918">
        <v>-1</v>
      </c>
      <c r="AR1578" s="918">
        <v>-1</v>
      </c>
      <c r="AS1578" s="918">
        <v>-1</v>
      </c>
      <c r="AT1578" s="918">
        <v>-1</v>
      </c>
      <c r="AU1578" s="918">
        <v>-1</v>
      </c>
      <c r="AV1578" s="918">
        <f ca="1">_xlfn.XLOOKUP(A1578,TabCalc[Ticker],TabCalc[Imp150])</f>
        <v>-1</v>
      </c>
      <c r="AX1578" s="86" t="str">
        <f t="shared" ca="1" si="117"/>
        <v>NVAX</v>
      </c>
    </row>
    <row r="1579" spans="1:50" hidden="1">
      <c r="A1579" s="86" t="str">
        <f t="shared" ca="1" si="118"/>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17"/>
        <v>NVS</v>
      </c>
    </row>
    <row r="1580" spans="1:50" hidden="1">
      <c r="A1580" s="86" t="str">
        <f t="shared" ca="1" si="118"/>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-0.38461538461538458</v>
      </c>
      <c r="AC1580" s="918">
        <v>-0.38461538461538458</v>
      </c>
      <c r="AD1580" s="918">
        <v>-0.38461538461538458</v>
      </c>
      <c r="AE1580" s="918">
        <v>0</v>
      </c>
      <c r="AF1580" s="918">
        <v>0</v>
      </c>
      <c r="AG1580" s="918">
        <v>0</v>
      </c>
      <c r="AH1580" s="918">
        <v>0</v>
      </c>
      <c r="AI1580" s="918">
        <v>0</v>
      </c>
      <c r="AJ1580" s="918">
        <v>-0.25</v>
      </c>
      <c r="AK1580" s="918">
        <v>-0.25</v>
      </c>
      <c r="AL1580" s="918">
        <v>-0.25</v>
      </c>
      <c r="AM1580" s="918">
        <v>-0.25</v>
      </c>
      <c r="AN1580" s="918">
        <v>-0.25</v>
      </c>
      <c r="AO1580" s="918">
        <v>-0.25</v>
      </c>
      <c r="AP1580" s="918">
        <v>-0.25</v>
      </c>
      <c r="AQ1580" s="918">
        <v>-0.25</v>
      </c>
      <c r="AR1580" s="918">
        <v>-0.25</v>
      </c>
      <c r="AS1580" s="918">
        <v>-0.60000000000000009</v>
      </c>
      <c r="AT1580" s="918">
        <v>-0.60000000000000009</v>
      </c>
      <c r="AU1580" s="918">
        <v>-0.60000000000000009</v>
      </c>
      <c r="AV1580" s="918">
        <f ca="1">_xlfn.XLOOKUP(A1580,TabCalc[Ticker],TabCalc[Imp150])</f>
        <v>-0.60000000000000009</v>
      </c>
      <c r="AX1580" s="86" t="str">
        <f t="shared" ca="1" si="117"/>
        <v>ORA</v>
      </c>
    </row>
    <row r="1581" spans="1:50" hidden="1">
      <c r="A1581" s="86" t="str">
        <f t="shared" ca="1" si="118"/>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v>-1</v>
      </c>
      <c r="Y1581" s="918" t="e">
        <v>#VALUE!</v>
      </c>
      <c r="Z1581" s="918" t="e">
        <f ca="1">_xlfn.XLOOKUP(A1477,TabCalc[Ticker],TabCalc[Imp20])</f>
        <v>#VALUE!</v>
      </c>
      <c r="AB1581" s="918">
        <v>-0.77777777777777768</v>
      </c>
      <c r="AC1581" s="918">
        <v>-0.77777777777777768</v>
      </c>
      <c r="AD1581" s="918">
        <v>-0.77777777777777768</v>
      </c>
      <c r="AE1581" s="918">
        <v>-0.77777777777777768</v>
      </c>
      <c r="AF1581" s="918">
        <v>-0.77777777777777768</v>
      </c>
      <c r="AG1581" s="918">
        <v>-0.77777777777777768</v>
      </c>
      <c r="AH1581" s="918">
        <v>-0.77777777777777768</v>
      </c>
      <c r="AI1581" s="918">
        <v>-0.77777777777777768</v>
      </c>
      <c r="AJ1581" s="918">
        <v>-0.66666666666666674</v>
      </c>
      <c r="AK1581" s="918">
        <v>-0.66666666666666674</v>
      </c>
      <c r="AL1581" s="918">
        <v>-0.66666666666666674</v>
      </c>
      <c r="AM1581" s="918">
        <v>-0.66666666666666674</v>
      </c>
      <c r="AN1581" s="918">
        <v>-0.66666666666666674</v>
      </c>
      <c r="AO1581" s="918">
        <v>-0.66666666666666674</v>
      </c>
      <c r="AP1581" s="918">
        <v>-0.66666666666666674</v>
      </c>
      <c r="AQ1581" s="918">
        <v>-0.66666666666666674</v>
      </c>
      <c r="AR1581" s="918">
        <v>-0.66666666666666674</v>
      </c>
      <c r="AS1581" s="918">
        <v>9.0909090909090828E-2</v>
      </c>
      <c r="AT1581" s="918">
        <v>9.0909090909090828E-2</v>
      </c>
      <c r="AU1581" s="918">
        <v>9.0909090909090828E-2</v>
      </c>
      <c r="AV1581" s="918">
        <f ca="1">_xlfn.XLOOKUP(A1581,TabCalc[Ticker],TabCalc[Imp150])</f>
        <v>9.0909090909090828E-2</v>
      </c>
      <c r="AX1581" s="86" t="str">
        <f t="shared" ca="1" si="117"/>
        <v>OXY</v>
      </c>
    </row>
    <row r="1582" spans="1:50" hidden="1">
      <c r="A1582" s="86" t="str">
        <f t="shared" ca="1" si="118"/>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-0.5</v>
      </c>
      <c r="AC1582" s="918">
        <v>0</v>
      </c>
      <c r="AD1582" s="918">
        <v>0</v>
      </c>
      <c r="AE1582" s="918">
        <v>0</v>
      </c>
      <c r="AF1582" s="918">
        <v>-0.19999999999999996</v>
      </c>
      <c r="AG1582" s="918">
        <v>-0.19999999999999996</v>
      </c>
      <c r="AH1582" s="918">
        <v>-0.19999999999999996</v>
      </c>
      <c r="AI1582" s="918">
        <v>-0.19999999999999996</v>
      </c>
      <c r="AJ1582" s="918">
        <v>-9.0909090909090884E-2</v>
      </c>
      <c r="AK1582" s="918">
        <v>-9.0909090909090884E-2</v>
      </c>
      <c r="AL1582" s="918">
        <v>-9.0909090909090884E-2</v>
      </c>
      <c r="AM1582" s="918">
        <v>-9.0909090909090884E-2</v>
      </c>
      <c r="AN1582" s="918">
        <v>-9.0909090909090884E-2</v>
      </c>
      <c r="AO1582" s="918">
        <v>-9.0909090909090884E-2</v>
      </c>
      <c r="AP1582" s="918">
        <v>-9.0909090909090884E-2</v>
      </c>
      <c r="AQ1582" s="918">
        <v>-9.0909090909090884E-2</v>
      </c>
      <c r="AR1582" s="918">
        <v>-9.0909090909090884E-2</v>
      </c>
      <c r="AS1582" s="918">
        <v>-0.16666666666666657</v>
      </c>
      <c r="AT1582" s="918">
        <v>-0.16666666666666657</v>
      </c>
      <c r="AU1582" s="918">
        <v>-0.16666666666666657</v>
      </c>
      <c r="AV1582" s="918">
        <f ca="1">_xlfn.XLOOKUP(A1582,TabCalc[Ticker],TabCalc[Imp150])</f>
        <v>-0.16666666666666657</v>
      </c>
      <c r="AX1582" s="86" t="str">
        <f t="shared" ca="1" si="117"/>
        <v>PFE</v>
      </c>
    </row>
    <row r="1583" spans="1:50" hidden="1">
      <c r="A1583" s="86" t="str">
        <f t="shared" ca="1" si="118"/>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0.28571428571428581</v>
      </c>
      <c r="AC1583" s="918">
        <v>1</v>
      </c>
      <c r="AD1583" s="918">
        <v>-1</v>
      </c>
      <c r="AE1583" s="918">
        <v>-1</v>
      </c>
      <c r="AF1583" s="918">
        <v>0</v>
      </c>
      <c r="AG1583" s="918">
        <v>0</v>
      </c>
      <c r="AH1583" s="918">
        <v>0</v>
      </c>
      <c r="AI1583" s="918">
        <v>0</v>
      </c>
      <c r="AJ1583" s="918">
        <v>-0.25</v>
      </c>
      <c r="AK1583" s="918">
        <v>-0.25</v>
      </c>
      <c r="AL1583" s="918">
        <v>-0.25</v>
      </c>
      <c r="AM1583" s="918">
        <v>-0.25</v>
      </c>
      <c r="AN1583" s="918">
        <v>-0.25</v>
      </c>
      <c r="AO1583" s="918">
        <v>-0.25</v>
      </c>
      <c r="AP1583" s="918">
        <v>-0.375</v>
      </c>
      <c r="AQ1583" s="918">
        <v>-0.375</v>
      </c>
      <c r="AR1583" s="918">
        <v>-0.375</v>
      </c>
      <c r="AS1583" s="918">
        <v>-1</v>
      </c>
      <c r="AT1583" s="918">
        <v>-1</v>
      </c>
      <c r="AU1583" s="918">
        <v>-1</v>
      </c>
      <c r="AV1583" s="918">
        <f ca="1">_xlfn.XLOOKUP(A1583,TabCalc[Ticker],TabCalc[Imp150])</f>
        <v>-1</v>
      </c>
      <c r="AX1583" s="86" t="str">
        <f t="shared" ca="1" si="117"/>
        <v>RIG</v>
      </c>
    </row>
    <row r="1584" spans="1:50">
      <c r="A1584" s="86" t="str">
        <f t="shared" ca="1" si="118"/>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17"/>
        <v>RRC</v>
      </c>
    </row>
    <row r="1585" spans="1:50">
      <c r="A1585" s="86" t="str">
        <f t="shared" ca="1" si="118"/>
        <v>XYZ</v>
      </c>
      <c r="F1585" s="918">
        <v>-1</v>
      </c>
      <c r="G1585" s="918">
        <v>-1</v>
      </c>
      <c r="H1585" s="918">
        <v>-1</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v>-1</v>
      </c>
      <c r="Z1585" s="918">
        <f ca="1">_xlfn.XLOOKUP(A1481,TabCalc[Ticker],TabCalc[Imp20])</f>
        <v>-1</v>
      </c>
      <c r="AB1585" s="918">
        <v>-0.4285714285714286</v>
      </c>
      <c r="AC1585" s="918">
        <v>-0.4285714285714286</v>
      </c>
      <c r="AD1585" s="918">
        <v>-0.4285714285714286</v>
      </c>
      <c r="AE1585" s="918">
        <v>-0.4285714285714286</v>
      </c>
      <c r="AF1585" s="918">
        <v>-0.4285714285714286</v>
      </c>
      <c r="AG1585" s="918">
        <v>-0.4285714285714286</v>
      </c>
      <c r="AH1585" s="918">
        <v>-0.4285714285714286</v>
      </c>
      <c r="AI1585" s="918">
        <v>-0.4285714285714286</v>
      </c>
      <c r="AJ1585" s="918">
        <v>0</v>
      </c>
      <c r="AK1585" s="918">
        <v>0</v>
      </c>
      <c r="AL1585" s="918">
        <v>0</v>
      </c>
      <c r="AM1585" s="918">
        <v>0</v>
      </c>
      <c r="AN1585" s="918">
        <v>0</v>
      </c>
      <c r="AO1585" s="918">
        <v>0</v>
      </c>
      <c r="AP1585" s="918">
        <v>0</v>
      </c>
      <c r="AQ1585" s="918">
        <v>0</v>
      </c>
      <c r="AR1585" s="918">
        <v>0</v>
      </c>
      <c r="AS1585" s="918">
        <v>-0.38461538461538458</v>
      </c>
      <c r="AT1585" s="918">
        <v>-0.38461538461538458</v>
      </c>
      <c r="AU1585" s="918">
        <v>-0.38461538461538458</v>
      </c>
      <c r="AV1585" s="918">
        <f ca="1">_xlfn.XLOOKUP(A1585,TabCalc[Ticker],TabCalc[Imp150])</f>
        <v>-0.38461538461538458</v>
      </c>
      <c r="AX1585" s="86" t="str">
        <f t="shared" ca="1" si="117"/>
        <v>XYZ</v>
      </c>
    </row>
    <row r="1586" spans="1:50">
      <c r="A1586" s="86" t="str">
        <f t="shared" ca="1" si="118"/>
        <v>THC</v>
      </c>
      <c r="F1586" s="918">
        <v>-1</v>
      </c>
      <c r="G1586" s="918">
        <v>-1</v>
      </c>
      <c r="H1586" s="918">
        <v>-1</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0.37815126050420167</v>
      </c>
      <c r="AC1586" s="918">
        <v>-0.19999999999999996</v>
      </c>
      <c r="AD1586" s="918">
        <v>-0.19999999999999996</v>
      </c>
      <c r="AE1586" s="918">
        <v>-0.19999999999999996</v>
      </c>
      <c r="AF1586" s="918">
        <v>-0.19999999999999996</v>
      </c>
      <c r="AG1586" s="918">
        <v>-0.19999999999999996</v>
      </c>
      <c r="AH1586" s="918">
        <v>-0.19999999999999996</v>
      </c>
      <c r="AI1586" s="918">
        <v>-0.19999999999999996</v>
      </c>
      <c r="AJ1586" s="918">
        <v>0.18518518518518512</v>
      </c>
      <c r="AK1586" s="918">
        <v>0.18518518518518512</v>
      </c>
      <c r="AL1586" s="918">
        <v>0.19999999999999996</v>
      </c>
      <c r="AM1586" s="918">
        <v>0.19999999999999996</v>
      </c>
      <c r="AN1586" s="918">
        <v>0.19999999999999996</v>
      </c>
      <c r="AO1586" s="918">
        <v>0.19999999999999996</v>
      </c>
      <c r="AP1586" s="918">
        <v>-1</v>
      </c>
      <c r="AQ1586" s="918">
        <v>-1</v>
      </c>
      <c r="AR1586" s="918">
        <v>-1</v>
      </c>
      <c r="AS1586" s="918">
        <v>-1</v>
      </c>
      <c r="AT1586" s="918">
        <v>-1</v>
      </c>
      <c r="AU1586" s="918">
        <v>-1</v>
      </c>
      <c r="AV1586" s="918">
        <f ca="1">_xlfn.XLOOKUP(A1586,TabCalc[Ticker],TabCalc[Imp150])</f>
        <v>-1</v>
      </c>
      <c r="AX1586" s="86" t="str">
        <f t="shared" ca="1" si="117"/>
        <v>THC</v>
      </c>
    </row>
    <row r="1587" spans="1:50">
      <c r="A1587" s="86" t="str">
        <f t="shared" ca="1" si="118"/>
        <v>X</v>
      </c>
      <c r="F1587" s="918">
        <v>-1</v>
      </c>
      <c r="G1587" s="918">
        <v>-1</v>
      </c>
      <c r="H1587" s="918">
        <v>-1</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-0.66666666666666674</v>
      </c>
      <c r="AC1587" s="918">
        <v>-0.66666666666666674</v>
      </c>
      <c r="AD1587" s="918">
        <v>-0.66666666666666674</v>
      </c>
      <c r="AE1587" s="918">
        <v>-0.66666666666666674</v>
      </c>
      <c r="AF1587" s="918">
        <v>-0.66666666666666674</v>
      </c>
      <c r="AG1587" s="918">
        <v>-0.66666666666666674</v>
      </c>
      <c r="AH1587" s="918">
        <v>-0.66666666666666674</v>
      </c>
      <c r="AI1587" s="918">
        <v>-0.66666666666666674</v>
      </c>
      <c r="AJ1587" s="918">
        <v>-1</v>
      </c>
      <c r="AK1587" s="918">
        <v>-1</v>
      </c>
      <c r="AL1587" s="918">
        <v>-1</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17"/>
        <v>X</v>
      </c>
    </row>
    <row r="1588" spans="1:50">
      <c r="A1588" s="86" t="str">
        <f t="shared" ca="1" si="118"/>
        <v>LOCK</v>
      </c>
      <c r="F1588" s="918">
        <v>-1</v>
      </c>
      <c r="G1588" s="918">
        <v>-1</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-0.45454545454545459</v>
      </c>
      <c r="AC1588" s="918">
        <v>-0.45454545454545459</v>
      </c>
      <c r="AD1588" s="918">
        <v>-0.45454545454545459</v>
      </c>
      <c r="AE1588" s="918">
        <v>-0.45454545454545459</v>
      </c>
      <c r="AF1588" s="918">
        <v>-0.45454545454545459</v>
      </c>
      <c r="AG1588" s="918">
        <v>-0.45454545454545459</v>
      </c>
      <c r="AH1588" s="918">
        <v>-0.45454545454545459</v>
      </c>
      <c r="AI1588" s="918">
        <v>-0.45454545454545459</v>
      </c>
      <c r="AJ1588" s="918">
        <v>-0.5</v>
      </c>
      <c r="AK1588" s="918">
        <v>-0.5</v>
      </c>
      <c r="AL1588" s="918">
        <v>-0.5</v>
      </c>
      <c r="AM1588" s="918">
        <v>-0.5</v>
      </c>
      <c r="AN1588" s="918">
        <v>-0.5</v>
      </c>
      <c r="AO1588" s="918">
        <v>-0.5</v>
      </c>
      <c r="AP1588" s="918">
        <v>-0.5</v>
      </c>
      <c r="AQ1588" s="918">
        <v>-0.5</v>
      </c>
      <c r="AR1588" s="918">
        <v>-0.5</v>
      </c>
      <c r="AS1588" s="918">
        <v>-0.45454545454545459</v>
      </c>
      <c r="AT1588" s="918">
        <v>-0.45454545454545459</v>
      </c>
      <c r="AU1588" s="918" t="e">
        <v>#VALUE!</v>
      </c>
      <c r="AV1588" s="918" t="e">
        <f ca="1">_xlfn.XLOOKUP(A1588,TabCalc[Ticker],TabCalc[Imp150])</f>
        <v>#VALUE!</v>
      </c>
      <c r="AX1588" s="86" t="str">
        <f t="shared" ca="1" si="117"/>
        <v>LOCK</v>
      </c>
    </row>
    <row r="1589" spans="1:50">
      <c r="A1589" s="86" t="str">
        <f t="shared" ca="1" si="118"/>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-0.33333333333333343</v>
      </c>
      <c r="AC1589" s="918">
        <v>0.125</v>
      </c>
      <c r="AD1589" s="918">
        <v>0.125</v>
      </c>
      <c r="AE1589" s="918">
        <v>0.125</v>
      </c>
      <c r="AF1589" s="918">
        <v>0.125</v>
      </c>
      <c r="AG1589" s="918">
        <v>0.125</v>
      </c>
      <c r="AH1589" s="918">
        <v>0.125</v>
      </c>
      <c r="AI1589" s="918">
        <v>0.125</v>
      </c>
      <c r="AJ1589" s="918">
        <v>0.19999999999999996</v>
      </c>
      <c r="AK1589" s="918">
        <v>0.4285714285714286</v>
      </c>
      <c r="AL1589" s="918">
        <v>0.4285714285714286</v>
      </c>
      <c r="AM1589" s="918">
        <v>0.4285714285714286</v>
      </c>
      <c r="AN1589" s="918">
        <v>-0.33333333333333343</v>
      </c>
      <c r="AO1589" s="918">
        <v>7.6923076923076872E-2</v>
      </c>
      <c r="AP1589" s="918">
        <v>7.6923076923076872E-2</v>
      </c>
      <c r="AQ1589" s="918">
        <v>7.6923076923076872E-2</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17"/>
        <v>JBASML</v>
      </c>
    </row>
    <row r="1590" spans="1:50">
      <c r="A1590" s="86" t="str">
        <f t="shared" ca="1" si="118"/>
        <v>JBEOAN</v>
      </c>
      <c r="F1590" s="918">
        <v>-1</v>
      </c>
      <c r="G1590" s="918">
        <v>-1</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0</v>
      </c>
      <c r="AC1590" s="918">
        <v>0</v>
      </c>
      <c r="AD1590" s="918">
        <v>0</v>
      </c>
      <c r="AE1590" s="918">
        <v>-1</v>
      </c>
      <c r="AF1590" s="918">
        <v>-1</v>
      </c>
      <c r="AG1590" s="918">
        <v>-1</v>
      </c>
      <c r="AH1590" s="918">
        <v>-1</v>
      </c>
      <c r="AI1590" s="918">
        <v>-1</v>
      </c>
      <c r="AJ1590" s="918">
        <v>-0.19999999999999996</v>
      </c>
      <c r="AK1590" s="918">
        <v>-0.19999999999999996</v>
      </c>
      <c r="AL1590" s="918">
        <v>-0.19999999999999996</v>
      </c>
      <c r="AM1590" s="918">
        <v>-0.19999999999999996</v>
      </c>
      <c r="AN1590" s="918">
        <v>-0.19999999999999996</v>
      </c>
      <c r="AO1590" s="918">
        <v>-0.19999999999999996</v>
      </c>
      <c r="AP1590" s="918">
        <v>-0.19999999999999996</v>
      </c>
      <c r="AQ1590" s="918">
        <v>-0.33333333333333343</v>
      </c>
      <c r="AR1590" s="918">
        <v>-0.33333333333333343</v>
      </c>
      <c r="AS1590" s="918">
        <v>-0.5</v>
      </c>
      <c r="AT1590" s="918">
        <v>-0.5</v>
      </c>
      <c r="AU1590" s="918" t="e">
        <v>#VALUE!</v>
      </c>
      <c r="AV1590" s="918" t="e">
        <f ca="1">_xlfn.XLOOKUP(A1590,TabCalc[Ticker],TabCalc[Imp150])</f>
        <v>#VALUE!</v>
      </c>
      <c r="AX1590" s="86" t="str">
        <f t="shared" ca="1" si="117"/>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2382</v>
      </c>
      <c r="AX1593" s="86"/>
    </row>
    <row r="1594" spans="1:50">
      <c r="A1594" s="86"/>
      <c r="F1594" t="s">
        <v>2383</v>
      </c>
      <c r="J1594"/>
      <c r="K1594"/>
      <c r="L1594"/>
      <c r="M1594"/>
      <c r="O1594"/>
      <c r="P1594"/>
      <c r="R1594"/>
      <c r="W1594"/>
      <c r="X1594"/>
      <c r="AB1594" s="62">
        <f t="shared" ref="AB1594:AV1594" ca="1" si="119">AB1495</f>
        <v>45974</v>
      </c>
      <c r="AC1594" s="62">
        <f t="shared" ca="1" si="119"/>
        <v>45975</v>
      </c>
      <c r="AD1594" s="62">
        <f t="shared" ca="1" si="119"/>
        <v>45978</v>
      </c>
      <c r="AE1594" s="62">
        <f t="shared" ca="1" si="119"/>
        <v>45979</v>
      </c>
      <c r="AF1594" s="62">
        <f t="shared" ca="1" si="119"/>
        <v>45980</v>
      </c>
      <c r="AG1594" s="62">
        <f t="shared" ca="1" si="119"/>
        <v>45981</v>
      </c>
      <c r="AH1594" s="62">
        <f t="shared" ca="1" si="119"/>
        <v>45982</v>
      </c>
      <c r="AI1594" s="62">
        <f t="shared" ca="1" si="119"/>
        <v>45985</v>
      </c>
      <c r="AJ1594" s="62">
        <f t="shared" ca="1" si="119"/>
        <v>45986</v>
      </c>
      <c r="AK1594" s="62">
        <f t="shared" ca="1" si="119"/>
        <v>45987</v>
      </c>
      <c r="AL1594" s="62">
        <f t="shared" ca="1" si="119"/>
        <v>45988</v>
      </c>
      <c r="AM1594" s="62">
        <f t="shared" ca="1" si="119"/>
        <v>45989</v>
      </c>
      <c r="AN1594" s="62">
        <f t="shared" ca="1" si="119"/>
        <v>45992</v>
      </c>
      <c r="AO1594" s="62">
        <f t="shared" ca="1" si="119"/>
        <v>45993</v>
      </c>
      <c r="AP1594" s="62">
        <f t="shared" ca="1" si="119"/>
        <v>45994</v>
      </c>
      <c r="AQ1594" s="62">
        <f t="shared" ca="1" si="119"/>
        <v>45995</v>
      </c>
      <c r="AR1594" s="62">
        <f t="shared" ca="1" si="119"/>
        <v>45996</v>
      </c>
      <c r="AS1594" s="62">
        <f t="shared" ca="1" si="119"/>
        <v>45999</v>
      </c>
      <c r="AT1594" s="62">
        <f t="shared" ca="1" si="119"/>
        <v>46000</v>
      </c>
      <c r="AU1594" s="62">
        <f t="shared" ca="1" si="119"/>
        <v>46001</v>
      </c>
      <c r="AV1594" s="62">
        <f t="shared" ca="1" si="119"/>
        <v>46002</v>
      </c>
      <c r="AX1594" s="86"/>
    </row>
    <row r="1595" spans="1:50">
      <c r="A1595" s="86"/>
      <c r="F1595" s="62">
        <f t="shared" ref="F1595:Z1595" ca="1" si="120">F1495</f>
        <v>45974</v>
      </c>
      <c r="G1595" s="62">
        <f t="shared" ca="1" si="120"/>
        <v>45975</v>
      </c>
      <c r="H1595" s="62">
        <f t="shared" ca="1" si="120"/>
        <v>45978</v>
      </c>
      <c r="I1595" s="62">
        <f t="shared" ca="1" si="120"/>
        <v>45979</v>
      </c>
      <c r="J1595" s="62">
        <f t="shared" ca="1" si="120"/>
        <v>45980</v>
      </c>
      <c r="K1595" s="62">
        <f t="shared" ca="1" si="120"/>
        <v>45981</v>
      </c>
      <c r="L1595" s="62">
        <f t="shared" ca="1" si="120"/>
        <v>45982</v>
      </c>
      <c r="M1595" s="62">
        <f t="shared" ca="1" si="120"/>
        <v>45985</v>
      </c>
      <c r="N1595" s="62">
        <f t="shared" ca="1" si="120"/>
        <v>45986</v>
      </c>
      <c r="O1595" s="62">
        <f t="shared" ca="1" si="120"/>
        <v>45987</v>
      </c>
      <c r="P1595" s="62">
        <f t="shared" ca="1" si="120"/>
        <v>45988</v>
      </c>
      <c r="Q1595" s="62">
        <f t="shared" ca="1" si="120"/>
        <v>45989</v>
      </c>
      <c r="R1595" s="62">
        <f t="shared" ca="1" si="120"/>
        <v>45992</v>
      </c>
      <c r="S1595" s="62">
        <f t="shared" ca="1" si="120"/>
        <v>45993</v>
      </c>
      <c r="T1595" s="62">
        <f t="shared" ca="1" si="120"/>
        <v>45994</v>
      </c>
      <c r="U1595" s="62">
        <f t="shared" ca="1" si="120"/>
        <v>45995</v>
      </c>
      <c r="V1595" s="62">
        <f t="shared" ca="1" si="120"/>
        <v>45996</v>
      </c>
      <c r="W1595" s="62">
        <f t="shared" ca="1" si="120"/>
        <v>45999</v>
      </c>
      <c r="X1595" s="62">
        <f t="shared" ca="1" si="120"/>
        <v>46000</v>
      </c>
      <c r="Y1595" s="62">
        <f t="shared" ca="1" si="120"/>
        <v>46001</v>
      </c>
      <c r="Z1595" s="62">
        <f t="shared" ca="1" si="120"/>
        <v>46002</v>
      </c>
      <c r="AB1595" t="s">
        <v>2361</v>
      </c>
      <c r="AC1595" t="s">
        <v>2362</v>
      </c>
      <c r="AD1595" t="s">
        <v>2363</v>
      </c>
      <c r="AE1595" t="s">
        <v>2364</v>
      </c>
      <c r="AF1595" t="s">
        <v>2365</v>
      </c>
      <c r="AG1595" t="s">
        <v>2366</v>
      </c>
      <c r="AH1595" t="s">
        <v>2367</v>
      </c>
      <c r="AI1595" t="s">
        <v>2368</v>
      </c>
      <c r="AJ1595" t="s">
        <v>2369</v>
      </c>
      <c r="AK1595" t="s">
        <v>2370</v>
      </c>
      <c r="AL1595" t="s">
        <v>2371</v>
      </c>
      <c r="AM1595" t="s">
        <v>2372</v>
      </c>
      <c r="AN1595" t="s">
        <v>2373</v>
      </c>
      <c r="AO1595" t="s">
        <v>2374</v>
      </c>
      <c r="AP1595" t="s">
        <v>2375</v>
      </c>
      <c r="AQ1595" t="s">
        <v>2376</v>
      </c>
      <c r="AR1595" t="s">
        <v>2377</v>
      </c>
      <c r="AS1595" t="s">
        <v>2378</v>
      </c>
      <c r="AT1595" t="s">
        <v>2379</v>
      </c>
      <c r="AU1595" t="s">
        <v>2380</v>
      </c>
      <c r="AV1595" t="s">
        <v>2381</v>
      </c>
      <c r="AX1595" s="86"/>
    </row>
    <row r="1596" spans="1:50">
      <c r="A1596" s="86" t="str">
        <f t="shared" ref="A1596:A1655" ca="1" si="121">A1497</f>
        <v>AAPL</v>
      </c>
      <c r="F1596" t="s">
        <v>2361</v>
      </c>
      <c r="G1596" t="s">
        <v>2362</v>
      </c>
      <c r="H1596" t="s">
        <v>2363</v>
      </c>
      <c r="I1596" t="s">
        <v>2364</v>
      </c>
      <c r="J1596" t="s">
        <v>2365</v>
      </c>
      <c r="K1596" t="s">
        <v>2366</v>
      </c>
      <c r="L1596" t="s">
        <v>2367</v>
      </c>
      <c r="M1596" t="s">
        <v>2368</v>
      </c>
      <c r="N1596" t="s">
        <v>2369</v>
      </c>
      <c r="O1596" t="s">
        <v>2370</v>
      </c>
      <c r="P1596" t="s">
        <v>2371</v>
      </c>
      <c r="Q1596" t="s">
        <v>2372</v>
      </c>
      <c r="R1596" t="s">
        <v>2373</v>
      </c>
      <c r="S1596" t="s">
        <v>2374</v>
      </c>
      <c r="T1596" t="s">
        <v>2375</v>
      </c>
      <c r="U1596" t="s">
        <v>2376</v>
      </c>
      <c r="V1596" t="s">
        <v>2377</v>
      </c>
      <c r="W1596" t="s">
        <v>2378</v>
      </c>
      <c r="X1596" t="s">
        <v>2379</v>
      </c>
      <c r="Y1596" t="s">
        <v>2380</v>
      </c>
      <c r="Z1596" t="s">
        <v>2381</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t="e">
        <v>#N/A</v>
      </c>
      <c r="AQ1596" s="918">
        <v>3.9055392880451159</v>
      </c>
      <c r="AR1596" s="918">
        <v>3.9263676904119795</v>
      </c>
      <c r="AS1596" s="918">
        <v>4.582699051358726</v>
      </c>
      <c r="AT1596" s="918">
        <v>6.1990304123054711</v>
      </c>
      <c r="AU1596" s="918" t="e">
        <v>#VALUE!</v>
      </c>
      <c r="AV1596" s="918" t="e">
        <f t="shared" ref="AV1596:AV1659" ca="1" si="122">SUMPRODUCT(AB1497:AV1497,AB1497:AV1497)</f>
        <v>#VALUE!</v>
      </c>
      <c r="AX1596" s="86" t="str">
        <f t="shared" ca="1" si="117"/>
        <v>AAPL</v>
      </c>
    </row>
    <row r="1597" spans="1:50">
      <c r="A1597" s="86" t="str">
        <f t="shared" ca="1" si="121"/>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3">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t="e">
        <v>#N/A</v>
      </c>
      <c r="AQ1597" s="918">
        <v>10.618839275736823</v>
      </c>
      <c r="AR1597" s="918">
        <v>11.617728164625712</v>
      </c>
      <c r="AS1597" s="918">
        <v>10.93635642251323</v>
      </c>
      <c r="AT1597" s="918">
        <v>11.094984680400747</v>
      </c>
      <c r="AU1597" s="918" t="e">
        <v>#VALUE!</v>
      </c>
      <c r="AV1597" s="918" t="e">
        <f t="shared" ca="1" si="122"/>
        <v>#VALUE!</v>
      </c>
      <c r="AX1597" s="86" t="str">
        <f t="shared" ca="1" si="117"/>
        <v>ADEA</v>
      </c>
    </row>
    <row r="1598" spans="1:50">
      <c r="A1598" s="86" t="str">
        <f t="shared" ca="1" si="121"/>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3"/>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t="e">
        <v>#N/A</v>
      </c>
      <c r="AQ1598" s="918">
        <v>1.4875664784000615</v>
      </c>
      <c r="AR1598" s="918">
        <v>1.5726755504222223</v>
      </c>
      <c r="AS1598" s="918">
        <v>1.4299970339556169</v>
      </c>
      <c r="AT1598" s="918">
        <v>1.3952748117333946</v>
      </c>
      <c r="AU1598" s="918" t="e">
        <v>#VALUE!</v>
      </c>
      <c r="AV1598" s="918" t="e">
        <f t="shared" ca="1" si="122"/>
        <v>#VALUE!</v>
      </c>
      <c r="AX1598" s="86" t="str">
        <f t="shared" ca="1" si="117"/>
        <v>AET</v>
      </c>
    </row>
    <row r="1599" spans="1:50">
      <c r="A1599" s="86" t="str">
        <f t="shared" ca="1" si="121"/>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3"/>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t="e">
        <v>#N/A</v>
      </c>
      <c r="AQ1599" s="918">
        <v>6.0319157001592787</v>
      </c>
      <c r="AR1599" s="918">
        <v>7.0313447862270992</v>
      </c>
      <c r="AS1599" s="918">
        <v>8.030639954212063</v>
      </c>
      <c r="AT1599" s="918">
        <v>7.2521573444192482</v>
      </c>
      <c r="AU1599" s="918" t="e">
        <v>#VALUE!</v>
      </c>
      <c r="AV1599" s="918" t="e">
        <f t="shared" ca="1" si="122"/>
        <v>#VALUE!</v>
      </c>
      <c r="AX1599" s="86" t="str">
        <f t="shared" ca="1" si="117"/>
        <v>AMZN</v>
      </c>
    </row>
    <row r="1600" spans="1:50">
      <c r="A1600" s="86" t="str">
        <f t="shared" ca="1" si="121"/>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3"/>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t="e">
        <v>#N/A</v>
      </c>
      <c r="AQ1600" s="918">
        <v>8.0776521792062379</v>
      </c>
      <c r="AR1600" s="918">
        <v>8.185541960879803</v>
      </c>
      <c r="AS1600" s="918">
        <v>8.2926761220680163</v>
      </c>
      <c r="AT1600" s="918">
        <v>8.3998102832562314</v>
      </c>
      <c r="AU1600" s="918" t="e">
        <v>#VALUE!</v>
      </c>
      <c r="AV1600" s="918" t="e">
        <f t="shared" ca="1" si="122"/>
        <v>#VALUE!</v>
      </c>
      <c r="AX1600" s="86" t="str">
        <f t="shared" ca="1" si="117"/>
        <v>ALDNE</v>
      </c>
    </row>
    <row r="1601" spans="1:50">
      <c r="A1601" s="86" t="str">
        <f t="shared" ca="1" si="121"/>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3"/>
        <v>#N/A</v>
      </c>
      <c r="AB1601" s="918">
        <v>3.4467079880476703</v>
      </c>
      <c r="AC1601" s="918">
        <v>3.3558718202472169</v>
      </c>
      <c r="AD1601" s="918">
        <v>3.3458006891777097</v>
      </c>
      <c r="AE1601" s="918">
        <v>3.340751542520171</v>
      </c>
      <c r="AF1601" s="918">
        <v>3.3504234702427982</v>
      </c>
      <c r="AG1601" s="918">
        <v>3.3571485058426558</v>
      </c>
      <c r="AH1601" s="918">
        <v>3.4576235414425134</v>
      </c>
      <c r="AI1601" s="918">
        <v>3.5091484847531711</v>
      </c>
      <c r="AJ1601" s="918">
        <v>3.51131968656723</v>
      </c>
      <c r="AK1601" s="918">
        <v>3.8182584620774338</v>
      </c>
      <c r="AL1601" s="918">
        <v>3.0019319314651889</v>
      </c>
      <c r="AM1601" s="918">
        <v>4.007726842022004</v>
      </c>
      <c r="AN1601" s="918">
        <v>2.6250107926392889</v>
      </c>
      <c r="AO1601" s="918">
        <v>1.5257340010548051</v>
      </c>
      <c r="AP1601" s="918">
        <v>1.5112429975528128</v>
      </c>
      <c r="AQ1601" s="918">
        <v>1.4967519940508203</v>
      </c>
      <c r="AR1601" s="918">
        <v>1.4801683467841473</v>
      </c>
      <c r="AS1601" s="918">
        <v>1.6892220659158026</v>
      </c>
      <c r="AT1601" s="918">
        <v>1.7871646739363467</v>
      </c>
      <c r="AU1601" s="918">
        <v>1.8851072819568908</v>
      </c>
      <c r="AV1601" s="918">
        <f t="shared" ca="1" si="122"/>
        <v>1.8851072819568908</v>
      </c>
      <c r="AX1601" s="86" t="str">
        <f t="shared" ca="1" si="117"/>
        <v>ASML</v>
      </c>
    </row>
    <row r="1602" spans="1:50" hidden="1">
      <c r="A1602" s="86" t="str">
        <f t="shared" ca="1" si="121"/>
        <v>AVGO</v>
      </c>
      <c r="F1602" s="918">
        <v>10.34530612244898</v>
      </c>
      <c r="G1602" s="918">
        <v>11.324897959183673</v>
      </c>
      <c r="H1602" s="918">
        <v>12.304489795918368</v>
      </c>
      <c r="I1602" s="918">
        <v>13.222857142857144</v>
      </c>
      <c r="J1602" s="918">
        <v>14.141224489795919</v>
      </c>
      <c r="K1602" s="918">
        <v>15.120816326530612</v>
      </c>
      <c r="L1602" s="918">
        <v>15.120816326530612</v>
      </c>
      <c r="M1602" s="918">
        <v>15.120816326530612</v>
      </c>
      <c r="N1602" s="918">
        <v>15.120816326530612</v>
      </c>
      <c r="O1602" s="918">
        <v>16.100408163265307</v>
      </c>
      <c r="P1602" s="918">
        <v>16.100408163265307</v>
      </c>
      <c r="Q1602" s="918">
        <v>17.080000000000002</v>
      </c>
      <c r="R1602" s="918">
        <v>17.079999999999998</v>
      </c>
      <c r="S1602" s="918">
        <v>17.079999999999998</v>
      </c>
      <c r="T1602" s="918">
        <v>18.079999999999998</v>
      </c>
      <c r="U1602" s="918">
        <v>19.079999999999998</v>
      </c>
      <c r="V1602" s="918">
        <v>19.72</v>
      </c>
      <c r="W1602" s="918">
        <v>20.36</v>
      </c>
      <c r="X1602" s="918">
        <v>21</v>
      </c>
      <c r="Y1602" s="918" t="e">
        <v>#VALUE!</v>
      </c>
      <c r="Z1602" s="918" t="e">
        <f t="shared" si="123"/>
        <v>#VALUE!</v>
      </c>
      <c r="AB1602" s="918">
        <v>11.155754602076204</v>
      </c>
      <c r="AC1602" s="918">
        <v>10.176162765341511</v>
      </c>
      <c r="AD1602" s="918">
        <v>9.1965709286068176</v>
      </c>
      <c r="AE1602" s="918">
        <v>8.2169790918721244</v>
      </c>
      <c r="AF1602" s="918">
        <v>7.3350750837314731</v>
      </c>
      <c r="AG1602" s="918">
        <v>6.4043271612938</v>
      </c>
      <c r="AH1602" s="918">
        <v>5.4735792388561268</v>
      </c>
      <c r="AI1602" s="918">
        <v>4.5428313164184537</v>
      </c>
      <c r="AJ1602" s="918">
        <v>3.4735792388561242</v>
      </c>
      <c r="AK1602" s="918">
        <v>2.4735792388561242</v>
      </c>
      <c r="AL1602" s="918">
        <v>1.4735792388561257</v>
      </c>
      <c r="AM1602" s="918">
        <v>0.53586297588034693</v>
      </c>
      <c r="AN1602" s="918">
        <v>0.58334936525575332</v>
      </c>
      <c r="AO1602" s="918">
        <v>0.62197762314327054</v>
      </c>
      <c r="AP1602" s="918">
        <v>0.66060588103078777</v>
      </c>
      <c r="AQ1602" s="918">
        <v>0.69923413891830499</v>
      </c>
      <c r="AR1602" s="918">
        <v>0.71596496339403037</v>
      </c>
      <c r="AS1602" s="918">
        <v>2.647237586203568</v>
      </c>
      <c r="AT1602" s="918">
        <v>3.6185102090131052</v>
      </c>
      <c r="AU1602" s="918">
        <v>4.5897828318226424</v>
      </c>
      <c r="AV1602" s="918">
        <f t="shared" ca="1" si="122"/>
        <v>4.5897828318226424</v>
      </c>
      <c r="AX1602" s="86" t="str">
        <f t="shared" ca="1" si="117"/>
        <v>AVGO</v>
      </c>
    </row>
    <row r="1603" spans="1:50" hidden="1">
      <c r="A1603" s="86" t="str">
        <f t="shared" ca="1" si="121"/>
        <v>AZN</v>
      </c>
      <c r="F1603" s="918">
        <v>15.069297052154191</v>
      </c>
      <c r="G1603" s="918">
        <v>15.069297052154191</v>
      </c>
      <c r="H1603" s="918">
        <v>15.069297052154191</v>
      </c>
      <c r="I1603" s="918">
        <v>15.069297052154191</v>
      </c>
      <c r="J1603" s="918">
        <v>15.069297052154193</v>
      </c>
      <c r="K1603" s="918">
        <v>15.069297052154194</v>
      </c>
      <c r="L1603" s="918">
        <v>15.069297052154196</v>
      </c>
      <c r="M1603" s="918">
        <v>15.069297052154196</v>
      </c>
      <c r="N1603" s="918">
        <v>15.069297052154196</v>
      </c>
      <c r="O1603" s="918">
        <v>15.069297052154196</v>
      </c>
      <c r="P1603" s="918">
        <v>15.069297052154196</v>
      </c>
      <c r="Q1603" s="918">
        <v>15.069297052154196</v>
      </c>
      <c r="R1603" s="918">
        <v>15.559092970521542</v>
      </c>
      <c r="S1603" s="918">
        <v>16.048888888888889</v>
      </c>
      <c r="T1603" s="918">
        <v>16.604444444444447</v>
      </c>
      <c r="U1603" s="918">
        <v>17.16</v>
      </c>
      <c r="V1603" s="918">
        <v>18.12</v>
      </c>
      <c r="W1603" s="918">
        <v>19.079999999999998</v>
      </c>
      <c r="X1603" s="918">
        <v>20.04</v>
      </c>
      <c r="Y1603" s="918" t="e">
        <v>#VALUE!</v>
      </c>
      <c r="Z1603" s="918" t="e">
        <f t="shared" si="123"/>
        <v>#VALUE!</v>
      </c>
      <c r="AB1603" s="918">
        <v>1.2773924895308912</v>
      </c>
      <c r="AC1603" s="918">
        <v>0.29780065279619711</v>
      </c>
      <c r="AD1603" s="918">
        <v>0.31021093120460586</v>
      </c>
      <c r="AE1603" s="918">
        <v>0.32262120961301466</v>
      </c>
      <c r="AF1603" s="918">
        <v>2.2942151614908113</v>
      </c>
      <c r="AG1603" s="918">
        <v>3.2862172766339137</v>
      </c>
      <c r="AH1603" s="918">
        <v>4.2782193917770162</v>
      </c>
      <c r="AI1603" s="918">
        <v>5.2702215069201195</v>
      </c>
      <c r="AJ1603" s="918">
        <v>5.2826317853285287</v>
      </c>
      <c r="AK1603" s="918">
        <v>5.7848379821042846</v>
      </c>
      <c r="AL1603" s="918">
        <v>5.481984022753343</v>
      </c>
      <c r="AM1603" s="918">
        <v>5.5782230339239431</v>
      </c>
      <c r="AN1603" s="918">
        <v>6.6676232214857674</v>
      </c>
      <c r="AO1603" s="918">
        <v>7.2631962485537649</v>
      </c>
      <c r="AP1603" s="918">
        <v>7.8616308781191613</v>
      </c>
      <c r="AQ1603" s="918">
        <v>8.4600655076845559</v>
      </c>
      <c r="AR1603" s="918">
        <v>7.9351272360796186</v>
      </c>
      <c r="AS1603" s="918">
        <v>7.9359435626102304</v>
      </c>
      <c r="AT1603" s="918">
        <v>8.4155353993449253</v>
      </c>
      <c r="AU1603" s="918">
        <v>8.5544242882338146</v>
      </c>
      <c r="AV1603" s="918">
        <f t="shared" ca="1" si="122"/>
        <v>8.5544242882338146</v>
      </c>
      <c r="AX1603" s="86" t="str">
        <f t="shared" ca="1" si="117"/>
        <v>AZN</v>
      </c>
    </row>
    <row r="1604" spans="1:50" hidden="1">
      <c r="A1604" s="86" t="str">
        <f t="shared" ca="1" si="121"/>
        <v>BLDP</v>
      </c>
      <c r="F1604" s="918">
        <v>9.9145763960532598</v>
      </c>
      <c r="G1604" s="918">
        <v>9.9145763960532598</v>
      </c>
      <c r="H1604" s="918">
        <v>10.745026223042878</v>
      </c>
      <c r="I1604" s="918">
        <v>11.575476050032499</v>
      </c>
      <c r="J1604" s="918">
        <v>12.405925877022117</v>
      </c>
      <c r="K1604" s="918">
        <v>13.236375704011737</v>
      </c>
      <c r="L1604" s="918">
        <v>14.066825531001356</v>
      </c>
      <c r="M1604" s="918">
        <v>14.918896536918515</v>
      </c>
      <c r="N1604" s="918">
        <v>15.770967542835674</v>
      </c>
      <c r="O1604" s="918">
        <v>16.623038548752834</v>
      </c>
      <c r="P1604" s="918">
        <v>17.602630385487529</v>
      </c>
      <c r="Q1604" s="918">
        <v>18.582222222222221</v>
      </c>
      <c r="R1604" s="918">
        <v>18.582222222222221</v>
      </c>
      <c r="S1604" s="918">
        <v>18.183330255463218</v>
      </c>
      <c r="T1604" s="918">
        <v>17.983884272083721</v>
      </c>
      <c r="U1604" s="918">
        <v>18.424438288704216</v>
      </c>
      <c r="V1604" s="918">
        <v>19.113881194213604</v>
      </c>
      <c r="W1604" s="918">
        <v>20.202216066481995</v>
      </c>
      <c r="X1604" s="918">
        <v>20.202216066481995</v>
      </c>
      <c r="Y1604" s="918" t="e">
        <v>#VALUE!</v>
      </c>
      <c r="Z1604" s="918" t="e">
        <f t="shared" si="123"/>
        <v>#VALUE!</v>
      </c>
      <c r="AB1604" s="918">
        <v>12.891913265306121</v>
      </c>
      <c r="AC1604" s="918">
        <v>11.93191326530612</v>
      </c>
      <c r="AD1604" s="918">
        <v>10.971913265306119</v>
      </c>
      <c r="AE1604" s="918">
        <v>9.93191326530612</v>
      </c>
      <c r="AF1604" s="918">
        <v>8.93191326530612</v>
      </c>
      <c r="AG1604" s="918">
        <v>7.9319132653061226</v>
      </c>
      <c r="AH1604" s="918">
        <v>6.9319132653061226</v>
      </c>
      <c r="AI1604" s="918">
        <v>5.9319132653061226</v>
      </c>
      <c r="AJ1604" s="918">
        <v>7.9315943877551023</v>
      </c>
      <c r="AK1604" s="918">
        <v>8.9312755102040811</v>
      </c>
      <c r="AL1604" s="918">
        <v>8.9312755102040811</v>
      </c>
      <c r="AM1604" s="918">
        <v>8.9312755102040811</v>
      </c>
      <c r="AN1604" s="918">
        <v>9.9309566326530607</v>
      </c>
      <c r="AO1604" s="918">
        <v>10.93063775510204</v>
      </c>
      <c r="AP1604" s="918">
        <v>11.93031887755102</v>
      </c>
      <c r="AQ1604" s="918">
        <v>12.93</v>
      </c>
      <c r="AR1604" s="918">
        <v>13.120000000000001</v>
      </c>
      <c r="AS1604" s="918">
        <v>11.245000000000001</v>
      </c>
      <c r="AT1604" s="918">
        <v>10.307500000000001</v>
      </c>
      <c r="AU1604" s="918">
        <v>9.370000000000001</v>
      </c>
      <c r="AV1604" s="918">
        <f t="shared" ca="1" si="122"/>
        <v>9.370000000000001</v>
      </c>
      <c r="AX1604" s="86" t="str">
        <f t="shared" ca="1" si="117"/>
        <v>BLDP</v>
      </c>
    </row>
    <row r="1605" spans="1:50" hidden="1">
      <c r="A1605" s="86" t="str">
        <f t="shared" ca="1" si="121"/>
        <v>BMRA</v>
      </c>
      <c r="F1605" s="918">
        <v>18.502222222222223</v>
      </c>
      <c r="G1605" s="918">
        <v>18.502222222222223</v>
      </c>
      <c r="H1605" s="918">
        <v>18.502222222222223</v>
      </c>
      <c r="I1605" s="918">
        <v>18.502222222222223</v>
      </c>
      <c r="J1605" s="918">
        <v>18.502222222222223</v>
      </c>
      <c r="K1605" s="918">
        <v>18.502222222222223</v>
      </c>
      <c r="L1605" s="918">
        <v>18.502222222222223</v>
      </c>
      <c r="M1605" s="918">
        <v>18.502222222222223</v>
      </c>
      <c r="N1605" s="918">
        <v>19.391111111111112</v>
      </c>
      <c r="O1605" s="918">
        <v>20.28</v>
      </c>
      <c r="P1605" s="918">
        <v>20.28</v>
      </c>
      <c r="Q1605" s="918">
        <v>20.28</v>
      </c>
      <c r="R1605" s="918">
        <v>20.28</v>
      </c>
      <c r="S1605" s="918">
        <v>20.28</v>
      </c>
      <c r="T1605" s="918">
        <v>20.64</v>
      </c>
      <c r="U1605" s="918">
        <v>21</v>
      </c>
      <c r="V1605" s="918">
        <v>21</v>
      </c>
      <c r="W1605" s="918">
        <v>21</v>
      </c>
      <c r="X1605" s="918">
        <v>21</v>
      </c>
      <c r="Y1605" s="918" t="e">
        <v>#VALUE!</v>
      </c>
      <c r="Z1605" s="918" t="e">
        <f t="shared" si="123"/>
        <v>#VALUE!</v>
      </c>
      <c r="AB1605" s="918">
        <v>4.7389987882498819</v>
      </c>
      <c r="AC1605" s="918">
        <v>4.8394083535821579</v>
      </c>
      <c r="AD1605" s="918">
        <v>4.939817918914434</v>
      </c>
      <c r="AE1605" s="918">
        <v>5.0402274842467101</v>
      </c>
      <c r="AF1605" s="918">
        <v>5.1406370495789862</v>
      </c>
      <c r="AG1605" s="918">
        <v>5.2410466149112622</v>
      </c>
      <c r="AH1605" s="918">
        <v>5.3414561802435383</v>
      </c>
      <c r="AI1605" s="918">
        <v>5.4418657455758144</v>
      </c>
      <c r="AJ1605" s="918">
        <v>6.3307546344647072</v>
      </c>
      <c r="AK1605" s="918">
        <v>6.3307546344647081</v>
      </c>
      <c r="AL1605" s="918">
        <v>7.3254653782663617</v>
      </c>
      <c r="AM1605" s="918">
        <v>6.616034110233695</v>
      </c>
      <c r="AN1605" s="918">
        <v>5.7639631043165354</v>
      </c>
      <c r="AO1605" s="918">
        <v>4.9118920983993748</v>
      </c>
      <c r="AP1605" s="918">
        <v>5.0558441425593195</v>
      </c>
      <c r="AQ1605" s="918">
        <v>5.1997961867192632</v>
      </c>
      <c r="AR1605" s="918">
        <v>5.2577251808021037</v>
      </c>
      <c r="AS1605" s="918">
        <v>5.0786850756081527</v>
      </c>
      <c r="AT1605" s="918">
        <v>5.0075739644970412</v>
      </c>
      <c r="AU1605" s="918">
        <v>4.9364628533859305</v>
      </c>
      <c r="AV1605" s="918">
        <f t="shared" ca="1" si="122"/>
        <v>4.9364628533859305</v>
      </c>
      <c r="AX1605" s="86" t="str">
        <f t="shared" ca="1" si="117"/>
        <v>BMRA</v>
      </c>
    </row>
    <row r="1606" spans="1:50" hidden="1">
      <c r="A1606" s="86" t="str">
        <f t="shared" ca="1" si="121"/>
        <v>C</v>
      </c>
      <c r="F1606" s="918">
        <v>7.6042630385487531</v>
      </c>
      <c r="G1606" s="918">
        <v>8.5642630385487521</v>
      </c>
      <c r="H1606" s="918">
        <v>9.524263038548753</v>
      </c>
      <c r="I1606" s="918">
        <v>10.484263038548754</v>
      </c>
      <c r="J1606" s="918">
        <v>11.444263038548753</v>
      </c>
      <c r="K1606" s="918">
        <v>12.404263038548752</v>
      </c>
      <c r="L1606" s="918">
        <v>13.364263038548753</v>
      </c>
      <c r="M1606" s="918">
        <v>14.324263038548754</v>
      </c>
      <c r="N1606" s="918">
        <v>14.324263038548754</v>
      </c>
      <c r="O1606" s="918">
        <v>14.324263038548754</v>
      </c>
      <c r="P1606" s="918">
        <v>15.213151927437641</v>
      </c>
      <c r="Q1606" s="918">
        <v>16.102040816326529</v>
      </c>
      <c r="R1606" s="918">
        <v>16.102040816326529</v>
      </c>
      <c r="S1606" s="918">
        <v>16.102040816326529</v>
      </c>
      <c r="T1606" s="918">
        <v>16.918367346938776</v>
      </c>
      <c r="U1606" s="918">
        <v>17.73469387755102</v>
      </c>
      <c r="V1606" s="918">
        <v>18.551020408163264</v>
      </c>
      <c r="W1606" s="918">
        <v>19.367346938775512</v>
      </c>
      <c r="X1606" s="918">
        <v>20.183673469387756</v>
      </c>
      <c r="Y1606" s="918" t="e">
        <v>#VALUE!</v>
      </c>
      <c r="Z1606" s="918" t="e">
        <f t="shared" si="123"/>
        <v>#VALUE!</v>
      </c>
      <c r="AB1606" s="918">
        <v>3.2941805813842087</v>
      </c>
      <c r="AC1606" s="918">
        <v>3.6483590170691516</v>
      </c>
      <c r="AD1606" s="918">
        <v>2.8320324864569075</v>
      </c>
      <c r="AE1606" s="918">
        <v>3.0045353563337893</v>
      </c>
      <c r="AF1606" s="918">
        <v>3.1770382262106711</v>
      </c>
      <c r="AG1606" s="918">
        <v>3.3495410960875533</v>
      </c>
      <c r="AH1606" s="918">
        <v>3.5220439659644351</v>
      </c>
      <c r="AI1606" s="918">
        <v>3.6945468358413169</v>
      </c>
      <c r="AJ1606" s="918">
        <v>5.499702766942689</v>
      </c>
      <c r="AK1606" s="918">
        <v>6.4825030894366424</v>
      </c>
      <c r="AL1606" s="918">
        <v>7.4671352866909277</v>
      </c>
      <c r="AM1606" s="918">
        <v>8.4517674839452148</v>
      </c>
      <c r="AN1606" s="918">
        <v>8.4517674839452148</v>
      </c>
      <c r="AO1606" s="918">
        <v>8.4517674839452148</v>
      </c>
      <c r="AP1606" s="918">
        <v>9.4420926653480635</v>
      </c>
      <c r="AQ1606" s="918">
        <v>10.428924162257495</v>
      </c>
      <c r="AR1606" s="918">
        <v>11.388924162257496</v>
      </c>
      <c r="AS1606" s="918">
        <v>12.339541446208113</v>
      </c>
      <c r="AT1606" s="918">
        <v>13.29015873015873</v>
      </c>
      <c r="AU1606" s="918">
        <v>14.285714285714285</v>
      </c>
      <c r="AV1606" s="918">
        <f t="shared" ca="1" si="122"/>
        <v>14.285714285714285</v>
      </c>
      <c r="AX1606" s="86" t="str">
        <f t="shared" ca="1" si="117"/>
        <v>C</v>
      </c>
    </row>
    <row r="1607" spans="1:50" hidden="1">
      <c r="A1607" s="86" t="str">
        <f t="shared" ca="1" si="121"/>
        <v>CSCO</v>
      </c>
      <c r="F1607" s="918">
        <v>8.7628457112872695</v>
      </c>
      <c r="G1607" s="918">
        <v>9.0281518337362492</v>
      </c>
      <c r="H1607" s="918">
        <v>9.0281518337362492</v>
      </c>
      <c r="I1607" s="918">
        <v>9.7016212214913509</v>
      </c>
      <c r="J1607" s="918">
        <v>10.375090609246453</v>
      </c>
      <c r="K1607" s="918">
        <v>11.048559997001556</v>
      </c>
      <c r="L1607" s="918">
        <v>11.722029384756658</v>
      </c>
      <c r="M1607" s="918">
        <v>12.647649219467402</v>
      </c>
      <c r="N1607" s="918">
        <v>13.573269054178144</v>
      </c>
      <c r="O1607" s="918">
        <v>14.462157943067034</v>
      </c>
      <c r="P1607" s="918">
        <v>15.462157943067034</v>
      </c>
      <c r="Q1607" s="918">
        <v>16.102157943067034</v>
      </c>
      <c r="R1607" s="918">
        <v>16.102157943067034</v>
      </c>
      <c r="S1607" s="918">
        <v>16.102157943067034</v>
      </c>
      <c r="T1607" s="918">
        <v>17.074380165289256</v>
      </c>
      <c r="U1607" s="918">
        <v>18</v>
      </c>
      <c r="V1607" s="918">
        <v>18.75</v>
      </c>
      <c r="W1607" s="918">
        <v>19.5</v>
      </c>
      <c r="X1607" s="918">
        <v>20.25</v>
      </c>
      <c r="Y1607" s="918">
        <v>21</v>
      </c>
      <c r="Z1607" s="918">
        <f t="shared" ca="1" si="123"/>
        <v>21</v>
      </c>
      <c r="AB1607" s="918">
        <v>15.587465564738293</v>
      </c>
      <c r="AC1607" s="918">
        <v>14.837465564738293</v>
      </c>
      <c r="AD1607" s="918">
        <v>14.087465564738293</v>
      </c>
      <c r="AE1607" s="918">
        <v>13.337465564738293</v>
      </c>
      <c r="AF1607" s="918">
        <v>12.587465564738293</v>
      </c>
      <c r="AG1607" s="918">
        <v>11.837465564738293</v>
      </c>
      <c r="AH1607" s="918">
        <v>11.087465564738293</v>
      </c>
      <c r="AI1607" s="918">
        <v>9.9624655647382934</v>
      </c>
      <c r="AJ1607" s="918">
        <v>10.899965564738292</v>
      </c>
      <c r="AK1607" s="918">
        <v>10.899965564738292</v>
      </c>
      <c r="AL1607" s="918">
        <v>10.899965564738292</v>
      </c>
      <c r="AM1607" s="918">
        <v>10.899965564738292</v>
      </c>
      <c r="AN1607" s="918">
        <v>9.2199655647382919</v>
      </c>
      <c r="AO1607" s="918">
        <v>8.379965564738292</v>
      </c>
      <c r="AP1607" s="918">
        <v>7.368725895316806</v>
      </c>
      <c r="AQ1607" s="918">
        <v>6.2943457300275485</v>
      </c>
      <c r="AR1607" s="918">
        <v>6.7757506887052346</v>
      </c>
      <c r="AS1607" s="918">
        <v>6.9160169880624434</v>
      </c>
      <c r="AT1607" s="918">
        <v>6.9086707988980738</v>
      </c>
      <c r="AU1607" s="918">
        <v>6.9968250688705256</v>
      </c>
      <c r="AV1607" s="918">
        <f t="shared" ca="1" si="122"/>
        <v>6.9968250688705256</v>
      </c>
      <c r="AX1607" s="86" t="str">
        <f t="shared" ca="1" si="117"/>
        <v>CSCO</v>
      </c>
    </row>
    <row r="1608" spans="1:50" hidden="1">
      <c r="A1608" s="86" t="str">
        <f t="shared" ca="1" si="121"/>
        <v>CVS</v>
      </c>
      <c r="F1608" s="918">
        <v>17.033057851239668</v>
      </c>
      <c r="G1608" s="918">
        <v>17.033057851239668</v>
      </c>
      <c r="H1608" s="918">
        <v>17.033057851239668</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17.033057851239668</v>
      </c>
      <c r="V1608" s="918">
        <v>18.024793388429753</v>
      </c>
      <c r="W1608" s="918">
        <v>19.016528925619834</v>
      </c>
      <c r="X1608" s="918">
        <v>20.008264462809919</v>
      </c>
      <c r="Y1608" s="918">
        <v>21</v>
      </c>
      <c r="Z1608" s="918">
        <f t="shared" ca="1" si="123"/>
        <v>21</v>
      </c>
      <c r="AB1608" s="918">
        <v>18.89</v>
      </c>
      <c r="AC1608" s="918">
        <v>17.93</v>
      </c>
      <c r="AD1608" s="918">
        <v>16.97</v>
      </c>
      <c r="AE1608" s="918">
        <v>15.929999999999998</v>
      </c>
      <c r="AF1608" s="918">
        <v>14.929999999999998</v>
      </c>
      <c r="AG1608" s="918">
        <v>13.929999999999998</v>
      </c>
      <c r="AH1608" s="918">
        <v>12.929999999999998</v>
      </c>
      <c r="AI1608" s="918">
        <v>11.929999999999998</v>
      </c>
      <c r="AJ1608" s="918">
        <v>10.954691358024688</v>
      </c>
      <c r="AK1608" s="918">
        <v>9.9670370370370325</v>
      </c>
      <c r="AL1608" s="918">
        <v>8.9793827160493773</v>
      </c>
      <c r="AM1608" s="918">
        <v>7.9917283950617293</v>
      </c>
      <c r="AN1608" s="918">
        <v>7.004074074074075</v>
      </c>
      <c r="AO1608" s="918">
        <v>6.0164197530864207</v>
      </c>
      <c r="AP1608" s="918">
        <v>5.0287654320987665</v>
      </c>
      <c r="AQ1608" s="918">
        <v>4.0411111111111113</v>
      </c>
      <c r="AR1608" s="918">
        <v>3.2434567901234574</v>
      </c>
      <c r="AS1608" s="918">
        <v>2.2719274376417236</v>
      </c>
      <c r="AT1608" s="918">
        <v>1.2923356009070301</v>
      </c>
      <c r="AU1608" s="918">
        <v>0.3127437641723354</v>
      </c>
      <c r="AV1608" s="918">
        <f t="shared" ca="1" si="122"/>
        <v>0.3127437641723354</v>
      </c>
      <c r="AX1608" s="86" t="str">
        <f t="shared" ca="1" si="117"/>
        <v>CVS</v>
      </c>
    </row>
    <row r="1609" spans="1:50" hidden="1">
      <c r="A1609" s="86" t="str">
        <f t="shared" ca="1" si="121"/>
        <v>DDD</v>
      </c>
      <c r="F1609" s="918">
        <v>18.119999999999997</v>
      </c>
      <c r="G1609" s="918">
        <v>18.119999999999997</v>
      </c>
      <c r="H1609" s="918">
        <v>18.119999999999997</v>
      </c>
      <c r="I1609" s="918">
        <v>18.119999999999997</v>
      </c>
      <c r="J1609" s="918">
        <v>18.119999999999997</v>
      </c>
      <c r="K1609" s="918">
        <v>18.119999999999997</v>
      </c>
      <c r="L1609" s="918">
        <v>18.119999999999997</v>
      </c>
      <c r="M1609" s="918">
        <v>18.119999999999997</v>
      </c>
      <c r="N1609" s="918">
        <v>18.12</v>
      </c>
      <c r="O1609" s="918">
        <v>18.12</v>
      </c>
      <c r="P1609" s="918">
        <v>18.12</v>
      </c>
      <c r="Q1609" s="918">
        <v>18.12</v>
      </c>
      <c r="R1609" s="918">
        <v>18.12</v>
      </c>
      <c r="S1609" s="918">
        <v>18.12</v>
      </c>
      <c r="T1609" s="918">
        <v>18.12</v>
      </c>
      <c r="U1609" s="918">
        <v>18.12</v>
      </c>
      <c r="V1609" s="918">
        <v>19.079999999999998</v>
      </c>
      <c r="W1609" s="918">
        <v>20.04</v>
      </c>
      <c r="X1609" s="918">
        <v>21</v>
      </c>
      <c r="Y1609" s="918">
        <v>21</v>
      </c>
      <c r="Z1609" s="918">
        <f t="shared" ca="1" si="123"/>
        <v>21</v>
      </c>
      <c r="AB1609" s="918">
        <v>11.034734482070109</v>
      </c>
      <c r="AC1609" s="918">
        <v>10.037423096610574</v>
      </c>
      <c r="AD1609" s="918">
        <v>9.0401117111510398</v>
      </c>
      <c r="AE1609" s="918">
        <v>8.1718538236338922</v>
      </c>
      <c r="AF1609" s="918">
        <v>7.2390691871455584</v>
      </c>
      <c r="AG1609" s="918">
        <v>7.3029239121358991</v>
      </c>
      <c r="AH1609" s="918">
        <v>6.3701392756475599</v>
      </c>
      <c r="AI1609" s="918">
        <v>6.4321036414696584</v>
      </c>
      <c r="AJ1609" s="918">
        <v>8.3596372802684371</v>
      </c>
      <c r="AK1609" s="918">
        <v>9.3543862825788757</v>
      </c>
      <c r="AL1609" s="918">
        <v>9.3543862825788757</v>
      </c>
      <c r="AM1609" s="918">
        <v>9.3543862825788757</v>
      </c>
      <c r="AN1609" s="918">
        <v>9.3543862825788757</v>
      </c>
      <c r="AO1609" s="918">
        <v>9.3543862825788757</v>
      </c>
      <c r="AP1609" s="918">
        <v>9.3543862825788757</v>
      </c>
      <c r="AQ1609" s="918">
        <v>9.3543862825788757</v>
      </c>
      <c r="AR1609" s="918">
        <v>10.352208504801098</v>
      </c>
      <c r="AS1609" s="918">
        <v>9.6307698902606305</v>
      </c>
      <c r="AT1609" s="918">
        <v>9.7687062757201648</v>
      </c>
      <c r="AU1609" s="918">
        <v>9.9066426611796992</v>
      </c>
      <c r="AV1609" s="918">
        <f t="shared" ca="1" si="122"/>
        <v>9.9066426611796992</v>
      </c>
      <c r="AX1609" s="86" t="str">
        <f t="shared" ca="1" si="117"/>
        <v>DDD</v>
      </c>
    </row>
    <row r="1610" spans="1:50" hidden="1">
      <c r="A1610" s="86" t="str">
        <f t="shared" ca="1" si="121"/>
        <v>DIS</v>
      </c>
      <c r="F1610" s="918">
        <v>17.793163968898234</v>
      </c>
      <c r="G1610" s="918">
        <v>17.793163968898234</v>
      </c>
      <c r="H1610" s="918">
        <v>17.793163968898234</v>
      </c>
      <c r="I1610" s="918">
        <v>17.793163968898234</v>
      </c>
      <c r="J1610" s="918">
        <v>17.793163968898234</v>
      </c>
      <c r="K1610" s="918">
        <v>18.703163968898235</v>
      </c>
      <c r="L1610" s="918">
        <v>18.703163968898235</v>
      </c>
      <c r="M1610" s="918">
        <v>19.413223140495866</v>
      </c>
      <c r="N1610" s="918">
        <v>20.206611570247933</v>
      </c>
      <c r="O1610" s="918">
        <v>21</v>
      </c>
      <c r="P1610" s="918">
        <v>21</v>
      </c>
      <c r="Q1610" s="918">
        <v>21</v>
      </c>
      <c r="R1610" s="918">
        <v>21</v>
      </c>
      <c r="S1610" s="918">
        <v>21</v>
      </c>
      <c r="T1610" s="918">
        <v>21</v>
      </c>
      <c r="U1610" s="918">
        <v>21</v>
      </c>
      <c r="V1610" s="918">
        <v>21</v>
      </c>
      <c r="W1610" s="918">
        <v>21</v>
      </c>
      <c r="X1610" s="918">
        <v>21</v>
      </c>
      <c r="Y1610" s="918">
        <v>21</v>
      </c>
      <c r="Z1610" s="918">
        <f t="shared" ca="1" si="123"/>
        <v>21</v>
      </c>
      <c r="AB1610" s="918">
        <v>4.4571393925860781</v>
      </c>
      <c r="AC1610" s="918">
        <v>3.8171393925860775</v>
      </c>
      <c r="AD1610" s="918">
        <v>4.1443413269899469</v>
      </c>
      <c r="AE1610" s="918">
        <v>4.4715432613938155</v>
      </c>
      <c r="AF1610" s="918">
        <v>4.798745195797685</v>
      </c>
      <c r="AG1610" s="918">
        <v>5.1259471302015545</v>
      </c>
      <c r="AH1610" s="918">
        <v>5.4586050755174451</v>
      </c>
      <c r="AI1610" s="918">
        <v>5.7912630208333358</v>
      </c>
      <c r="AJ1610" s="918">
        <v>5.6290711805555587</v>
      </c>
      <c r="AK1610" s="918">
        <v>5.7157682291666703</v>
      </c>
      <c r="AL1610" s="918">
        <v>4.8268793402777819</v>
      </c>
      <c r="AM1610" s="918">
        <v>3.9379904513888904</v>
      </c>
      <c r="AN1610" s="918">
        <v>4.0293261718750015</v>
      </c>
      <c r="AO1610" s="918">
        <v>4.1206618923611131</v>
      </c>
      <c r="AP1610" s="918">
        <v>4.2119976128472247</v>
      </c>
      <c r="AQ1610" s="918">
        <v>4.3033333333333363</v>
      </c>
      <c r="AR1610" s="918">
        <v>4.3244444444444472</v>
      </c>
      <c r="AS1610" s="918">
        <v>6.102222222222224</v>
      </c>
      <c r="AT1610" s="918">
        <v>6.9911111111111133</v>
      </c>
      <c r="AU1610" s="918">
        <v>7.8800000000000008</v>
      </c>
      <c r="AV1610" s="918">
        <f t="shared" ca="1" si="122"/>
        <v>7.8800000000000008</v>
      </c>
      <c r="AX1610" s="86" t="str">
        <f t="shared" ca="1" si="117"/>
        <v>DIS</v>
      </c>
    </row>
    <row r="1611" spans="1:50" hidden="1">
      <c r="A1611" s="86" t="str">
        <f t="shared" ca="1" si="121"/>
        <v>DSY</v>
      </c>
      <c r="F1611" s="918">
        <v>4.7328198497029641</v>
      </c>
      <c r="G1611" s="918">
        <v>3.8439309608140775</v>
      </c>
      <c r="H1611" s="918">
        <v>3.9550420719251886</v>
      </c>
      <c r="I1611" s="918">
        <v>4.0661531830362998</v>
      </c>
      <c r="J1611" s="918">
        <v>4.1772642941474105</v>
      </c>
      <c r="K1611" s="918">
        <v>4.2883754052585212</v>
      </c>
      <c r="L1611" s="918">
        <v>3.9945278386836836</v>
      </c>
      <c r="M1611" s="918">
        <v>3.7006802721088441</v>
      </c>
      <c r="N1611" s="918">
        <v>5.4058956916099774</v>
      </c>
      <c r="O1611" s="918">
        <v>6.2222222222222232</v>
      </c>
      <c r="P1611" s="918">
        <v>6.2222222222222232</v>
      </c>
      <c r="Q1611" s="918">
        <v>6.2222222222222214</v>
      </c>
      <c r="R1611" s="918">
        <v>7.2222222222222214</v>
      </c>
      <c r="S1611" s="918">
        <v>8.2222222222222214</v>
      </c>
      <c r="T1611" s="918">
        <v>9.2222222222222214</v>
      </c>
      <c r="U1611" s="918">
        <v>10.222222222222221</v>
      </c>
      <c r="V1611" s="918">
        <v>11.222222222222221</v>
      </c>
      <c r="W1611" s="918">
        <v>12.111111111111111</v>
      </c>
      <c r="X1611" s="918">
        <v>13</v>
      </c>
      <c r="Y1611" s="918">
        <v>13.888888888888889</v>
      </c>
      <c r="Z1611" s="918">
        <f t="shared" ca="1" si="123"/>
        <v>13.888888888888889</v>
      </c>
      <c r="AB1611" s="918">
        <v>2.9029108438126228</v>
      </c>
      <c r="AC1611" s="918">
        <v>4.8415523723034903</v>
      </c>
      <c r="AD1611" s="918">
        <v>5.7801939007943588</v>
      </c>
      <c r="AE1611" s="918">
        <v>4.7596517558158382</v>
      </c>
      <c r="AF1611" s="918">
        <v>4.8028851210413999</v>
      </c>
      <c r="AG1611" s="918">
        <v>4.7590266495322675</v>
      </c>
      <c r="AH1611" s="918">
        <v>4.7496439334828846</v>
      </c>
      <c r="AI1611" s="918">
        <v>4.7402612174335017</v>
      </c>
      <c r="AJ1611" s="918">
        <v>6.6423051131811013</v>
      </c>
      <c r="AK1611" s="918">
        <v>7.5843490089287009</v>
      </c>
      <c r="AL1611" s="918">
        <v>7.5843490089287</v>
      </c>
      <c r="AM1611" s="918">
        <v>7.5843490089287</v>
      </c>
      <c r="AN1611" s="918">
        <v>8.534966292879318</v>
      </c>
      <c r="AO1611" s="918">
        <v>9.485583576829935</v>
      </c>
      <c r="AP1611" s="918">
        <v>10.436200860780552</v>
      </c>
      <c r="AQ1611" s="918">
        <v>11.386818144731169</v>
      </c>
      <c r="AR1611" s="918">
        <v>12.386749968651714</v>
      </c>
      <c r="AS1611" s="918">
        <v>11.886665800652388</v>
      </c>
      <c r="AT1611" s="918">
        <v>12.136581632653062</v>
      </c>
      <c r="AU1611" s="918">
        <v>12.202908163265306</v>
      </c>
      <c r="AV1611" s="918">
        <f t="shared" ca="1" si="122"/>
        <v>12.202908163265306</v>
      </c>
      <c r="AX1611" s="86" t="str">
        <f t="shared" ca="1" si="117"/>
        <v>DSY</v>
      </c>
    </row>
    <row r="1612" spans="1:50" hidden="1">
      <c r="A1612" s="86" t="str">
        <f t="shared" ca="1" si="121"/>
        <v>DVA</v>
      </c>
      <c r="F1612" s="918">
        <v>8.3396449704142022</v>
      </c>
      <c r="G1612" s="918">
        <v>9.1917159763313609</v>
      </c>
      <c r="H1612" s="918">
        <v>10.04378698224852</v>
      </c>
      <c r="I1612" s="918">
        <v>10.89585798816568</v>
      </c>
      <c r="J1612" s="918">
        <v>11.747928994082841</v>
      </c>
      <c r="K1612" s="918">
        <v>12.600000000000001</v>
      </c>
      <c r="L1612" s="918">
        <v>12.6</v>
      </c>
      <c r="M1612" s="918">
        <v>12.6</v>
      </c>
      <c r="N1612" s="918">
        <v>13.440000000000001</v>
      </c>
      <c r="O1612" s="918">
        <v>14.280000000000001</v>
      </c>
      <c r="P1612" s="918">
        <v>14.280000000000001</v>
      </c>
      <c r="Q1612" s="918">
        <v>14.28</v>
      </c>
      <c r="R1612" s="918">
        <v>15.24</v>
      </c>
      <c r="S1612" s="918">
        <v>16.2</v>
      </c>
      <c r="T1612" s="918">
        <v>17.16</v>
      </c>
      <c r="U1612" s="918">
        <v>18.12</v>
      </c>
      <c r="V1612" s="918">
        <v>19.079999999999998</v>
      </c>
      <c r="W1612" s="918">
        <v>20.04</v>
      </c>
      <c r="X1612" s="918">
        <v>21</v>
      </c>
      <c r="Y1612" s="918">
        <v>21</v>
      </c>
      <c r="Z1612" s="918">
        <f t="shared" ca="1" si="123"/>
        <v>21</v>
      </c>
      <c r="AB1612" s="918">
        <v>3.4730110396898279</v>
      </c>
      <c r="AC1612" s="918">
        <v>3.5717764717885934</v>
      </c>
      <c r="AD1612" s="918">
        <v>3.4434222222222228</v>
      </c>
      <c r="AE1612" s="918">
        <v>3.6460444444444451</v>
      </c>
      <c r="AF1612" s="918">
        <v>3.7375555555555562</v>
      </c>
      <c r="AG1612" s="918">
        <v>3.8342666666666672</v>
      </c>
      <c r="AH1612" s="918">
        <v>3.9353777777777785</v>
      </c>
      <c r="AI1612" s="918">
        <v>3.7131555555555567</v>
      </c>
      <c r="AJ1612" s="918">
        <v>5.2491111111111124</v>
      </c>
      <c r="AK1612" s="918">
        <v>6.2295111111111119</v>
      </c>
      <c r="AL1612" s="918">
        <v>6.2295111111111119</v>
      </c>
      <c r="AM1612" s="918">
        <v>4.4517333333333351</v>
      </c>
      <c r="AN1612" s="918">
        <v>4.5432444444444462</v>
      </c>
      <c r="AO1612" s="918">
        <v>4.6347555555555573</v>
      </c>
      <c r="AP1612" s="918">
        <v>4.7262666666666693</v>
      </c>
      <c r="AQ1612" s="918">
        <v>4.8177777777777813</v>
      </c>
      <c r="AR1612" s="918">
        <v>4.9288888888888929</v>
      </c>
      <c r="AS1612" s="918">
        <v>6.8177777777777813</v>
      </c>
      <c r="AT1612" s="918">
        <v>7.8177777777777813</v>
      </c>
      <c r="AU1612" s="918">
        <v>8.7777777777777821</v>
      </c>
      <c r="AV1612" s="918">
        <f t="shared" ca="1" si="122"/>
        <v>8.7777777777777821</v>
      </c>
      <c r="AX1612" s="86" t="str">
        <f t="shared" ca="1" si="117"/>
        <v>DVA</v>
      </c>
    </row>
    <row r="1613" spans="1:50" hidden="1">
      <c r="A1613" s="86" t="str">
        <f t="shared" ca="1" si="121"/>
        <v>DXC</v>
      </c>
      <c r="F1613" s="918">
        <v>6.6468750000000014</v>
      </c>
      <c r="G1613" s="918">
        <v>7.6468750000000014</v>
      </c>
      <c r="H1613" s="918">
        <v>8.6312500000000014</v>
      </c>
      <c r="I1613" s="918">
        <v>9.6156250000000014</v>
      </c>
      <c r="J1613" s="918">
        <v>10.600000000000001</v>
      </c>
      <c r="K1613" s="918">
        <v>11.600000000000001</v>
      </c>
      <c r="L1613" s="918">
        <v>12.600000000000001</v>
      </c>
      <c r="M1613" s="918">
        <v>12.600000000000001</v>
      </c>
      <c r="N1613" s="918">
        <v>13.600000000000001</v>
      </c>
      <c r="O1613" s="918">
        <v>14.600000000000001</v>
      </c>
      <c r="P1613" s="918">
        <v>14.600000000000001</v>
      </c>
      <c r="Q1613" s="918">
        <v>14.600000000000001</v>
      </c>
      <c r="R1613" s="918">
        <v>15.56</v>
      </c>
      <c r="S1613" s="918">
        <v>16.52</v>
      </c>
      <c r="T1613" s="918">
        <v>17.48</v>
      </c>
      <c r="U1613" s="918">
        <v>18.440000000000001</v>
      </c>
      <c r="V1613" s="918">
        <v>19.079999999999998</v>
      </c>
      <c r="W1613" s="918">
        <v>19.72</v>
      </c>
      <c r="X1613" s="918">
        <v>20.36</v>
      </c>
      <c r="Y1613" s="918">
        <v>21</v>
      </c>
      <c r="Z1613" s="918">
        <f t="shared" ca="1" si="123"/>
        <v>21</v>
      </c>
      <c r="AB1613" s="918">
        <v>9.0783138549866926</v>
      </c>
      <c r="AC1613" s="918">
        <v>9.2503886564978419</v>
      </c>
      <c r="AD1613" s="918">
        <v>9.422463458008993</v>
      </c>
      <c r="AE1613" s="918">
        <v>9.5945382595201441</v>
      </c>
      <c r="AF1613" s="918">
        <v>9.7666130610312933</v>
      </c>
      <c r="AG1613" s="918">
        <v>9.9386878625424444</v>
      </c>
      <c r="AH1613" s="918">
        <v>10.110762664053595</v>
      </c>
      <c r="AI1613" s="918">
        <v>10.282837465564745</v>
      </c>
      <c r="AJ1613" s="918">
        <v>9.9651147842056975</v>
      </c>
      <c r="AK1613" s="918">
        <v>9.4095592286501368</v>
      </c>
      <c r="AL1613" s="918">
        <v>8.8540036730945815</v>
      </c>
      <c r="AM1613" s="918">
        <v>8.2984481175390261</v>
      </c>
      <c r="AN1613" s="918">
        <v>7.7428925619834725</v>
      </c>
      <c r="AO1613" s="918">
        <v>7.1873370064279172</v>
      </c>
      <c r="AP1613" s="918">
        <v>6.6317814508723609</v>
      </c>
      <c r="AQ1613" s="918">
        <v>6.0762258953168056</v>
      </c>
      <c r="AR1613" s="918">
        <v>6.4306703397612504</v>
      </c>
      <c r="AS1613" s="918">
        <v>5.875114784205695</v>
      </c>
      <c r="AT1613" s="918">
        <v>5.7805325987144176</v>
      </c>
      <c r="AU1613" s="918" t="e">
        <v>#VALUE!</v>
      </c>
      <c r="AV1613" s="918" t="e">
        <f t="shared" ca="1" si="122"/>
        <v>#VALUE!</v>
      </c>
      <c r="AX1613" s="86" t="str">
        <f t="shared" ca="1" si="117"/>
        <v>DXC</v>
      </c>
    </row>
    <row r="1614" spans="1:50" hidden="1">
      <c r="A1614" s="86" t="str">
        <f t="shared" ca="1" si="121"/>
        <v>EOAN</v>
      </c>
      <c r="F1614" s="918">
        <v>15.285714285714285</v>
      </c>
      <c r="G1614" s="918">
        <v>16.102040816326529</v>
      </c>
      <c r="H1614" s="918">
        <v>16.918367346938776</v>
      </c>
      <c r="I1614" s="918">
        <v>17.73469387755102</v>
      </c>
      <c r="J1614" s="918">
        <v>18.551020408163264</v>
      </c>
      <c r="K1614" s="918">
        <v>19.367346938775512</v>
      </c>
      <c r="L1614" s="918">
        <v>20.183673469387756</v>
      </c>
      <c r="M1614" s="918">
        <v>21</v>
      </c>
      <c r="N1614" s="918">
        <v>21</v>
      </c>
      <c r="O1614" s="918">
        <v>21</v>
      </c>
      <c r="P1614" s="918">
        <v>21</v>
      </c>
      <c r="Q1614" s="918">
        <v>21</v>
      </c>
      <c r="R1614" s="918">
        <v>21</v>
      </c>
      <c r="S1614" s="918">
        <v>21</v>
      </c>
      <c r="T1614" s="918">
        <v>21</v>
      </c>
      <c r="U1614" s="918">
        <v>21</v>
      </c>
      <c r="V1614" s="918">
        <v>21</v>
      </c>
      <c r="W1614" s="918">
        <v>21</v>
      </c>
      <c r="X1614" s="918">
        <v>21</v>
      </c>
      <c r="Y1614" s="918">
        <v>21</v>
      </c>
      <c r="Z1614" s="918">
        <f t="shared" ca="1" si="123"/>
        <v>21</v>
      </c>
      <c r="AB1614" s="918">
        <v>4.8674535517933633</v>
      </c>
      <c r="AC1614" s="918">
        <v>4.8594339483182019</v>
      </c>
      <c r="AD1614" s="918">
        <v>4.8538647792382283</v>
      </c>
      <c r="AE1614" s="918">
        <v>4.8482956101582548</v>
      </c>
      <c r="AF1614" s="918">
        <v>6.8427264410782822</v>
      </c>
      <c r="AG1614" s="918">
        <v>7.8371572719983087</v>
      </c>
      <c r="AH1614" s="918">
        <v>7.1515881029183355</v>
      </c>
      <c r="AI1614" s="918">
        <v>7.3060189338383621</v>
      </c>
      <c r="AJ1614" s="918">
        <v>7.2240725670563553</v>
      </c>
      <c r="AK1614" s="918">
        <v>7.2229425268049603</v>
      </c>
      <c r="AL1614" s="918">
        <v>6.2433506900702671</v>
      </c>
      <c r="AM1614" s="918">
        <v>6.2623871112230898</v>
      </c>
      <c r="AN1614" s="918">
        <v>6.3192903334173174</v>
      </c>
      <c r="AO1614" s="918">
        <v>8.2766017188768508</v>
      </c>
      <c r="AP1614" s="918">
        <v>9.2739131043363834</v>
      </c>
      <c r="AQ1614" s="918">
        <v>10.27122448979592</v>
      </c>
      <c r="AR1614" s="918">
        <v>8.4859158478206069</v>
      </c>
      <c r="AS1614" s="918">
        <v>7.5535701688082639</v>
      </c>
      <c r="AT1614" s="918">
        <v>6.593570168808264</v>
      </c>
      <c r="AU1614" s="918">
        <v>5.633570168808264</v>
      </c>
      <c r="AV1614" s="918">
        <f t="shared" ca="1" si="122"/>
        <v>5.633570168808264</v>
      </c>
      <c r="AX1614" s="86" t="str">
        <f t="shared" ca="1" si="117"/>
        <v>EOAN</v>
      </c>
    </row>
    <row r="1615" spans="1:50" hidden="1">
      <c r="A1615" s="86" t="str">
        <f t="shared" ca="1" si="121"/>
        <v>EPIX</v>
      </c>
      <c r="F1615" s="918">
        <v>2.1628031324401427</v>
      </c>
      <c r="G1615" s="918">
        <v>2.1751837079390404</v>
      </c>
      <c r="H1615" s="918">
        <v>2.2318856130778273</v>
      </c>
      <c r="I1615" s="918">
        <v>4.1253222120941651</v>
      </c>
      <c r="J1615" s="918">
        <v>5.100391464171727</v>
      </c>
      <c r="K1615" s="918">
        <v>6.0754607162492889</v>
      </c>
      <c r="L1615" s="918">
        <v>7.0505299683268516</v>
      </c>
      <c r="M1615" s="918">
        <v>8.0255992204044144</v>
      </c>
      <c r="N1615" s="918">
        <v>9.0173347575944973</v>
      </c>
      <c r="O1615" s="918">
        <v>10.009070294784578</v>
      </c>
      <c r="P1615" s="918">
        <v>10.00907029478458</v>
      </c>
      <c r="Q1615" s="918">
        <v>10.897959183673469</v>
      </c>
      <c r="R1615" s="918">
        <v>11.816326530612244</v>
      </c>
      <c r="S1615" s="918">
        <v>12.73469387755102</v>
      </c>
      <c r="T1615" s="918">
        <v>13.653061224489797</v>
      </c>
      <c r="U1615" s="918">
        <v>14.571428571428571</v>
      </c>
      <c r="V1615" s="918">
        <v>15.489795918367346</v>
      </c>
      <c r="W1615" s="918">
        <v>16.408163265306122</v>
      </c>
      <c r="X1615" s="918">
        <v>17.326530612244898</v>
      </c>
      <c r="Y1615" s="918">
        <v>18.244897959183675</v>
      </c>
      <c r="Z1615" s="918">
        <f t="shared" ca="1" si="123"/>
        <v>18.244897959183675</v>
      </c>
      <c r="AB1615" s="918">
        <v>10.016669020166677</v>
      </c>
      <c r="AC1615" s="918">
        <v>9.0167373215122133</v>
      </c>
      <c r="AD1615" s="918">
        <v>8.0168056228577491</v>
      </c>
      <c r="AE1615" s="918">
        <v>7.0168739242032911</v>
      </c>
      <c r="AF1615" s="918">
        <v>6.016942225548827</v>
      </c>
      <c r="AG1615" s="918">
        <v>6.0155312369535352</v>
      </c>
      <c r="AH1615" s="918">
        <v>6.0141202483582434</v>
      </c>
      <c r="AI1615" s="918">
        <v>6.0127092597629526</v>
      </c>
      <c r="AJ1615" s="918">
        <v>8.006723798654102</v>
      </c>
      <c r="AK1615" s="918">
        <v>9.0008066388907881</v>
      </c>
      <c r="AL1615" s="918">
        <v>9.0008066388907881</v>
      </c>
      <c r="AM1615" s="918">
        <v>9.0008066388907881</v>
      </c>
      <c r="AN1615" s="918">
        <v>9.0008066388907881</v>
      </c>
      <c r="AO1615" s="918">
        <v>9.0008066388907881</v>
      </c>
      <c r="AP1615" s="918">
        <v>9.0008066388907864</v>
      </c>
      <c r="AQ1615" s="918">
        <v>9.0008066388907864</v>
      </c>
      <c r="AR1615" s="918">
        <v>10.000751314800901</v>
      </c>
      <c r="AS1615" s="918">
        <v>11.000683013455365</v>
      </c>
      <c r="AT1615" s="918">
        <v>12.000614712109829</v>
      </c>
      <c r="AU1615" s="918">
        <v>13.000546410764292</v>
      </c>
      <c r="AV1615" s="918">
        <f t="shared" ca="1" si="122"/>
        <v>13.000546410764292</v>
      </c>
      <c r="AX1615" s="86" t="str">
        <f t="shared" ca="1" si="117"/>
        <v>EPIX</v>
      </c>
    </row>
    <row r="1616" spans="1:50" hidden="1">
      <c r="A1616" s="86" t="str">
        <f t="shared" ca="1" si="121"/>
        <v>GM</v>
      </c>
      <c r="F1616" s="918">
        <v>17.25</v>
      </c>
      <c r="G1616" s="918">
        <v>17.25</v>
      </c>
      <c r="H1616" s="918">
        <v>17.25</v>
      </c>
      <c r="I1616" s="918">
        <v>17.25</v>
      </c>
      <c r="J1616" s="918">
        <v>17.25</v>
      </c>
      <c r="K1616" s="918">
        <v>18</v>
      </c>
      <c r="L1616" s="918">
        <v>18.75</v>
      </c>
      <c r="M1616" s="918">
        <v>19.5</v>
      </c>
      <c r="N1616" s="918">
        <v>20.25</v>
      </c>
      <c r="O1616" s="918">
        <v>21</v>
      </c>
      <c r="P1616" s="918">
        <v>21</v>
      </c>
      <c r="Q1616" s="918">
        <v>21</v>
      </c>
      <c r="R1616" s="918">
        <v>21</v>
      </c>
      <c r="S1616" s="918">
        <v>21</v>
      </c>
      <c r="T1616" s="918">
        <v>21</v>
      </c>
      <c r="U1616" s="918">
        <v>21</v>
      </c>
      <c r="V1616" s="918">
        <v>21</v>
      </c>
      <c r="W1616" s="918">
        <v>21</v>
      </c>
      <c r="X1616" s="918">
        <v>21</v>
      </c>
      <c r="Y1616" s="918">
        <v>21</v>
      </c>
      <c r="Z1616" s="918">
        <f t="shared" ca="1" si="123"/>
        <v>21</v>
      </c>
      <c r="AB1616" s="918">
        <v>6.1049953098610148</v>
      </c>
      <c r="AC1616" s="918">
        <v>6.1165834768794198</v>
      </c>
      <c r="AD1616" s="918">
        <v>6.1268249559085994</v>
      </c>
      <c r="AE1616" s="918">
        <v>6.137066434937779</v>
      </c>
      <c r="AF1616" s="918">
        <v>6.1473079139669586</v>
      </c>
      <c r="AG1616" s="918">
        <v>6.850838002987607</v>
      </c>
      <c r="AH1616" s="918">
        <v>7.2067137710206017</v>
      </c>
      <c r="AI1616" s="918">
        <v>7.5625895390535955</v>
      </c>
      <c r="AJ1616" s="918">
        <v>8.2025895390535943</v>
      </c>
      <c r="AK1616" s="918">
        <v>8.2025895390535943</v>
      </c>
      <c r="AL1616" s="918">
        <v>8.2025895390535961</v>
      </c>
      <c r="AM1616" s="918">
        <v>8.2025895390535961</v>
      </c>
      <c r="AN1616" s="918">
        <v>8.2025895390535961</v>
      </c>
      <c r="AO1616" s="918">
        <v>8.2025895390535943</v>
      </c>
      <c r="AP1616" s="918">
        <v>9.2025053710542686</v>
      </c>
      <c r="AQ1616" s="918">
        <v>10.202421203054943</v>
      </c>
      <c r="AR1616" s="918">
        <v>11.18951800765481</v>
      </c>
      <c r="AS1616" s="918">
        <v>10.790872087407735</v>
      </c>
      <c r="AT1616" s="918">
        <v>11.083584191852017</v>
      </c>
      <c r="AU1616" s="918">
        <v>11.376296296296299</v>
      </c>
      <c r="AV1616" s="918">
        <f t="shared" ca="1" si="122"/>
        <v>11.376296296296299</v>
      </c>
      <c r="AX1616" s="86" t="str">
        <f t="shared" ca="1" si="117"/>
        <v>GM</v>
      </c>
    </row>
    <row r="1617" spans="1:50" hidden="1">
      <c r="A1617" s="86" t="str">
        <f t="shared" ca="1" si="121"/>
        <v>HPE</v>
      </c>
      <c r="F1617" s="918">
        <v>9.4765548980933598</v>
      </c>
      <c r="G1617" s="918">
        <v>10.32862590401052</v>
      </c>
      <c r="H1617" s="918">
        <v>11.275371466140697</v>
      </c>
      <c r="I1617" s="918">
        <v>11.242525191536179</v>
      </c>
      <c r="J1617" s="918">
        <v>12.679066672033704</v>
      </c>
      <c r="K1617" s="918">
        <v>13.673149512270392</v>
      </c>
      <c r="L1617" s="918">
        <v>14.667232352507078</v>
      </c>
      <c r="M1617" s="918">
        <v>15.661315192743764</v>
      </c>
      <c r="N1617" s="918">
        <v>15.661315192743764</v>
      </c>
      <c r="O1617" s="918">
        <v>15.661315192743764</v>
      </c>
      <c r="P1617" s="918">
        <v>15.661315192743764</v>
      </c>
      <c r="Q1617" s="918">
        <v>15.661315192743764</v>
      </c>
      <c r="R1617" s="918">
        <v>15.661315192743764</v>
      </c>
      <c r="S1617" s="918">
        <v>15.661315192743764</v>
      </c>
      <c r="T1617" s="918">
        <v>16.621315192743765</v>
      </c>
      <c r="U1617" s="918">
        <v>17.510204081632654</v>
      </c>
      <c r="V1617" s="918">
        <v>18.510204081632654</v>
      </c>
      <c r="W1617" s="918">
        <v>19.510204081632654</v>
      </c>
      <c r="X1617" s="918">
        <v>20.510204081632654</v>
      </c>
      <c r="Y1617" s="918">
        <v>20.510204081632654</v>
      </c>
      <c r="Z1617" s="918">
        <f t="shared" ca="1" si="123"/>
        <v>20.510204081632654</v>
      </c>
      <c r="AB1617" s="918">
        <v>8.0640374392708534</v>
      </c>
      <c r="AC1617" s="918">
        <v>8.3137068607584581</v>
      </c>
      <c r="AD1617" s="918">
        <v>8.5633762822460611</v>
      </c>
      <c r="AE1617" s="918">
        <v>8.813045703733664</v>
      </c>
      <c r="AF1617" s="918">
        <v>9.062715125221267</v>
      </c>
      <c r="AG1617" s="918">
        <v>9.3126339629779427</v>
      </c>
      <c r="AH1617" s="918">
        <v>9.5625528007346183</v>
      </c>
      <c r="AI1617" s="918">
        <v>9.353369127265232</v>
      </c>
      <c r="AJ1617" s="918">
        <v>10.332960963999925</v>
      </c>
      <c r="AK1617" s="918">
        <v>10.332960963999923</v>
      </c>
      <c r="AL1617" s="918">
        <v>10.332960963999923</v>
      </c>
      <c r="AM1617" s="918">
        <v>8.9502449146172083</v>
      </c>
      <c r="AN1617" s="918">
        <v>8.2588868899258507</v>
      </c>
      <c r="AO1617" s="918">
        <v>7.2702449146172103</v>
      </c>
      <c r="AP1617" s="918">
        <v>6.4302449146172105</v>
      </c>
      <c r="AQ1617" s="918">
        <v>6.3499143361048134</v>
      </c>
      <c r="AR1617" s="918">
        <v>6.2999143361048136</v>
      </c>
      <c r="AS1617" s="918">
        <v>6.5620263654895705</v>
      </c>
      <c r="AT1617" s="918">
        <v>6.6575268246263919</v>
      </c>
      <c r="AU1617" s="918">
        <v>6.6141383948743258</v>
      </c>
      <c r="AV1617" s="918">
        <f t="shared" ca="1" si="122"/>
        <v>6.6141383948743258</v>
      </c>
      <c r="AX1617" s="86" t="str">
        <f t="shared" ca="1" si="117"/>
        <v>HPE</v>
      </c>
    </row>
    <row r="1618" spans="1:50" hidden="1">
      <c r="A1618" s="86" t="str">
        <f t="shared" ca="1" si="121"/>
        <v>HPQ</v>
      </c>
      <c r="F1618" s="918">
        <v>11.15625</v>
      </c>
      <c r="G1618" s="918">
        <v>12.15625</v>
      </c>
      <c r="H1618" s="918">
        <v>13.15625</v>
      </c>
      <c r="I1618" s="918">
        <v>14.140625</v>
      </c>
      <c r="J1618" s="918">
        <v>15.125</v>
      </c>
      <c r="K1618" s="918">
        <v>16.0625</v>
      </c>
      <c r="L1618" s="918">
        <v>17</v>
      </c>
      <c r="M1618" s="918">
        <v>17</v>
      </c>
      <c r="N1618" s="918">
        <v>17</v>
      </c>
      <c r="O1618" s="918">
        <v>17</v>
      </c>
      <c r="P1618" s="918">
        <v>17</v>
      </c>
      <c r="Q1618" s="918">
        <v>17</v>
      </c>
      <c r="R1618" s="918">
        <v>17</v>
      </c>
      <c r="S1618" s="918">
        <v>17</v>
      </c>
      <c r="T1618" s="918">
        <v>17</v>
      </c>
      <c r="U1618" s="918">
        <v>18</v>
      </c>
      <c r="V1618" s="918">
        <v>19</v>
      </c>
      <c r="W1618" s="918">
        <v>20</v>
      </c>
      <c r="X1618" s="918">
        <v>21</v>
      </c>
      <c r="Y1618" s="918">
        <v>21</v>
      </c>
      <c r="Z1618" s="918">
        <f t="shared" ca="1" si="123"/>
        <v>21</v>
      </c>
      <c r="AB1618" s="918">
        <v>11.177048253226546</v>
      </c>
      <c r="AC1618" s="918">
        <v>10.251428418515802</v>
      </c>
      <c r="AD1618" s="918">
        <v>9.3258085838050579</v>
      </c>
      <c r="AE1618" s="918">
        <v>8.4736506407380237</v>
      </c>
      <c r="AF1618" s="918">
        <v>7.584761751849137</v>
      </c>
      <c r="AG1618" s="918">
        <v>6.6958728629602486</v>
      </c>
      <c r="AH1618" s="918">
        <v>5.8069839740713602</v>
      </c>
      <c r="AI1618" s="918">
        <v>4.9180950851824718</v>
      </c>
      <c r="AJ1618" s="918">
        <v>4.3069839740713585</v>
      </c>
      <c r="AK1618" s="918">
        <v>3.5569839740713585</v>
      </c>
      <c r="AL1618" s="918">
        <v>2.8069839740713576</v>
      </c>
      <c r="AM1618" s="918">
        <v>2.0569839740713576</v>
      </c>
      <c r="AN1618" s="918">
        <v>1.8055271825090946</v>
      </c>
      <c r="AO1618" s="918">
        <v>1.8040703909468312</v>
      </c>
      <c r="AP1618" s="918">
        <v>3.8026135993845678</v>
      </c>
      <c r="AQ1618" s="918">
        <v>2.8811568078223049</v>
      </c>
      <c r="AR1618" s="918">
        <v>2.84056513506847</v>
      </c>
      <c r="AS1618" s="918">
        <v>3.860242838143856</v>
      </c>
      <c r="AT1618" s="918">
        <v>4.3697164595865896</v>
      </c>
      <c r="AU1618" s="918">
        <v>4.8595123779539353</v>
      </c>
      <c r="AV1618" s="918">
        <f t="shared" ca="1" si="122"/>
        <v>4.8595123779539353</v>
      </c>
      <c r="AX1618" s="86" t="str">
        <f t="shared" ca="1" si="117"/>
        <v>HPQ</v>
      </c>
    </row>
    <row r="1619" spans="1:50" hidden="1">
      <c r="A1619" s="86" t="str">
        <f t="shared" ca="1" si="121"/>
        <v>IAG</v>
      </c>
      <c r="F1619" s="918">
        <v>17.25</v>
      </c>
      <c r="G1619" s="918">
        <v>17.25</v>
      </c>
      <c r="H1619" s="918">
        <v>17.25</v>
      </c>
      <c r="I1619" s="918">
        <v>17.25</v>
      </c>
      <c r="J1619" s="918">
        <v>17.25</v>
      </c>
      <c r="K1619" s="918">
        <v>17.25</v>
      </c>
      <c r="L1619" s="918">
        <v>17.25</v>
      </c>
      <c r="M1619" s="918">
        <v>17.25</v>
      </c>
      <c r="N1619" s="918">
        <v>17.25</v>
      </c>
      <c r="O1619" s="918">
        <v>17.25</v>
      </c>
      <c r="P1619" s="918">
        <v>17.25</v>
      </c>
      <c r="Q1619" s="918">
        <v>17.25</v>
      </c>
      <c r="R1619" s="918">
        <v>18</v>
      </c>
      <c r="S1619" s="918">
        <v>18.75</v>
      </c>
      <c r="T1619" s="918">
        <v>19.5</v>
      </c>
      <c r="U1619" s="918">
        <v>20.25</v>
      </c>
      <c r="V1619" s="918">
        <v>21</v>
      </c>
      <c r="W1619" s="918">
        <v>21</v>
      </c>
      <c r="X1619" s="918">
        <v>21</v>
      </c>
      <c r="Y1619" s="918" t="e">
        <v>#VALUE!</v>
      </c>
      <c r="Z1619" s="918" t="e">
        <f t="shared" si="123"/>
        <v>#VALUE!</v>
      </c>
      <c r="AB1619" s="918">
        <v>9.3612608817137772</v>
      </c>
      <c r="AC1619" s="918">
        <v>9.6623486373929168</v>
      </c>
      <c r="AD1619" s="918">
        <v>9.2472171114085402</v>
      </c>
      <c r="AE1619" s="918">
        <v>9.2219700634749948</v>
      </c>
      <c r="AF1619" s="918">
        <v>9.1808355969319102</v>
      </c>
      <c r="AG1619" s="918">
        <v>9.1288369328579648</v>
      </c>
      <c r="AH1619" s="918">
        <v>9.0575790095247601</v>
      </c>
      <c r="AI1619" s="918">
        <v>10.9986667652039</v>
      </c>
      <c r="AJ1619" s="918">
        <v>10.998666765203907</v>
      </c>
      <c r="AK1619" s="918">
        <v>9.0886575824674516</v>
      </c>
      <c r="AL1619" s="918">
        <v>8.1336529910992255</v>
      </c>
      <c r="AM1619" s="918">
        <v>7.1993842260660683</v>
      </c>
      <c r="AN1619" s="918">
        <v>6.2547475478653753</v>
      </c>
      <c r="AO1619" s="918">
        <v>5.3101108696646833</v>
      </c>
      <c r="AP1619" s="918">
        <v>4.3654741914639912</v>
      </c>
      <c r="AQ1619" s="918">
        <v>3.4208375132632991</v>
      </c>
      <c r="AR1619" s="918">
        <v>3.3110297470195471</v>
      </c>
      <c r="AS1619" s="918">
        <v>3.2483495309001773</v>
      </c>
      <c r="AT1619" s="918">
        <v>3.1834017410846625</v>
      </c>
      <c r="AU1619" s="918">
        <v>3.1456693147808075</v>
      </c>
      <c r="AV1619" s="918">
        <f t="shared" ca="1" si="122"/>
        <v>3.1456693147808075</v>
      </c>
      <c r="AX1619" s="86" t="str">
        <f t="shared" ref="AX1619:AX1684" ca="1" si="124">A1619</f>
        <v>IAG</v>
      </c>
    </row>
    <row r="1620" spans="1:50" hidden="1">
      <c r="A1620" s="86" t="str">
        <f t="shared" ca="1" si="121"/>
        <v>KR</v>
      </c>
      <c r="F1620" s="918">
        <v>16.029585798816569</v>
      </c>
      <c r="G1620" s="918">
        <v>16.739644970414201</v>
      </c>
      <c r="H1620" s="918">
        <v>17.449704142011836</v>
      </c>
      <c r="I1620" s="918">
        <v>18.159763313609467</v>
      </c>
      <c r="J1620" s="918">
        <v>18.869822485207102</v>
      </c>
      <c r="K1620" s="918">
        <v>19.579881656804734</v>
      </c>
      <c r="L1620" s="918">
        <v>20.289940828402365</v>
      </c>
      <c r="M1620" s="918">
        <v>21</v>
      </c>
      <c r="N1620" s="918">
        <v>21</v>
      </c>
      <c r="O1620" s="918">
        <v>21</v>
      </c>
      <c r="P1620" s="918">
        <v>21</v>
      </c>
      <c r="Q1620" s="918">
        <v>21</v>
      </c>
      <c r="R1620" s="918">
        <v>21</v>
      </c>
      <c r="S1620" s="918">
        <v>21</v>
      </c>
      <c r="T1620" s="918">
        <v>21</v>
      </c>
      <c r="U1620" s="918">
        <v>21</v>
      </c>
      <c r="V1620" s="918">
        <v>21</v>
      </c>
      <c r="W1620" s="918">
        <v>21</v>
      </c>
      <c r="X1620" s="918">
        <v>21</v>
      </c>
      <c r="Y1620" s="918">
        <v>21</v>
      </c>
      <c r="Z1620" s="918">
        <f t="shared" ca="1" si="123"/>
        <v>21</v>
      </c>
      <c r="AB1620" s="918">
        <v>16.372773205382146</v>
      </c>
      <c r="AC1620" s="918">
        <v>16.372773205382146</v>
      </c>
      <c r="AD1620" s="918">
        <v>15.497773205382146</v>
      </c>
      <c r="AE1620" s="918">
        <v>15.060273205382146</v>
      </c>
      <c r="AF1620" s="918">
        <v>14.622773205382147</v>
      </c>
      <c r="AG1620" s="918">
        <v>14.185273205382147</v>
      </c>
      <c r="AH1620" s="918">
        <v>13.747773205382147</v>
      </c>
      <c r="AI1620" s="918">
        <v>12.407495427604369</v>
      </c>
      <c r="AJ1620" s="918">
        <v>11.351939872048813</v>
      </c>
      <c r="AK1620" s="918">
        <v>10.379717649826592</v>
      </c>
      <c r="AL1620" s="918">
        <v>10.407427126258835</v>
      </c>
      <c r="AM1620" s="918">
        <v>10.435136602691077</v>
      </c>
      <c r="AN1620" s="918">
        <v>9.462914380468856</v>
      </c>
      <c r="AO1620" s="918">
        <v>8.4906921582466346</v>
      </c>
      <c r="AP1620" s="918">
        <v>8.5184016346788756</v>
      </c>
      <c r="AQ1620" s="918">
        <v>10.490555555555561</v>
      </c>
      <c r="AR1620" s="918">
        <v>9.0005555555555556</v>
      </c>
      <c r="AS1620" s="918">
        <v>9.8405555555555555</v>
      </c>
      <c r="AT1620" s="918">
        <v>8.0627777777777787</v>
      </c>
      <c r="AU1620" s="918">
        <v>7.6113888888888903</v>
      </c>
      <c r="AV1620" s="918">
        <f t="shared" ca="1" si="122"/>
        <v>7.6113888888888903</v>
      </c>
      <c r="AX1620" s="86" t="str">
        <f t="shared" ca="1" si="124"/>
        <v>KR</v>
      </c>
    </row>
    <row r="1621" spans="1:50" hidden="1">
      <c r="A1621" s="86" t="str">
        <f t="shared" ca="1" si="121"/>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3"/>
        <v>21</v>
      </c>
      <c r="AB1621" s="918">
        <v>16.873719483457442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16.873719483457442</v>
      </c>
      <c r="AN1621" s="918">
        <v>17.857789612593081</v>
      </c>
      <c r="AO1621" s="918">
        <v>18.841859741728719</v>
      </c>
      <c r="AP1621" s="918">
        <v>19.825929870864361</v>
      </c>
      <c r="AQ1621" s="918">
        <v>20.810000000000002</v>
      </c>
      <c r="AR1621" s="918">
        <v>21</v>
      </c>
      <c r="AS1621" s="918">
        <v>21</v>
      </c>
      <c r="AT1621" s="918">
        <v>21</v>
      </c>
      <c r="AU1621" s="918">
        <v>21</v>
      </c>
      <c r="AV1621" s="918">
        <f t="shared" ca="1" si="122"/>
        <v>21</v>
      </c>
      <c r="AX1621" s="86" t="str">
        <f t="shared" ca="1" si="124"/>
        <v>LNSR</v>
      </c>
    </row>
    <row r="1622" spans="1:50" hidden="1">
      <c r="A1622" s="86" t="str">
        <f t="shared" ca="1" si="121"/>
        <v>LUMN</v>
      </c>
      <c r="F1622" s="918">
        <v>13.098765432098759</v>
      </c>
      <c r="G1622" s="918">
        <v>13.098765432098759</v>
      </c>
      <c r="H1622" s="918">
        <v>13.098765432098759</v>
      </c>
      <c r="I1622" s="918">
        <v>13.098765432098759</v>
      </c>
      <c r="J1622" s="918">
        <v>13.098765432098766</v>
      </c>
      <c r="K1622" s="918">
        <v>13.098765432098766</v>
      </c>
      <c r="L1622" s="918">
        <v>13.098765432098766</v>
      </c>
      <c r="M1622" s="918">
        <v>13.098765432098766</v>
      </c>
      <c r="N1622" s="918">
        <v>13.098765432098766</v>
      </c>
      <c r="O1622" s="918">
        <v>13.098765432098766</v>
      </c>
      <c r="P1622" s="918">
        <v>13.098765432098766</v>
      </c>
      <c r="Q1622" s="918">
        <v>13.098765432098766</v>
      </c>
      <c r="R1622" s="918">
        <v>14.086419753086421</v>
      </c>
      <c r="S1622" s="918">
        <v>15.074074074074074</v>
      </c>
      <c r="T1622" s="918">
        <v>16.061728395061728</v>
      </c>
      <c r="U1622" s="918">
        <v>17.049382716049383</v>
      </c>
      <c r="V1622" s="918">
        <v>18.037037037037038</v>
      </c>
      <c r="W1622" s="918">
        <v>19.02469135802469</v>
      </c>
      <c r="X1622" s="918">
        <v>20.012345679012345</v>
      </c>
      <c r="Y1622" s="918">
        <v>21</v>
      </c>
      <c r="Z1622" s="918">
        <f t="shared" ca="1" si="123"/>
        <v>21</v>
      </c>
      <c r="AB1622" s="918">
        <v>7.509628733397741</v>
      </c>
      <c r="AC1622" s="918">
        <v>7.5113835622557481</v>
      </c>
      <c r="AD1622" s="918">
        <v>7.5119467660404782</v>
      </c>
      <c r="AE1622" s="918">
        <v>7.5125099698252074</v>
      </c>
      <c r="AF1622" s="918">
        <v>7.5324888540833088</v>
      </c>
      <c r="AG1622" s="918">
        <v>6.5481138540833097</v>
      </c>
      <c r="AH1622" s="918">
        <v>6.5509917156858064</v>
      </c>
      <c r="AI1622" s="918">
        <v>6.553869577288304</v>
      </c>
      <c r="AJ1622" s="918">
        <v>5.6870049078668172</v>
      </c>
      <c r="AK1622" s="918">
        <v>4.7613850731560738</v>
      </c>
      <c r="AL1622" s="918">
        <v>3.8357652384453278</v>
      </c>
      <c r="AM1622" s="918">
        <v>3.8929457262285374</v>
      </c>
      <c r="AN1622" s="918">
        <v>2.9673258915177936</v>
      </c>
      <c r="AO1622" s="918">
        <v>2.0417060568070511</v>
      </c>
      <c r="AP1622" s="918">
        <v>1.1160862220963066</v>
      </c>
      <c r="AQ1622" s="918">
        <v>1.178923459989893</v>
      </c>
      <c r="AR1622" s="918">
        <v>1.1633036252791493</v>
      </c>
      <c r="AS1622" s="918">
        <v>1.102812348878782</v>
      </c>
      <c r="AT1622" s="918">
        <v>1.0542012377676711</v>
      </c>
      <c r="AU1622" s="918">
        <v>1.0055901266565601</v>
      </c>
      <c r="AV1622" s="918">
        <f t="shared" ca="1" si="122"/>
        <v>1.0055901266565601</v>
      </c>
      <c r="AX1622" s="86" t="str">
        <f t="shared" ca="1" si="124"/>
        <v>LUMN</v>
      </c>
    </row>
    <row r="1623" spans="1:50" hidden="1">
      <c r="A1623" s="86" t="str">
        <f t="shared" ca="1" si="121"/>
        <v>MRNA</v>
      </c>
      <c r="F1623" s="918">
        <v>13.094482237339381</v>
      </c>
      <c r="G1623" s="918">
        <v>14.082136558327035</v>
      </c>
      <c r="H1623" s="918">
        <v>15.06979087931469</v>
      </c>
      <c r="I1623" s="918">
        <v>16.057445200302347</v>
      </c>
      <c r="J1623" s="918">
        <v>17.045099521289998</v>
      </c>
      <c r="K1623" s="918">
        <v>17.045099521289998</v>
      </c>
      <c r="L1623" s="918">
        <v>18.03275384227765</v>
      </c>
      <c r="M1623" s="918">
        <v>19.020408163265305</v>
      </c>
      <c r="N1623" s="918">
        <v>19.020408163265305</v>
      </c>
      <c r="O1623" s="918">
        <v>19.020408163265305</v>
      </c>
      <c r="P1623" s="918">
        <v>19.020408163265305</v>
      </c>
      <c r="Q1623" s="918">
        <v>19.020408163265305</v>
      </c>
      <c r="R1623" s="918">
        <v>19.020408163265305</v>
      </c>
      <c r="S1623" s="918">
        <v>19.020408163265305</v>
      </c>
      <c r="T1623" s="918">
        <v>19.020408163265305</v>
      </c>
      <c r="U1623" s="918">
        <v>20</v>
      </c>
      <c r="V1623" s="918">
        <v>21</v>
      </c>
      <c r="W1623" s="918">
        <v>21</v>
      </c>
      <c r="X1623" s="918">
        <v>21</v>
      </c>
      <c r="Y1623" s="918">
        <v>21</v>
      </c>
      <c r="Z1623" s="918">
        <f t="shared" ca="1" si="123"/>
        <v>21</v>
      </c>
      <c r="AB1623" s="918">
        <v>5.0875027239444783</v>
      </c>
      <c r="AC1623" s="918">
        <v>5.1121256848555285</v>
      </c>
      <c r="AD1623" s="918">
        <v>5.1367486457665779</v>
      </c>
      <c r="AE1623" s="918">
        <v>5.1613716066776281</v>
      </c>
      <c r="AF1623" s="918">
        <v>5.1859945675886783</v>
      </c>
      <c r="AG1623" s="918">
        <v>4.2109253155111164</v>
      </c>
      <c r="AH1623" s="918">
        <v>3.2358560634335509</v>
      </c>
      <c r="AI1623" s="918">
        <v>2.2607868113559886</v>
      </c>
      <c r="AJ1623" s="918">
        <v>2.3157749011902267</v>
      </c>
      <c r="AK1623" s="918">
        <v>2.3556937389469024</v>
      </c>
      <c r="AL1623" s="918">
        <v>1.3956937389469024</v>
      </c>
      <c r="AM1623" s="918">
        <v>0.43569373894690211</v>
      </c>
      <c r="AN1623" s="918">
        <v>0.47496327875698241</v>
      </c>
      <c r="AO1623" s="918">
        <v>0.51423281856706282</v>
      </c>
      <c r="AP1623" s="918">
        <v>0.55350235837714301</v>
      </c>
      <c r="AQ1623" s="918">
        <v>2.5127718981872236</v>
      </c>
      <c r="AR1623" s="918">
        <v>3.5056868611808572</v>
      </c>
      <c r="AS1623" s="918">
        <v>2.5216312599384301</v>
      </c>
      <c r="AT1623" s="918">
        <v>2.5252299796836573</v>
      </c>
      <c r="AU1623" s="918">
        <v>2.5288286994288844</v>
      </c>
      <c r="AV1623" s="918">
        <f t="shared" ca="1" si="122"/>
        <v>2.5288286994288844</v>
      </c>
      <c r="AX1623" s="86" t="str">
        <f t="shared" ca="1" si="124"/>
        <v>MRNA</v>
      </c>
    </row>
    <row r="1624" spans="1:50" hidden="1">
      <c r="A1624" s="86" t="str">
        <f t="shared" ca="1" si="121"/>
        <v>MSFT</v>
      </c>
      <c r="F1624" s="918">
        <v>15.88</v>
      </c>
      <c r="G1624" s="918">
        <v>16.84</v>
      </c>
      <c r="H1624" s="918">
        <v>17.8</v>
      </c>
      <c r="I1624" s="918">
        <v>18.760000000000002</v>
      </c>
      <c r="J1624" s="918">
        <v>19.72</v>
      </c>
      <c r="K1624" s="918">
        <v>19.72</v>
      </c>
      <c r="L1624" s="918">
        <v>19.72</v>
      </c>
      <c r="M1624" s="918">
        <v>19.72</v>
      </c>
      <c r="N1624" s="918">
        <v>20.36</v>
      </c>
      <c r="O1624" s="918">
        <v>21</v>
      </c>
      <c r="P1624" s="918">
        <v>21</v>
      </c>
      <c r="Q1624" s="918">
        <v>21</v>
      </c>
      <c r="R1624" s="918">
        <v>21</v>
      </c>
      <c r="S1624" s="918">
        <v>21</v>
      </c>
      <c r="T1624" s="918">
        <v>21</v>
      </c>
      <c r="U1624" s="918">
        <v>21</v>
      </c>
      <c r="V1624" s="918">
        <v>21</v>
      </c>
      <c r="W1624" s="918">
        <v>21</v>
      </c>
      <c r="X1624" s="918">
        <v>21</v>
      </c>
      <c r="Y1624" s="918">
        <v>21</v>
      </c>
      <c r="Z1624" s="918">
        <f t="shared" ca="1" si="123"/>
        <v>21</v>
      </c>
      <c r="AB1624" s="918">
        <v>5.1130798842277239</v>
      </c>
      <c r="AC1624" s="918">
        <v>5.0639731789481521</v>
      </c>
      <c r="AD1624" s="918">
        <v>5.0205163888246949</v>
      </c>
      <c r="AE1624" s="918">
        <v>4.9770595987012385</v>
      </c>
      <c r="AF1624" s="918">
        <v>4.9336028085777821</v>
      </c>
      <c r="AG1624" s="918">
        <v>4.8870976182663632</v>
      </c>
      <c r="AH1624" s="918">
        <v>4.8405924279549444</v>
      </c>
      <c r="AI1624" s="918">
        <v>4.7852204556366047</v>
      </c>
      <c r="AJ1624" s="918">
        <v>6.6498484833182658</v>
      </c>
      <c r="AK1624" s="918">
        <v>7.554476510999927</v>
      </c>
      <c r="AL1624" s="918">
        <v>7.554476510999927</v>
      </c>
      <c r="AM1624" s="918">
        <v>7.554476510999927</v>
      </c>
      <c r="AN1624" s="918">
        <v>7.554476510999927</v>
      </c>
      <c r="AO1624" s="918">
        <v>7.5544765109999261</v>
      </c>
      <c r="AP1624" s="918">
        <v>8.476405576743872</v>
      </c>
      <c r="AQ1624" s="918">
        <v>7.6235112008865329</v>
      </c>
      <c r="AR1624" s="918">
        <v>9.4951181809255285</v>
      </c>
      <c r="AS1624" s="918">
        <v>9.1937824909873882</v>
      </c>
      <c r="AT1624" s="918">
        <v>9.5324468010492502</v>
      </c>
      <c r="AU1624" s="918">
        <v>9.3733333333333313</v>
      </c>
      <c r="AV1624" s="918">
        <f t="shared" ca="1" si="122"/>
        <v>9.3733333333333313</v>
      </c>
      <c r="AX1624" s="86" t="str">
        <f t="shared" ca="1" si="124"/>
        <v>MSFT</v>
      </c>
    </row>
    <row r="1625" spans="1:50" hidden="1">
      <c r="A1625" s="86" t="str">
        <f t="shared" ca="1" si="121"/>
        <v>NEE</v>
      </c>
      <c r="F1625" s="918">
        <v>14.37871117946089</v>
      </c>
      <c r="G1625" s="918">
        <v>14.960026058353625</v>
      </c>
      <c r="H1625" s="918">
        <v>15.679749241744627</v>
      </c>
      <c r="I1625" s="918">
        <v>16.399472425135631</v>
      </c>
      <c r="J1625" s="918">
        <v>17.119195608526635</v>
      </c>
      <c r="K1625" s="918">
        <v>17.838918791917639</v>
      </c>
      <c r="L1625" s="918">
        <v>18.558641975308642</v>
      </c>
      <c r="M1625" s="918">
        <v>19.308641975308642</v>
      </c>
      <c r="N1625" s="918">
        <v>19.308641975308642</v>
      </c>
      <c r="O1625" s="918">
        <v>20.308641975308642</v>
      </c>
      <c r="P1625" s="918">
        <v>20.308641975308642</v>
      </c>
      <c r="Q1625" s="918">
        <v>20.308641975308642</v>
      </c>
      <c r="R1625" s="918">
        <v>20.308641975308642</v>
      </c>
      <c r="S1625" s="918">
        <v>20.308641975308642</v>
      </c>
      <c r="T1625" s="918">
        <v>21</v>
      </c>
      <c r="U1625" s="918">
        <v>21</v>
      </c>
      <c r="V1625" s="918">
        <v>21</v>
      </c>
      <c r="W1625" s="918">
        <v>21</v>
      </c>
      <c r="X1625" s="918">
        <v>21</v>
      </c>
      <c r="Y1625" s="918">
        <v>21</v>
      </c>
      <c r="Z1625" s="918">
        <f t="shared" ca="1" si="123"/>
        <v>21</v>
      </c>
      <c r="AB1625" s="918">
        <v>8.878029110143915</v>
      </c>
      <c r="AC1625" s="918">
        <v>8.8703344348592115</v>
      </c>
      <c r="AD1625" s="918">
        <v>8.8626397595745079</v>
      </c>
      <c r="AE1625" s="918">
        <v>8.8549450842898061</v>
      </c>
      <c r="AF1625" s="918">
        <v>8.8472504090051025</v>
      </c>
      <c r="AG1625" s="918">
        <v>8.8409069208697755</v>
      </c>
      <c r="AH1625" s="918">
        <v>8.8314308460009521</v>
      </c>
      <c r="AI1625" s="918">
        <v>7.8314308460009521</v>
      </c>
      <c r="AJ1625" s="918">
        <v>9.8234589072254419</v>
      </c>
      <c r="AK1625" s="918">
        <v>10.815486968449932</v>
      </c>
      <c r="AL1625" s="918">
        <v>10.815486968449932</v>
      </c>
      <c r="AM1625" s="918">
        <v>10.815486968449932</v>
      </c>
      <c r="AN1625" s="918">
        <v>10.815486968449932</v>
      </c>
      <c r="AO1625" s="918">
        <v>10.815486968449932</v>
      </c>
      <c r="AP1625" s="918">
        <v>10.815486968449932</v>
      </c>
      <c r="AQ1625" s="918">
        <v>10.31</v>
      </c>
      <c r="AR1625" s="918">
        <v>9.75</v>
      </c>
      <c r="AS1625" s="918">
        <v>10.5</v>
      </c>
      <c r="AT1625" s="918">
        <v>10.5</v>
      </c>
      <c r="AU1625" s="918">
        <v>11.5</v>
      </c>
      <c r="AV1625" s="918">
        <f t="shared" ca="1" si="122"/>
        <v>11.5</v>
      </c>
      <c r="AX1625" s="86" t="str">
        <f t="shared" ca="1" si="124"/>
        <v>NEE</v>
      </c>
    </row>
    <row r="1626" spans="1:50" hidden="1">
      <c r="A1626" s="86" t="str">
        <f t="shared" ca="1" si="121"/>
        <v>NEM</v>
      </c>
      <c r="F1626" s="918">
        <v>11.968253968253968</v>
      </c>
      <c r="G1626" s="918">
        <v>12.784580498866214</v>
      </c>
      <c r="H1626" s="918">
        <v>13.600907029478458</v>
      </c>
      <c r="I1626" s="918">
        <v>14.417233560090704</v>
      </c>
      <c r="J1626" s="918">
        <v>15.233560090702948</v>
      </c>
      <c r="K1626" s="918">
        <v>16.213151927437643</v>
      </c>
      <c r="L1626" s="918">
        <v>17.131519274376416</v>
      </c>
      <c r="M1626" s="918">
        <v>16.341395817586292</v>
      </c>
      <c r="N1626" s="918">
        <v>17.736457545981356</v>
      </c>
      <c r="O1626" s="918">
        <v>18.736457545981356</v>
      </c>
      <c r="P1626" s="918">
        <v>18.736457545981356</v>
      </c>
      <c r="Q1626" s="918">
        <v>18.736457545981356</v>
      </c>
      <c r="R1626" s="918">
        <v>18.736457545981356</v>
      </c>
      <c r="S1626" s="918">
        <v>18.736457545981356</v>
      </c>
      <c r="T1626" s="918">
        <v>18.736457545981356</v>
      </c>
      <c r="U1626" s="918">
        <v>19.716049382716051</v>
      </c>
      <c r="V1626" s="918">
        <v>20.604938271604937</v>
      </c>
      <c r="W1626" s="918">
        <v>20.604938271604937</v>
      </c>
      <c r="X1626" s="918">
        <v>20.604938271604937</v>
      </c>
      <c r="Y1626" s="918">
        <v>20.604938271604937</v>
      </c>
      <c r="Z1626" s="918">
        <f t="shared" ca="1" si="123"/>
        <v>20.604938271604937</v>
      </c>
      <c r="AB1626" s="918">
        <v>16.050277777777779</v>
      </c>
      <c r="AC1626" s="918">
        <v>14.996786653517425</v>
      </c>
      <c r="AD1626" s="918">
        <v>14.165754437869824</v>
      </c>
      <c r="AE1626" s="918">
        <v>13.276865548980934</v>
      </c>
      <c r="AF1626" s="918">
        <v>12.387976660092045</v>
      </c>
      <c r="AG1626" s="918">
        <v>11.499087771203156</v>
      </c>
      <c r="AH1626" s="918">
        <v>11.107976660092044</v>
      </c>
      <c r="AI1626" s="918">
        <v>9.896736990670556</v>
      </c>
      <c r="AJ1626" s="918">
        <v>8.9023568253812968</v>
      </c>
      <c r="AK1626" s="918">
        <v>7.9423568253812995</v>
      </c>
      <c r="AL1626" s="918">
        <v>6.9823568253812995</v>
      </c>
      <c r="AM1626" s="918">
        <v>6.6623568253813001</v>
      </c>
      <c r="AN1626" s="918">
        <v>6.0223568253813013</v>
      </c>
      <c r="AO1626" s="918">
        <v>5.3823568253813026</v>
      </c>
      <c r="AP1626" s="918">
        <v>4.742356825381302</v>
      </c>
      <c r="AQ1626" s="918">
        <v>3.4231731519119144</v>
      </c>
      <c r="AR1626" s="918">
        <v>3.2410813151772198</v>
      </c>
      <c r="AS1626" s="918">
        <v>3.0262287074674683</v>
      </c>
      <c r="AT1626" s="918">
        <v>2.804006485245246</v>
      </c>
      <c r="AU1626" s="918" t="e">
        <v>#VALUE!</v>
      </c>
      <c r="AV1626" s="918" t="e">
        <f t="shared" ca="1" si="122"/>
        <v>#VALUE!</v>
      </c>
      <c r="AX1626" s="86" t="str">
        <f t="shared" ca="1" si="124"/>
        <v>NEM</v>
      </c>
    </row>
    <row r="1627" spans="1:50" hidden="1">
      <c r="A1627" s="86" t="str">
        <f t="shared" ca="1" si="121"/>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3"/>
        <v>21</v>
      </c>
      <c r="AB1627" s="918">
        <v>6.4280148991650092</v>
      </c>
      <c r="AC1627" s="918">
        <v>5.5391260102761199</v>
      </c>
      <c r="AD1627" s="918">
        <v>4.6502371213872324</v>
      </c>
      <c r="AE1627" s="918">
        <v>4.7520752558179593</v>
      </c>
      <c r="AF1627" s="918">
        <v>4.6316911680264639</v>
      </c>
      <c r="AG1627" s="918">
        <v>4.6224181913460791</v>
      </c>
      <c r="AH1627" s="918">
        <v>4.9331452146656956</v>
      </c>
      <c r="AI1627" s="918">
        <v>5.0838722379853118</v>
      </c>
      <c r="AJ1627" s="918">
        <v>4.3370953784811794</v>
      </c>
      <c r="AK1627" s="918">
        <v>3.1860393637888005</v>
      </c>
      <c r="AL1627" s="918">
        <v>2.2138171415665782</v>
      </c>
      <c r="AM1627" s="918">
        <v>1.1860393637888003</v>
      </c>
      <c r="AN1627" s="918">
        <v>1.1751237923920526</v>
      </c>
      <c r="AO1627" s="918">
        <v>1.1642082209953051</v>
      </c>
      <c r="AP1627" s="918">
        <v>1.1779840076232488</v>
      </c>
      <c r="AQ1627" s="918">
        <v>1.1794141152388471</v>
      </c>
      <c r="AR1627" s="918">
        <v>1.1424568715433938</v>
      </c>
      <c r="AS1627" s="918">
        <v>1.6120722237864709</v>
      </c>
      <c r="AT1627" s="918">
        <v>3.3316875760295481</v>
      </c>
      <c r="AU1627" s="918">
        <v>4.3013029282726256</v>
      </c>
      <c r="AV1627" s="918">
        <f t="shared" ca="1" si="122"/>
        <v>4.3013029282726256</v>
      </c>
      <c r="AX1627" s="86" t="str">
        <f t="shared" ca="1" si="124"/>
        <v>NFLX</v>
      </c>
    </row>
    <row r="1628" spans="1:50" hidden="1">
      <c r="A1628" s="86" t="str">
        <f t="shared" ca="1" si="121"/>
        <v>NOTE</v>
      </c>
      <c r="F1628" s="918">
        <v>16.011337868480723</v>
      </c>
      <c r="G1628" s="918">
        <v>16.011337868480723</v>
      </c>
      <c r="H1628" s="918">
        <v>16.011337868480727</v>
      </c>
      <c r="I1628" s="918">
        <v>17.009070294784578</v>
      </c>
      <c r="J1628" s="918">
        <v>18.006802721088434</v>
      </c>
      <c r="K1628" s="918">
        <v>19.004535147392289</v>
      </c>
      <c r="L1628" s="918">
        <v>20.002267573696145</v>
      </c>
      <c r="M1628" s="918">
        <v>21</v>
      </c>
      <c r="N1628" s="918">
        <v>21</v>
      </c>
      <c r="O1628" s="918">
        <v>21</v>
      </c>
      <c r="P1628" s="918">
        <v>21</v>
      </c>
      <c r="Q1628" s="918">
        <v>21</v>
      </c>
      <c r="R1628" s="918">
        <v>21</v>
      </c>
      <c r="S1628" s="918">
        <v>21</v>
      </c>
      <c r="T1628" s="918">
        <v>21</v>
      </c>
      <c r="U1628" s="918">
        <v>21</v>
      </c>
      <c r="V1628" s="918">
        <v>21</v>
      </c>
      <c r="W1628" s="918">
        <v>21</v>
      </c>
      <c r="X1628" s="918">
        <v>21</v>
      </c>
      <c r="Y1628" s="918">
        <v>21</v>
      </c>
      <c r="Z1628" s="918">
        <f t="shared" ca="1" si="123"/>
        <v>21</v>
      </c>
      <c r="AB1628" s="918">
        <v>6.1525541133898711</v>
      </c>
      <c r="AC1628" s="918">
        <v>5.1803318911676488</v>
      </c>
      <c r="AD1628" s="918">
        <v>4.2081096689454265</v>
      </c>
      <c r="AE1628" s="918">
        <v>3.2358874467232037</v>
      </c>
      <c r="AF1628" s="918">
        <v>2.2636652245009814</v>
      </c>
      <c r="AG1628" s="918">
        <v>2.2851803864721241</v>
      </c>
      <c r="AH1628" s="918">
        <v>2.3066955484432663</v>
      </c>
      <c r="AI1628" s="918">
        <v>2.328210710414409</v>
      </c>
      <c r="AJ1628" s="918">
        <v>2.5150937181858857</v>
      </c>
      <c r="AK1628" s="918">
        <v>2.6186433926240289</v>
      </c>
      <c r="AL1628" s="918">
        <v>2.1248162321302031</v>
      </c>
      <c r="AM1628" s="918">
        <v>1.4334582074388451</v>
      </c>
      <c r="AN1628" s="918">
        <v>1.7333532234803684</v>
      </c>
      <c r="AO1628" s="918">
        <v>2.0332482395218916</v>
      </c>
      <c r="AP1628" s="918">
        <v>2.3331432555634151</v>
      </c>
      <c r="AQ1628" s="918">
        <v>2.6330382716049385</v>
      </c>
      <c r="AR1628" s="918">
        <v>2.6836432350718065</v>
      </c>
      <c r="AS1628" s="918">
        <v>2.500173847316705</v>
      </c>
      <c r="AT1628" s="918">
        <v>2.4952758881330315</v>
      </c>
      <c r="AU1628" s="918">
        <v>2.9033969878125725</v>
      </c>
      <c r="AV1628" s="918">
        <f t="shared" ca="1" si="122"/>
        <v>2.9033969878125725</v>
      </c>
      <c r="AX1628" s="86" t="str">
        <f t="shared" ca="1" si="124"/>
        <v>NOTE</v>
      </c>
    </row>
    <row r="1629" spans="1:50" hidden="1">
      <c r="A1629" s="86" t="str">
        <f t="shared" ca="1" si="121"/>
        <v>PAAS</v>
      </c>
      <c r="F1629" s="918">
        <v>10.311413454270603</v>
      </c>
      <c r="G1629" s="918">
        <v>10.311413454270596</v>
      </c>
      <c r="H1629" s="918">
        <v>10.311413454270596</v>
      </c>
      <c r="I1629" s="918">
        <v>10.311413454270596</v>
      </c>
      <c r="J1629" s="918">
        <v>10.311413454270596</v>
      </c>
      <c r="K1629" s="918">
        <v>11.262030738221213</v>
      </c>
      <c r="L1629" s="918">
        <v>12.21264802217183</v>
      </c>
      <c r="M1629" s="918">
        <v>13.163265306122447</v>
      </c>
      <c r="N1629" s="918">
        <v>13.163265306122447</v>
      </c>
      <c r="O1629" s="918">
        <v>13.163265306122447</v>
      </c>
      <c r="P1629" s="918">
        <v>13.163265306122449</v>
      </c>
      <c r="Q1629" s="918">
        <v>13.163265306122449</v>
      </c>
      <c r="R1629" s="918">
        <v>14.142857142857142</v>
      </c>
      <c r="S1629" s="918">
        <v>15.122448979591837</v>
      </c>
      <c r="T1629" s="918">
        <v>16.102040816326529</v>
      </c>
      <c r="U1629" s="918">
        <v>17.081632653061224</v>
      </c>
      <c r="V1629" s="918">
        <v>18.061224489795919</v>
      </c>
      <c r="W1629" s="918">
        <v>19.04081632653061</v>
      </c>
      <c r="X1629" s="918">
        <v>20.020408163265305</v>
      </c>
      <c r="Y1629" s="918">
        <v>21</v>
      </c>
      <c r="Z1629" s="918">
        <f t="shared" ca="1" si="123"/>
        <v>21</v>
      </c>
      <c r="AB1629" s="918">
        <v>5.4879974990321383</v>
      </c>
      <c r="AC1629" s="918">
        <v>5.5897433656063082</v>
      </c>
      <c r="AD1629" s="918">
        <v>5.6914892321804782</v>
      </c>
      <c r="AE1629" s="918">
        <v>5.7932350987546481</v>
      </c>
      <c r="AF1629" s="918">
        <v>5.8949809653288181</v>
      </c>
      <c r="AG1629" s="918">
        <v>5.9967268319029889</v>
      </c>
      <c r="AH1629" s="918">
        <v>6.0984726984771589</v>
      </c>
      <c r="AI1629" s="918">
        <v>6.2002185650513288</v>
      </c>
      <c r="AJ1629" s="918">
        <v>6.094495692075709</v>
      </c>
      <c r="AK1629" s="918">
        <v>6.0898839302111991</v>
      </c>
      <c r="AL1629" s="918">
        <v>5.0998839302111989</v>
      </c>
      <c r="AM1629" s="918">
        <v>4.1098839302112022</v>
      </c>
      <c r="AN1629" s="918">
        <v>3.119883930211202</v>
      </c>
      <c r="AO1629" s="918">
        <v>2.1298839302112018</v>
      </c>
      <c r="AP1629" s="918">
        <v>1.1398839302112025</v>
      </c>
      <c r="AQ1629" s="918">
        <v>1.1312888888888886</v>
      </c>
      <c r="AR1629" s="918">
        <v>1.5888888888888886</v>
      </c>
      <c r="AS1629" s="918">
        <v>1.3397052154195006</v>
      </c>
      <c r="AT1629" s="918">
        <v>1.2792970521541946</v>
      </c>
      <c r="AU1629" s="918">
        <v>1.2392970521541946</v>
      </c>
      <c r="AV1629" s="918">
        <f t="shared" ca="1" si="122"/>
        <v>1.2392970521541946</v>
      </c>
      <c r="AX1629" s="86" t="str">
        <f t="shared" ca="1" si="124"/>
        <v>PAAS</v>
      </c>
    </row>
    <row r="1630" spans="1:50" hidden="1">
      <c r="A1630" s="86" t="str">
        <f t="shared" ca="1" si="121"/>
        <v>PROF</v>
      </c>
      <c r="F1630" s="918">
        <v>10.014756373730734</v>
      </c>
      <c r="G1630" s="918">
        <v>10.961501935860911</v>
      </c>
      <c r="H1630" s="918">
        <v>11.908247497991088</v>
      </c>
      <c r="I1630" s="918">
        <v>12.854993060121267</v>
      </c>
      <c r="J1630" s="918">
        <v>13.801738622251444</v>
      </c>
      <c r="K1630" s="918">
        <v>14.748484184381621</v>
      </c>
      <c r="L1630" s="918">
        <v>15.695229746511798</v>
      </c>
      <c r="M1630" s="918">
        <v>16.641975308641975</v>
      </c>
      <c r="N1630" s="918">
        <v>17.530864197530864</v>
      </c>
      <c r="O1630" s="918">
        <v>18.419753086419753</v>
      </c>
      <c r="P1630" s="918">
        <v>18.419753086419753</v>
      </c>
      <c r="Q1630" s="918">
        <v>18.419753086419753</v>
      </c>
      <c r="R1630" s="918">
        <v>18.419753086419753</v>
      </c>
      <c r="S1630" s="918">
        <v>18.419753086419753</v>
      </c>
      <c r="T1630" s="918">
        <v>18.419753086419753</v>
      </c>
      <c r="U1630" s="918">
        <v>19.419753086419753</v>
      </c>
      <c r="V1630" s="918">
        <v>19.814814814814813</v>
      </c>
      <c r="W1630" s="918">
        <v>20.209876543209877</v>
      </c>
      <c r="X1630" s="918">
        <v>20.604938271604937</v>
      </c>
      <c r="Y1630" s="918">
        <v>21</v>
      </c>
      <c r="Z1630" s="918">
        <f t="shared" ca="1" si="123"/>
        <v>21</v>
      </c>
      <c r="AB1630" s="918">
        <v>9.9256721539944106</v>
      </c>
      <c r="AC1630" s="918">
        <v>9.9204702983213942</v>
      </c>
      <c r="AD1630" s="918">
        <v>9.9152684426483777</v>
      </c>
      <c r="AE1630" s="918">
        <v>11.904526420770372</v>
      </c>
      <c r="AF1630" s="918">
        <v>11.396554481994862</v>
      </c>
      <c r="AG1630" s="918">
        <v>11.158582543219351</v>
      </c>
      <c r="AH1630" s="918">
        <v>11.152384196111914</v>
      </c>
      <c r="AI1630" s="918">
        <v>11.146185849004477</v>
      </c>
      <c r="AJ1630" s="918">
        <v>11.172803604711536</v>
      </c>
      <c r="AK1630" s="918">
        <v>11.181643582640817</v>
      </c>
      <c r="AL1630" s="918">
        <v>10.209421360418595</v>
      </c>
      <c r="AM1630" s="918">
        <v>9.2371991381963721</v>
      </c>
      <c r="AN1630" s="918">
        <v>8.3344213604185935</v>
      </c>
      <c r="AO1630" s="918">
        <v>7.3969213604185891</v>
      </c>
      <c r="AP1630" s="918">
        <v>6.3544213604185886</v>
      </c>
      <c r="AQ1630" s="918">
        <v>5.3644213604185893</v>
      </c>
      <c r="AR1630" s="918">
        <v>4.7012213604185895</v>
      </c>
      <c r="AS1630" s="918">
        <v>5.622821360418591</v>
      </c>
      <c r="AT1630" s="918">
        <v>3.6346556799452179</v>
      </c>
      <c r="AU1630" s="918">
        <v>2.6405728397085304</v>
      </c>
      <c r="AV1630" s="918">
        <f t="shared" ca="1" si="122"/>
        <v>2.6405728397085304</v>
      </c>
      <c r="AX1630" s="86" t="str">
        <f t="shared" ca="1" si="124"/>
        <v>PROF</v>
      </c>
    </row>
    <row r="1631" spans="1:50" hidden="1">
      <c r="A1631" s="86" t="str">
        <f t="shared" ca="1" si="121"/>
        <v>POET</v>
      </c>
      <c r="F1631" s="918">
        <v>12.934896272558611</v>
      </c>
      <c r="G1631" s="918">
        <v>13.751222803170855</v>
      </c>
      <c r="H1631" s="918">
        <v>14.5675493337831</v>
      </c>
      <c r="I1631" s="918">
        <v>15.383875864395344</v>
      </c>
      <c r="J1631" s="918">
        <v>16.20020239500759</v>
      </c>
      <c r="K1631" s="918">
        <v>17.016528925619834</v>
      </c>
      <c r="L1631" s="918">
        <v>18.016528925619834</v>
      </c>
      <c r="M1631" s="918">
        <v>19.016528925619834</v>
      </c>
      <c r="N1631" s="918">
        <v>20.008264462809919</v>
      </c>
      <c r="O1631" s="918">
        <v>21</v>
      </c>
      <c r="P1631" s="918">
        <v>21</v>
      </c>
      <c r="Q1631" s="918">
        <v>21</v>
      </c>
      <c r="R1631" s="918">
        <v>21</v>
      </c>
      <c r="S1631" s="918">
        <v>21</v>
      </c>
      <c r="T1631" s="918">
        <v>21</v>
      </c>
      <c r="U1631" s="918">
        <v>21</v>
      </c>
      <c r="V1631" s="918">
        <v>21</v>
      </c>
      <c r="W1631" s="918">
        <v>21</v>
      </c>
      <c r="X1631" s="918">
        <v>21</v>
      </c>
      <c r="Y1631" s="918">
        <v>21</v>
      </c>
      <c r="Z1631" s="918">
        <f t="shared" ca="1" si="123"/>
        <v>21</v>
      </c>
      <c r="AB1631" s="918">
        <v>16.157823218106305</v>
      </c>
      <c r="AC1631" s="918">
        <v>16.157823218106302</v>
      </c>
      <c r="AD1631" s="918">
        <v>16.157823218106302</v>
      </c>
      <c r="AE1631" s="918">
        <v>16.157823218106302</v>
      </c>
      <c r="AF1631" s="918">
        <v>16.157823218106302</v>
      </c>
      <c r="AG1631" s="918">
        <v>16.157823218106302</v>
      </c>
      <c r="AH1631" s="918">
        <v>16.157823218106302</v>
      </c>
      <c r="AI1631" s="918">
        <v>17.080662724279144</v>
      </c>
      <c r="AJ1631" s="918">
        <v>16.503502230451982</v>
      </c>
      <c r="AK1631" s="918">
        <v>15.753502230451982</v>
      </c>
      <c r="AL1631" s="918">
        <v>15.003502230451982</v>
      </c>
      <c r="AM1631" s="918">
        <v>15.182716943018265</v>
      </c>
      <c r="AN1631" s="918">
        <v>14.432716943018264</v>
      </c>
      <c r="AO1631" s="918">
        <v>13.682716943018264</v>
      </c>
      <c r="AP1631" s="918">
        <v>13.496358471509133</v>
      </c>
      <c r="AQ1631" s="918">
        <v>13.378040166204988</v>
      </c>
      <c r="AR1631" s="918">
        <v>12.787492305324715</v>
      </c>
      <c r="AS1631" s="918">
        <v>11.738664931237825</v>
      </c>
      <c r="AT1631" s="918">
        <v>10.707523062725715</v>
      </c>
      <c r="AU1631" s="918" t="e">
        <v>#VALUE!</v>
      </c>
      <c r="AV1631" s="918" t="e">
        <f t="shared" ca="1" si="122"/>
        <v>#VALUE!</v>
      </c>
      <c r="AX1631" s="86" t="str">
        <f t="shared" ca="1" si="124"/>
        <v>POET</v>
      </c>
    </row>
    <row r="1632" spans="1:50" hidden="1">
      <c r="A1632" s="86" t="str">
        <f t="shared" ca="1" si="121"/>
        <v>PW</v>
      </c>
      <c r="F1632" s="918">
        <v>13.948179012345676</v>
      </c>
      <c r="G1632" s="918">
        <v>13.948179012345678</v>
      </c>
      <c r="H1632" s="918">
        <v>13.158055555555555</v>
      </c>
      <c r="I1632" s="918">
        <v>12.762993827160495</v>
      </c>
      <c r="J1632" s="918">
        <v>13.158055555555556</v>
      </c>
      <c r="K1632" s="918">
        <v>13.158055555555556</v>
      </c>
      <c r="L1632" s="918">
        <v>13.158055555555556</v>
      </c>
      <c r="M1632" s="918">
        <v>14.145709876543211</v>
      </c>
      <c r="N1632" s="918">
        <v>15.083209876543211</v>
      </c>
      <c r="O1632" s="918">
        <v>15.08320987654321</v>
      </c>
      <c r="P1632" s="918">
        <v>15.08320987654321</v>
      </c>
      <c r="Q1632" s="918">
        <v>16.043209876543209</v>
      </c>
      <c r="R1632" s="918">
        <v>16.043209876543209</v>
      </c>
      <c r="S1632" s="918">
        <v>16.043209876543209</v>
      </c>
      <c r="T1632" s="918">
        <v>16.932098765432098</v>
      </c>
      <c r="U1632" s="918">
        <v>17.820987654320987</v>
      </c>
      <c r="V1632" s="918">
        <v>18.709876543209877</v>
      </c>
      <c r="W1632" s="918">
        <v>19.459876543209877</v>
      </c>
      <c r="X1632" s="918">
        <v>20.209876543209877</v>
      </c>
      <c r="Y1632" s="918" t="e">
        <v>#VALUE!</v>
      </c>
      <c r="Z1632" s="918" t="e">
        <f t="shared" si="123"/>
        <v>#VALUE!</v>
      </c>
      <c r="AB1632" s="918">
        <v>17.095664721218817</v>
      </c>
      <c r="AC1632" s="918">
        <v>16.206775832329928</v>
      </c>
      <c r="AD1632" s="918">
        <v>15.317886943441037</v>
      </c>
      <c r="AE1632" s="918">
        <v>14.428998054552148</v>
      </c>
      <c r="AF1632" s="918">
        <v>13.540109165663258</v>
      </c>
      <c r="AG1632" s="918">
        <v>12.651220276774369</v>
      </c>
      <c r="AH1632" s="918">
        <v>11.762331387885478</v>
      </c>
      <c r="AI1632" s="918">
        <v>10.873442498996589</v>
      </c>
      <c r="AJ1632" s="918">
        <v>11.762331387885478</v>
      </c>
      <c r="AK1632" s="918">
        <v>11.76233138788548</v>
      </c>
      <c r="AL1632" s="918">
        <v>11.762331387885485</v>
      </c>
      <c r="AM1632" s="918">
        <v>11.762331387885485</v>
      </c>
      <c r="AN1632" s="918">
        <v>11.762331387885485</v>
      </c>
      <c r="AO1632" s="918">
        <v>11.762331387885485</v>
      </c>
      <c r="AP1632" s="918">
        <v>12.729273536645815</v>
      </c>
      <c r="AQ1632" s="918">
        <v>13.698888888888892</v>
      </c>
      <c r="AR1632" s="918">
        <v>13.888888888888889</v>
      </c>
      <c r="AS1632" s="918">
        <v>12.061899269511727</v>
      </c>
      <c r="AT1632" s="918">
        <v>11.148404459823146</v>
      </c>
      <c r="AU1632" s="918">
        <v>10.234909650134565</v>
      </c>
      <c r="AV1632" s="918">
        <f t="shared" ca="1" si="122"/>
        <v>10.234909650134565</v>
      </c>
      <c r="AX1632" s="86" t="str">
        <f t="shared" ca="1" si="124"/>
        <v>PW</v>
      </c>
    </row>
    <row r="1633" spans="1:50" hidden="1">
      <c r="A1633" s="86" t="str">
        <f t="shared" ca="1" si="121"/>
        <v>RIGL</v>
      </c>
      <c r="F1633" s="918">
        <v>15.555555555555554</v>
      </c>
      <c r="G1633" s="918">
        <v>15.555555555555554</v>
      </c>
      <c r="H1633" s="918">
        <v>15.555555555555554</v>
      </c>
      <c r="I1633" s="918">
        <v>15.555555555555554</v>
      </c>
      <c r="J1633" s="918">
        <v>15.555555555555554</v>
      </c>
      <c r="K1633" s="918">
        <v>15.555555555555554</v>
      </c>
      <c r="L1633" s="918">
        <v>15.555555555555554</v>
      </c>
      <c r="M1633" s="918">
        <v>15.555555555555554</v>
      </c>
      <c r="N1633" s="918">
        <v>15.555555555555554</v>
      </c>
      <c r="O1633" s="918">
        <v>15.555555555555554</v>
      </c>
      <c r="P1633" s="918">
        <v>15.555555555555555</v>
      </c>
      <c r="Q1633" s="918">
        <v>15.555555555555555</v>
      </c>
      <c r="R1633" s="918">
        <v>15.555555555555555</v>
      </c>
      <c r="S1633" s="918">
        <v>15.555555555555555</v>
      </c>
      <c r="T1633" s="918">
        <v>16.555555555555557</v>
      </c>
      <c r="U1633" s="918">
        <v>17.444444444444443</v>
      </c>
      <c r="V1633" s="918">
        <v>18.333333333333332</v>
      </c>
      <c r="W1633" s="918">
        <v>19.222222222222221</v>
      </c>
      <c r="X1633" s="918">
        <v>20.111111111111111</v>
      </c>
      <c r="Y1633" s="918">
        <v>21</v>
      </c>
      <c r="Z1633" s="918">
        <f t="shared" ca="1" si="123"/>
        <v>21</v>
      </c>
      <c r="AB1633" s="918">
        <v>9.6474939185342361</v>
      </c>
      <c r="AC1633" s="918">
        <v>8.8974939185342361</v>
      </c>
      <c r="AD1633" s="918">
        <v>8.1474939185342361</v>
      </c>
      <c r="AE1633" s="918">
        <v>8.3887469592671184</v>
      </c>
      <c r="AF1633" s="918">
        <v>8.629999999999999</v>
      </c>
      <c r="AG1633" s="918">
        <v>8.5552551984877123</v>
      </c>
      <c r="AH1633" s="918">
        <v>8.6748498214660774</v>
      </c>
      <c r="AI1633" s="918">
        <v>8.609294265910524</v>
      </c>
      <c r="AJ1633" s="918">
        <v>9.5815164881327455</v>
      </c>
      <c r="AK1633" s="918">
        <v>9.5815164881327455</v>
      </c>
      <c r="AL1633" s="918">
        <v>9.5815164881327455</v>
      </c>
      <c r="AM1633" s="918">
        <v>7.5815164881327455</v>
      </c>
      <c r="AN1633" s="918">
        <v>7.5715164881327457</v>
      </c>
      <c r="AO1633" s="918">
        <v>7.5615164881327459</v>
      </c>
      <c r="AP1633" s="918">
        <v>7.5515164881327461</v>
      </c>
      <c r="AQ1633" s="918">
        <v>7.5415164881327463</v>
      </c>
      <c r="AR1633" s="918">
        <v>6.7315164881327458</v>
      </c>
      <c r="AS1633" s="918">
        <v>7.7315164881327458</v>
      </c>
      <c r="AT1633" s="918">
        <v>5.7384369033576581</v>
      </c>
      <c r="AU1633" s="918">
        <v>5.4918971109701147</v>
      </c>
      <c r="AV1633" s="918">
        <f t="shared" ca="1" si="122"/>
        <v>5.4918971109701147</v>
      </c>
      <c r="AX1633" s="86" t="str">
        <f t="shared" ca="1" si="124"/>
        <v>RIGL</v>
      </c>
    </row>
    <row r="1634" spans="1:50" hidden="1">
      <c r="A1634" s="86" t="str">
        <f t="shared" ca="1" si="121"/>
        <v>RWE</v>
      </c>
      <c r="F1634" s="918">
        <v>9.2828030747296619</v>
      </c>
      <c r="G1634" s="918">
        <v>9.2828030747296619</v>
      </c>
      <c r="H1634" s="918">
        <v>9.2828030747296619</v>
      </c>
      <c r="I1634" s="918">
        <v>10.280032991627168</v>
      </c>
      <c r="J1634" s="918">
        <v>11.277262908524676</v>
      </c>
      <c r="K1634" s="918">
        <v>12.252332160602238</v>
      </c>
      <c r="L1634" s="918">
        <v>13.2274014126798</v>
      </c>
      <c r="M1634" s="918">
        <v>14.05785123966942</v>
      </c>
      <c r="N1634" s="918">
        <v>14.057851239669423</v>
      </c>
      <c r="O1634" s="918">
        <v>14.057851239669423</v>
      </c>
      <c r="P1634" s="918">
        <v>14.057851239669422</v>
      </c>
      <c r="Q1634" s="918">
        <v>14.057851239669422</v>
      </c>
      <c r="R1634" s="918">
        <v>15.049586776859504</v>
      </c>
      <c r="S1634" s="918">
        <v>16.041322314049587</v>
      </c>
      <c r="T1634" s="918">
        <v>17.033057851239668</v>
      </c>
      <c r="U1634" s="918">
        <v>18.024793388429753</v>
      </c>
      <c r="V1634" s="918">
        <v>19.016528925619834</v>
      </c>
      <c r="W1634" s="918">
        <v>20.008264462809919</v>
      </c>
      <c r="X1634" s="918">
        <v>21</v>
      </c>
      <c r="Y1634" s="918">
        <v>21</v>
      </c>
      <c r="Z1634" s="918">
        <f t="shared" ca="1" si="123"/>
        <v>21</v>
      </c>
      <c r="AB1634" s="918">
        <v>6.3742073045206986</v>
      </c>
      <c r="AC1634" s="918">
        <v>6.3302426843333937</v>
      </c>
      <c r="AD1634" s="918">
        <v>6.2862780641460887</v>
      </c>
      <c r="AE1634" s="918">
        <v>6.2423134439587837</v>
      </c>
      <c r="AF1634" s="918">
        <v>6.1983488237714788</v>
      </c>
      <c r="AG1634" s="918">
        <v>6.1543842035841738</v>
      </c>
      <c r="AH1634" s="918">
        <v>6.1104195833968697</v>
      </c>
      <c r="AI1634" s="918">
        <v>6.0664549632095648</v>
      </c>
      <c r="AJ1634" s="918">
        <v>6.059085685932919</v>
      </c>
      <c r="AK1634" s="918">
        <v>6.0313082453909672</v>
      </c>
      <c r="AL1634" s="918">
        <v>6.0104050199326302</v>
      </c>
      <c r="AM1634" s="918">
        <v>5.9895017944742923</v>
      </c>
      <c r="AN1634" s="918">
        <v>5.0099099577395982</v>
      </c>
      <c r="AO1634" s="918">
        <v>4.0303181210049042</v>
      </c>
      <c r="AP1634" s="918">
        <v>4.0132653061224479</v>
      </c>
      <c r="AQ1634" s="918">
        <v>3.9936734693877534</v>
      </c>
      <c r="AR1634" s="918">
        <v>3.2040816326530592</v>
      </c>
      <c r="AS1634" s="918">
        <v>2.4058956916099756</v>
      </c>
      <c r="AT1634" s="918">
        <v>1.5170068027210888</v>
      </c>
      <c r="AU1634" s="918">
        <v>0.62811791383219917</v>
      </c>
      <c r="AV1634" s="918">
        <f t="shared" ca="1" si="122"/>
        <v>0.62811791383219917</v>
      </c>
      <c r="AX1634" s="86" t="str">
        <f t="shared" ca="1" si="124"/>
        <v>RWE</v>
      </c>
    </row>
    <row r="1635" spans="1:50" hidden="1">
      <c r="A1635" s="86" t="str">
        <f t="shared" ca="1" si="121"/>
        <v>SAP</v>
      </c>
      <c r="F1635" s="918">
        <v>5.656507955804436</v>
      </c>
      <c r="G1635" s="918">
        <v>6.5453968446933244</v>
      </c>
      <c r="H1635" s="918">
        <v>7.4342857335822137</v>
      </c>
      <c r="I1635" s="918">
        <v>8.3231746224711021</v>
      </c>
      <c r="J1635" s="918">
        <v>9.2120635113599914</v>
      </c>
      <c r="K1635" s="918">
        <v>10.100952400248881</v>
      </c>
      <c r="L1635" s="918">
        <v>10.989841289137768</v>
      </c>
      <c r="M1635" s="918">
        <v>11.878730178026657</v>
      </c>
      <c r="N1635" s="918">
        <v>12.874285733582214</v>
      </c>
      <c r="O1635" s="918">
        <v>13.869841289137769</v>
      </c>
      <c r="P1635" s="918">
        <v>14.758730178026658</v>
      </c>
      <c r="Q1635" s="918">
        <v>15.743105178026658</v>
      </c>
      <c r="R1635" s="918">
        <v>15.743105178026658</v>
      </c>
      <c r="S1635" s="918">
        <v>15.743105178026658</v>
      </c>
      <c r="T1635" s="918">
        <v>16.739644970414201</v>
      </c>
      <c r="U1635" s="918">
        <v>17.591715976331361</v>
      </c>
      <c r="V1635" s="918">
        <v>18.443786982248518</v>
      </c>
      <c r="W1635" s="918">
        <v>19.295857988165679</v>
      </c>
      <c r="X1635" s="918">
        <v>20.147928994082839</v>
      </c>
      <c r="Y1635" s="918">
        <v>21</v>
      </c>
      <c r="Z1635" s="918">
        <f t="shared" ca="1" si="123"/>
        <v>21</v>
      </c>
      <c r="AB1635" s="918">
        <v>5.0894324222547249</v>
      </c>
      <c r="AC1635" s="918">
        <v>5.0663356444489525</v>
      </c>
      <c r="AD1635" s="918">
        <v>5.143647029908486</v>
      </c>
      <c r="AE1635" s="918">
        <v>5.1809584153680195</v>
      </c>
      <c r="AF1635" s="918">
        <v>5.2182698008275539</v>
      </c>
      <c r="AG1635" s="918">
        <v>4.1782698008275538</v>
      </c>
      <c r="AH1635" s="918">
        <v>4.5429281250625975</v>
      </c>
      <c r="AI1635" s="918">
        <v>4.723912979909886</v>
      </c>
      <c r="AJ1635" s="918">
        <v>4.5670450660776858</v>
      </c>
      <c r="AK1635" s="918">
        <v>4.5877919481638543</v>
      </c>
      <c r="AL1635" s="918">
        <v>4.6407445530741311</v>
      </c>
      <c r="AM1635" s="918">
        <v>4.961452260025224</v>
      </c>
      <c r="AN1635" s="918">
        <v>4.14512572941298</v>
      </c>
      <c r="AO1635" s="918">
        <v>3.3287991988007346</v>
      </c>
      <c r="AP1635" s="918">
        <v>2.8651257294129797</v>
      </c>
      <c r="AQ1635" s="918">
        <v>2.2251257294129796</v>
      </c>
      <c r="AR1635" s="918">
        <v>2.7534229455480337</v>
      </c>
      <c r="AS1635" s="918">
        <v>3.11816539628557</v>
      </c>
      <c r="AT1635" s="918">
        <v>3.5223936137816003</v>
      </c>
      <c r="AU1635" s="918">
        <v>3.9190878286576329</v>
      </c>
      <c r="AV1635" s="918">
        <f t="shared" ca="1" si="122"/>
        <v>3.9190878286576329</v>
      </c>
      <c r="AX1635" s="86" t="str">
        <f t="shared" ca="1" si="124"/>
        <v>SAP</v>
      </c>
    </row>
    <row r="1636" spans="1:50" hidden="1">
      <c r="A1636" s="86" t="str">
        <f t="shared" ca="1" si="121"/>
        <v>SHECY</v>
      </c>
      <c r="F1636" s="918">
        <v>11.492380952380952</v>
      </c>
      <c r="G1636" s="918">
        <v>12.452380952380953</v>
      </c>
      <c r="H1636" s="918">
        <v>13.395691609977323</v>
      </c>
      <c r="I1636" s="918">
        <v>14.284580498866212</v>
      </c>
      <c r="J1636" s="918">
        <v>15.173469387755102</v>
      </c>
      <c r="K1636" s="918">
        <v>15.173469387755102</v>
      </c>
      <c r="L1636" s="918">
        <v>16.116780045351476</v>
      </c>
      <c r="M1636" s="918">
        <v>17.096371882086167</v>
      </c>
      <c r="N1636" s="918">
        <v>18.075963718820862</v>
      </c>
      <c r="O1636" s="918">
        <v>19.055555555555557</v>
      </c>
      <c r="P1636" s="918">
        <v>20.027777777777779</v>
      </c>
      <c r="Q1636" s="918">
        <v>21</v>
      </c>
      <c r="R1636" s="918">
        <v>21</v>
      </c>
      <c r="S1636" s="918">
        <v>21</v>
      </c>
      <c r="T1636" s="918">
        <v>21</v>
      </c>
      <c r="U1636" s="918">
        <v>21</v>
      </c>
      <c r="V1636" s="918">
        <v>20.411200000000001</v>
      </c>
      <c r="W1636" s="918">
        <v>20.7056</v>
      </c>
      <c r="X1636" s="918">
        <v>20.7056</v>
      </c>
      <c r="Y1636" s="918">
        <v>20.7056</v>
      </c>
      <c r="Z1636" s="918">
        <f t="shared" ca="1" si="123"/>
        <v>20.7056</v>
      </c>
      <c r="AB1636" s="918">
        <v>16.311113833815995</v>
      </c>
      <c r="AC1636" s="918">
        <v>16.560891067052793</v>
      </c>
      <c r="AD1636" s="918">
        <v>16.810000000000002</v>
      </c>
      <c r="AE1636" s="918">
        <v>16.060000000000002</v>
      </c>
      <c r="AF1636" s="918">
        <v>15.31</v>
      </c>
      <c r="AG1636" s="918">
        <v>14.56</v>
      </c>
      <c r="AH1636" s="918">
        <v>13.81</v>
      </c>
      <c r="AI1636" s="918">
        <v>13.06</v>
      </c>
      <c r="AJ1636" s="918">
        <v>13.81</v>
      </c>
      <c r="AK1636" s="918">
        <v>13.81</v>
      </c>
      <c r="AL1636" s="918">
        <v>13.81</v>
      </c>
      <c r="AM1636" s="918">
        <v>14.81</v>
      </c>
      <c r="AN1636" s="918">
        <v>14.81</v>
      </c>
      <c r="AO1636" s="918">
        <v>14.81</v>
      </c>
      <c r="AP1636" s="918">
        <v>14.81</v>
      </c>
      <c r="AQ1636" s="918">
        <v>14.81</v>
      </c>
      <c r="AR1636" s="918">
        <v>15</v>
      </c>
      <c r="AS1636" s="918">
        <v>13.719999999999999</v>
      </c>
      <c r="AT1636" s="918">
        <v>13.079999999999998</v>
      </c>
      <c r="AU1636" s="918">
        <v>12.439999999999998</v>
      </c>
      <c r="AV1636" s="918">
        <f t="shared" ca="1" si="122"/>
        <v>12.439999999999998</v>
      </c>
      <c r="AX1636" s="86" t="str">
        <f t="shared" ca="1" si="124"/>
        <v>SHECY</v>
      </c>
    </row>
    <row r="1637" spans="1:50" hidden="1">
      <c r="A1637" s="86" t="str">
        <f t="shared" ca="1" si="121"/>
        <v>SSYS</v>
      </c>
      <c r="F1637" s="918">
        <v>18.065486495844876</v>
      </c>
      <c r="G1637" s="918">
        <v>19.04055574792244</v>
      </c>
      <c r="H1637" s="918">
        <v>20.015625</v>
      </c>
      <c r="I1637" s="918">
        <v>20.015625</v>
      </c>
      <c r="J1637" s="918">
        <v>20.015625</v>
      </c>
      <c r="K1637" s="918">
        <v>20.015625</v>
      </c>
      <c r="L1637" s="918">
        <v>20.015625</v>
      </c>
      <c r="M1637" s="918">
        <v>20.015625</v>
      </c>
      <c r="N1637" s="918">
        <v>20.015625</v>
      </c>
      <c r="O1637" s="918">
        <v>20.015625</v>
      </c>
      <c r="P1637" s="918">
        <v>20.015625</v>
      </c>
      <c r="Q1637" s="918">
        <v>21</v>
      </c>
      <c r="R1637" s="918">
        <v>21</v>
      </c>
      <c r="S1637" s="918">
        <v>21</v>
      </c>
      <c r="T1637" s="918">
        <v>21</v>
      </c>
      <c r="U1637" s="918">
        <v>21</v>
      </c>
      <c r="V1637" s="918">
        <v>21</v>
      </c>
      <c r="W1637" s="918">
        <v>21</v>
      </c>
      <c r="X1637" s="918">
        <v>21</v>
      </c>
      <c r="Y1637" s="918" t="e">
        <v>#VALUE!</v>
      </c>
      <c r="Z1637" s="918" t="e">
        <f t="shared" si="123"/>
        <v>#VALUE!</v>
      </c>
      <c r="AB1637" s="918">
        <v>13.048162631635824</v>
      </c>
      <c r="AC1637" s="918">
        <v>12.056427094445741</v>
      </c>
      <c r="AD1637" s="918">
        <v>11.064691557255658</v>
      </c>
      <c r="AE1637" s="918">
        <v>10.072956020065575</v>
      </c>
      <c r="AF1637" s="918">
        <v>9.0812204828754926</v>
      </c>
      <c r="AG1637" s="918">
        <v>8.0894849456854097</v>
      </c>
      <c r="AH1637" s="918">
        <v>7.0977494084953268</v>
      </c>
      <c r="AI1637" s="918">
        <v>6.1060138713052439</v>
      </c>
      <c r="AJ1637" s="918">
        <v>8.097676357140223</v>
      </c>
      <c r="AK1637" s="918">
        <v>9.0976033057851211</v>
      </c>
      <c r="AL1637" s="918">
        <v>9.0976033057851211</v>
      </c>
      <c r="AM1637" s="918">
        <v>9.0976033057851211</v>
      </c>
      <c r="AN1637" s="918">
        <v>9.0976033057851264</v>
      </c>
      <c r="AO1637" s="918">
        <v>9.0976033057851264</v>
      </c>
      <c r="AP1637" s="918">
        <v>9.0976033057851247</v>
      </c>
      <c r="AQ1637" s="918">
        <v>9.0976033057851247</v>
      </c>
      <c r="AR1637" s="918">
        <v>10.09090909090909</v>
      </c>
      <c r="AS1637" s="918">
        <v>11.082644628099175</v>
      </c>
      <c r="AT1637" s="918">
        <v>12.074380165289256</v>
      </c>
      <c r="AU1637" s="918">
        <v>13.066115702479339</v>
      </c>
      <c r="AV1637" s="918">
        <f t="shared" ca="1" si="122"/>
        <v>13.066115702479339</v>
      </c>
      <c r="AX1637" s="86" t="str">
        <f t="shared" ca="1" si="124"/>
        <v>SSYS</v>
      </c>
    </row>
    <row r="1638" spans="1:50" hidden="1">
      <c r="A1638" s="86" t="str">
        <f t="shared" ca="1" si="121"/>
        <v>TSLA</v>
      </c>
      <c r="F1638" s="918">
        <v>19</v>
      </c>
      <c r="G1638" s="918">
        <v>19</v>
      </c>
      <c r="H1638" s="918">
        <v>19</v>
      </c>
      <c r="I1638" s="918">
        <v>19</v>
      </c>
      <c r="J1638" s="918">
        <v>19</v>
      </c>
      <c r="K1638" s="918">
        <v>19</v>
      </c>
      <c r="L1638" s="918">
        <v>19</v>
      </c>
      <c r="M1638" s="918">
        <v>19</v>
      </c>
      <c r="N1638" s="918">
        <v>20</v>
      </c>
      <c r="O1638" s="918">
        <v>21</v>
      </c>
      <c r="P1638" s="918">
        <v>21</v>
      </c>
      <c r="Q1638" s="918">
        <v>21</v>
      </c>
      <c r="R1638" s="918">
        <v>21</v>
      </c>
      <c r="S1638" s="918">
        <v>21</v>
      </c>
      <c r="T1638" s="918">
        <v>21</v>
      </c>
      <c r="U1638" s="918">
        <v>21</v>
      </c>
      <c r="V1638" s="918">
        <v>21</v>
      </c>
      <c r="W1638" s="918">
        <v>21</v>
      </c>
      <c r="X1638" s="918">
        <v>21</v>
      </c>
      <c r="Y1638" s="918">
        <v>21</v>
      </c>
      <c r="Z1638" s="918">
        <f t="shared" ca="1" si="123"/>
        <v>21</v>
      </c>
      <c r="AB1638" s="918">
        <v>5.04729526088492</v>
      </c>
      <c r="AC1638" s="918">
        <v>5.0522941470026872</v>
      </c>
      <c r="AD1638" s="918">
        <v>5.0572930331204544</v>
      </c>
      <c r="AE1638" s="918">
        <v>5.0611440771812886</v>
      </c>
      <c r="AF1638" s="918">
        <v>5.0649951212421236</v>
      </c>
      <c r="AG1638" s="918">
        <v>5.0688461653029586</v>
      </c>
      <c r="AH1638" s="918">
        <v>5.0738450514207258</v>
      </c>
      <c r="AI1638" s="918">
        <v>5.0788439375384931</v>
      </c>
      <c r="AJ1638" s="918">
        <v>5.9590455835615757</v>
      </c>
      <c r="AK1638" s="918">
        <v>6.4007199449035275</v>
      </c>
      <c r="AL1638" s="918">
        <v>5.8451643893479721</v>
      </c>
      <c r="AM1638" s="918">
        <v>6.287542718089937</v>
      </c>
      <c r="AN1638" s="918">
        <v>5.7319871625343781</v>
      </c>
      <c r="AO1638" s="918">
        <v>5.1764316069788228</v>
      </c>
      <c r="AP1638" s="918">
        <v>4.6208760514232692</v>
      </c>
      <c r="AQ1638" s="918">
        <v>4.0653204958677129</v>
      </c>
      <c r="AR1638" s="918">
        <v>4.5059417365361538</v>
      </c>
      <c r="AS1638" s="918">
        <v>4.4241242262054863</v>
      </c>
      <c r="AT1638" s="918">
        <v>5.1246196410448874</v>
      </c>
      <c r="AU1638" s="918">
        <v>5.564344080827599</v>
      </c>
      <c r="AV1638" s="918">
        <f t="shared" ca="1" si="122"/>
        <v>5.564344080827599</v>
      </c>
      <c r="AX1638" s="86" t="str">
        <f t="shared" ca="1" si="124"/>
        <v>TSLA</v>
      </c>
    </row>
    <row r="1639" spans="1:50" hidden="1">
      <c r="A1639" s="86" t="str">
        <f t="shared" ca="1" si="121"/>
        <v>TSM</v>
      </c>
      <c r="F1639" s="918">
        <v>12.361660899653979</v>
      </c>
      <c r="G1639" s="918">
        <v>13.192110726643598</v>
      </c>
      <c r="H1639" s="918">
        <v>14.022560553633218</v>
      </c>
      <c r="I1639" s="918">
        <v>14.936055363321799</v>
      </c>
      <c r="J1639" s="918">
        <v>15.84955017301038</v>
      </c>
      <c r="K1639" s="918">
        <v>16.68</v>
      </c>
      <c r="L1639" s="918">
        <v>17.52</v>
      </c>
      <c r="M1639" s="918">
        <v>18.36</v>
      </c>
      <c r="N1639" s="918">
        <v>19.2</v>
      </c>
      <c r="O1639" s="918">
        <v>20.04</v>
      </c>
      <c r="P1639" s="918">
        <v>20.04</v>
      </c>
      <c r="Q1639" s="918">
        <v>21</v>
      </c>
      <c r="R1639" s="918">
        <v>21</v>
      </c>
      <c r="S1639" s="918">
        <v>21</v>
      </c>
      <c r="T1639" s="918">
        <v>21</v>
      </c>
      <c r="U1639" s="918">
        <v>21</v>
      </c>
      <c r="V1639" s="918">
        <v>21</v>
      </c>
      <c r="W1639" s="918">
        <v>21</v>
      </c>
      <c r="X1639" s="918">
        <v>21</v>
      </c>
      <c r="Y1639" s="918">
        <v>21</v>
      </c>
      <c r="Z1639" s="918">
        <f t="shared" ca="1" si="123"/>
        <v>21</v>
      </c>
      <c r="AB1639" s="918">
        <v>8.5571364083521217</v>
      </c>
      <c r="AC1639" s="918">
        <v>8.6756273419190215</v>
      </c>
      <c r="AD1639" s="918">
        <v>8.7941182754859213</v>
      </c>
      <c r="AE1639" s="918">
        <v>8.9126092090528228</v>
      </c>
      <c r="AF1639" s="918">
        <v>9.0311001426197226</v>
      </c>
      <c r="AG1639" s="918">
        <v>9.1472342146418839</v>
      </c>
      <c r="AH1639" s="918">
        <v>9.2633682866640434</v>
      </c>
      <c r="AI1639" s="918">
        <v>9.379502358686203</v>
      </c>
      <c r="AJ1639" s="918">
        <v>10.243768286664046</v>
      </c>
      <c r="AK1639" s="918">
        <v>10.243768286664048</v>
      </c>
      <c r="AL1639" s="918">
        <v>10.243768286664048</v>
      </c>
      <c r="AM1639" s="918">
        <v>10.243768286664048</v>
      </c>
      <c r="AN1639" s="918">
        <v>8.4070335927864956</v>
      </c>
      <c r="AO1639" s="918">
        <v>7.488666245847722</v>
      </c>
      <c r="AP1639" s="918">
        <v>6.5702988989089457</v>
      </c>
      <c r="AQ1639" s="918">
        <v>5.6519315519701703</v>
      </c>
      <c r="AR1639" s="918">
        <v>5.7200782528982002</v>
      </c>
      <c r="AS1639" s="918">
        <v>5.728305151955392</v>
      </c>
      <c r="AT1639" s="918">
        <v>5.7649102662039855</v>
      </c>
      <c r="AU1639" s="918" t="e">
        <v>#VALUE!</v>
      </c>
      <c r="AV1639" s="918" t="e">
        <f t="shared" ca="1" si="122"/>
        <v>#VALUE!</v>
      </c>
      <c r="AX1639" s="86" t="str">
        <f t="shared" ca="1" si="124"/>
        <v>TSM</v>
      </c>
    </row>
    <row r="1640" spans="1:50" hidden="1">
      <c r="A1640" s="86" t="str">
        <f t="shared" ca="1" si="121"/>
        <v>UN0</v>
      </c>
      <c r="F1640" s="918">
        <v>17.111111111111114</v>
      </c>
      <c r="G1640" s="918">
        <v>17.666666666666668</v>
      </c>
      <c r="H1640" s="918">
        <v>18.222222222222221</v>
      </c>
      <c r="I1640" s="918">
        <v>18.777777777777779</v>
      </c>
      <c r="J1640" s="918">
        <v>19.333333333333336</v>
      </c>
      <c r="K1640" s="918">
        <v>19.888888888888889</v>
      </c>
      <c r="L1640" s="918">
        <v>20.444444444444443</v>
      </c>
      <c r="M1640" s="918">
        <v>21</v>
      </c>
      <c r="N1640" s="918">
        <v>21</v>
      </c>
      <c r="O1640" s="918">
        <v>21</v>
      </c>
      <c r="P1640" s="918">
        <v>21</v>
      </c>
      <c r="Q1640" s="918">
        <v>21</v>
      </c>
      <c r="R1640" s="918">
        <v>21</v>
      </c>
      <c r="S1640" s="918">
        <v>21</v>
      </c>
      <c r="T1640" s="918">
        <v>21</v>
      </c>
      <c r="U1640" s="918">
        <v>21</v>
      </c>
      <c r="V1640" s="918">
        <v>21</v>
      </c>
      <c r="W1640" s="918">
        <v>21</v>
      </c>
      <c r="X1640" s="918">
        <v>21</v>
      </c>
      <c r="Y1640" s="918">
        <v>21</v>
      </c>
      <c r="Z1640" s="918">
        <f t="shared" ca="1" si="123"/>
        <v>21</v>
      </c>
      <c r="AB1640" s="918">
        <v>1.6825008533524934</v>
      </c>
      <c r="AC1640" s="918">
        <v>1.932422538684156</v>
      </c>
      <c r="AD1640" s="918">
        <v>2.1823442240158188</v>
      </c>
      <c r="AE1640" s="918">
        <v>2.432265909347481</v>
      </c>
      <c r="AF1640" s="918">
        <v>2.682187594679144</v>
      </c>
      <c r="AG1640" s="918">
        <v>2.9321092800108062</v>
      </c>
      <c r="AH1640" s="918">
        <v>3.1820309653424692</v>
      </c>
      <c r="AI1640" s="918">
        <v>3.4319526506741314</v>
      </c>
      <c r="AJ1640" s="918">
        <v>5.1799235945910214</v>
      </c>
      <c r="AK1640" s="918">
        <v>6.178601280541435</v>
      </c>
      <c r="AL1640" s="918">
        <v>6.178601280541435</v>
      </c>
      <c r="AM1640" s="918">
        <v>7.1778708203515151</v>
      </c>
      <c r="AN1640" s="918">
        <v>8.1771403601615962</v>
      </c>
      <c r="AO1640" s="918">
        <v>9.1764098999716772</v>
      </c>
      <c r="AP1640" s="918">
        <v>10.175679439781756</v>
      </c>
      <c r="AQ1640" s="918">
        <v>11.174948979591836</v>
      </c>
      <c r="AR1640" s="918">
        <v>12.137755102040817</v>
      </c>
      <c r="AS1640" s="918">
        <v>13.091836734693878</v>
      </c>
      <c r="AT1640" s="918">
        <v>14.045918367346939</v>
      </c>
      <c r="AU1640" s="918" t="e">
        <v>#VALUE!</v>
      </c>
      <c r="AV1640" s="918" t="e">
        <f t="shared" ca="1" si="122"/>
        <v>#VALUE!</v>
      </c>
      <c r="AX1640" s="86" t="str">
        <f t="shared" ca="1" si="124"/>
        <v>UN0</v>
      </c>
    </row>
    <row r="1641" spans="1:50" hidden="1">
      <c r="A1641" s="86" t="str">
        <f t="shared" ca="1" si="121"/>
        <v>UNIT</v>
      </c>
      <c r="F1641" s="918">
        <v>6.6179080695459014</v>
      </c>
      <c r="G1641" s="918">
        <v>7.6144478619334448</v>
      </c>
      <c r="H1641" s="918">
        <v>8.6109876543209882</v>
      </c>
      <c r="I1641" s="918">
        <v>9.5986419753086416</v>
      </c>
      <c r="J1641" s="918">
        <v>10.586296296296297</v>
      </c>
      <c r="K1641" s="918">
        <v>11.573950617283952</v>
      </c>
      <c r="L1641" s="918">
        <v>12.561604938271605</v>
      </c>
      <c r="M1641" s="918">
        <v>13.450493827160495</v>
      </c>
      <c r="N1641" s="918">
        <v>14.200493827160495</v>
      </c>
      <c r="O1641" s="918">
        <v>15.160493827160494</v>
      </c>
      <c r="P1641" s="918">
        <v>15.160493827160494</v>
      </c>
      <c r="Q1641" s="918">
        <v>16.160493827160494</v>
      </c>
      <c r="R1641" s="918">
        <v>16.851851851851851</v>
      </c>
      <c r="S1641" s="918">
        <v>17.543209876543209</v>
      </c>
      <c r="T1641" s="918">
        <v>18.23456790123457</v>
      </c>
      <c r="U1641" s="918">
        <v>18.925925925925924</v>
      </c>
      <c r="V1641" s="918">
        <v>19.617283950617285</v>
      </c>
      <c r="W1641" s="918">
        <v>20.308641975308642</v>
      </c>
      <c r="X1641" s="918">
        <v>21</v>
      </c>
      <c r="Y1641" s="918">
        <v>21</v>
      </c>
      <c r="Z1641" s="918">
        <f t="shared" ca="1" si="123"/>
        <v>21</v>
      </c>
      <c r="AB1641" s="918">
        <v>10.827072778393912</v>
      </c>
      <c r="AC1641" s="918">
        <v>10.82707277839391</v>
      </c>
      <c r="AD1641" s="918">
        <v>11.825182419225669</v>
      </c>
      <c r="AE1641" s="918">
        <v>12.823993358583577</v>
      </c>
      <c r="AF1641" s="918">
        <v>13.822804297941484</v>
      </c>
      <c r="AG1641" s="918">
        <v>14.82161523729939</v>
      </c>
      <c r="AH1641" s="918">
        <v>15.820957775103468</v>
      </c>
      <c r="AI1641" s="918">
        <v>16.819131491225903</v>
      </c>
      <c r="AJ1641" s="918">
        <v>17.816456104781192</v>
      </c>
      <c r="AK1641" s="918">
        <v>18.813780718336485</v>
      </c>
      <c r="AL1641" s="918">
        <v>19.811890359168242</v>
      </c>
      <c r="AM1641" s="918">
        <v>20.810000000000002</v>
      </c>
      <c r="AN1641" s="918">
        <v>20.810000000000002</v>
      </c>
      <c r="AO1641" s="918">
        <v>20.810000000000002</v>
      </c>
      <c r="AP1641" s="918">
        <v>20.810000000000002</v>
      </c>
      <c r="AQ1641" s="918">
        <v>20.810000000000002</v>
      </c>
      <c r="AR1641" s="918">
        <v>21</v>
      </c>
      <c r="AS1641" s="918">
        <v>21</v>
      </c>
      <c r="AT1641" s="918">
        <v>21</v>
      </c>
      <c r="AU1641" s="918" t="e">
        <v>#VALUE!</v>
      </c>
      <c r="AV1641" s="918" t="e">
        <f t="shared" ca="1" si="122"/>
        <v>#VALUE!</v>
      </c>
      <c r="AX1641" s="86" t="str">
        <f t="shared" ca="1" si="124"/>
        <v>UNIT</v>
      </c>
    </row>
    <row r="1642" spans="1:50" hidden="1">
      <c r="A1642" s="86" t="str">
        <f t="shared" ca="1" si="121"/>
        <v>VLVLY</v>
      </c>
      <c r="F1642" s="918">
        <v>11.638649950338262</v>
      </c>
      <c r="G1642" s="918">
        <v>11.638649950338262</v>
      </c>
      <c r="H1642" s="918">
        <v>12.557017297277039</v>
      </c>
      <c r="I1642" s="918">
        <v>13.475384644215813</v>
      </c>
      <c r="J1642" s="918">
        <v>14.393751991154588</v>
      </c>
      <c r="K1642" s="918">
        <v>15.312119338093364</v>
      </c>
      <c r="L1642" s="918">
        <v>16.23048668503214</v>
      </c>
      <c r="M1642" s="918">
        <v>17.222222222222221</v>
      </c>
      <c r="N1642" s="918">
        <v>18.111111111111111</v>
      </c>
      <c r="O1642" s="918">
        <v>19</v>
      </c>
      <c r="P1642" s="918">
        <v>20</v>
      </c>
      <c r="Q1642" s="918">
        <v>21</v>
      </c>
      <c r="R1642" s="918">
        <v>21</v>
      </c>
      <c r="S1642" s="918">
        <v>21</v>
      </c>
      <c r="T1642" s="918">
        <v>21</v>
      </c>
      <c r="U1642" s="918">
        <v>21</v>
      </c>
      <c r="V1642" s="918">
        <v>21</v>
      </c>
      <c r="W1642" s="918">
        <v>21</v>
      </c>
      <c r="X1642" s="918">
        <v>21</v>
      </c>
      <c r="Y1642" s="918">
        <v>21</v>
      </c>
      <c r="Z1642" s="918">
        <f t="shared" ca="1" si="123"/>
        <v>21</v>
      </c>
      <c r="AB1642" s="918">
        <v>10.089678224772136</v>
      </c>
      <c r="AC1642" s="918">
        <v>9.2007893358832469</v>
      </c>
      <c r="AD1642" s="918">
        <v>8.3119004469943594</v>
      </c>
      <c r="AE1642" s="918">
        <v>7.4230115581054745</v>
      </c>
      <c r="AF1642" s="918">
        <v>6.5341226692165879</v>
      </c>
      <c r="AG1642" s="918">
        <v>5.6452337803276977</v>
      </c>
      <c r="AH1642" s="918">
        <v>5.7508124824503524</v>
      </c>
      <c r="AI1642" s="918">
        <v>6.2525408775120805</v>
      </c>
      <c r="AJ1642" s="918">
        <v>7.9394544577589947</v>
      </c>
      <c r="AK1642" s="918">
        <v>7.7162600133145496</v>
      </c>
      <c r="AL1642" s="918">
        <v>7.1068850133145496</v>
      </c>
      <c r="AM1642" s="918">
        <v>7.2712812375440841</v>
      </c>
      <c r="AN1642" s="918">
        <v>7.5432935913431631</v>
      </c>
      <c r="AO1642" s="918">
        <v>7.8153059451422422</v>
      </c>
      <c r="AP1642" s="918">
        <v>8.0873182989413213</v>
      </c>
      <c r="AQ1642" s="918">
        <v>8.3593306527404003</v>
      </c>
      <c r="AR1642" s="918">
        <v>7.3490538361314011</v>
      </c>
      <c r="AS1642" s="918">
        <v>8.309053836131401</v>
      </c>
      <c r="AT1642" s="918">
        <v>8.309053836131401</v>
      </c>
      <c r="AU1642" s="918">
        <v>8.3090538361314028</v>
      </c>
      <c r="AV1642" s="918">
        <f t="shared" ca="1" si="122"/>
        <v>8.3090538361314028</v>
      </c>
      <c r="AX1642" s="86" t="str">
        <f t="shared" ca="1" si="124"/>
        <v>VLVLY</v>
      </c>
    </row>
    <row r="1643" spans="1:50" hidden="1">
      <c r="A1643" s="86" t="str">
        <f t="shared" ca="1" si="121"/>
        <v>VONN</v>
      </c>
      <c r="F1643" s="918">
        <v>8.4177072991822222</v>
      </c>
      <c r="G1643" s="918">
        <v>7.4259717619921402</v>
      </c>
      <c r="H1643" s="918">
        <v>6.4342362248020573</v>
      </c>
      <c r="I1643" s="918">
        <v>5.4425006876119744</v>
      </c>
      <c r="J1643" s="918">
        <v>4.4507651504218915</v>
      </c>
      <c r="K1643" s="918">
        <v>3.4590296132318152</v>
      </c>
      <c r="L1643" s="918">
        <v>3.4638338684292762</v>
      </c>
      <c r="M1643" s="918">
        <v>3.2884248618514387</v>
      </c>
      <c r="N1643" s="918">
        <v>4.2801603990415211</v>
      </c>
      <c r="O1643" s="918">
        <v>4.2801603990415176</v>
      </c>
      <c r="P1643" s="918">
        <v>4.2801603990415176</v>
      </c>
      <c r="Q1643" s="918">
        <v>5.1322314049586772</v>
      </c>
      <c r="R1643" s="918">
        <v>6.1239669421487601</v>
      </c>
      <c r="S1643" s="918">
        <v>7.115702479338843</v>
      </c>
      <c r="T1643" s="918">
        <v>8.1074380165289259</v>
      </c>
      <c r="U1643" s="918">
        <v>9.0991735537190088</v>
      </c>
      <c r="V1643" s="918">
        <v>10.09090909090909</v>
      </c>
      <c r="W1643" s="918">
        <v>11.082644628099175</v>
      </c>
      <c r="X1643" s="918">
        <v>12.074380165289256</v>
      </c>
      <c r="Y1643" s="918">
        <v>13.066115702479339</v>
      </c>
      <c r="Z1643" s="918">
        <f t="shared" ca="1" si="123"/>
        <v>13.066115702479339</v>
      </c>
      <c r="AB1643" s="918">
        <v>9.4686372994357964</v>
      </c>
      <c r="AC1643" s="918">
        <v>8.5797484105469071</v>
      </c>
      <c r="AD1643" s="918">
        <v>7.6908595216580187</v>
      </c>
      <c r="AE1643" s="918">
        <v>6.8019706327691294</v>
      </c>
      <c r="AF1643" s="918">
        <v>5.9130817438802401</v>
      </c>
      <c r="AG1643" s="918">
        <v>5.0241928549913508</v>
      </c>
      <c r="AH1643" s="918">
        <v>6.908361739218507</v>
      </c>
      <c r="AI1643" s="918">
        <v>7.903641734556774</v>
      </c>
      <c r="AJ1643" s="918">
        <v>7.9036417345567749</v>
      </c>
      <c r="AK1643" s="918">
        <v>6.2236417345567752</v>
      </c>
      <c r="AL1643" s="918">
        <v>7.063641734556775</v>
      </c>
      <c r="AM1643" s="918">
        <v>5.4768648750526419</v>
      </c>
      <c r="AN1643" s="918">
        <v>7.2655333001429749</v>
      </c>
      <c r="AO1643" s="918">
        <v>6.6080355177034633</v>
      </c>
      <c r="AP1643" s="918">
        <v>6.776926624152841</v>
      </c>
      <c r="AQ1643" s="918">
        <v>7.9874843972688865</v>
      </c>
      <c r="AR1643" s="918">
        <v>9.262201166387797</v>
      </c>
      <c r="AS1643" s="918">
        <v>9.0053785905400865</v>
      </c>
      <c r="AT1643" s="918">
        <v>9.3579310146923778</v>
      </c>
      <c r="AU1643" s="918">
        <v>9.6374449035812653</v>
      </c>
      <c r="AV1643" s="918">
        <f t="shared" ca="1" si="122"/>
        <v>9.6374449035812653</v>
      </c>
      <c r="AX1643" s="86" t="str">
        <f t="shared" ca="1" si="124"/>
        <v>VONN</v>
      </c>
    </row>
    <row r="1644" spans="1:50" hidden="1">
      <c r="A1644" s="86" t="str">
        <f t="shared" ca="1" si="121"/>
        <v>VTRS</v>
      </c>
      <c r="F1644" s="918">
        <v>11.148760330578513</v>
      </c>
      <c r="G1644" s="918">
        <v>11.148760330578513</v>
      </c>
      <c r="H1644" s="918">
        <v>11.148760330578511</v>
      </c>
      <c r="I1644" s="918">
        <v>11.148760330578511</v>
      </c>
      <c r="J1644" s="918">
        <v>11.148760330578511</v>
      </c>
      <c r="K1644" s="918">
        <v>11.148760330578511</v>
      </c>
      <c r="L1644" s="918">
        <v>12.074380165289256</v>
      </c>
      <c r="M1644" s="918">
        <v>13</v>
      </c>
      <c r="N1644" s="918">
        <v>13</v>
      </c>
      <c r="O1644" s="918">
        <v>13</v>
      </c>
      <c r="P1644" s="918">
        <v>13</v>
      </c>
      <c r="Q1644" s="918">
        <v>13</v>
      </c>
      <c r="R1644" s="918">
        <v>14</v>
      </c>
      <c r="S1644" s="918">
        <v>15</v>
      </c>
      <c r="T1644" s="918">
        <v>16</v>
      </c>
      <c r="U1644" s="918">
        <v>17</v>
      </c>
      <c r="V1644" s="918">
        <v>18</v>
      </c>
      <c r="W1644" s="918">
        <v>18.020408163265309</v>
      </c>
      <c r="X1644" s="918">
        <v>19.510204081632654</v>
      </c>
      <c r="Y1644" s="918">
        <v>20.510204081632654</v>
      </c>
      <c r="Z1644" s="918">
        <f t="shared" ca="1" si="123"/>
        <v>20.510204081632654</v>
      </c>
      <c r="AB1644" s="918">
        <v>10.363559983588161</v>
      </c>
      <c r="AC1644" s="918">
        <v>9.4746710946992714</v>
      </c>
      <c r="AD1644" s="918">
        <v>9.5589077097071833</v>
      </c>
      <c r="AE1644" s="918">
        <v>8.670018820818294</v>
      </c>
      <c r="AF1644" s="918">
        <v>7.7811299319294047</v>
      </c>
      <c r="AG1644" s="918">
        <v>7.8704727011969249</v>
      </c>
      <c r="AH1644" s="918">
        <v>6.9815838123080356</v>
      </c>
      <c r="AI1644" s="918">
        <v>6.0926949234191463</v>
      </c>
      <c r="AJ1644" s="918">
        <v>6.1799445764034822</v>
      </c>
      <c r="AK1644" s="918">
        <v>6.2719533013687814</v>
      </c>
      <c r="AL1644" s="918">
        <v>5.383064412479893</v>
      </c>
      <c r="AM1644" s="918">
        <v>4.4941755235910072</v>
      </c>
      <c r="AN1644" s="918">
        <v>5.3830644124798948</v>
      </c>
      <c r="AO1644" s="918">
        <v>5.3830644124798948</v>
      </c>
      <c r="AP1644" s="918">
        <v>6.3681923125393833</v>
      </c>
      <c r="AQ1644" s="918">
        <v>6.3681923125393824</v>
      </c>
      <c r="AR1644" s="918">
        <v>7.3607813484562064</v>
      </c>
      <c r="AS1644" s="918">
        <v>7.2405208989708045</v>
      </c>
      <c r="AT1644" s="918">
        <v>7.0931653014072671</v>
      </c>
      <c r="AU1644" s="918">
        <v>7.2371350556605751</v>
      </c>
      <c r="AV1644" s="918">
        <f t="shared" ca="1" si="122"/>
        <v>7.2371350556605751</v>
      </c>
      <c r="AX1644" s="86" t="str">
        <f t="shared" ca="1" si="124"/>
        <v>VTRS</v>
      </c>
    </row>
    <row r="1645" spans="1:50" hidden="1">
      <c r="A1645" s="86" t="str">
        <f t="shared" ca="1" si="121"/>
        <v>WBA</v>
      </c>
      <c r="F1645" s="918">
        <v>13.982505165289256</v>
      </c>
      <c r="G1645" s="918">
        <v>13.982505165289256</v>
      </c>
      <c r="H1645" s="918">
        <v>14.920005165289256</v>
      </c>
      <c r="I1645" s="918">
        <v>14.920005165289258</v>
      </c>
      <c r="J1645" s="918">
        <v>14.920005165289258</v>
      </c>
      <c r="K1645" s="918">
        <v>15.904380165289258</v>
      </c>
      <c r="L1645" s="918">
        <v>15.904380165289258</v>
      </c>
      <c r="M1645" s="918">
        <v>15.904380165289258</v>
      </c>
      <c r="N1645" s="918">
        <v>16.864380165289255</v>
      </c>
      <c r="O1645" s="918">
        <v>17.824380165289256</v>
      </c>
      <c r="P1645" s="918">
        <v>17.824380165289256</v>
      </c>
      <c r="Q1645" s="918">
        <v>17.824380165289256</v>
      </c>
      <c r="R1645" s="918">
        <v>17.824380165289256</v>
      </c>
      <c r="S1645" s="918">
        <v>17.824380165289256</v>
      </c>
      <c r="T1645" s="918">
        <v>18.75</v>
      </c>
      <c r="U1645" s="918">
        <v>18.75</v>
      </c>
      <c r="V1645" s="918">
        <v>19.5</v>
      </c>
      <c r="W1645" s="918">
        <v>20.25</v>
      </c>
      <c r="X1645" s="918">
        <v>21</v>
      </c>
      <c r="Y1645" s="918" t="e">
        <v>#VALUE!</v>
      </c>
      <c r="Z1645" s="918" t="e">
        <f t="shared" si="123"/>
        <v>#VALUE!</v>
      </c>
      <c r="AB1645" s="918">
        <v>9.6567302001141684</v>
      </c>
      <c r="AC1645" s="918">
        <v>8.8167302001141685</v>
      </c>
      <c r="AD1645" s="918">
        <v>7.9767302001141687</v>
      </c>
      <c r="AE1645" s="918">
        <v>7.1367302001141688</v>
      </c>
      <c r="AF1645" s="918">
        <v>6.296730200114169</v>
      </c>
      <c r="AG1645" s="918">
        <v>5.4567302001141691</v>
      </c>
      <c r="AH1645" s="918">
        <v>4.6167302001141692</v>
      </c>
      <c r="AI1645" s="918">
        <v>3.7767302001141694</v>
      </c>
      <c r="AJ1645" s="918">
        <v>4.6167302001141657</v>
      </c>
      <c r="AK1645" s="918">
        <v>4.6167302001141657</v>
      </c>
      <c r="AL1645" s="918">
        <v>5.5708118327672267</v>
      </c>
      <c r="AM1645" s="918">
        <v>6.5248934654202877</v>
      </c>
      <c r="AN1645" s="918">
        <v>7.4789750980733487</v>
      </c>
      <c r="AO1645" s="918">
        <v>8.4330567307264097</v>
      </c>
      <c r="AP1645" s="918">
        <v>9.3871383633794707</v>
      </c>
      <c r="AQ1645" s="918">
        <v>10.341219996032532</v>
      </c>
      <c r="AR1645" s="918">
        <v>11.328204721285459</v>
      </c>
      <c r="AS1645" s="918">
        <v>12.312136480856973</v>
      </c>
      <c r="AT1645" s="918">
        <v>13.296068240428486</v>
      </c>
      <c r="AU1645" s="918">
        <v>14.28</v>
      </c>
      <c r="AV1645" s="918">
        <f t="shared" ca="1" si="122"/>
        <v>14.28</v>
      </c>
      <c r="AX1645" s="86" t="str">
        <f t="shared" ca="1" si="124"/>
        <v>WBA</v>
      </c>
    </row>
    <row r="1646" spans="1:50" hidden="1">
      <c r="A1646" s="86" t="str">
        <f t="shared" ca="1" si="121"/>
        <v>XOM</v>
      </c>
      <c r="F1646" s="918">
        <v>11.692041522491351</v>
      </c>
      <c r="G1646" s="918">
        <v>11.692041522491351</v>
      </c>
      <c r="H1646" s="918">
        <v>11.692041522491351</v>
      </c>
      <c r="I1646" s="918">
        <v>11.692041522491351</v>
      </c>
      <c r="J1646" s="918">
        <v>11.692041522491351</v>
      </c>
      <c r="K1646" s="918">
        <v>11.692041522491351</v>
      </c>
      <c r="L1646" s="918">
        <v>11.692041522491348</v>
      </c>
      <c r="M1646" s="918">
        <v>11.692041522491348</v>
      </c>
      <c r="N1646" s="918">
        <v>11.692041522491349</v>
      </c>
      <c r="O1646" s="918">
        <v>11.692041522491349</v>
      </c>
      <c r="P1646" s="918">
        <v>12.692041522491349</v>
      </c>
      <c r="Q1646" s="918">
        <v>13.692041522491349</v>
      </c>
      <c r="R1646" s="918">
        <v>14.605536332179931</v>
      </c>
      <c r="S1646" s="918">
        <v>15.519031141868512</v>
      </c>
      <c r="T1646" s="918">
        <v>16.432525951557093</v>
      </c>
      <c r="U1646" s="918">
        <v>17.346020761245676</v>
      </c>
      <c r="V1646" s="918">
        <v>18.259515570934255</v>
      </c>
      <c r="W1646" s="918">
        <v>19.173010380622838</v>
      </c>
      <c r="X1646" s="918">
        <v>20.086505190311421</v>
      </c>
      <c r="Y1646" s="918" t="e">
        <v>#VALUE!</v>
      </c>
      <c r="Z1646" s="918" t="e">
        <f t="shared" si="123"/>
        <v>#VALUE!</v>
      </c>
      <c r="AB1646" s="918">
        <v>4.0618623271252279</v>
      </c>
      <c r="AC1646" s="918">
        <v>4.061804055462737</v>
      </c>
      <c r="AD1646" s="918">
        <v>4.0617457838002462</v>
      </c>
      <c r="AE1646" s="918">
        <v>4.0616875121377554</v>
      </c>
      <c r="AF1646" s="918">
        <v>4.0616292404752654</v>
      </c>
      <c r="AG1646" s="918">
        <v>4.0615709688127746</v>
      </c>
      <c r="AH1646" s="918">
        <v>4.0615126971502846</v>
      </c>
      <c r="AI1646" s="918">
        <v>4.0614544254877938</v>
      </c>
      <c r="AJ1646" s="918">
        <v>6.0614544254877938</v>
      </c>
      <c r="AK1646" s="918">
        <v>7.0614544254877938</v>
      </c>
      <c r="AL1646" s="918">
        <v>8.0614544254877938</v>
      </c>
      <c r="AM1646" s="918">
        <v>9.0614544254877938</v>
      </c>
      <c r="AN1646" s="918">
        <v>9.0614544254877938</v>
      </c>
      <c r="AO1646" s="918">
        <v>9.0614544254877938</v>
      </c>
      <c r="AP1646" s="918">
        <v>9.0614544254877938</v>
      </c>
      <c r="AQ1646" s="918">
        <v>9.0614544254877938</v>
      </c>
      <c r="AR1646" s="918">
        <v>10.055270053727966</v>
      </c>
      <c r="AS1646" s="918">
        <v>11.047635026863983</v>
      </c>
      <c r="AT1646" s="918">
        <v>12.04</v>
      </c>
      <c r="AU1646" s="918">
        <v>13</v>
      </c>
      <c r="AV1646" s="918">
        <f t="shared" ca="1" si="122"/>
        <v>13</v>
      </c>
      <c r="AX1646" s="86" t="str">
        <f t="shared" ca="1" si="124"/>
        <v>XOM</v>
      </c>
    </row>
    <row r="1647" spans="1:50" hidden="1">
      <c r="A1647" s="86" t="str">
        <f t="shared" ca="1" si="121"/>
        <v>XPER</v>
      </c>
      <c r="F1647" s="918">
        <v>10.440248569883131</v>
      </c>
      <c r="G1647" s="918">
        <v>11.437478486780639</v>
      </c>
      <c r="H1647" s="918">
        <v>12.434708403678146</v>
      </c>
      <c r="I1647" s="918">
        <v>13.431938320575654</v>
      </c>
      <c r="J1647" s="918">
        <v>14.42916823747316</v>
      </c>
      <c r="K1647" s="918">
        <v>15.426398154370666</v>
      </c>
      <c r="L1647" s="918">
        <v>16.423628071268173</v>
      </c>
      <c r="M1647" s="918">
        <v>17.420857988165679</v>
      </c>
      <c r="N1647" s="918">
        <v>18.358357988165679</v>
      </c>
      <c r="O1647" s="918">
        <v>19.295857988165679</v>
      </c>
      <c r="P1647" s="918">
        <v>20.147928994082839</v>
      </c>
      <c r="Q1647" s="918">
        <v>21</v>
      </c>
      <c r="R1647" s="918">
        <v>21</v>
      </c>
      <c r="S1647" s="918">
        <v>21</v>
      </c>
      <c r="T1647" s="918">
        <v>21</v>
      </c>
      <c r="U1647" s="918">
        <v>21</v>
      </c>
      <c r="V1647" s="918">
        <v>21</v>
      </c>
      <c r="W1647" s="918">
        <v>21</v>
      </c>
      <c r="X1647" s="918">
        <v>21</v>
      </c>
      <c r="Y1647" s="918" t="e">
        <v>#VALUE!</v>
      </c>
      <c r="Z1647" s="918" t="e">
        <f t="shared" si="123"/>
        <v>#VALUE!</v>
      </c>
      <c r="AB1647" s="918">
        <v>13.029467243777708</v>
      </c>
      <c r="AC1647" s="918">
        <v>13.152438187694598</v>
      </c>
      <c r="AD1647" s="918">
        <v>12.714938187694598</v>
      </c>
      <c r="AE1647" s="918">
        <v>12.277438187694598</v>
      </c>
      <c r="AF1647" s="918">
        <v>11.839938187694598</v>
      </c>
      <c r="AG1647" s="918">
        <v>11.402438187694598</v>
      </c>
      <c r="AH1647" s="918">
        <v>10.964938187694596</v>
      </c>
      <c r="AI1647" s="918">
        <v>10.527438187694596</v>
      </c>
      <c r="AJ1647" s="918">
        <v>9.9560989737271779</v>
      </c>
      <c r="AK1647" s="918">
        <v>9.9472597597597598</v>
      </c>
      <c r="AL1647" s="918">
        <v>8.9472597597597598</v>
      </c>
      <c r="AM1647" s="918">
        <v>7.947259759759759</v>
      </c>
      <c r="AN1647" s="918">
        <v>6.9472597597597598</v>
      </c>
      <c r="AO1647" s="918">
        <v>5.9472597597597598</v>
      </c>
      <c r="AP1647" s="918">
        <v>4.9719511177844513</v>
      </c>
      <c r="AQ1647" s="918">
        <v>3.984296796796797</v>
      </c>
      <c r="AR1647" s="918">
        <v>3.9949989403818233</v>
      </c>
      <c r="AS1647" s="918">
        <v>4.0606242052863672</v>
      </c>
      <c r="AT1647" s="918">
        <v>4.0985951492032573</v>
      </c>
      <c r="AU1647" s="918">
        <v>4.1365660931201473</v>
      </c>
      <c r="AV1647" s="918">
        <f t="shared" ca="1" si="122"/>
        <v>4.1365660931201473</v>
      </c>
      <c r="AX1647" s="86" t="str">
        <f t="shared" ca="1" si="124"/>
        <v>XPER</v>
      </c>
    </row>
    <row r="1648" spans="1:50" hidden="1">
      <c r="A1648" s="86" t="str">
        <f t="shared" ca="1" si="121"/>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19.222222222222221</v>
      </c>
      <c r="N1648" s="918">
        <v>20.111111111111111</v>
      </c>
      <c r="O1648" s="918">
        <v>21</v>
      </c>
      <c r="P1648" s="918">
        <v>21</v>
      </c>
      <c r="Q1648" s="918">
        <v>21</v>
      </c>
      <c r="R1648" s="918">
        <v>21</v>
      </c>
      <c r="S1648" s="918">
        <v>21</v>
      </c>
      <c r="T1648" s="918">
        <v>21</v>
      </c>
      <c r="U1648" s="918">
        <v>21</v>
      </c>
      <c r="V1648" s="918">
        <v>21</v>
      </c>
      <c r="W1648" s="918">
        <v>21</v>
      </c>
      <c r="X1648" s="918">
        <v>21</v>
      </c>
      <c r="Y1648" s="918">
        <v>21</v>
      </c>
      <c r="Z1648" s="918">
        <f t="shared" ca="1" si="123"/>
        <v>21</v>
      </c>
      <c r="AB1648" s="918">
        <v>3.698605781895778</v>
      </c>
      <c r="AC1648" s="918">
        <v>4.6462034012890143</v>
      </c>
      <c r="AD1648" s="918">
        <v>5.5821883047583132</v>
      </c>
      <c r="AE1648" s="918">
        <v>6.5226999049962666</v>
      </c>
      <c r="AF1648" s="918">
        <v>7.4632115052342201</v>
      </c>
      <c r="AG1648" s="918">
        <v>8.4081894049446291</v>
      </c>
      <c r="AH1648" s="918">
        <v>9.3531673046550399</v>
      </c>
      <c r="AI1648" s="918">
        <v>10.298145204365451</v>
      </c>
      <c r="AJ1648" s="918">
        <v>8.5203674265876721</v>
      </c>
      <c r="AK1648" s="918">
        <v>8.5874303743090543</v>
      </c>
      <c r="AL1648" s="918">
        <v>8.6544933220304383</v>
      </c>
      <c r="AM1648" s="918">
        <v>8.7215562697518223</v>
      </c>
      <c r="AN1648" s="918">
        <v>8.7983738280508614</v>
      </c>
      <c r="AO1648" s="918">
        <v>8.8751913863499006</v>
      </c>
      <c r="AP1648" s="918">
        <v>8.9520089446489397</v>
      </c>
      <c r="AQ1648" s="918">
        <v>9.0250474799123417</v>
      </c>
      <c r="AR1648" s="918">
        <v>9.1308335362389386</v>
      </c>
      <c r="AS1648" s="918">
        <v>9.2353705056407716</v>
      </c>
      <c r="AT1648" s="918">
        <v>9.3399074750426045</v>
      </c>
      <c r="AU1648" s="918">
        <v>9.4444444444444393</v>
      </c>
      <c r="AV1648" s="918">
        <f t="shared" ca="1" si="122"/>
        <v>9.4444444444444393</v>
      </c>
      <c r="AX1648" s="86" t="str">
        <f t="shared" ca="1" si="124"/>
        <v>MVEALDNE</v>
      </c>
    </row>
    <row r="1649" spans="1:50" hidden="1">
      <c r="A1649" s="86" t="str">
        <f t="shared" ca="1" si="121"/>
        <v>MVEDDD</v>
      </c>
      <c r="F1649" s="918">
        <v>8.5782785336356788</v>
      </c>
      <c r="G1649" s="918">
        <v>9.557870370370372</v>
      </c>
      <c r="H1649" s="918">
        <v>10.557870370370372</v>
      </c>
      <c r="I1649" s="918">
        <v>11.557870370370372</v>
      </c>
      <c r="J1649" s="918">
        <v>12.557870370370372</v>
      </c>
      <c r="K1649" s="918">
        <v>13.545524691358025</v>
      </c>
      <c r="L1649" s="918">
        <v>14.533179012345681</v>
      </c>
      <c r="M1649" s="918">
        <v>15.520833333333336</v>
      </c>
      <c r="N1649" s="918">
        <v>15.520833333333334</v>
      </c>
      <c r="O1649" s="918">
        <v>15.520833333333334</v>
      </c>
      <c r="P1649" s="918">
        <v>15.520833333333334</v>
      </c>
      <c r="Q1649" s="918">
        <v>15.520833333333334</v>
      </c>
      <c r="R1649" s="918">
        <v>16.409722222222221</v>
      </c>
      <c r="S1649" s="918">
        <v>17.298611111111111</v>
      </c>
      <c r="T1649" s="918">
        <v>18.1875</v>
      </c>
      <c r="U1649" s="918">
        <v>18.1875</v>
      </c>
      <c r="V1649" s="918">
        <v>19.125</v>
      </c>
      <c r="W1649" s="918">
        <v>20.0625</v>
      </c>
      <c r="X1649" s="918">
        <v>21</v>
      </c>
      <c r="Y1649" s="918">
        <v>21</v>
      </c>
      <c r="Z1649" s="918">
        <f t="shared" ca="1" si="123"/>
        <v>21</v>
      </c>
      <c r="AB1649" s="918">
        <v>10.863251350336826</v>
      </c>
      <c r="AC1649" s="918">
        <v>11.858495107768455</v>
      </c>
      <c r="AD1649" s="918">
        <v>11.858495107768455</v>
      </c>
      <c r="AE1649" s="918">
        <v>12.855819721323746</v>
      </c>
      <c r="AF1649" s="918">
        <v>13.853144334879037</v>
      </c>
      <c r="AG1649" s="918">
        <v>14.851253975710796</v>
      </c>
      <c r="AH1649" s="918">
        <v>15.850064915068703</v>
      </c>
      <c r="AI1649" s="918">
        <v>15.850064915068703</v>
      </c>
      <c r="AJ1649" s="918">
        <v>14.92530867250033</v>
      </c>
      <c r="AK1649" s="918">
        <v>14.960552429931958</v>
      </c>
      <c r="AL1649" s="918">
        <v>14.989850884153123</v>
      </c>
      <c r="AM1649" s="918">
        <v>15.019149338374287</v>
      </c>
      <c r="AN1649" s="918">
        <v>14.059149338374286</v>
      </c>
      <c r="AO1649" s="918">
        <v>13.099149338374286</v>
      </c>
      <c r="AP1649" s="918">
        <v>12.139149338374285</v>
      </c>
      <c r="AQ1649" s="918">
        <v>12.169999999999993</v>
      </c>
      <c r="AR1649" s="918">
        <v>11.399999999999991</v>
      </c>
      <c r="AS1649" s="918">
        <v>10.641249999999992</v>
      </c>
      <c r="AT1649" s="918">
        <v>9.7818749999999923</v>
      </c>
      <c r="AU1649" s="918">
        <v>8.9224999999999923</v>
      </c>
      <c r="AV1649" s="918">
        <f t="shared" ca="1" si="122"/>
        <v>8.9224999999999923</v>
      </c>
      <c r="AX1649" s="86" t="str">
        <f t="shared" ca="1" si="124"/>
        <v>MVEDDD</v>
      </c>
    </row>
    <row r="1650" spans="1:50" hidden="1">
      <c r="A1650" s="86" t="str">
        <f t="shared" ca="1" si="121"/>
        <v>MVEDSY</v>
      </c>
      <c r="F1650" s="918">
        <v>7.4300708616780051</v>
      </c>
      <c r="G1650" s="918">
        <v>8.4256264172335609</v>
      </c>
      <c r="H1650" s="918">
        <v>8.4256264172335609</v>
      </c>
      <c r="I1650" s="918">
        <v>9.4100014172335609</v>
      </c>
      <c r="J1650" s="918">
        <v>10.394376417233561</v>
      </c>
      <c r="K1650" s="918">
        <v>11.389931972789116</v>
      </c>
      <c r="L1650" s="918">
        <v>12.385487528344672</v>
      </c>
      <c r="M1650" s="918">
        <v>12.385487528344672</v>
      </c>
      <c r="N1650" s="918">
        <v>13.303854875283447</v>
      </c>
      <c r="O1650" s="918">
        <v>14.222222222222221</v>
      </c>
      <c r="P1650" s="918">
        <v>15.111111111111111</v>
      </c>
      <c r="Q1650" s="918">
        <v>16</v>
      </c>
      <c r="R1650" s="918">
        <v>16</v>
      </c>
      <c r="S1650" s="918">
        <v>16</v>
      </c>
      <c r="T1650" s="918">
        <v>16</v>
      </c>
      <c r="U1650" s="918">
        <v>17</v>
      </c>
      <c r="V1650" s="918">
        <v>18</v>
      </c>
      <c r="W1650" s="918">
        <v>19</v>
      </c>
      <c r="X1650" s="918">
        <v>20</v>
      </c>
      <c r="Y1650" s="918">
        <v>21</v>
      </c>
      <c r="Z1650" s="918">
        <f t="shared" ca="1" si="123"/>
        <v>21</v>
      </c>
      <c r="AB1650" s="918">
        <v>7.9867506447133518</v>
      </c>
      <c r="AC1650" s="918">
        <v>7.9706824042848652</v>
      </c>
      <c r="AD1650" s="918">
        <v>7.9546141638563785</v>
      </c>
      <c r="AE1650" s="918">
        <v>7.9385459234278919</v>
      </c>
      <c r="AF1650" s="918">
        <v>7.9224776829994052</v>
      </c>
      <c r="AG1650" s="918">
        <v>7.9064094425709204</v>
      </c>
      <c r="AH1650" s="918">
        <v>7.8903412021424337</v>
      </c>
      <c r="AI1650" s="918">
        <v>7.8742729617139471</v>
      </c>
      <c r="AJ1650" s="918">
        <v>8.8742729617139471</v>
      </c>
      <c r="AK1650" s="918">
        <v>8.8742729617139471</v>
      </c>
      <c r="AL1650" s="918">
        <v>8.8742729617139453</v>
      </c>
      <c r="AM1650" s="918">
        <v>8.8742729617139453</v>
      </c>
      <c r="AN1650" s="918">
        <v>9.8582047212854604</v>
      </c>
      <c r="AO1650" s="918">
        <v>10.842136480856972</v>
      </c>
      <c r="AP1650" s="918">
        <v>11.826068240428487</v>
      </c>
      <c r="AQ1650" s="918">
        <v>12.81</v>
      </c>
      <c r="AR1650" s="918">
        <v>13</v>
      </c>
      <c r="AS1650" s="918">
        <v>11.5</v>
      </c>
      <c r="AT1650" s="918">
        <v>10.75</v>
      </c>
      <c r="AU1650" s="918">
        <v>10</v>
      </c>
      <c r="AV1650" s="918">
        <f t="shared" ca="1" si="122"/>
        <v>10</v>
      </c>
      <c r="AX1650" s="86" t="str">
        <f t="shared" ca="1" si="124"/>
        <v>MVEDSY</v>
      </c>
    </row>
    <row r="1651" spans="1:50" hidden="1">
      <c r="A1651" s="86" t="str">
        <f t="shared" ca="1" si="121"/>
        <v>MVEEOAN</v>
      </c>
      <c r="F1651" s="918">
        <v>8.749135802469139</v>
      </c>
      <c r="G1651" s="918">
        <v>9.7091358024691399</v>
      </c>
      <c r="H1651" s="918">
        <v>10.669135802469139</v>
      </c>
      <c r="I1651" s="918">
        <v>11.62913580246914</v>
      </c>
      <c r="J1651" s="918">
        <v>12.589135802469139</v>
      </c>
      <c r="K1651" s="918">
        <v>13.54913580246914</v>
      </c>
      <c r="L1651" s="918">
        <v>14.509135802469139</v>
      </c>
      <c r="M1651" s="918">
        <v>15.46913580246914</v>
      </c>
      <c r="N1651" s="918">
        <v>15.469135802469138</v>
      </c>
      <c r="O1651" s="918">
        <v>15.469135802469136</v>
      </c>
      <c r="P1651" s="918">
        <v>15.469135802469136</v>
      </c>
      <c r="Q1651" s="918">
        <v>15.469135802469136</v>
      </c>
      <c r="R1651" s="918">
        <v>16.160493827160494</v>
      </c>
      <c r="S1651" s="918">
        <v>16.851851851851851</v>
      </c>
      <c r="T1651" s="918">
        <v>17.543209876543209</v>
      </c>
      <c r="U1651" s="918">
        <v>18.23456790123457</v>
      </c>
      <c r="V1651" s="918">
        <v>18.925925925925924</v>
      </c>
      <c r="W1651" s="918">
        <v>19.617283950617285</v>
      </c>
      <c r="X1651" s="918">
        <v>20.308641975308642</v>
      </c>
      <c r="Y1651" s="918">
        <v>21</v>
      </c>
      <c r="Z1651" s="918">
        <f t="shared" ca="1" si="123"/>
        <v>21</v>
      </c>
      <c r="AB1651" s="918">
        <v>6.9522012417578338</v>
      </c>
      <c r="AC1651" s="918">
        <v>6.9368724435718931</v>
      </c>
      <c r="AD1651" s="918">
        <v>6.9215436453859507</v>
      </c>
      <c r="AE1651" s="918">
        <v>6.9034223436108029</v>
      </c>
      <c r="AF1651" s="918">
        <v>8.8853010418356551</v>
      </c>
      <c r="AG1651" s="918">
        <v>8.8853010418356551</v>
      </c>
      <c r="AH1651" s="918">
        <v>8.8853010418356551</v>
      </c>
      <c r="AI1651" s="918">
        <v>8.8853010418356551</v>
      </c>
      <c r="AJ1651" s="918">
        <v>7.9538956313351372</v>
      </c>
      <c r="AK1651" s="918">
        <v>7.9824902208346185</v>
      </c>
      <c r="AL1651" s="918">
        <v>8.0115151641452762</v>
      </c>
      <c r="AM1651" s="918">
        <v>8.0405401074559322</v>
      </c>
      <c r="AN1651" s="918">
        <v>8.0729050805919496</v>
      </c>
      <c r="AO1651" s="918">
        <v>8.1052700537279652</v>
      </c>
      <c r="AP1651" s="918">
        <v>8.1376350268639808</v>
      </c>
      <c r="AQ1651" s="918">
        <v>8.1699999999999964</v>
      </c>
      <c r="AR1651" s="918">
        <v>7.4</v>
      </c>
      <c r="AS1651" s="918">
        <v>6.86</v>
      </c>
      <c r="AT1651" s="918">
        <v>6.11</v>
      </c>
      <c r="AU1651" s="918">
        <v>5.36</v>
      </c>
      <c r="AV1651" s="918">
        <f t="shared" ca="1" si="122"/>
        <v>5.36</v>
      </c>
      <c r="AX1651" s="86" t="str">
        <f t="shared" ca="1" si="124"/>
        <v>MVEEOAN</v>
      </c>
    </row>
    <row r="1652" spans="1:50" hidden="1">
      <c r="A1652" s="86" t="str">
        <f t="shared" ca="1" si="121"/>
        <v>MVEENI</v>
      </c>
      <c r="F1652" s="918">
        <v>8.4934413580246915</v>
      </c>
      <c r="G1652" s="918">
        <v>9.4810956790123448</v>
      </c>
      <c r="H1652" s="918">
        <v>10.46875</v>
      </c>
      <c r="I1652" s="918">
        <v>11.453125</v>
      </c>
      <c r="J1652" s="918">
        <v>12.4375</v>
      </c>
      <c r="K1652" s="918">
        <v>12.4375</v>
      </c>
      <c r="L1652" s="918">
        <v>12.4375</v>
      </c>
      <c r="M1652" s="918">
        <v>12.4375</v>
      </c>
      <c r="N1652" s="918">
        <v>12.4375</v>
      </c>
      <c r="O1652" s="918">
        <v>12.4375</v>
      </c>
      <c r="P1652" s="918">
        <v>13.4375</v>
      </c>
      <c r="Q1652" s="918">
        <v>14.4375</v>
      </c>
      <c r="R1652" s="918">
        <v>15.375</v>
      </c>
      <c r="S1652" s="918">
        <v>16.3125</v>
      </c>
      <c r="T1652" s="918">
        <v>17.25</v>
      </c>
      <c r="U1652" s="918">
        <v>18.1875</v>
      </c>
      <c r="V1652" s="918">
        <v>19.125</v>
      </c>
      <c r="W1652" s="918">
        <v>20.0625</v>
      </c>
      <c r="X1652" s="918">
        <v>21</v>
      </c>
      <c r="Y1652" s="918">
        <v>21</v>
      </c>
      <c r="Z1652" s="918">
        <f t="shared" ca="1" si="123"/>
        <v>21</v>
      </c>
      <c r="AB1652" s="918">
        <v>6.9115315504329518</v>
      </c>
      <c r="AC1652" s="918">
        <v>6.1615315504329509</v>
      </c>
      <c r="AD1652" s="918">
        <v>5.4115315504329509</v>
      </c>
      <c r="AE1652" s="918">
        <v>5.6562422942346036</v>
      </c>
      <c r="AF1652" s="918">
        <v>5.9009530380362563</v>
      </c>
      <c r="AG1652" s="918">
        <v>6.1456637818379098</v>
      </c>
      <c r="AH1652" s="918">
        <v>6.3903745256395625</v>
      </c>
      <c r="AI1652" s="918">
        <v>6.6350852694412152</v>
      </c>
      <c r="AJ1652" s="918">
        <v>5.4650852694412162</v>
      </c>
      <c r="AK1652" s="918">
        <v>4.9250852694412162</v>
      </c>
      <c r="AL1652" s="918">
        <v>3.8973074916634389</v>
      </c>
      <c r="AM1652" s="918">
        <v>3.0084186027745496</v>
      </c>
      <c r="AN1652" s="918">
        <v>3.1175006578025508</v>
      </c>
      <c r="AO1652" s="918">
        <v>3.8932493794972189</v>
      </c>
      <c r="AP1652" s="918">
        <v>4.3356647678585531</v>
      </c>
      <c r="AQ1652" s="918">
        <v>3.9691912673309986</v>
      </c>
      <c r="AR1652" s="918">
        <v>3.9673524243557918</v>
      </c>
      <c r="AS1652" s="918">
        <v>3.8756995317938085</v>
      </c>
      <c r="AT1652" s="918">
        <v>3.8240466392318253</v>
      </c>
      <c r="AU1652" s="918">
        <v>3.5922222222222229</v>
      </c>
      <c r="AV1652" s="918">
        <f t="shared" ca="1" si="122"/>
        <v>3.5922222222222229</v>
      </c>
      <c r="AX1652" s="86" t="str">
        <f t="shared" ca="1" si="124"/>
        <v>MVEENI</v>
      </c>
    </row>
    <row r="1653" spans="1:50" hidden="1">
      <c r="A1653" s="86" t="str">
        <f t="shared" ca="1" si="121"/>
        <v>MVEEPIX</v>
      </c>
      <c r="F1653" s="918">
        <v>6.4040816326530594</v>
      </c>
      <c r="G1653" s="918">
        <v>7.3836734693877535</v>
      </c>
      <c r="H1653" s="918">
        <v>7.3836734693877535</v>
      </c>
      <c r="I1653" s="918">
        <v>8.3436734693877526</v>
      </c>
      <c r="J1653" s="918">
        <v>9.3036734693877534</v>
      </c>
      <c r="K1653" s="918">
        <v>10.263673469387754</v>
      </c>
      <c r="L1653" s="918">
        <v>11.223673469387753</v>
      </c>
      <c r="M1653" s="918">
        <v>12.183673469387752</v>
      </c>
      <c r="N1653" s="918">
        <v>12.183673469387752</v>
      </c>
      <c r="O1653" s="918">
        <v>12.183673469387752</v>
      </c>
      <c r="P1653" s="918">
        <v>12.183673469387756</v>
      </c>
      <c r="Q1653" s="918">
        <v>12.183673469387756</v>
      </c>
      <c r="R1653" s="918">
        <v>13.163265306122449</v>
      </c>
      <c r="S1653" s="918">
        <v>14.142857142857142</v>
      </c>
      <c r="T1653" s="918">
        <v>15.122448979591837</v>
      </c>
      <c r="U1653" s="918">
        <v>16.102040816326529</v>
      </c>
      <c r="V1653" s="918">
        <v>17.081632653061224</v>
      </c>
      <c r="W1653" s="918">
        <v>18.061224489795919</v>
      </c>
      <c r="X1653" s="918">
        <v>19.04081632653061</v>
      </c>
      <c r="Y1653" s="918">
        <v>20.020408163265305</v>
      </c>
      <c r="Z1653" s="918">
        <f t="shared" ca="1" si="123"/>
        <v>20.020408163265305</v>
      </c>
      <c r="AB1653" s="918">
        <v>9.0488540624746197</v>
      </c>
      <c r="AC1653" s="918">
        <v>8.0489223638201555</v>
      </c>
      <c r="AD1653" s="918">
        <v>7.0489906651656931</v>
      </c>
      <c r="AE1653" s="918">
        <v>6.0490589665112298</v>
      </c>
      <c r="AF1653" s="918">
        <v>5.0491272678567665</v>
      </c>
      <c r="AG1653" s="918">
        <v>4.0491955692023032</v>
      </c>
      <c r="AH1653" s="918">
        <v>3.0492638705478399</v>
      </c>
      <c r="AI1653" s="918">
        <v>2.0493321718933766</v>
      </c>
      <c r="AJ1653" s="918">
        <v>4.0381835381378677</v>
      </c>
      <c r="AK1653" s="918">
        <v>5.0271032057278955</v>
      </c>
      <c r="AL1653" s="918">
        <v>5.0271032057278937</v>
      </c>
      <c r="AM1653" s="918">
        <v>5.0271032057278937</v>
      </c>
      <c r="AN1653" s="918">
        <v>6.0205290640186169</v>
      </c>
      <c r="AO1653" s="918">
        <v>7.01395492230934</v>
      </c>
      <c r="AP1653" s="918">
        <v>8.0073807806000623</v>
      </c>
      <c r="AQ1653" s="918">
        <v>9.0008066388907864</v>
      </c>
      <c r="AR1653" s="918">
        <v>10.000751314800901</v>
      </c>
      <c r="AS1653" s="918">
        <v>11.000683013455365</v>
      </c>
      <c r="AT1653" s="918">
        <v>12.000614712109829</v>
      </c>
      <c r="AU1653" s="918">
        <v>13.000546410764292</v>
      </c>
      <c r="AV1653" s="918">
        <f t="shared" ca="1" si="122"/>
        <v>13.000546410764292</v>
      </c>
      <c r="AX1653" s="86" t="str">
        <f t="shared" ca="1" si="124"/>
        <v>MVEEPIX</v>
      </c>
    </row>
    <row r="1654" spans="1:50" hidden="1">
      <c r="A1654" s="86" t="str">
        <f t="shared" ca="1" si="121"/>
        <v>MVEGLE</v>
      </c>
      <c r="F1654" s="918">
        <v>19</v>
      </c>
      <c r="G1654" s="918">
        <v>19</v>
      </c>
      <c r="H1654" s="918">
        <v>19</v>
      </c>
      <c r="I1654" s="918">
        <v>19</v>
      </c>
      <c r="J1654" s="918">
        <v>19</v>
      </c>
      <c r="K1654" s="918">
        <v>19</v>
      </c>
      <c r="L1654" s="918">
        <v>19</v>
      </c>
      <c r="M1654" s="918">
        <v>19</v>
      </c>
      <c r="N1654" s="918">
        <v>20</v>
      </c>
      <c r="O1654" s="918">
        <v>21</v>
      </c>
      <c r="P1654" s="918">
        <v>21</v>
      </c>
      <c r="Q1654" s="918">
        <v>21</v>
      </c>
      <c r="R1654" s="918">
        <v>21</v>
      </c>
      <c r="S1654" s="918">
        <v>21</v>
      </c>
      <c r="T1654" s="918">
        <v>21</v>
      </c>
      <c r="U1654" s="918">
        <v>21</v>
      </c>
      <c r="V1654" s="918">
        <v>21</v>
      </c>
      <c r="W1654" s="918">
        <v>21</v>
      </c>
      <c r="X1654" s="918">
        <v>21</v>
      </c>
      <c r="Y1654" s="918">
        <v>21</v>
      </c>
      <c r="Z1654" s="918">
        <f t="shared" ca="1" si="123"/>
        <v>21</v>
      </c>
      <c r="AB1654" s="918">
        <v>7.5157135803351274</v>
      </c>
      <c r="AC1654" s="918">
        <v>6.6993870497228825</v>
      </c>
      <c r="AD1654" s="918">
        <v>6.877491350030664</v>
      </c>
      <c r="AE1654" s="918">
        <v>7.0555956503384456</v>
      </c>
      <c r="AF1654" s="918">
        <v>7.1255530118707169</v>
      </c>
      <c r="AG1654" s="918">
        <v>7.2495838427907442</v>
      </c>
      <c r="AH1654" s="918">
        <v>7.434414673710771</v>
      </c>
      <c r="AI1654" s="918">
        <v>7.5888455046307977</v>
      </c>
      <c r="AJ1654" s="918">
        <v>9.4268991378487907</v>
      </c>
      <c r="AK1654" s="918">
        <v>8.6471749932890063</v>
      </c>
      <c r="AL1654" s="918">
        <v>7.7582861044001188</v>
      </c>
      <c r="AM1654" s="918">
        <v>6.8693972155112304</v>
      </c>
      <c r="AN1654" s="918">
        <v>5.7638262706051053</v>
      </c>
      <c r="AO1654" s="918">
        <v>4.8018725140332243</v>
      </c>
      <c r="AP1654" s="918">
        <v>3.8222806772985294</v>
      </c>
      <c r="AQ1654" s="918">
        <v>2.9871277125209366</v>
      </c>
      <c r="AR1654" s="918">
        <v>3.0561443658992369</v>
      </c>
      <c r="AS1654" s="918">
        <v>2.9656174507719775</v>
      </c>
      <c r="AT1654" s="918">
        <v>2.9520931348885746</v>
      </c>
      <c r="AU1654" s="918" t="e">
        <v>#VALUE!</v>
      </c>
      <c r="AV1654" s="918" t="e">
        <f t="shared" ca="1" si="122"/>
        <v>#VALUE!</v>
      </c>
      <c r="AX1654" s="86" t="str">
        <f t="shared" ca="1" si="124"/>
        <v>MVEGLE</v>
      </c>
    </row>
    <row r="1655" spans="1:50" hidden="1">
      <c r="A1655" s="86" t="str">
        <f t="shared" ca="1" si="121"/>
        <v>MVEORA</v>
      </c>
      <c r="F1655" s="918">
        <v>13.166113413154461</v>
      </c>
      <c r="G1655" s="918">
        <v>13.166113413154461</v>
      </c>
      <c r="H1655" s="918">
        <v>14.141182665232023</v>
      </c>
      <c r="I1655" s="918">
        <v>15.116251917309587</v>
      </c>
      <c r="J1655" s="918">
        <v>16.091321169387147</v>
      </c>
      <c r="K1655" s="918">
        <v>17.06639042146471</v>
      </c>
      <c r="L1655" s="918">
        <v>18.041459673542271</v>
      </c>
      <c r="M1655" s="918">
        <v>19.016528925619834</v>
      </c>
      <c r="N1655" s="918">
        <v>20.008264462809919</v>
      </c>
      <c r="O1655" s="918">
        <v>21</v>
      </c>
      <c r="P1655" s="918">
        <v>21</v>
      </c>
      <c r="Q1655" s="918">
        <v>21</v>
      </c>
      <c r="R1655" s="918">
        <v>21</v>
      </c>
      <c r="S1655" s="918">
        <v>21</v>
      </c>
      <c r="T1655" s="918">
        <v>21</v>
      </c>
      <c r="U1655" s="918">
        <v>21</v>
      </c>
      <c r="V1655" s="918">
        <v>21</v>
      </c>
      <c r="W1655" s="918">
        <v>21</v>
      </c>
      <c r="X1655" s="918">
        <v>21</v>
      </c>
      <c r="Y1655" s="918">
        <v>21</v>
      </c>
      <c r="Z1655" s="918">
        <f t="shared" ca="1" si="123"/>
        <v>21</v>
      </c>
      <c r="AB1655" s="918">
        <v>9.1167998280781433</v>
      </c>
      <c r="AC1655" s="918">
        <v>9.2639713101670438</v>
      </c>
      <c r="AD1655" s="918">
        <v>9.4111427922559425</v>
      </c>
      <c r="AE1655" s="918">
        <v>9.558314274344843</v>
      </c>
      <c r="AF1655" s="918">
        <v>9.7054857564337418</v>
      </c>
      <c r="AG1655" s="918">
        <v>9.8526572385226423</v>
      </c>
      <c r="AH1655" s="918">
        <v>9.999828720611541</v>
      </c>
      <c r="AI1655" s="918">
        <v>10.147000202700442</v>
      </c>
      <c r="AJ1655" s="918">
        <v>10.119946976650596</v>
      </c>
      <c r="AK1655" s="918">
        <v>9.1824469766505974</v>
      </c>
      <c r="AL1655" s="918">
        <v>9.199189464656655</v>
      </c>
      <c r="AM1655" s="918">
        <v>9.2384319526627152</v>
      </c>
      <c r="AN1655" s="918">
        <v>8.2784319526627197</v>
      </c>
      <c r="AO1655" s="918">
        <v>7.3184319526627233</v>
      </c>
      <c r="AP1655" s="918">
        <v>6.3584319526627233</v>
      </c>
      <c r="AQ1655" s="918">
        <v>7.3184319526627224</v>
      </c>
      <c r="AR1655" s="918">
        <v>7.5084319526627228</v>
      </c>
      <c r="AS1655" s="918">
        <v>5.5492482791933346</v>
      </c>
      <c r="AT1655" s="918">
        <v>4.5696564424586406</v>
      </c>
      <c r="AU1655" s="918">
        <v>3.5900646057239456</v>
      </c>
      <c r="AV1655" s="918">
        <f t="shared" ca="1" si="122"/>
        <v>3.5900646057239456</v>
      </c>
      <c r="AX1655" s="86" t="str">
        <f t="shared" ca="1" si="124"/>
        <v>MVEORA</v>
      </c>
    </row>
    <row r="1656" spans="1:50" hidden="1">
      <c r="A1656" s="86" t="str">
        <f t="shared" ref="A1656:A1689" ca="1" si="125">A1557</f>
        <v>MVERWE</v>
      </c>
      <c r="F1656" s="918">
        <v>13.029585798816569</v>
      </c>
      <c r="G1656" s="918">
        <v>13.739644970414201</v>
      </c>
      <c r="H1656" s="918">
        <v>14.449704142011836</v>
      </c>
      <c r="I1656" s="918">
        <v>15.159763313609467</v>
      </c>
      <c r="J1656" s="918">
        <v>15.8698224852071</v>
      </c>
      <c r="K1656" s="918">
        <v>16.579881656804734</v>
      </c>
      <c r="L1656" s="918">
        <v>17.289940828402365</v>
      </c>
      <c r="M1656" s="918">
        <v>18</v>
      </c>
      <c r="N1656" s="918">
        <v>19</v>
      </c>
      <c r="O1656" s="918">
        <v>19</v>
      </c>
      <c r="P1656" s="918">
        <v>20</v>
      </c>
      <c r="Q1656" s="918">
        <v>21</v>
      </c>
      <c r="R1656" s="918">
        <v>21</v>
      </c>
      <c r="S1656" s="918">
        <v>21</v>
      </c>
      <c r="T1656" s="918">
        <v>21</v>
      </c>
      <c r="U1656" s="918">
        <v>21</v>
      </c>
      <c r="V1656" s="918">
        <v>21</v>
      </c>
      <c r="W1656" s="918">
        <v>21</v>
      </c>
      <c r="X1656" s="918">
        <v>21</v>
      </c>
      <c r="Y1656" s="918">
        <v>21</v>
      </c>
      <c r="Z1656" s="918">
        <f t="shared" ca="1" si="123"/>
        <v>21</v>
      </c>
      <c r="AB1656" s="918">
        <v>10.331920659639366</v>
      </c>
      <c r="AC1656" s="918">
        <v>10.270652156551433</v>
      </c>
      <c r="AD1656" s="918">
        <v>10.209383653463501</v>
      </c>
      <c r="AE1656" s="918">
        <v>10.228115150375565</v>
      </c>
      <c r="AF1656" s="918">
        <v>10.206846647287632</v>
      </c>
      <c r="AG1656" s="918">
        <v>10.185578144199699</v>
      </c>
      <c r="AH1656" s="918">
        <v>10.164309641111766</v>
      </c>
      <c r="AI1656" s="918">
        <v>10.143041138023833</v>
      </c>
      <c r="AJ1656" s="918">
        <v>11.103041138023833</v>
      </c>
      <c r="AK1656" s="918">
        <v>11.103041138023835</v>
      </c>
      <c r="AL1656" s="918">
        <v>12.056520569011917</v>
      </c>
      <c r="AM1656" s="918">
        <v>13.01</v>
      </c>
      <c r="AN1656" s="918">
        <v>13.010000000000002</v>
      </c>
      <c r="AO1656" s="918">
        <v>13.010000000000002</v>
      </c>
      <c r="AP1656" s="918">
        <v>13.010000000000002</v>
      </c>
      <c r="AQ1656" s="918">
        <v>13.01</v>
      </c>
      <c r="AR1656" s="918">
        <v>13.2</v>
      </c>
      <c r="AS1656" s="918">
        <v>11.422222222222221</v>
      </c>
      <c r="AT1656" s="918">
        <v>10.533333333333331</v>
      </c>
      <c r="AU1656" s="918">
        <v>9.6444444444444422</v>
      </c>
      <c r="AV1656" s="918">
        <f t="shared" ca="1" si="122"/>
        <v>9.6444444444444422</v>
      </c>
      <c r="AX1656" s="86" t="str">
        <f t="shared" ca="1" si="124"/>
        <v>MVERWE</v>
      </c>
    </row>
    <row r="1657" spans="1:50" hidden="1">
      <c r="A1657" s="86" t="str">
        <f t="shared" ca="1" si="125"/>
        <v>MVESAP</v>
      </c>
      <c r="F1657" s="918">
        <v>17.355029585798817</v>
      </c>
      <c r="G1657" s="918">
        <v>17.875739644970416</v>
      </c>
      <c r="H1657" s="918">
        <v>18.396449704142011</v>
      </c>
      <c r="I1657" s="918">
        <v>18.917159763313609</v>
      </c>
      <c r="J1657" s="918">
        <v>19.437869822485208</v>
      </c>
      <c r="K1657" s="918">
        <v>19.958579881656803</v>
      </c>
      <c r="L1657" s="918">
        <v>20.479289940828401</v>
      </c>
      <c r="M1657" s="918">
        <v>21</v>
      </c>
      <c r="N1657" s="918">
        <v>21</v>
      </c>
      <c r="O1657" s="918">
        <v>21</v>
      </c>
      <c r="P1657" s="918">
        <v>21</v>
      </c>
      <c r="Q1657" s="918">
        <v>21</v>
      </c>
      <c r="R1657" s="918">
        <v>21</v>
      </c>
      <c r="S1657" s="918">
        <v>21</v>
      </c>
      <c r="T1657" s="918">
        <v>21</v>
      </c>
      <c r="U1657" s="918">
        <v>21</v>
      </c>
      <c r="V1657" s="918">
        <v>21</v>
      </c>
      <c r="W1657" s="918">
        <v>21</v>
      </c>
      <c r="X1657" s="918">
        <v>21</v>
      </c>
      <c r="Y1657" s="918">
        <v>21</v>
      </c>
      <c r="Z1657" s="918">
        <f t="shared" ca="1" si="123"/>
        <v>21</v>
      </c>
      <c r="AB1657" s="918">
        <v>5.6489206961653258</v>
      </c>
      <c r="AC1657" s="918">
        <v>5.6199461433812488</v>
      </c>
      <c r="AD1657" s="918">
        <v>5.63015526406656</v>
      </c>
      <c r="AE1657" s="918">
        <v>5.7412663751776716</v>
      </c>
      <c r="AF1657" s="918">
        <v>5.7812663751776725</v>
      </c>
      <c r="AG1657" s="918">
        <v>5.8212663751776734</v>
      </c>
      <c r="AH1657" s="918">
        <v>5.8612663751776735</v>
      </c>
      <c r="AI1657" s="918">
        <v>5.9012663751776735</v>
      </c>
      <c r="AJ1657" s="918">
        <v>5.7697523715045786</v>
      </c>
      <c r="AK1657" s="918">
        <v>5.7432908054732073</v>
      </c>
      <c r="AL1657" s="918">
        <v>4.7636989687385132</v>
      </c>
      <c r="AM1657" s="918">
        <v>4.1106377442487156</v>
      </c>
      <c r="AN1657" s="918">
        <v>3.2943112136364703</v>
      </c>
      <c r="AO1657" s="918">
        <v>2.4779846830242258</v>
      </c>
      <c r="AP1657" s="918">
        <v>2.0143112136364709</v>
      </c>
      <c r="AQ1657" s="918">
        <v>2.3266166701036397</v>
      </c>
      <c r="AR1657" s="918">
        <v>2.6860249973498052</v>
      </c>
      <c r="AS1657" s="918">
        <v>2.942578487777169</v>
      </c>
      <c r="AT1657" s="918">
        <v>3.2504900028958916</v>
      </c>
      <c r="AU1657" s="918" t="e">
        <v>#VALUE!</v>
      </c>
      <c r="AV1657" s="918" t="e">
        <f t="shared" ca="1" si="122"/>
        <v>#VALUE!</v>
      </c>
      <c r="AX1657" s="86" t="str">
        <f t="shared" ca="1" si="124"/>
        <v>MVESAP</v>
      </c>
    </row>
    <row r="1658" spans="1:50" hidden="1">
      <c r="A1658" s="86" t="str">
        <f t="shared" ca="1" si="125"/>
        <v>MVEUN0</v>
      </c>
      <c r="F1658" s="918">
        <v>8.8261423405654185</v>
      </c>
      <c r="G1658" s="918">
        <v>9.8202251808021046</v>
      </c>
      <c r="H1658" s="918">
        <v>10.814308021038791</v>
      </c>
      <c r="I1658" s="918">
        <v>11.808390861275477</v>
      </c>
      <c r="J1658" s="918">
        <v>12.802473701512163</v>
      </c>
      <c r="K1658" s="918">
        <v>13.796556541748849</v>
      </c>
      <c r="L1658" s="918">
        <v>14.790639381985535</v>
      </c>
      <c r="M1658" s="918">
        <v>15.784722222222221</v>
      </c>
      <c r="N1658" s="918">
        <v>16.673611111111111</v>
      </c>
      <c r="O1658" s="918">
        <v>17.5625</v>
      </c>
      <c r="P1658" s="918">
        <v>17.5625</v>
      </c>
      <c r="Q1658" s="918">
        <v>17.5625</v>
      </c>
      <c r="R1658" s="918">
        <v>17.5625</v>
      </c>
      <c r="S1658" s="918">
        <v>17.5625</v>
      </c>
      <c r="T1658" s="918">
        <v>17.5625</v>
      </c>
      <c r="U1658" s="918">
        <v>18</v>
      </c>
      <c r="V1658" s="918">
        <v>19</v>
      </c>
      <c r="W1658" s="918">
        <v>20</v>
      </c>
      <c r="X1658" s="918">
        <v>21</v>
      </c>
      <c r="Y1658" s="918">
        <v>21</v>
      </c>
      <c r="Z1658" s="918">
        <f t="shared" ca="1" si="123"/>
        <v>21</v>
      </c>
      <c r="AB1658" s="918">
        <v>8.3145761901509463</v>
      </c>
      <c r="AC1658" s="918">
        <v>8.5639614780411186</v>
      </c>
      <c r="AD1658" s="918">
        <v>8.8133467659312892</v>
      </c>
      <c r="AE1658" s="918">
        <v>9.0627320538214615</v>
      </c>
      <c r="AF1658" s="918">
        <v>9.3121173417116321</v>
      </c>
      <c r="AG1658" s="918">
        <v>9.5615026296018044</v>
      </c>
      <c r="AH1658" s="918">
        <v>9.810887917491975</v>
      </c>
      <c r="AI1658" s="918">
        <v>10.060273205382147</v>
      </c>
      <c r="AJ1658" s="918">
        <v>10.810273205382147</v>
      </c>
      <c r="AK1658" s="918">
        <v>10.810273205382147</v>
      </c>
      <c r="AL1658" s="918">
        <v>10.810273205382146</v>
      </c>
      <c r="AM1658" s="918">
        <v>10.810273205382146</v>
      </c>
      <c r="AN1658" s="918">
        <v>11.81020490403661</v>
      </c>
      <c r="AO1658" s="918">
        <v>12.810136602691074</v>
      </c>
      <c r="AP1658" s="918">
        <v>13.810068301345536</v>
      </c>
      <c r="AQ1658" s="918">
        <v>14.81</v>
      </c>
      <c r="AR1658" s="918">
        <v>15</v>
      </c>
      <c r="AS1658" s="918">
        <v>13.040816326530614</v>
      </c>
      <c r="AT1658" s="918">
        <v>12.06122448979592</v>
      </c>
      <c r="AU1658" s="918">
        <v>11.081632653061227</v>
      </c>
      <c r="AV1658" s="918">
        <f t="shared" ca="1" si="122"/>
        <v>11.081632653061227</v>
      </c>
      <c r="AX1658" s="86" t="str">
        <f t="shared" ca="1" si="124"/>
        <v>MVEUN0</v>
      </c>
    </row>
    <row r="1659" spans="1:50" hidden="1">
      <c r="A1659" s="86" t="str">
        <f t="shared" ca="1" si="125"/>
        <v>SAFAAPL</v>
      </c>
      <c r="F1659" s="918">
        <v>14</v>
      </c>
      <c r="G1659" s="918">
        <v>15</v>
      </c>
      <c r="H1659" s="918">
        <v>16</v>
      </c>
      <c r="I1659" s="918">
        <v>17</v>
      </c>
      <c r="J1659" s="918">
        <v>18</v>
      </c>
      <c r="K1659" s="918">
        <v>19</v>
      </c>
      <c r="L1659" s="918">
        <v>20</v>
      </c>
      <c r="M1659" s="918">
        <v>21</v>
      </c>
      <c r="N1659" s="918">
        <v>21</v>
      </c>
      <c r="O1659" s="918">
        <v>21</v>
      </c>
      <c r="P1659" s="918">
        <v>21</v>
      </c>
      <c r="Q1659" s="918">
        <v>21</v>
      </c>
      <c r="R1659" s="918">
        <v>21</v>
      </c>
      <c r="S1659" s="918">
        <v>21</v>
      </c>
      <c r="T1659" s="918">
        <v>21</v>
      </c>
      <c r="U1659" s="918">
        <v>21</v>
      </c>
      <c r="V1659" s="918">
        <v>21</v>
      </c>
      <c r="W1659" s="918">
        <v>21</v>
      </c>
      <c r="X1659" s="918">
        <v>21</v>
      </c>
      <c r="Y1659" s="918">
        <v>21</v>
      </c>
      <c r="Z1659" s="918">
        <f t="shared" ca="1" si="123"/>
        <v>21</v>
      </c>
      <c r="AB1659" s="918">
        <v>1.6670159035623144</v>
      </c>
      <c r="AC1659" s="918">
        <v>0.72951590356231522</v>
      </c>
      <c r="AD1659" s="918">
        <v>0.75949776327744545</v>
      </c>
      <c r="AE1659" s="918">
        <v>0.78947962299257579</v>
      </c>
      <c r="AF1659" s="918">
        <v>0.69446148270770602</v>
      </c>
      <c r="AG1659" s="918">
        <v>1.3819433424228367</v>
      </c>
      <c r="AH1659" s="918">
        <v>1.7094252021379672</v>
      </c>
      <c r="AI1659" s="918">
        <v>2.0369070618530976</v>
      </c>
      <c r="AJ1659" s="918">
        <v>3.6355956731294539</v>
      </c>
      <c r="AK1659" s="918">
        <v>4.5942842844058109</v>
      </c>
      <c r="AL1659" s="918">
        <v>5.5593183249901195</v>
      </c>
      <c r="AM1659" s="918">
        <v>6.5243523655744271</v>
      </c>
      <c r="AN1659" s="918">
        <v>7.4952030496910247</v>
      </c>
      <c r="AO1659" s="918">
        <v>8.4660537338076232</v>
      </c>
      <c r="AP1659" s="918">
        <v>9.4369044179242181</v>
      </c>
      <c r="AQ1659" s="918">
        <v>10.407755102040817</v>
      </c>
      <c r="AR1659" s="918">
        <v>11.391224489795919</v>
      </c>
      <c r="AS1659" s="918">
        <v>12.370816326530612</v>
      </c>
      <c r="AT1659" s="918">
        <v>13.350408163265307</v>
      </c>
      <c r="AU1659" s="918">
        <v>14.33</v>
      </c>
      <c r="AV1659" s="918">
        <f t="shared" ca="1" si="122"/>
        <v>14.33</v>
      </c>
      <c r="AX1659" s="86" t="str">
        <f t="shared" ca="1" si="124"/>
        <v>SAFAAPL</v>
      </c>
    </row>
    <row r="1660" spans="1:50" hidden="1">
      <c r="A1660" s="86" t="str">
        <f t="shared" ca="1" si="125"/>
        <v>SAFAMZN</v>
      </c>
      <c r="F1660" s="918">
        <v>3.8142801707190723</v>
      </c>
      <c r="G1660" s="918">
        <v>3.8142801707190719</v>
      </c>
      <c r="H1660" s="918">
        <v>4.8108199631066153</v>
      </c>
      <c r="I1660" s="918">
        <v>5.8073597554941587</v>
      </c>
      <c r="J1660" s="918">
        <v>6.8038995478817021</v>
      </c>
      <c r="K1660" s="918">
        <v>7.8004393402692447</v>
      </c>
      <c r="L1660" s="918">
        <v>8.7969791326567872</v>
      </c>
      <c r="M1660" s="918">
        <v>9.7765709693914822</v>
      </c>
      <c r="N1660" s="918">
        <v>10.46792899408284</v>
      </c>
      <c r="O1660" s="918">
        <v>11.32</v>
      </c>
      <c r="P1660" s="918">
        <v>12.16</v>
      </c>
      <c r="Q1660" s="918">
        <v>13</v>
      </c>
      <c r="R1660" s="918">
        <v>14</v>
      </c>
      <c r="S1660" s="918">
        <v>15</v>
      </c>
      <c r="T1660" s="918">
        <v>16</v>
      </c>
      <c r="U1660" s="918">
        <v>17</v>
      </c>
      <c r="V1660" s="918">
        <v>18</v>
      </c>
      <c r="W1660" s="918">
        <v>19</v>
      </c>
      <c r="X1660" s="918">
        <v>20</v>
      </c>
      <c r="Y1660" s="918" t="e">
        <v>#VALUE!</v>
      </c>
      <c r="Z1660" s="918" t="e">
        <f t="shared" si="123"/>
        <v>#VALUE!</v>
      </c>
      <c r="AB1660" s="918">
        <v>8.6753826530612237</v>
      </c>
      <c r="AC1660" s="918">
        <v>8.9049744897959187</v>
      </c>
      <c r="AD1660" s="918">
        <v>9.1291454081632644</v>
      </c>
      <c r="AE1660" s="918">
        <v>9.3533163265306118</v>
      </c>
      <c r="AF1660" s="918">
        <v>9.5774872448979593</v>
      </c>
      <c r="AG1660" s="918">
        <v>9.801658163265305</v>
      </c>
      <c r="AH1660" s="918">
        <v>10.025829081632654</v>
      </c>
      <c r="AI1660" s="918">
        <v>10.25</v>
      </c>
      <c r="AJ1660" s="918">
        <v>11</v>
      </c>
      <c r="AK1660" s="918">
        <v>11</v>
      </c>
      <c r="AL1660" s="918">
        <v>11</v>
      </c>
      <c r="AM1660" s="918">
        <v>11</v>
      </c>
      <c r="AN1660" s="918">
        <v>11</v>
      </c>
      <c r="AO1660" s="918">
        <v>11</v>
      </c>
      <c r="AP1660" s="918">
        <v>11</v>
      </c>
      <c r="AQ1660" s="918">
        <v>11</v>
      </c>
      <c r="AR1660" s="918">
        <v>12</v>
      </c>
      <c r="AS1660" s="918">
        <v>11.222222222222221</v>
      </c>
      <c r="AT1660" s="918">
        <v>11.333333333333332</v>
      </c>
      <c r="AU1660" s="918">
        <v>11.444444444444443</v>
      </c>
      <c r="AV1660" s="918">
        <f t="shared" ref="AV1660:AV1689" ca="1" si="126">SUMPRODUCT(AB1561:AV1561,AB1561:AV1561)</f>
        <v>11.444444444444443</v>
      </c>
      <c r="AX1660" s="86" t="str">
        <f t="shared" ca="1" si="124"/>
        <v>SAFAMZN</v>
      </c>
    </row>
    <row r="1661" spans="1:50" hidden="1">
      <c r="A1661" s="86" t="str">
        <f t="shared" ca="1" si="125"/>
        <v>SAFASML</v>
      </c>
      <c r="F1661" s="918">
        <v>15.768166089965398</v>
      </c>
      <c r="G1661" s="918">
        <v>16.681660899653977</v>
      </c>
      <c r="H1661" s="918">
        <v>17.401384083044981</v>
      </c>
      <c r="I1661" s="918">
        <v>18.121107266435985</v>
      </c>
      <c r="J1661" s="918">
        <v>18.840830449826989</v>
      </c>
      <c r="K1661" s="918">
        <v>19.560553633217992</v>
      </c>
      <c r="L1661" s="918">
        <v>20.280276816608996</v>
      </c>
      <c r="M1661" s="918">
        <v>21</v>
      </c>
      <c r="N1661" s="918">
        <v>21</v>
      </c>
      <c r="O1661" s="918">
        <v>21</v>
      </c>
      <c r="P1661" s="918">
        <v>21</v>
      </c>
      <c r="Q1661" s="918">
        <v>21</v>
      </c>
      <c r="R1661" s="918">
        <v>21</v>
      </c>
      <c r="S1661" s="918">
        <v>21</v>
      </c>
      <c r="T1661" s="918">
        <v>21</v>
      </c>
      <c r="U1661" s="918">
        <v>21</v>
      </c>
      <c r="V1661" s="918">
        <v>21</v>
      </c>
      <c r="W1661" s="918">
        <v>21</v>
      </c>
      <c r="X1661" s="918">
        <v>21</v>
      </c>
      <c r="Y1661" s="918">
        <v>21</v>
      </c>
      <c r="Z1661" s="918">
        <f t="shared" ref="Z1661:Z1689" ca="1" si="127">SUMPRODUCT(F1561:Z1561,F1561:Z1561)</f>
        <v>21</v>
      </c>
      <c r="AB1661" s="918">
        <v>8.3930961881840993</v>
      </c>
      <c r="AC1661" s="918">
        <v>8.4869641608399498</v>
      </c>
      <c r="AD1661" s="918">
        <v>8.5808321334958002</v>
      </c>
      <c r="AE1661" s="918">
        <v>8.4690068095492634</v>
      </c>
      <c r="AF1661" s="918">
        <v>8.4747492082840878</v>
      </c>
      <c r="AG1661" s="918">
        <v>8.4731310698288276</v>
      </c>
      <c r="AH1661" s="918">
        <v>8.4715129313735691</v>
      </c>
      <c r="AI1661" s="918">
        <v>8.4698947929183088</v>
      </c>
      <c r="AJ1661" s="918">
        <v>7.5342697929183116</v>
      </c>
      <c r="AK1661" s="918">
        <v>6.5742697929183116</v>
      </c>
      <c r="AL1661" s="918">
        <v>5.6142697929183116</v>
      </c>
      <c r="AM1661" s="918">
        <v>5.7841463361281882</v>
      </c>
      <c r="AN1661" s="918">
        <v>5.3890846077331256</v>
      </c>
      <c r="AO1661" s="918">
        <v>4.9940228793380639</v>
      </c>
      <c r="AP1661" s="918">
        <v>4.5989611509430022</v>
      </c>
      <c r="AQ1661" s="918">
        <v>4.2038994225479405</v>
      </c>
      <c r="AR1661" s="918">
        <v>4.7981712066495188</v>
      </c>
      <c r="AS1661" s="918">
        <v>5.3899409751638903</v>
      </c>
      <c r="AT1661" s="918">
        <v>5.9817107436782617</v>
      </c>
      <c r="AU1661" s="918">
        <v>6.5734805121926332</v>
      </c>
      <c r="AV1661" s="918">
        <f t="shared" ca="1" si="126"/>
        <v>6.5734805121926332</v>
      </c>
      <c r="AX1661" s="86" t="str">
        <f t="shared" ca="1" si="124"/>
        <v>SAFASML</v>
      </c>
    </row>
    <row r="1662" spans="1:50" hidden="1">
      <c r="A1662" s="86" t="str">
        <f t="shared" ca="1" si="125"/>
        <v>SAFDDD</v>
      </c>
      <c r="F1662" s="918">
        <v>17.111111111111114</v>
      </c>
      <c r="G1662" s="918">
        <v>17.666666666666668</v>
      </c>
      <c r="H1662" s="918">
        <v>18.222222222222221</v>
      </c>
      <c r="I1662" s="918">
        <v>18.777777777777779</v>
      </c>
      <c r="J1662" s="918">
        <v>19.333333333333336</v>
      </c>
      <c r="K1662" s="918">
        <v>19.888888888888889</v>
      </c>
      <c r="L1662" s="918">
        <v>20.444444444444443</v>
      </c>
      <c r="M1662" s="918">
        <v>21</v>
      </c>
      <c r="N1662" s="918">
        <v>21</v>
      </c>
      <c r="O1662" s="918">
        <v>21</v>
      </c>
      <c r="P1662" s="918">
        <v>21</v>
      </c>
      <c r="Q1662" s="918">
        <v>21</v>
      </c>
      <c r="R1662" s="918">
        <v>21</v>
      </c>
      <c r="S1662" s="918">
        <v>21</v>
      </c>
      <c r="T1662" s="918">
        <v>21</v>
      </c>
      <c r="U1662" s="918">
        <v>21</v>
      </c>
      <c r="V1662" s="918">
        <v>21</v>
      </c>
      <c r="W1662" s="918">
        <v>21</v>
      </c>
      <c r="X1662" s="918">
        <v>21</v>
      </c>
      <c r="Y1662" s="918">
        <v>21</v>
      </c>
      <c r="Z1662" s="918">
        <f t="shared" ca="1" si="127"/>
        <v>21</v>
      </c>
      <c r="AB1662" s="918">
        <v>4.8267795029358416</v>
      </c>
      <c r="AC1662" s="918">
        <v>4.8283422446169508</v>
      </c>
      <c r="AD1662" s="918">
        <v>4.8299049862980592</v>
      </c>
      <c r="AE1662" s="918">
        <v>4.8314677279791685</v>
      </c>
      <c r="AF1662" s="918">
        <v>4.8330304696602777</v>
      </c>
      <c r="AG1662" s="918">
        <v>4.834593211341387</v>
      </c>
      <c r="AH1662" s="918">
        <v>4.8361559530224962</v>
      </c>
      <c r="AI1662" s="918">
        <v>4.8377186947036046</v>
      </c>
      <c r="AJ1662" s="918">
        <v>4.9134220649243492</v>
      </c>
      <c r="AK1662" s="918">
        <v>4.9513930088412392</v>
      </c>
      <c r="AL1662" s="918">
        <v>4.9910624303288422</v>
      </c>
      <c r="AM1662" s="918">
        <v>4.0310624303288387</v>
      </c>
      <c r="AN1662" s="918">
        <v>4.2125541923611411</v>
      </c>
      <c r="AO1662" s="918">
        <v>4.322934843282332</v>
      </c>
      <c r="AP1662" s="918">
        <v>4.4333154942035229</v>
      </c>
      <c r="AQ1662" s="918">
        <v>4.5436961451247146</v>
      </c>
      <c r="AR1662" s="918">
        <v>3.8448072562358275</v>
      </c>
      <c r="AS1662" s="918">
        <v>2.7835576409695917</v>
      </c>
      <c r="AT1662" s="918">
        <v>1.8084883888920293</v>
      </c>
      <c r="AU1662" s="918">
        <v>0.83341913681446689</v>
      </c>
      <c r="AV1662" s="918">
        <f t="shared" ca="1" si="126"/>
        <v>0.83341913681446689</v>
      </c>
      <c r="AX1662" s="86" t="str">
        <f t="shared" ca="1" si="124"/>
        <v>SAFDDD</v>
      </c>
    </row>
    <row r="1663" spans="1:50" hidden="1">
      <c r="A1663" s="86" t="str">
        <f t="shared" ca="1" si="125"/>
        <v>SAFDIS</v>
      </c>
      <c r="F1663" s="918">
        <v>6.555857255756333</v>
      </c>
      <c r="G1663" s="918">
        <v>7.5523970481438774</v>
      </c>
      <c r="H1663" s="918">
        <v>8.5489368405314199</v>
      </c>
      <c r="I1663" s="918">
        <v>9.5454766329189642</v>
      </c>
      <c r="J1663" s="918">
        <v>10.542016425306507</v>
      </c>
      <c r="K1663" s="918">
        <v>11.538556217694049</v>
      </c>
      <c r="L1663" s="918">
        <v>12.535096010081594</v>
      </c>
      <c r="M1663" s="918">
        <v>13.531635802469136</v>
      </c>
      <c r="N1663" s="918">
        <v>14.281635802469136</v>
      </c>
      <c r="O1663" s="918">
        <v>15.031635802469136</v>
      </c>
      <c r="P1663" s="918">
        <v>15.469135802469136</v>
      </c>
      <c r="Q1663" s="918">
        <v>15.469135802469136</v>
      </c>
      <c r="R1663" s="918">
        <v>16.160493827160494</v>
      </c>
      <c r="S1663" s="918">
        <v>16.851851851851851</v>
      </c>
      <c r="T1663" s="918">
        <v>17.543209876543209</v>
      </c>
      <c r="U1663" s="918">
        <v>18.23456790123457</v>
      </c>
      <c r="V1663" s="918">
        <v>18.925925925925924</v>
      </c>
      <c r="W1663" s="918">
        <v>19.617283950617285</v>
      </c>
      <c r="X1663" s="918">
        <v>20.308641975308642</v>
      </c>
      <c r="Y1663" s="918" t="e">
        <v>#VALUE!</v>
      </c>
      <c r="Z1663" s="918" t="e">
        <f t="shared" si="127"/>
        <v>#VALUE!</v>
      </c>
      <c r="AB1663" s="918">
        <v>10.818015122873344</v>
      </c>
      <c r="AC1663" s="918">
        <v>11.144669187145556</v>
      </c>
      <c r="AD1663" s="918">
        <v>11.471323251417767</v>
      </c>
      <c r="AE1663" s="918">
        <v>11.797977315689979</v>
      </c>
      <c r="AF1663" s="918">
        <v>12.124631379962189</v>
      </c>
      <c r="AG1663" s="918">
        <v>12.451285444234401</v>
      </c>
      <c r="AH1663" s="918">
        <v>12.777939508506611</v>
      </c>
      <c r="AI1663" s="918">
        <v>13.104593572778823</v>
      </c>
      <c r="AJ1663" s="918">
        <v>14.71729678638941</v>
      </c>
      <c r="AK1663" s="918">
        <v>15.689999999999996</v>
      </c>
      <c r="AL1663" s="918">
        <v>15.689999999999996</v>
      </c>
      <c r="AM1663" s="918">
        <v>15.689999999999996</v>
      </c>
      <c r="AN1663" s="918">
        <v>15.69</v>
      </c>
      <c r="AO1663" s="918">
        <v>15.690000000000001</v>
      </c>
      <c r="AP1663" s="918">
        <v>15.690000000000003</v>
      </c>
      <c r="AQ1663" s="918">
        <v>15.690000000000001</v>
      </c>
      <c r="AR1663" s="918">
        <v>15.880000000000003</v>
      </c>
      <c r="AS1663" s="918">
        <v>15.880000000000003</v>
      </c>
      <c r="AT1663" s="918">
        <v>15.880000000000003</v>
      </c>
      <c r="AU1663" s="918">
        <v>15.88</v>
      </c>
      <c r="AV1663" s="918">
        <f t="shared" ca="1" si="126"/>
        <v>15.88</v>
      </c>
      <c r="AX1663" s="86" t="str">
        <f t="shared" ca="1" si="124"/>
        <v>SAFDIS</v>
      </c>
    </row>
    <row r="1664" spans="1:50" hidden="1">
      <c r="A1664" s="86" t="str">
        <f t="shared" ca="1" si="125"/>
        <v>SAFGM</v>
      </c>
      <c r="F1664" s="918">
        <v>12.72</v>
      </c>
      <c r="G1664" s="918">
        <v>13.72</v>
      </c>
      <c r="H1664" s="918">
        <v>14.72</v>
      </c>
      <c r="I1664" s="918">
        <v>15.72</v>
      </c>
      <c r="J1664" s="918">
        <v>16.72</v>
      </c>
      <c r="K1664" s="918">
        <v>17.72</v>
      </c>
      <c r="L1664" s="918">
        <v>18.72</v>
      </c>
      <c r="M1664" s="918">
        <v>19.72</v>
      </c>
      <c r="N1664" s="918">
        <v>20.36</v>
      </c>
      <c r="O1664" s="918">
        <v>21</v>
      </c>
      <c r="P1664" s="918">
        <v>21</v>
      </c>
      <c r="Q1664" s="918">
        <v>21</v>
      </c>
      <c r="R1664" s="918">
        <v>21</v>
      </c>
      <c r="S1664" s="918">
        <v>21</v>
      </c>
      <c r="T1664" s="918">
        <v>21</v>
      </c>
      <c r="U1664" s="918">
        <v>21</v>
      </c>
      <c r="V1664" s="918">
        <v>21</v>
      </c>
      <c r="W1664" s="918">
        <v>21</v>
      </c>
      <c r="X1664" s="918">
        <v>21</v>
      </c>
      <c r="Y1664" s="918">
        <v>21</v>
      </c>
      <c r="Z1664" s="918">
        <f t="shared" ca="1" si="127"/>
        <v>21</v>
      </c>
      <c r="AB1664" s="918">
        <v>1.2444727896834573</v>
      </c>
      <c r="AC1664" s="918">
        <v>1.2496923838641139</v>
      </c>
      <c r="AD1664" s="918">
        <v>1.2549119780447704</v>
      </c>
      <c r="AE1664" s="918">
        <v>1.2601315722254272</v>
      </c>
      <c r="AF1664" s="918">
        <v>1.2653511664060837</v>
      </c>
      <c r="AG1664" s="918">
        <v>1.2705707605867402</v>
      </c>
      <c r="AH1664" s="918">
        <v>1.2725863675833455</v>
      </c>
      <c r="AI1664" s="918">
        <v>1.2725268822907507</v>
      </c>
      <c r="AJ1664" s="918">
        <v>1.2681136555015575</v>
      </c>
      <c r="AK1664" s="918">
        <v>1.2637004287123641</v>
      </c>
      <c r="AL1664" s="918">
        <v>0.2746160001091103</v>
      </c>
      <c r="AM1664" s="918">
        <v>0.26512340824055181</v>
      </c>
      <c r="AN1664" s="918">
        <v>0.25563081637199331</v>
      </c>
      <c r="AO1664" s="918">
        <v>0.24613822450343484</v>
      </c>
      <c r="AP1664" s="918">
        <v>0.23664563263487634</v>
      </c>
      <c r="AQ1664" s="918">
        <v>0.22715304076631784</v>
      </c>
      <c r="AR1664" s="918">
        <v>0.22922699933169988</v>
      </c>
      <c r="AS1664" s="918">
        <v>0.22922699933169988</v>
      </c>
      <c r="AT1664" s="918">
        <v>0.22922699933169988</v>
      </c>
      <c r="AU1664" s="918">
        <v>0.22922699933169988</v>
      </c>
      <c r="AV1664" s="918">
        <f t="shared" ca="1" si="126"/>
        <v>0.22922699933169988</v>
      </c>
      <c r="AX1664" s="86" t="str">
        <f t="shared" ca="1" si="124"/>
        <v>SAFGM</v>
      </c>
    </row>
    <row r="1665" spans="1:50" hidden="1">
      <c r="A1665" s="86" t="str">
        <f t="shared" ca="1" si="125"/>
        <v>SAFIAG</v>
      </c>
      <c r="F1665" s="918">
        <v>14.240816326530613</v>
      </c>
      <c r="G1665" s="918">
        <v>15.200816326530612</v>
      </c>
      <c r="H1665" s="918">
        <v>16.160816326530611</v>
      </c>
      <c r="I1665" s="918">
        <v>17.120816326530612</v>
      </c>
      <c r="J1665" s="918">
        <v>18.080816326530613</v>
      </c>
      <c r="K1665" s="918">
        <v>19.04081632653061</v>
      </c>
      <c r="L1665" s="918">
        <v>20.020408163265305</v>
      </c>
      <c r="M1665" s="918">
        <v>20.020408163265305</v>
      </c>
      <c r="N1665" s="918">
        <v>20.020408163265305</v>
      </c>
      <c r="O1665" s="918">
        <v>20.020408163265305</v>
      </c>
      <c r="P1665" s="918">
        <v>20.020408163265305</v>
      </c>
      <c r="Q1665" s="918">
        <v>21</v>
      </c>
      <c r="R1665" s="918">
        <v>21</v>
      </c>
      <c r="S1665" s="918">
        <v>21</v>
      </c>
      <c r="T1665" s="918">
        <v>21</v>
      </c>
      <c r="U1665" s="918">
        <v>21</v>
      </c>
      <c r="V1665" s="918">
        <v>21</v>
      </c>
      <c r="W1665" s="918">
        <v>21</v>
      </c>
      <c r="X1665" s="918">
        <v>21</v>
      </c>
      <c r="Y1665" s="918">
        <v>21</v>
      </c>
      <c r="Z1665" s="918">
        <f t="shared" ca="1" si="127"/>
        <v>21</v>
      </c>
      <c r="AB1665" s="918">
        <v>3.0206683507648324</v>
      </c>
      <c r="AC1665" s="918">
        <v>3.023564550937496</v>
      </c>
      <c r="AD1665" s="918">
        <v>3.0266902234532096</v>
      </c>
      <c r="AE1665" s="918">
        <v>3.0298158959689241</v>
      </c>
      <c r="AF1665" s="918">
        <v>3.0329415684846381</v>
      </c>
      <c r="AG1665" s="918">
        <v>3.0360672410003522</v>
      </c>
      <c r="AH1665" s="918">
        <v>3.0391929135160662</v>
      </c>
      <c r="AI1665" s="918">
        <v>3.0423185860317803</v>
      </c>
      <c r="AJ1665" s="918">
        <v>2.0455225732158318</v>
      </c>
      <c r="AK1665" s="918">
        <v>1.0487265603998801</v>
      </c>
      <c r="AL1665" s="918">
        <v>1.0519305475839313</v>
      </c>
      <c r="AM1665" s="918">
        <v>5.513453476798337E-2</v>
      </c>
      <c r="AN1665" s="918">
        <v>5.8019644401014231E-2</v>
      </c>
      <c r="AO1665" s="918">
        <v>6.0904754034045092E-2</v>
      </c>
      <c r="AP1665" s="918">
        <v>6.3789863667075938E-2</v>
      </c>
      <c r="AQ1665" s="918">
        <v>6.6674973300106799E-2</v>
      </c>
      <c r="AR1665" s="918">
        <v>6.7283730865076538E-2</v>
      </c>
      <c r="AS1665" s="918">
        <v>6.7283730865076538E-2</v>
      </c>
      <c r="AT1665" s="918">
        <v>6.7283730865076538E-2</v>
      </c>
      <c r="AU1665" s="918">
        <v>6.7283730865076538E-2</v>
      </c>
      <c r="AV1665" s="918">
        <f t="shared" ca="1" si="126"/>
        <v>6.7283730865076538E-2</v>
      </c>
      <c r="AX1665" s="86" t="str">
        <f t="shared" ca="1" si="124"/>
        <v>SAFIAG</v>
      </c>
    </row>
    <row r="1666" spans="1:50" hidden="1">
      <c r="A1666" s="86" t="str">
        <f t="shared" ca="1" si="125"/>
        <v>SAFMRNA</v>
      </c>
      <c r="F1666" s="918">
        <v>8.9711805555555557</v>
      </c>
      <c r="G1666" s="918">
        <v>9.9555555555555557</v>
      </c>
      <c r="H1666" s="918">
        <v>10.951111111111111</v>
      </c>
      <c r="I1666" s="918">
        <v>11.946666666666667</v>
      </c>
      <c r="J1666" s="918">
        <v>12.942222222222224</v>
      </c>
      <c r="K1666" s="918">
        <v>13.937777777777779</v>
      </c>
      <c r="L1666" s="918">
        <v>14.933333333333334</v>
      </c>
      <c r="M1666" s="918">
        <v>15.928888888888888</v>
      </c>
      <c r="N1666" s="918">
        <v>15.928888888888888</v>
      </c>
      <c r="O1666" s="918">
        <v>15.928888888888888</v>
      </c>
      <c r="P1666" s="918">
        <v>16.888888888888889</v>
      </c>
      <c r="Q1666" s="918">
        <v>16.888888888888889</v>
      </c>
      <c r="R1666" s="918">
        <v>16.888888888888889</v>
      </c>
      <c r="S1666" s="918">
        <v>16.888888888888889</v>
      </c>
      <c r="T1666" s="918">
        <v>16.888888888888889</v>
      </c>
      <c r="U1666" s="918">
        <v>17.444444444444443</v>
      </c>
      <c r="V1666" s="918">
        <v>18</v>
      </c>
      <c r="W1666" s="918">
        <v>19</v>
      </c>
      <c r="X1666" s="918">
        <v>20</v>
      </c>
      <c r="Y1666" s="918">
        <v>21</v>
      </c>
      <c r="Z1666" s="918">
        <f t="shared" ca="1" si="127"/>
        <v>21</v>
      </c>
      <c r="AB1666" s="918">
        <v>6.2079697797944204</v>
      </c>
      <c r="AC1666" s="918">
        <v>5.2329005277168577</v>
      </c>
      <c r="AD1666" s="918">
        <v>5.2446627725487289</v>
      </c>
      <c r="AE1666" s="918">
        <v>5.2564250173806002</v>
      </c>
      <c r="AF1666" s="918">
        <v>5.2681872622124706</v>
      </c>
      <c r="AG1666" s="918">
        <v>5.2799495070443418</v>
      </c>
      <c r="AH1666" s="918">
        <v>5.2937096554559071</v>
      </c>
      <c r="AI1666" s="918">
        <v>5.3074698038674724</v>
      </c>
      <c r="AJ1666" s="918">
        <v>5.3453393784389869</v>
      </c>
      <c r="AK1666" s="918">
        <v>5.3681397009329404</v>
      </c>
      <c r="AL1666" s="918">
        <v>4.4081397009329404</v>
      </c>
      <c r="AM1666" s="918">
        <v>4.4327718981872266</v>
      </c>
      <c r="AN1666" s="918">
        <v>3.4727718981872231</v>
      </c>
      <c r="AO1666" s="918">
        <v>2.5127718981872231</v>
      </c>
      <c r="AP1666" s="918">
        <v>1.5527718981872241</v>
      </c>
      <c r="AQ1666" s="918">
        <v>0.59277189818722342</v>
      </c>
      <c r="AR1666" s="918">
        <v>0.62568686118085748</v>
      </c>
      <c r="AS1666" s="918">
        <v>2.5769399019137387</v>
      </c>
      <c r="AT1666" s="918">
        <v>3.5681929426466201</v>
      </c>
      <c r="AU1666" s="918">
        <v>4.5594459833795016</v>
      </c>
      <c r="AV1666" s="918">
        <f t="shared" ca="1" si="126"/>
        <v>4.5594459833795016</v>
      </c>
      <c r="AX1666" s="86" t="str">
        <f t="shared" ca="1" si="124"/>
        <v>SAFMRNA</v>
      </c>
    </row>
    <row r="1667" spans="1:50" hidden="1">
      <c r="A1667" s="86" t="str">
        <f t="shared" ca="1" si="125"/>
        <v>BLNK</v>
      </c>
      <c r="F1667" s="918">
        <v>12.773877551020409</v>
      </c>
      <c r="G1667" s="918">
        <v>12.773877551020409</v>
      </c>
      <c r="H1667" s="918">
        <v>13.263673469387754</v>
      </c>
      <c r="I1667" s="918">
        <v>13.753469387755104</v>
      </c>
      <c r="J1667" s="918">
        <v>14.243265306122449</v>
      </c>
      <c r="K1667" s="918">
        <v>14.733061224489797</v>
      </c>
      <c r="L1667" s="918">
        <v>15.406530612244898</v>
      </c>
      <c r="M1667" s="918">
        <v>16.079999999999998</v>
      </c>
      <c r="N1667" s="918">
        <v>16.72</v>
      </c>
      <c r="O1667" s="918">
        <v>17.36</v>
      </c>
      <c r="P1667" s="918">
        <v>17.36</v>
      </c>
      <c r="Q1667" s="918">
        <v>18</v>
      </c>
      <c r="R1667" s="918">
        <v>18</v>
      </c>
      <c r="S1667" s="918">
        <v>18</v>
      </c>
      <c r="T1667" s="918">
        <v>18</v>
      </c>
      <c r="U1667" s="918">
        <v>18</v>
      </c>
      <c r="V1667" s="918">
        <v>18.75</v>
      </c>
      <c r="W1667" s="918">
        <v>19.5</v>
      </c>
      <c r="X1667" s="918">
        <v>20.25</v>
      </c>
      <c r="Y1667" s="918">
        <v>21</v>
      </c>
      <c r="Z1667" s="918">
        <f t="shared" ca="1" si="127"/>
        <v>21</v>
      </c>
      <c r="AB1667" s="918">
        <v>13.352988916127805</v>
      </c>
      <c r="AC1667" s="918">
        <v>12.526600027238915</v>
      </c>
      <c r="AD1667" s="918">
        <v>11.700211138350028</v>
      </c>
      <c r="AE1667" s="918">
        <v>10.873822249461139</v>
      </c>
      <c r="AF1667" s="918">
        <v>10.047433360572249</v>
      </c>
      <c r="AG1667" s="918">
        <v>9.2210444716833599</v>
      </c>
      <c r="AH1667" s="918">
        <v>8.3946555827944707</v>
      </c>
      <c r="AI1667" s="918">
        <v>7.5682666939055805</v>
      </c>
      <c r="AJ1667" s="918">
        <v>8.3946555827944707</v>
      </c>
      <c r="AK1667" s="918">
        <v>8.3946555827944707</v>
      </c>
      <c r="AL1667" s="918">
        <v>9.3932838406819865</v>
      </c>
      <c r="AM1667" s="918">
        <v>10.391912098569504</v>
      </c>
      <c r="AN1667" s="918">
        <v>10.391912098569506</v>
      </c>
      <c r="AO1667" s="918">
        <v>10.391912098569508</v>
      </c>
      <c r="AP1667" s="918">
        <v>10.391912098569506</v>
      </c>
      <c r="AQ1667" s="918">
        <v>10.391912098569506</v>
      </c>
      <c r="AR1667" s="918">
        <v>11.391269368952369</v>
      </c>
      <c r="AS1667" s="918">
        <v>12.390475875597875</v>
      </c>
      <c r="AT1667" s="918">
        <v>13.389682382243382</v>
      </c>
      <c r="AU1667" s="918" t="e">
        <v>#VALUE!</v>
      </c>
      <c r="AV1667" s="918" t="e">
        <f t="shared" ca="1" si="126"/>
        <v>#VALUE!</v>
      </c>
      <c r="AX1667" s="86" t="str">
        <f t="shared" ca="1" si="124"/>
        <v>BLNK</v>
      </c>
    </row>
    <row r="1668" spans="1:50" ht="23" hidden="1" customHeight="1">
      <c r="A1668" s="86" t="str">
        <f t="shared" ca="1" si="125"/>
        <v>ENI</v>
      </c>
      <c r="F1668" s="918">
        <v>19</v>
      </c>
      <c r="G1668" s="918">
        <v>19</v>
      </c>
      <c r="H1668" s="918">
        <v>19</v>
      </c>
      <c r="I1668" s="918">
        <v>19</v>
      </c>
      <c r="J1668" s="918">
        <v>19</v>
      </c>
      <c r="K1668" s="918">
        <v>19</v>
      </c>
      <c r="L1668" s="918">
        <v>19</v>
      </c>
      <c r="M1668" s="918">
        <v>19</v>
      </c>
      <c r="N1668" s="918">
        <v>19</v>
      </c>
      <c r="O1668" s="918">
        <v>19</v>
      </c>
      <c r="P1668" s="918">
        <v>20</v>
      </c>
      <c r="Q1668" s="918">
        <v>21</v>
      </c>
      <c r="R1668" s="918">
        <v>21</v>
      </c>
      <c r="S1668" s="918">
        <v>21</v>
      </c>
      <c r="T1668" s="918">
        <v>21</v>
      </c>
      <c r="U1668" s="918">
        <v>21</v>
      </c>
      <c r="V1668" s="918">
        <v>21</v>
      </c>
      <c r="W1668" s="918">
        <v>21</v>
      </c>
      <c r="X1668" s="918">
        <v>21</v>
      </c>
      <c r="Y1668" s="918">
        <v>21</v>
      </c>
      <c r="Z1668" s="918">
        <f t="shared" ca="1" si="127"/>
        <v>21</v>
      </c>
      <c r="AB1668" s="918">
        <v>15.876969045108776</v>
      </c>
      <c r="AC1668" s="918">
        <v>15.126969045108776</v>
      </c>
      <c r="AD1668" s="918">
        <v>14.376969045108776</v>
      </c>
      <c r="AE1668" s="918">
        <v>13.728425860925633</v>
      </c>
      <c r="AF1668" s="918">
        <v>13.029154268834061</v>
      </c>
      <c r="AG1668" s="918">
        <v>11.728425860925633</v>
      </c>
      <c r="AH1668" s="918">
        <v>10.808425860925631</v>
      </c>
      <c r="AI1668" s="918">
        <v>9.8484258609256301</v>
      </c>
      <c r="AJ1668" s="918">
        <v>8.8884258609256293</v>
      </c>
      <c r="AK1668" s="918">
        <v>7.9284258609256328</v>
      </c>
      <c r="AL1668" s="918">
        <v>7.110648083147856</v>
      </c>
      <c r="AM1668" s="918">
        <v>6.2217591942589676</v>
      </c>
      <c r="AN1668" s="918">
        <v>5.3328703053700792</v>
      </c>
      <c r="AO1668" s="918">
        <v>5.1106480831478569</v>
      </c>
      <c r="AP1668" s="918">
        <v>4.5550925275923007</v>
      </c>
      <c r="AQ1668" s="918">
        <v>3.9995369720367453</v>
      </c>
      <c r="AR1668" s="918">
        <v>4.4021425735059836</v>
      </c>
      <c r="AS1668" s="918">
        <v>3.9060452364995553</v>
      </c>
      <c r="AT1668" s="918">
        <v>3.854392343937572</v>
      </c>
      <c r="AU1668" s="918">
        <v>3.6225679269279696</v>
      </c>
      <c r="AV1668" s="918">
        <f t="shared" ca="1" si="126"/>
        <v>3.6225679269279696</v>
      </c>
      <c r="AX1668" s="86" t="str">
        <f t="shared" ca="1" si="124"/>
        <v>ENI</v>
      </c>
    </row>
    <row r="1669" spans="1:50" hidden="1">
      <c r="A1669" s="86" t="str">
        <f t="shared" ca="1" si="125"/>
        <v>EZJ</v>
      </c>
      <c r="F1669" s="918">
        <v>21</v>
      </c>
      <c r="G1669" s="918">
        <v>21</v>
      </c>
      <c r="H1669" s="918">
        <v>21</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27"/>
        <v>21</v>
      </c>
      <c r="AB1669" s="918">
        <v>1.1008347261604776</v>
      </c>
      <c r="AC1669" s="918">
        <v>1.3985611300723719</v>
      </c>
      <c r="AD1669" s="918">
        <v>1.6962875339842665</v>
      </c>
      <c r="AE1669" s="918">
        <v>2.7155729624854881</v>
      </c>
      <c r="AF1669" s="918">
        <v>3.3740788786920457</v>
      </c>
      <c r="AG1669" s="918">
        <v>4.0325847948986038</v>
      </c>
      <c r="AH1669" s="918">
        <v>4.6910907111051623</v>
      </c>
      <c r="AI1669" s="918">
        <v>4.0515699786357207</v>
      </c>
      <c r="AJ1669" s="918">
        <v>4.2424684661958887</v>
      </c>
      <c r="AK1669" s="918">
        <v>4.3426640059102519</v>
      </c>
      <c r="AL1669" s="918">
        <v>5.0018873234023937</v>
      </c>
      <c r="AM1669" s="918">
        <v>4.6003467520056454</v>
      </c>
      <c r="AN1669" s="918">
        <v>4.5894311806088979</v>
      </c>
      <c r="AO1669" s="918">
        <v>4.5785156092121504</v>
      </c>
      <c r="AP1669" s="918">
        <v>4.5676000378154029</v>
      </c>
      <c r="AQ1669" s="918">
        <v>4.5566844664186554</v>
      </c>
      <c r="AR1669" s="918">
        <v>4.5534631369811098</v>
      </c>
      <c r="AS1669" s="918">
        <v>5.0494861870582142</v>
      </c>
      <c r="AT1669" s="918">
        <v>5.2955092371353176</v>
      </c>
      <c r="AU1669" s="918">
        <v>5.2368672618266761</v>
      </c>
      <c r="AV1669" s="918">
        <f t="shared" ca="1" si="126"/>
        <v>5.2368672618266761</v>
      </c>
      <c r="AX1669" s="86" t="str">
        <f t="shared" ca="1" si="124"/>
        <v>EZJ</v>
      </c>
    </row>
    <row r="1670" spans="1:50" hidden="1">
      <c r="A1670" s="86" t="str">
        <f t="shared" ca="1" si="125"/>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27"/>
        <v>0.25925925925925941</v>
      </c>
      <c r="AB1670" s="918">
        <v>0.14690668866814122</v>
      </c>
      <c r="AC1670" s="918">
        <v>0.16071593399826761</v>
      </c>
      <c r="AD1670" s="918">
        <v>0.17452517932839401</v>
      </c>
      <c r="AE1670" s="918">
        <v>0.18833442465852041</v>
      </c>
      <c r="AF1670" s="918">
        <v>0.2021436699886468</v>
      </c>
      <c r="AG1670" s="918">
        <v>0.21595291531877323</v>
      </c>
      <c r="AH1670" s="918">
        <v>0.22976216064889962</v>
      </c>
      <c r="AI1670" s="918">
        <v>0.24357140597902602</v>
      </c>
      <c r="AJ1670" s="918">
        <v>0.25738065130915244</v>
      </c>
      <c r="AK1670" s="918">
        <v>0.27118989663927889</v>
      </c>
      <c r="AL1670" s="918">
        <v>0.28499914196940529</v>
      </c>
      <c r="AM1670" s="918">
        <v>0.29880838729953169</v>
      </c>
      <c r="AN1670" s="918">
        <v>0.31261763262965814</v>
      </c>
      <c r="AO1670" s="918">
        <v>0.32642687795978459</v>
      </c>
      <c r="AP1670" s="918">
        <v>0.34023612328991099</v>
      </c>
      <c r="AQ1670" s="918">
        <v>0.35404536862003744</v>
      </c>
      <c r="AR1670" s="918">
        <v>0.35727788279773115</v>
      </c>
      <c r="AS1670" s="918">
        <v>0.35727788279773115</v>
      </c>
      <c r="AT1670" s="918">
        <v>0.35727788279773115</v>
      </c>
      <c r="AU1670" s="918">
        <v>0.35727788279773115</v>
      </c>
      <c r="AV1670" s="918">
        <f t="shared" ca="1" si="126"/>
        <v>0.35727788279773115</v>
      </c>
      <c r="AX1670" s="86" t="str">
        <f t="shared" ca="1" si="124"/>
        <v>F</v>
      </c>
    </row>
    <row r="1671" spans="1:50" hidden="1">
      <c r="A1671" s="86" t="str">
        <f t="shared" ca="1" si="125"/>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27"/>
        <v>0.42857142857142871</v>
      </c>
      <c r="AB1671" s="918">
        <v>9.0503655237997922</v>
      </c>
      <c r="AC1671" s="918">
        <v>8.0504093815253306</v>
      </c>
      <c r="AD1671" s="918">
        <v>7.0504532392508645</v>
      </c>
      <c r="AE1671" s="918">
        <v>6.0504970969764029</v>
      </c>
      <c r="AF1671" s="918">
        <v>5.0505409547019413</v>
      </c>
      <c r="AG1671" s="918">
        <v>4.0505848124274797</v>
      </c>
      <c r="AH1671" s="918">
        <v>3.0506286701530185</v>
      </c>
      <c r="AI1671" s="918">
        <v>2.0506725278785569</v>
      </c>
      <c r="AJ1671" s="918">
        <v>2.0431549489311274</v>
      </c>
      <c r="AK1671" s="918">
        <v>2.0356373699836978</v>
      </c>
      <c r="AL1671" s="918">
        <v>1.0356812277092369</v>
      </c>
      <c r="AM1671" s="918">
        <v>3.5725085434774373E-2</v>
      </c>
      <c r="AN1671" s="918">
        <v>2.7021983893194056E-2</v>
      </c>
      <c r="AO1671" s="918">
        <v>1.8318882351613747E-2</v>
      </c>
      <c r="AP1671" s="918">
        <v>9.61578081003347E-3</v>
      </c>
      <c r="AQ1671" s="918">
        <v>9.126792684531472E-4</v>
      </c>
      <c r="AR1671" s="918">
        <v>9.2101223630543445E-4</v>
      </c>
      <c r="AS1671" s="918">
        <v>9.2101223630543445E-4</v>
      </c>
      <c r="AT1671" s="918">
        <v>9.2101223630543445E-4</v>
      </c>
      <c r="AU1671" s="918">
        <v>9.2101223630543445E-4</v>
      </c>
      <c r="AV1671" s="918">
        <f t="shared" ca="1" si="126"/>
        <v>9.2101223630543445E-4</v>
      </c>
      <c r="AX1671" s="86" t="str">
        <f t="shared" ca="1" si="124"/>
        <v>GLE</v>
      </c>
    </row>
    <row r="1672" spans="1:50" hidden="1">
      <c r="A1672" s="86" t="str">
        <f t="shared" ca="1" si="125"/>
        <v>GNRC</v>
      </c>
      <c r="F1672" s="918">
        <v>13.163265306122454</v>
      </c>
      <c r="G1672" s="918">
        <v>13.163265306122454</v>
      </c>
      <c r="H1672" s="918">
        <v>13.163265306122454</v>
      </c>
      <c r="I1672" s="918">
        <v>13.163265306122454</v>
      </c>
      <c r="J1672" s="918">
        <v>13.163265306122447</v>
      </c>
      <c r="K1672" s="918">
        <v>13.163265306122447</v>
      </c>
      <c r="L1672" s="918">
        <v>13.163265306122447</v>
      </c>
      <c r="M1672" s="918">
        <v>13.163265306122447</v>
      </c>
      <c r="N1672" s="918">
        <v>13.163265306122447</v>
      </c>
      <c r="O1672" s="918">
        <v>13.163265306122447</v>
      </c>
      <c r="P1672" s="918">
        <v>13.163265306122449</v>
      </c>
      <c r="Q1672" s="918">
        <v>13.163265306122449</v>
      </c>
      <c r="R1672" s="918">
        <v>14.142857142857142</v>
      </c>
      <c r="S1672" s="918">
        <v>15.122448979591837</v>
      </c>
      <c r="T1672" s="918">
        <v>16.102040816326529</v>
      </c>
      <c r="U1672" s="918">
        <v>17.081632653061224</v>
      </c>
      <c r="V1672" s="918">
        <v>18.061224489795919</v>
      </c>
      <c r="W1672" s="918">
        <v>19.04081632653061</v>
      </c>
      <c r="X1672" s="918">
        <v>20.020408163265305</v>
      </c>
      <c r="Y1672" s="918">
        <v>21</v>
      </c>
      <c r="Z1672" s="918">
        <f t="shared" ca="1" si="127"/>
        <v>21</v>
      </c>
      <c r="AB1672" s="918">
        <v>3.4836498490158472</v>
      </c>
      <c r="AC1672" s="918">
        <v>2.5114276267936249</v>
      </c>
      <c r="AD1672" s="918">
        <v>2.5390070312327793</v>
      </c>
      <c r="AE1672" s="918">
        <v>2.5667848090105569</v>
      </c>
      <c r="AF1672" s="918">
        <v>2.5945625867883346</v>
      </c>
      <c r="AG1672" s="918">
        <v>2.6215468712116192</v>
      </c>
      <c r="AH1672" s="918">
        <v>2.6491262756507736</v>
      </c>
      <c r="AI1672" s="918">
        <v>2.6769040534285513</v>
      </c>
      <c r="AJ1672" s="918">
        <v>3.6491262756507736</v>
      </c>
      <c r="AK1672" s="918">
        <v>3.6491262756507745</v>
      </c>
      <c r="AL1672" s="918">
        <v>4.6489279023121508</v>
      </c>
      <c r="AM1672" s="918">
        <v>5.6487295289735275</v>
      </c>
      <c r="AN1672" s="918">
        <v>6.6479360356190345</v>
      </c>
      <c r="AO1672" s="918">
        <v>7.6471425422645414</v>
      </c>
      <c r="AP1672" s="918">
        <v>8.6463490489100483</v>
      </c>
      <c r="AQ1672" s="918">
        <v>9.6455555555555552</v>
      </c>
      <c r="AR1672" s="918">
        <v>10.555555555555555</v>
      </c>
      <c r="AS1672" s="918">
        <v>9.4562787639710706</v>
      </c>
      <c r="AT1672" s="918">
        <v>9.3510848126232737</v>
      </c>
      <c r="AU1672" s="918">
        <v>9.2458908612754769</v>
      </c>
      <c r="AV1672" s="918">
        <f t="shared" ca="1" si="126"/>
        <v>9.2458908612754769</v>
      </c>
      <c r="AX1672" s="86" t="str">
        <f t="shared" ca="1" si="124"/>
        <v>GNRC</v>
      </c>
    </row>
    <row r="1673" spans="1:50" hidden="1">
      <c r="A1673" s="86" t="str">
        <f t="shared" ca="1" si="125"/>
        <v>GS</v>
      </c>
      <c r="F1673" s="918">
        <v>5.1206364898900727</v>
      </c>
      <c r="G1673" s="918">
        <v>5.1206364898900736</v>
      </c>
      <c r="H1673" s="918">
        <v>6.1002283266247677</v>
      </c>
      <c r="I1673" s="918">
        <v>7.0979607529286222</v>
      </c>
      <c r="J1673" s="918">
        <v>8.0956931792324767</v>
      </c>
      <c r="K1673" s="918">
        <v>9.0934256055363321</v>
      </c>
      <c r="L1673" s="918">
        <v>10.093425605536332</v>
      </c>
      <c r="M1673" s="918">
        <v>11.006920415224913</v>
      </c>
      <c r="N1673" s="918">
        <v>11.006920415224913</v>
      </c>
      <c r="O1673" s="918">
        <v>11.006920415224913</v>
      </c>
      <c r="P1673" s="918">
        <v>12.003460207612456</v>
      </c>
      <c r="Q1673" s="918">
        <v>13</v>
      </c>
      <c r="R1673" s="918">
        <v>14</v>
      </c>
      <c r="S1673" s="918">
        <v>15</v>
      </c>
      <c r="T1673" s="918">
        <v>16</v>
      </c>
      <c r="U1673" s="918">
        <v>17</v>
      </c>
      <c r="V1673" s="918">
        <v>18</v>
      </c>
      <c r="W1673" s="918">
        <v>19</v>
      </c>
      <c r="X1673" s="918">
        <v>20</v>
      </c>
      <c r="Y1673" s="918" t="e">
        <v>#VALUE!</v>
      </c>
      <c r="Z1673" s="918" t="e">
        <f t="shared" si="127"/>
        <v>#VALUE!</v>
      </c>
      <c r="AB1673" s="918">
        <v>4.8736393110792156</v>
      </c>
      <c r="AC1673" s="918">
        <v>4.8572692203871481</v>
      </c>
      <c r="AD1673" s="918">
        <v>4.8344004811451509</v>
      </c>
      <c r="AE1673" s="918">
        <v>4.8001737172117958</v>
      </c>
      <c r="AF1673" s="918">
        <v>4.7659469532784398</v>
      </c>
      <c r="AG1673" s="918">
        <v>4.7317201893450846</v>
      </c>
      <c r="AH1673" s="918">
        <v>4.6974934254117295</v>
      </c>
      <c r="AI1673" s="918">
        <v>4.6632666614783735</v>
      </c>
      <c r="AJ1673" s="918">
        <v>3.7001510086561287</v>
      </c>
      <c r="AK1673" s="918">
        <v>2.7370353558338842</v>
      </c>
      <c r="AL1673" s="918">
        <v>1.7739197030116374</v>
      </c>
      <c r="AM1673" s="918">
        <v>0.81080405018939317</v>
      </c>
      <c r="AN1673" s="918">
        <v>0.7999938538343172</v>
      </c>
      <c r="AO1673" s="918">
        <v>0.78918365747924135</v>
      </c>
      <c r="AP1673" s="918">
        <v>0.7783734611241655</v>
      </c>
      <c r="AQ1673" s="918">
        <v>0.76756326476908954</v>
      </c>
      <c r="AR1673" s="918">
        <v>0.77457129073286302</v>
      </c>
      <c r="AS1673" s="918">
        <v>0.77457129073286302</v>
      </c>
      <c r="AT1673" s="918">
        <v>0.77457129073286302</v>
      </c>
      <c r="AU1673" s="918">
        <v>0.77457129073286302</v>
      </c>
      <c r="AV1673" s="918">
        <f t="shared" ca="1" si="126"/>
        <v>0.77457129073286302</v>
      </c>
      <c r="AX1673" s="86" t="str">
        <f t="shared" ca="1" si="124"/>
        <v>GS</v>
      </c>
    </row>
    <row r="1674" spans="1:50" hidden="1">
      <c r="A1674" s="86" t="str">
        <f t="shared" ca="1" si="125"/>
        <v>LAZR</v>
      </c>
      <c r="F1674" s="918">
        <v>9.6678012921144791</v>
      </c>
      <c r="G1674" s="918">
        <v>10.661884132351165</v>
      </c>
      <c r="H1674" s="918">
        <v>11.655966972587851</v>
      </c>
      <c r="I1674" s="918">
        <v>12.650049812824538</v>
      </c>
      <c r="J1674" s="918">
        <v>13.644132653061224</v>
      </c>
      <c r="K1674" s="918">
        <v>14.623724489795919</v>
      </c>
      <c r="L1674" s="918">
        <v>15.603316326530612</v>
      </c>
      <c r="M1674" s="918">
        <v>16.582908163265305</v>
      </c>
      <c r="N1674" s="918">
        <v>16.582908163265305</v>
      </c>
      <c r="O1674" s="918">
        <v>16.582908163265305</v>
      </c>
      <c r="P1674" s="918">
        <v>16.582908163265305</v>
      </c>
      <c r="Q1674" s="918">
        <v>16.582908163265305</v>
      </c>
      <c r="R1674" s="918">
        <v>16.582908163265305</v>
      </c>
      <c r="S1674" s="918">
        <v>16.582908163265305</v>
      </c>
      <c r="T1674" s="918">
        <v>17.5625</v>
      </c>
      <c r="U1674" s="918">
        <v>18</v>
      </c>
      <c r="V1674" s="918">
        <v>19</v>
      </c>
      <c r="W1674" s="918">
        <v>20</v>
      </c>
      <c r="X1674" s="918">
        <v>21</v>
      </c>
      <c r="Y1674" s="918">
        <v>21</v>
      </c>
      <c r="Z1674" s="918">
        <f t="shared" ca="1" si="127"/>
        <v>21</v>
      </c>
      <c r="AB1674" s="918">
        <v>5.5063246934648102</v>
      </c>
      <c r="AC1674" s="918">
        <v>4.6174358045759218</v>
      </c>
      <c r="AD1674" s="918">
        <v>4.7278164554971145</v>
      </c>
      <c r="AE1674" s="918">
        <v>4.8381971064183062</v>
      </c>
      <c r="AF1674" s="918">
        <v>4.948577757339498</v>
      </c>
      <c r="AG1674" s="918">
        <v>5.0589584082606898</v>
      </c>
      <c r="AH1674" s="918">
        <v>5.1693390591818824</v>
      </c>
      <c r="AI1674" s="918">
        <v>5.2797197101030742</v>
      </c>
      <c r="AJ1674" s="918">
        <v>5.2239373991295928</v>
      </c>
      <c r="AK1674" s="918">
        <v>5.2495396832149055</v>
      </c>
      <c r="AL1674" s="918">
        <v>4.2243483145548755</v>
      </c>
      <c r="AM1674" s="918">
        <v>4.2224916562840145</v>
      </c>
      <c r="AN1674" s="918">
        <v>4.2217840233685902</v>
      </c>
      <c r="AO1674" s="918">
        <v>4.221076390453165</v>
      </c>
      <c r="AP1674" s="918">
        <v>4.2203687575377407</v>
      </c>
      <c r="AQ1674" s="918">
        <v>4.2186593813109896</v>
      </c>
      <c r="AR1674" s="918">
        <v>3.4109269550071319</v>
      </c>
      <c r="AS1674" s="918">
        <v>2.7148975665661852</v>
      </c>
      <c r="AT1674" s="918">
        <v>1.8680166591937843</v>
      </c>
      <c r="AU1674" s="918">
        <v>1.5766913073769395</v>
      </c>
      <c r="AV1674" s="918">
        <f t="shared" ca="1" si="126"/>
        <v>1.5766913073769395</v>
      </c>
      <c r="AX1674" s="86" t="str">
        <f t="shared" ca="1" si="124"/>
        <v>LAZR</v>
      </c>
    </row>
    <row r="1675" spans="1:50" hidden="1">
      <c r="A1675" s="86" t="str">
        <f t="shared" ca="1" si="125"/>
        <v>LUV</v>
      </c>
      <c r="F1675" s="918">
        <v>6.1138068793480045</v>
      </c>
      <c r="G1675" s="918">
        <v>6.1138068793480045</v>
      </c>
      <c r="H1675" s="918">
        <v>7.1014612003356596</v>
      </c>
      <c r="I1675" s="918">
        <v>8.089115521323313</v>
      </c>
      <c r="J1675" s="918">
        <v>9.0767698423109682</v>
      </c>
      <c r="K1675" s="918">
        <v>10.064424163298622</v>
      </c>
      <c r="L1675" s="918">
        <v>11.052078484286277</v>
      </c>
      <c r="M1675" s="918">
        <v>10.961375536440471</v>
      </c>
      <c r="N1675" s="918">
        <v>12.340060343696708</v>
      </c>
      <c r="O1675" s="918">
        <v>13.228949232585595</v>
      </c>
      <c r="P1675" s="918">
        <v>13.228949232585595</v>
      </c>
      <c r="Q1675" s="918">
        <v>13.868949232585596</v>
      </c>
      <c r="R1675" s="918">
        <v>14.848541069320289</v>
      </c>
      <c r="S1675" s="918">
        <v>15.828132906054984</v>
      </c>
      <c r="T1675" s="918">
        <v>16.807724742789677</v>
      </c>
      <c r="U1675" s="918">
        <v>17.733344577500421</v>
      </c>
      <c r="V1675" s="918">
        <v>18.658964412211162</v>
      </c>
      <c r="W1675" s="918">
        <v>19.584584246921906</v>
      </c>
      <c r="X1675" s="918">
        <v>20.510204081632651</v>
      </c>
      <c r="Y1675" s="918">
        <v>20.510204081632654</v>
      </c>
      <c r="Z1675" s="918">
        <f t="shared" ca="1" si="127"/>
        <v>20.510204081632654</v>
      </c>
      <c r="AB1675" s="918">
        <v>3.0648950036726434</v>
      </c>
      <c r="AC1675" s="918">
        <v>3.0707371740723133</v>
      </c>
      <c r="AD1675" s="918">
        <v>3.0765793444719831</v>
      </c>
      <c r="AE1675" s="918">
        <v>3.0842086797599735</v>
      </c>
      <c r="AF1675" s="918">
        <v>3.0918380150479634</v>
      </c>
      <c r="AG1675" s="918">
        <v>3.0994673503359538</v>
      </c>
      <c r="AH1675" s="918">
        <v>3.1124438845881799</v>
      </c>
      <c r="AI1675" s="918">
        <v>3.1254204188404064</v>
      </c>
      <c r="AJ1675" s="918">
        <v>5.0943107097962663</v>
      </c>
      <c r="AK1675" s="918">
        <v>6.0836091640174317</v>
      </c>
      <c r="AL1675" s="918">
        <v>7.0665959315032527</v>
      </c>
      <c r="AM1675" s="918">
        <v>8.0495826989890755</v>
      </c>
      <c r="AN1675" s="918">
        <v>7.2547916886971198</v>
      </c>
      <c r="AO1675" s="918">
        <v>7.3488895672940524</v>
      </c>
      <c r="AP1675" s="918">
        <v>7.442987445890985</v>
      </c>
      <c r="AQ1675" s="918">
        <v>7.5370853244879186</v>
      </c>
      <c r="AR1675" s="918">
        <v>7.1159742133768074</v>
      </c>
      <c r="AS1675" s="918">
        <v>7.8659742133768091</v>
      </c>
      <c r="AT1675" s="918">
        <v>6.3659742133768091</v>
      </c>
      <c r="AU1675" s="918" t="e">
        <v>#VALUE!</v>
      </c>
      <c r="AV1675" s="918" t="e">
        <f t="shared" ca="1" si="126"/>
        <v>#VALUE!</v>
      </c>
      <c r="AX1675" s="86" t="str">
        <f t="shared" ca="1" si="124"/>
        <v>LUV</v>
      </c>
    </row>
    <row r="1676" spans="1:50" hidden="1">
      <c r="A1676" s="86" t="str">
        <f t="shared" ca="1" si="125"/>
        <v>MA</v>
      </c>
      <c r="F1676" s="918">
        <v>3.2533333333333334</v>
      </c>
      <c r="G1676" s="918">
        <v>3.4988888888888887</v>
      </c>
      <c r="H1676" s="918">
        <v>3.7444444444444445</v>
      </c>
      <c r="I1676" s="918">
        <v>3.99</v>
      </c>
      <c r="J1676" s="918">
        <v>4.235555555555556</v>
      </c>
      <c r="K1676" s="918">
        <v>4.4811111111111117</v>
      </c>
      <c r="L1676" s="918">
        <v>4.7266666666666666</v>
      </c>
      <c r="M1676" s="918">
        <v>4.9722222222222223</v>
      </c>
      <c r="N1676" s="918">
        <v>5.1111111111111107</v>
      </c>
      <c r="O1676" s="918">
        <v>5.25</v>
      </c>
      <c r="P1676" s="918">
        <v>5.25</v>
      </c>
      <c r="Q1676" s="918">
        <v>5.25</v>
      </c>
      <c r="R1676" s="918">
        <v>5.25</v>
      </c>
      <c r="S1676" s="918">
        <v>5.25</v>
      </c>
      <c r="T1676" s="918">
        <v>5.25</v>
      </c>
      <c r="U1676" s="918">
        <v>5.25</v>
      </c>
      <c r="V1676" s="918">
        <v>5.25</v>
      </c>
      <c r="W1676" s="918">
        <v>5.25</v>
      </c>
      <c r="X1676" s="918">
        <v>5.25</v>
      </c>
      <c r="Y1676" s="918">
        <v>5.25</v>
      </c>
      <c r="Z1676" s="918">
        <f t="shared" ca="1" si="127"/>
        <v>5.25</v>
      </c>
      <c r="AB1676" s="918">
        <v>1.5003800881052973</v>
      </c>
      <c r="AC1676" s="918">
        <v>2.0628362303797592</v>
      </c>
      <c r="AD1676" s="918">
        <v>2.6252923726542208</v>
      </c>
      <c r="AE1676" s="918">
        <v>3.1877485149286824</v>
      </c>
      <c r="AF1676" s="918">
        <v>3.750204657203144</v>
      </c>
      <c r="AG1676" s="918">
        <v>4.3126607994776052</v>
      </c>
      <c r="AH1676" s="918">
        <v>4.8751169417520668</v>
      </c>
      <c r="AI1676" s="918">
        <v>5.4375730840265284</v>
      </c>
      <c r="AJ1676" s="918">
        <v>5.1950292263009903</v>
      </c>
      <c r="AK1676" s="918">
        <v>5.354985368575452</v>
      </c>
      <c r="AL1676" s="918">
        <v>5.5149415108499147</v>
      </c>
      <c r="AM1676" s="918">
        <v>5.6748976531243764</v>
      </c>
      <c r="AN1676" s="918">
        <v>5.8348537953988382</v>
      </c>
      <c r="AO1676" s="918">
        <v>5.9948099376732999</v>
      </c>
      <c r="AP1676" s="918">
        <v>6.7236549688366507</v>
      </c>
      <c r="AQ1676" s="918">
        <v>7.168055555555557</v>
      </c>
      <c r="AR1676" s="918">
        <v>7.5225000000000017</v>
      </c>
      <c r="AS1676" s="918">
        <v>7.4669444444444455</v>
      </c>
      <c r="AT1676" s="918">
        <v>7.6058333333333348</v>
      </c>
      <c r="AU1676" s="918">
        <v>7.7933333333333348</v>
      </c>
      <c r="AV1676" s="918">
        <f t="shared" ca="1" si="126"/>
        <v>7.7933333333333348</v>
      </c>
      <c r="AX1676" s="86" t="str">
        <f t="shared" ca="1" si="124"/>
        <v>MA</v>
      </c>
    </row>
    <row r="1677" spans="1:50" hidden="1">
      <c r="A1677" s="86" t="str">
        <f t="shared" ca="1" si="125"/>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27"/>
        <v>1.1904761904761905</v>
      </c>
      <c r="AB1677" s="918">
        <v>7.9249517905309421</v>
      </c>
      <c r="AC1677" s="918">
        <v>7.96318637848377</v>
      </c>
      <c r="AD1677" s="918">
        <v>8.0014209664365978</v>
      </c>
      <c r="AE1677" s="918">
        <v>8.0396555543894248</v>
      </c>
      <c r="AF1677" s="918">
        <v>8.0048105575671702</v>
      </c>
      <c r="AG1677" s="918">
        <v>8.0242762959322302</v>
      </c>
      <c r="AH1677" s="918">
        <v>8.0600267007175894</v>
      </c>
      <c r="AI1677" s="918">
        <v>8.1106515083507045</v>
      </c>
      <c r="AJ1677" s="918">
        <v>7.5706515083507071</v>
      </c>
      <c r="AK1677" s="918">
        <v>6.8206515083507071</v>
      </c>
      <c r="AL1677" s="918">
        <v>7.063932884324907</v>
      </c>
      <c r="AM1677" s="918">
        <v>7.3072142602991077</v>
      </c>
      <c r="AN1677" s="918">
        <v>6.5572142602991077</v>
      </c>
      <c r="AO1677" s="918">
        <v>5.8072142602991077</v>
      </c>
      <c r="AP1677" s="918">
        <v>7.5539754474231744</v>
      </c>
      <c r="AQ1677" s="918">
        <v>8.5507366345472402</v>
      </c>
      <c r="AR1677" s="918">
        <v>8.7407366345472397</v>
      </c>
      <c r="AS1677" s="918">
        <v>8.7407366345472397</v>
      </c>
      <c r="AT1677" s="918">
        <v>8.7407366345472397</v>
      </c>
      <c r="AU1677" s="918">
        <v>8.7407366345472397</v>
      </c>
      <c r="AV1677" s="918">
        <f t="shared" ca="1" si="126"/>
        <v>8.7407366345472397</v>
      </c>
      <c r="AX1677" s="86" t="str">
        <f t="shared" ca="1" si="124"/>
        <v>NVAX</v>
      </c>
    </row>
    <row r="1678" spans="1:50" hidden="1">
      <c r="A1678" s="86" t="str">
        <f t="shared" ca="1" si="125"/>
        <v>NVS</v>
      </c>
      <c r="F1678" s="918">
        <v>6.7999538319482911</v>
      </c>
      <c r="G1678" s="918">
        <v>7.7971837488457973</v>
      </c>
      <c r="H1678" s="918">
        <v>8.7944136657433045</v>
      </c>
      <c r="I1678" s="918">
        <v>9.7916435826408126</v>
      </c>
      <c r="J1678" s="918">
        <v>10.788873499538319</v>
      </c>
      <c r="K1678" s="918">
        <v>11.786103416435825</v>
      </c>
      <c r="L1678" s="918">
        <v>12.783333333333331</v>
      </c>
      <c r="M1678" s="918">
        <v>13.623333333333331</v>
      </c>
      <c r="N1678" s="918">
        <v>13.623333333333333</v>
      </c>
      <c r="O1678" s="918">
        <v>13.623333333333333</v>
      </c>
      <c r="P1678" s="918">
        <v>14.560833333333333</v>
      </c>
      <c r="Q1678" s="918">
        <v>15.498333333333333</v>
      </c>
      <c r="R1678" s="918">
        <v>15.498333333333333</v>
      </c>
      <c r="S1678" s="918">
        <v>15.498333333333333</v>
      </c>
      <c r="T1678" s="918">
        <v>16.435833333333335</v>
      </c>
      <c r="U1678" s="918">
        <v>17.373333333333335</v>
      </c>
      <c r="V1678" s="918">
        <v>18.333333333333332</v>
      </c>
      <c r="W1678" s="918">
        <v>19.222222222222221</v>
      </c>
      <c r="X1678" s="918">
        <v>20.111111111111111</v>
      </c>
      <c r="Y1678" s="918">
        <v>21</v>
      </c>
      <c r="Z1678" s="918">
        <f t="shared" ca="1" si="127"/>
        <v>21</v>
      </c>
      <c r="AB1678" s="918">
        <v>6.3632652076663305</v>
      </c>
      <c r="AC1678" s="918">
        <v>7.3263808604885758</v>
      </c>
      <c r="AD1678" s="918">
        <v>8.2894965133108194</v>
      </c>
      <c r="AE1678" s="918">
        <v>9.2526121661330656</v>
      </c>
      <c r="AF1678" s="918">
        <v>10.21572781895531</v>
      </c>
      <c r="AG1678" s="918">
        <v>11.178843471777554</v>
      </c>
      <c r="AH1678" s="918">
        <v>12.141959124599799</v>
      </c>
      <c r="AI1678" s="918">
        <v>13.105074777422043</v>
      </c>
      <c r="AJ1678" s="918">
        <v>14.068190430244288</v>
      </c>
      <c r="AK1678" s="918">
        <v>15.031306083066532</v>
      </c>
      <c r="AL1678" s="918">
        <v>15.994421735888777</v>
      </c>
      <c r="AM1678" s="918">
        <v>16.957537388711021</v>
      </c>
      <c r="AN1678" s="918">
        <v>17.920653041533267</v>
      </c>
      <c r="AO1678" s="918">
        <v>18.88376869435551</v>
      </c>
      <c r="AP1678" s="918">
        <v>19.846884347177756</v>
      </c>
      <c r="AQ1678" s="918">
        <v>20.810000000000002</v>
      </c>
      <c r="AR1678" s="918">
        <v>21</v>
      </c>
      <c r="AS1678" s="918">
        <v>21</v>
      </c>
      <c r="AT1678" s="918">
        <v>21</v>
      </c>
      <c r="AU1678" s="918">
        <v>21</v>
      </c>
      <c r="AV1678" s="918">
        <f t="shared" ca="1" si="126"/>
        <v>21</v>
      </c>
      <c r="AX1678" s="86" t="str">
        <f t="shared" ca="1" si="124"/>
        <v>NVS</v>
      </c>
    </row>
    <row r="1679" spans="1:50" hidden="1">
      <c r="A1679" s="86" t="str">
        <f t="shared" ca="1" si="125"/>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27"/>
        <v>0.42857142857142799</v>
      </c>
      <c r="AB1679" s="918">
        <v>11.523286922401027</v>
      </c>
      <c r="AC1679" s="918">
        <v>10.671215916483867</v>
      </c>
      <c r="AD1679" s="918">
        <v>9.8191449105667061</v>
      </c>
      <c r="AE1679" s="918">
        <v>8.6712159164838667</v>
      </c>
      <c r="AF1679" s="918">
        <v>7.6712159164838694</v>
      </c>
      <c r="AG1679" s="918">
        <v>6.6712159164838694</v>
      </c>
      <c r="AH1679" s="918">
        <v>6.6388676943421592</v>
      </c>
      <c r="AI1679" s="918">
        <v>6.6065194722004472</v>
      </c>
      <c r="AJ1679" s="918">
        <v>6.696022727819015</v>
      </c>
      <c r="AK1679" s="918">
        <v>6.7230259834375827</v>
      </c>
      <c r="AL1679" s="918">
        <v>5.7855259834375827</v>
      </c>
      <c r="AM1679" s="918">
        <v>4.8480259834375827</v>
      </c>
      <c r="AN1679" s="918">
        <v>3.910525983437581</v>
      </c>
      <c r="AO1679" s="918">
        <v>2.973025983437581</v>
      </c>
      <c r="AP1679" s="918">
        <v>2.0355259834375818</v>
      </c>
      <c r="AQ1679" s="918">
        <v>1.0980259834375814</v>
      </c>
      <c r="AR1679" s="918">
        <v>1.141022416255655</v>
      </c>
      <c r="AS1679" s="918">
        <v>1.7744439382532771</v>
      </c>
      <c r="AT1679" s="918">
        <v>2.110365460250899</v>
      </c>
      <c r="AU1679" s="918">
        <v>2.4462869822485214</v>
      </c>
      <c r="AV1679" s="918">
        <f t="shared" ca="1" si="126"/>
        <v>2.4462869822485214</v>
      </c>
      <c r="AX1679" s="86" t="str">
        <f t="shared" ca="1" si="124"/>
        <v>ORA</v>
      </c>
    </row>
    <row r="1680" spans="1:50" hidden="1">
      <c r="A1680" s="86" t="str">
        <f t="shared" ca="1" si="125"/>
        <v>OXY</v>
      </c>
      <c r="F1680" s="918">
        <v>17.00888888888889</v>
      </c>
      <c r="G1680" s="918">
        <v>17.00888888888889</v>
      </c>
      <c r="H1680" s="918">
        <v>17.00888888888889</v>
      </c>
      <c r="I1680" s="918">
        <v>17.00888888888889</v>
      </c>
      <c r="J1680" s="918">
        <v>17.00888888888889</v>
      </c>
      <c r="K1680" s="918">
        <v>17.00888888888889</v>
      </c>
      <c r="L1680" s="918">
        <v>18.004444444444445</v>
      </c>
      <c r="M1680" s="918">
        <v>19</v>
      </c>
      <c r="N1680" s="918">
        <v>20</v>
      </c>
      <c r="O1680" s="918">
        <v>21</v>
      </c>
      <c r="P1680" s="918">
        <v>21</v>
      </c>
      <c r="Q1680" s="918">
        <v>21</v>
      </c>
      <c r="R1680" s="918">
        <v>21</v>
      </c>
      <c r="S1680" s="918">
        <v>21</v>
      </c>
      <c r="T1680" s="918">
        <v>21</v>
      </c>
      <c r="U1680" s="918">
        <v>21</v>
      </c>
      <c r="V1680" s="918">
        <v>21</v>
      </c>
      <c r="W1680" s="918">
        <v>21</v>
      </c>
      <c r="X1680" s="918">
        <v>21</v>
      </c>
      <c r="Y1680" s="918">
        <v>21</v>
      </c>
      <c r="Z1680" s="918">
        <f t="shared" ca="1" si="127"/>
        <v>21</v>
      </c>
      <c r="AB1680" s="918">
        <v>12.259476588748203</v>
      </c>
      <c r="AC1680" s="918">
        <v>11.864414860353142</v>
      </c>
      <c r="AD1680" s="918">
        <v>12.463999175979495</v>
      </c>
      <c r="AE1680" s="918">
        <v>13.062218823558634</v>
      </c>
      <c r="AF1680" s="918">
        <v>13.660438471137773</v>
      </c>
      <c r="AG1680" s="918">
        <v>13.265376742742712</v>
      </c>
      <c r="AH1680" s="918">
        <v>12.87031501434765</v>
      </c>
      <c r="AI1680" s="918">
        <v>12.475253285952586</v>
      </c>
      <c r="AJ1680" s="918">
        <v>11.759203903236537</v>
      </c>
      <c r="AK1680" s="918">
        <v>11.203648347680982</v>
      </c>
      <c r="AL1680" s="918">
        <v>11.63982832931551</v>
      </c>
      <c r="AM1680" s="918">
        <v>11.084272773759954</v>
      </c>
      <c r="AN1680" s="918">
        <v>10.528717218204397</v>
      </c>
      <c r="AO1680" s="918">
        <v>9.9731616626488417</v>
      </c>
      <c r="AP1680" s="918">
        <v>9.4176061070932882</v>
      </c>
      <c r="AQ1680" s="918">
        <v>8.862050551537731</v>
      </c>
      <c r="AR1680" s="918">
        <v>9.3017020965738926</v>
      </c>
      <c r="AS1680" s="918">
        <v>8.8678694179859683</v>
      </c>
      <c r="AT1680" s="918">
        <v>8.8702167210325715</v>
      </c>
      <c r="AU1680" s="918">
        <v>8.8725640240791748</v>
      </c>
      <c r="AV1680" s="918">
        <f t="shared" ca="1" si="126"/>
        <v>8.8725640240791748</v>
      </c>
      <c r="AX1680" s="86" t="str">
        <f t="shared" ca="1" si="124"/>
        <v>OXY</v>
      </c>
    </row>
    <row r="1681" spans="1:65" ht="24" hidden="1" customHeight="1">
      <c r="A1681" s="86" t="str">
        <f t="shared" ca="1" si="125"/>
        <v>PFE</v>
      </c>
      <c r="F1681" s="918">
        <v>17.228934240362811</v>
      </c>
      <c r="G1681" s="918">
        <v>17.228934240362811</v>
      </c>
      <c r="H1681" s="918">
        <v>18.224489795918366</v>
      </c>
      <c r="I1681" s="918">
        <v>19.204081632653061</v>
      </c>
      <c r="J1681" s="918">
        <v>20.183673469387756</v>
      </c>
      <c r="K1681" s="918">
        <v>20.183673469387756</v>
      </c>
      <c r="L1681" s="918">
        <v>20.183673469387756</v>
      </c>
      <c r="M1681" s="918">
        <v>20.183673469387756</v>
      </c>
      <c r="N1681" s="918">
        <v>20.183673469387756</v>
      </c>
      <c r="O1681" s="918">
        <v>20.183673469387756</v>
      </c>
      <c r="P1681" s="918">
        <v>21</v>
      </c>
      <c r="Q1681" s="918">
        <v>21</v>
      </c>
      <c r="R1681" s="918">
        <v>21</v>
      </c>
      <c r="S1681" s="918">
        <v>21</v>
      </c>
      <c r="T1681" s="918">
        <v>21</v>
      </c>
      <c r="U1681" s="918">
        <v>21</v>
      </c>
      <c r="V1681" s="918">
        <v>21</v>
      </c>
      <c r="W1681" s="918">
        <v>21</v>
      </c>
      <c r="X1681" s="918">
        <v>21</v>
      </c>
      <c r="Y1681" s="918" t="e">
        <v>#VALUE!</v>
      </c>
      <c r="Z1681" s="918" t="e">
        <f t="shared" si="127"/>
        <v>#VALUE!</v>
      </c>
      <c r="AB1681" s="918">
        <v>9.6609200247247102</v>
      </c>
      <c r="AC1681" s="918">
        <v>8.4109200247247102</v>
      </c>
      <c r="AD1681" s="918">
        <v>7.4109200247247102</v>
      </c>
      <c r="AE1681" s="918">
        <v>6.4109200247247102</v>
      </c>
      <c r="AF1681" s="918">
        <v>5.4909200247247103</v>
      </c>
      <c r="AG1681" s="918">
        <v>4.5309200247247103</v>
      </c>
      <c r="AH1681" s="918">
        <v>3.5709200247247086</v>
      </c>
      <c r="AI1681" s="918">
        <v>2.6109200247247086</v>
      </c>
      <c r="AJ1681" s="918">
        <v>1.5874489503445435</v>
      </c>
      <c r="AK1681" s="918">
        <v>0.5957134131544608</v>
      </c>
      <c r="AL1681" s="918">
        <v>0.57904712804194025</v>
      </c>
      <c r="AM1681" s="918">
        <v>0.56238084292941992</v>
      </c>
      <c r="AN1681" s="918">
        <v>0.54571455781689959</v>
      </c>
      <c r="AO1681" s="918">
        <v>0.52904827270437926</v>
      </c>
      <c r="AP1681" s="918">
        <v>0.51238198759185882</v>
      </c>
      <c r="AQ1681" s="918">
        <v>0.49571570247933849</v>
      </c>
      <c r="AR1681" s="918">
        <v>0.50157024793388394</v>
      </c>
      <c r="AS1681" s="918">
        <v>0.54588613406795194</v>
      </c>
      <c r="AT1681" s="918">
        <v>0.57068870523415949</v>
      </c>
      <c r="AU1681" s="918">
        <v>0.59549127640036703</v>
      </c>
      <c r="AV1681" s="918">
        <f t="shared" ca="1" si="126"/>
        <v>0.59549127640036703</v>
      </c>
      <c r="AX1681" s="86" t="str">
        <f t="shared" ca="1" si="124"/>
        <v>PFE</v>
      </c>
    </row>
    <row r="1682" spans="1:65" hidden="1">
      <c r="A1682" s="86" t="str">
        <f t="shared" ca="1" si="125"/>
        <v>RIG</v>
      </c>
      <c r="F1682" s="918">
        <v>19</v>
      </c>
      <c r="G1682" s="918">
        <v>19</v>
      </c>
      <c r="H1682" s="918">
        <v>19</v>
      </c>
      <c r="I1682" s="918">
        <v>19</v>
      </c>
      <c r="J1682" s="918">
        <v>19</v>
      </c>
      <c r="K1682" s="918">
        <v>19</v>
      </c>
      <c r="L1682" s="918">
        <v>19</v>
      </c>
      <c r="M1682" s="918">
        <v>19</v>
      </c>
      <c r="N1682" s="918">
        <v>19</v>
      </c>
      <c r="O1682" s="918">
        <v>19</v>
      </c>
      <c r="P1682" s="918">
        <v>20</v>
      </c>
      <c r="Q1682" s="918">
        <v>21</v>
      </c>
      <c r="R1682" s="918">
        <v>21</v>
      </c>
      <c r="S1682" s="918">
        <v>21</v>
      </c>
      <c r="T1682" s="918">
        <v>21</v>
      </c>
      <c r="U1682" s="918">
        <v>21</v>
      </c>
      <c r="V1682" s="918">
        <v>21</v>
      </c>
      <c r="W1682" s="918">
        <v>21</v>
      </c>
      <c r="X1682" s="918">
        <v>21</v>
      </c>
      <c r="Y1682" s="918">
        <v>21</v>
      </c>
      <c r="Z1682" s="918">
        <f t="shared" ca="1" si="127"/>
        <v>21</v>
      </c>
      <c r="AB1682" s="918">
        <v>12.204726601389178</v>
      </c>
      <c r="AC1682" s="918">
        <v>13.123093948327954</v>
      </c>
      <c r="AD1682" s="918">
        <v>13.123093948327954</v>
      </c>
      <c r="AE1682" s="918">
        <v>13.123093948327954</v>
      </c>
      <c r="AF1682" s="918">
        <v>11.123093948327954</v>
      </c>
      <c r="AG1682" s="918">
        <v>10.123093948327956</v>
      </c>
      <c r="AH1682" s="918">
        <v>10.120483260491628</v>
      </c>
      <c r="AI1682" s="918">
        <v>10.117872572655303</v>
      </c>
      <c r="AJ1682" s="918">
        <v>9.2428725726553029</v>
      </c>
      <c r="AK1682" s="918">
        <v>8.3053725726553029</v>
      </c>
      <c r="AL1682" s="918">
        <v>7.3678725726553029</v>
      </c>
      <c r="AM1682" s="918">
        <v>7.4284262058732962</v>
      </c>
      <c r="AN1682" s="918">
        <v>6.4909262058732953</v>
      </c>
      <c r="AO1682" s="918">
        <v>5.5534262058732953</v>
      </c>
      <c r="AP1682" s="918">
        <v>4.7721762058732962</v>
      </c>
      <c r="AQ1682" s="918">
        <v>3.9128012058732962</v>
      </c>
      <c r="AR1682" s="918">
        <v>4.0534262058732962</v>
      </c>
      <c r="AS1682" s="918">
        <v>5.9128012058732962</v>
      </c>
      <c r="AT1682" s="918">
        <v>6.9128012058732962</v>
      </c>
      <c r="AU1682" s="918">
        <v>7.8785076530612246</v>
      </c>
      <c r="AV1682" s="918">
        <f t="shared" ca="1" si="126"/>
        <v>7.8785076530612246</v>
      </c>
      <c r="AX1682" s="86" t="str">
        <f t="shared" ca="1" si="124"/>
        <v>RIG</v>
      </c>
    </row>
    <row r="1683" spans="1:65">
      <c r="A1683" s="86" t="str">
        <f t="shared" ca="1" si="125"/>
        <v>RRC</v>
      </c>
      <c r="F1683" s="918">
        <v>18.551020408163268</v>
      </c>
      <c r="G1683" s="918">
        <v>18.551020408163264</v>
      </c>
      <c r="H1683" s="918">
        <v>18.551020408163264</v>
      </c>
      <c r="I1683" s="918">
        <v>18.551020408163264</v>
      </c>
      <c r="J1683" s="918">
        <v>18.551020408163264</v>
      </c>
      <c r="K1683" s="918">
        <v>18.551020408163264</v>
      </c>
      <c r="L1683" s="918">
        <v>19.367346938775512</v>
      </c>
      <c r="M1683" s="918">
        <v>20.183673469387756</v>
      </c>
      <c r="N1683" s="918">
        <v>20.183673469387756</v>
      </c>
      <c r="O1683" s="918">
        <v>20.183673469387756</v>
      </c>
      <c r="P1683" s="918">
        <v>20.183673469387756</v>
      </c>
      <c r="Q1683" s="918">
        <v>21</v>
      </c>
      <c r="R1683" s="918">
        <v>21</v>
      </c>
      <c r="S1683" s="918">
        <v>21</v>
      </c>
      <c r="T1683" s="918">
        <v>21</v>
      </c>
      <c r="U1683" s="918">
        <v>21</v>
      </c>
      <c r="V1683" s="918">
        <v>21</v>
      </c>
      <c r="W1683" s="918">
        <v>21</v>
      </c>
      <c r="X1683" s="918">
        <v>21</v>
      </c>
      <c r="Y1683" s="918">
        <v>21</v>
      </c>
      <c r="Z1683" s="918">
        <f t="shared" ca="1" si="127"/>
        <v>21</v>
      </c>
      <c r="AB1683" s="918">
        <v>15.039610302163117</v>
      </c>
      <c r="AC1683" s="918">
        <v>14.046427910108576</v>
      </c>
      <c r="AD1683" s="918">
        <v>13.053245518054036</v>
      </c>
      <c r="AE1683" s="918">
        <v>12.060063125999495</v>
      </c>
      <c r="AF1683" s="918">
        <v>11.066880733944954</v>
      </c>
      <c r="AG1683" s="918">
        <v>10.073698341890413</v>
      </c>
      <c r="AH1683" s="918">
        <v>9.0805159498358723</v>
      </c>
      <c r="AI1683" s="918">
        <v>8.0873335577813315</v>
      </c>
      <c r="AJ1683" s="918">
        <v>7.0941511657267906</v>
      </c>
      <c r="AK1683" s="918">
        <v>6.1009687736722498</v>
      </c>
      <c r="AL1683" s="918">
        <v>5.1077863816177089</v>
      </c>
      <c r="AM1683" s="918">
        <v>4.1146039895631681</v>
      </c>
      <c r="AN1683" s="918">
        <v>3.1214215975086277</v>
      </c>
      <c r="AO1683" s="918">
        <v>2.1282392054540868</v>
      </c>
      <c r="AP1683" s="918">
        <v>1.135056813399546</v>
      </c>
      <c r="AQ1683" s="918">
        <v>0.1418744213450045</v>
      </c>
      <c r="AR1683" s="918">
        <v>0.14316976685464172</v>
      </c>
      <c r="AS1683" s="918">
        <v>0.14316976685464172</v>
      </c>
      <c r="AT1683" s="918">
        <v>0.14316976685464172</v>
      </c>
      <c r="AU1683" s="918">
        <v>0.14316976685464172</v>
      </c>
      <c r="AV1683" s="918">
        <f t="shared" ca="1" si="126"/>
        <v>0.14316976685464172</v>
      </c>
      <c r="AX1683" s="86" t="str">
        <f t="shared" ca="1" si="124"/>
        <v>RRC</v>
      </c>
    </row>
    <row r="1684" spans="1:65">
      <c r="A1684" s="86" t="str">
        <f t="shared" ca="1" si="125"/>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27"/>
        <v>21</v>
      </c>
      <c r="AB1684" s="918">
        <v>6.72425072130061</v>
      </c>
      <c r="AC1684" s="918">
        <v>5.9079241906883659</v>
      </c>
      <c r="AD1684" s="918">
        <v>5.0915976600761201</v>
      </c>
      <c r="AE1684" s="918">
        <v>5.2494420478312218</v>
      </c>
      <c r="AF1684" s="918">
        <v>5.4072864355863244</v>
      </c>
      <c r="AG1684" s="918">
        <v>5.5683269658245766</v>
      </c>
      <c r="AH1684" s="918">
        <v>5.7293674960628289</v>
      </c>
      <c r="AI1684" s="918">
        <v>5.8904080263010812</v>
      </c>
      <c r="AJ1684" s="918">
        <v>5.6784629616435316</v>
      </c>
      <c r="AK1684" s="918">
        <v>5.650191366373738</v>
      </c>
      <c r="AL1684" s="918">
        <v>5.6252606184513008</v>
      </c>
      <c r="AM1684" s="918">
        <v>5.6003298705288627</v>
      </c>
      <c r="AN1684" s="918">
        <v>4.6003298705288636</v>
      </c>
      <c r="AO1684" s="918">
        <v>3.6003298705288631</v>
      </c>
      <c r="AP1684" s="918">
        <v>2.6003298705288631</v>
      </c>
      <c r="AQ1684" s="918">
        <v>1.6003298705288631</v>
      </c>
      <c r="AR1684" s="918">
        <v>1.5762513925264849</v>
      </c>
      <c r="AS1684" s="918">
        <v>1.8248504014861164</v>
      </c>
      <c r="AT1684" s="918">
        <v>1.9255204163629074</v>
      </c>
      <c r="AU1684" s="918">
        <v>2.061103731433402</v>
      </c>
      <c r="AV1684" s="918">
        <f t="shared" ca="1" si="126"/>
        <v>2.061103731433402</v>
      </c>
      <c r="AX1684" s="86" t="str">
        <f t="shared" ca="1" si="124"/>
        <v>XYZ</v>
      </c>
    </row>
    <row r="1685" spans="1:65">
      <c r="A1685" s="86" t="str">
        <f t="shared" ca="1" si="125"/>
        <v>THC</v>
      </c>
      <c r="F1685" s="918">
        <v>9.7989923208880949</v>
      </c>
      <c r="G1685" s="918">
        <v>9.7989923208880949</v>
      </c>
      <c r="H1685" s="918">
        <v>9.7989923208880931</v>
      </c>
      <c r="I1685" s="918">
        <v>10.490350345579452</v>
      </c>
      <c r="J1685" s="918">
        <v>11.18170837027081</v>
      </c>
      <c r="K1685" s="918">
        <v>12.01215819726043</v>
      </c>
      <c r="L1685" s="918">
        <v>12.842608024250049</v>
      </c>
      <c r="M1685" s="918">
        <v>13.673057851239669</v>
      </c>
      <c r="N1685" s="918">
        <v>14.513057851239669</v>
      </c>
      <c r="O1685" s="918">
        <v>15.353057851239669</v>
      </c>
      <c r="P1685" s="918">
        <v>16.193057851239669</v>
      </c>
      <c r="Q1685" s="918">
        <v>17.033057851239668</v>
      </c>
      <c r="R1685" s="918">
        <v>17.033057851239668</v>
      </c>
      <c r="S1685" s="918">
        <v>17.033057851239668</v>
      </c>
      <c r="T1685" s="918">
        <v>17.033057851239668</v>
      </c>
      <c r="U1685" s="918">
        <v>17.033057851239668</v>
      </c>
      <c r="V1685" s="918">
        <v>18.024793388429753</v>
      </c>
      <c r="W1685" s="918">
        <v>19.016528925619834</v>
      </c>
      <c r="X1685" s="918">
        <v>20.008264462809919</v>
      </c>
      <c r="Y1685" s="918">
        <v>21</v>
      </c>
      <c r="Z1685" s="918">
        <f t="shared" ca="1" si="127"/>
        <v>21</v>
      </c>
      <c r="AB1685" s="918">
        <v>4.822282296304274</v>
      </c>
      <c r="AC1685" s="918">
        <v>4.7518522914702777</v>
      </c>
      <c r="AD1685" s="918">
        <v>4.779506612457932</v>
      </c>
      <c r="AE1685" s="918">
        <v>4.8071609334455863</v>
      </c>
      <c r="AF1685" s="918">
        <v>4.8348152544332406</v>
      </c>
      <c r="AG1685" s="918">
        <v>4.8624695754208949</v>
      </c>
      <c r="AH1685" s="918">
        <v>4.8901238964085492</v>
      </c>
      <c r="AI1685" s="918">
        <v>4.9215793021002376</v>
      </c>
      <c r="AJ1685" s="918">
        <v>3.9501664077243759</v>
      </c>
      <c r="AK1685" s="918">
        <v>2.984459960536447</v>
      </c>
      <c r="AL1685" s="918">
        <v>2.0301664077243773</v>
      </c>
      <c r="AM1685" s="918">
        <v>1.0701664077243773</v>
      </c>
      <c r="AN1685" s="918">
        <v>1.1042492479610637</v>
      </c>
      <c r="AO1685" s="918">
        <v>1.1383320881977503</v>
      </c>
      <c r="AP1685" s="918">
        <v>3.0924149284344367</v>
      </c>
      <c r="AQ1685" s="918">
        <v>4.0864977686711228</v>
      </c>
      <c r="AR1685" s="918">
        <v>5.0805806089078089</v>
      </c>
      <c r="AS1685" s="918">
        <v>5.9375822330868928</v>
      </c>
      <c r="AT1685" s="918">
        <v>6.7945838572659758</v>
      </c>
      <c r="AU1685" s="918">
        <v>7.6515854814450588</v>
      </c>
      <c r="AV1685" s="918">
        <f t="shared" ca="1" si="126"/>
        <v>7.6515854814450588</v>
      </c>
      <c r="AX1685" s="86" t="str">
        <f t="shared" ref="AX1685:AX1689" ca="1" si="128">A1685</f>
        <v>THC</v>
      </c>
    </row>
    <row r="1686" spans="1:65">
      <c r="A1686" s="86" t="str">
        <f t="shared" ca="1" si="125"/>
        <v>X</v>
      </c>
      <c r="F1686" s="918">
        <v>6.0296467170746295</v>
      </c>
      <c r="G1686" s="918">
        <v>7.0173010380622838</v>
      </c>
      <c r="H1686" s="918">
        <v>8.0138408304498263</v>
      </c>
      <c r="I1686" s="918">
        <v>9.0103806228373706</v>
      </c>
      <c r="J1686" s="918">
        <v>10.006920415224913</v>
      </c>
      <c r="K1686" s="918">
        <v>11.003460207612456</v>
      </c>
      <c r="L1686" s="918">
        <v>12</v>
      </c>
      <c r="M1686" s="918">
        <v>13</v>
      </c>
      <c r="N1686" s="918">
        <v>13</v>
      </c>
      <c r="O1686" s="918">
        <v>13</v>
      </c>
      <c r="P1686" s="918">
        <v>13</v>
      </c>
      <c r="Q1686" s="918">
        <v>13</v>
      </c>
      <c r="R1686" s="918">
        <v>14</v>
      </c>
      <c r="S1686" s="918">
        <v>15</v>
      </c>
      <c r="T1686" s="918">
        <v>16</v>
      </c>
      <c r="U1686" s="918">
        <v>17</v>
      </c>
      <c r="V1686" s="918">
        <v>18</v>
      </c>
      <c r="W1686" s="918">
        <v>19</v>
      </c>
      <c r="X1686" s="918">
        <v>20</v>
      </c>
      <c r="Y1686" s="918">
        <v>21</v>
      </c>
      <c r="Z1686" s="918">
        <f t="shared" ca="1" si="127"/>
        <v>21</v>
      </c>
      <c r="AB1686" s="918">
        <v>9.9150427912315759</v>
      </c>
      <c r="AC1686" s="918">
        <v>9.3594872356760206</v>
      </c>
      <c r="AD1686" s="918">
        <v>8.8039316801204635</v>
      </c>
      <c r="AE1686" s="918">
        <v>8.2483761245649081</v>
      </c>
      <c r="AF1686" s="918">
        <v>7.6928205690093527</v>
      </c>
      <c r="AG1686" s="918">
        <v>7.1372650134537974</v>
      </c>
      <c r="AH1686" s="918">
        <v>6.5817094578982447</v>
      </c>
      <c r="AI1686" s="918">
        <v>6.0261539023426893</v>
      </c>
      <c r="AJ1686" s="918">
        <v>6.5817094578982438</v>
      </c>
      <c r="AK1686" s="918">
        <v>6.5817094578982438</v>
      </c>
      <c r="AL1686" s="918">
        <v>7.5796052579150777</v>
      </c>
      <c r="AM1686" s="918">
        <v>8.5775010579319115</v>
      </c>
      <c r="AN1686" s="918">
        <v>9.5745258513203417</v>
      </c>
      <c r="AO1686" s="918">
        <v>10.57155064470877</v>
      </c>
      <c r="AP1686" s="918">
        <v>11.5685754380972</v>
      </c>
      <c r="AQ1686" s="918">
        <v>12.565600231485631</v>
      </c>
      <c r="AR1686" s="918">
        <v>13.562625024874059</v>
      </c>
      <c r="AS1686" s="918">
        <v>14.560268535101226</v>
      </c>
      <c r="AT1686" s="918">
        <v>15.557912045328392</v>
      </c>
      <c r="AU1686" s="918">
        <v>16.555555555555557</v>
      </c>
      <c r="AV1686" s="918">
        <f t="shared" ca="1" si="126"/>
        <v>16.555555555555557</v>
      </c>
      <c r="AX1686" s="86" t="str">
        <f t="shared" ca="1" si="128"/>
        <v>X</v>
      </c>
    </row>
    <row r="1687" spans="1:65">
      <c r="A1687" s="86" t="str">
        <f t="shared" ca="1" si="125"/>
        <v>LOCK</v>
      </c>
      <c r="F1687" s="918">
        <v>11.32098765432098</v>
      </c>
      <c r="G1687" s="918">
        <v>11.32098765432098</v>
      </c>
      <c r="H1687" s="918">
        <v>11.320987654320989</v>
      </c>
      <c r="I1687" s="918">
        <v>11.320987654320989</v>
      </c>
      <c r="J1687" s="918">
        <v>11.320987654320989</v>
      </c>
      <c r="K1687" s="918">
        <v>11.320987654320989</v>
      </c>
      <c r="L1687" s="918">
        <v>11.320987654320987</v>
      </c>
      <c r="M1687" s="918">
        <v>11.320987654320987</v>
      </c>
      <c r="N1687" s="918">
        <v>11.320987654320987</v>
      </c>
      <c r="O1687" s="918">
        <v>11.320987654320987</v>
      </c>
      <c r="P1687" s="918">
        <v>12.209876543209877</v>
      </c>
      <c r="Q1687" s="918">
        <v>13.098765432098766</v>
      </c>
      <c r="R1687" s="918">
        <v>14.086419753086421</v>
      </c>
      <c r="S1687" s="918">
        <v>15.074074074074074</v>
      </c>
      <c r="T1687" s="918">
        <v>16.061728395061728</v>
      </c>
      <c r="U1687" s="918">
        <v>17.049382716049383</v>
      </c>
      <c r="V1687" s="918">
        <v>18.037037037037038</v>
      </c>
      <c r="W1687" s="918">
        <v>19.02469135802469</v>
      </c>
      <c r="X1687" s="918">
        <v>20.012345679012345</v>
      </c>
      <c r="Y1687" s="918">
        <v>21</v>
      </c>
      <c r="Z1687" s="918">
        <f t="shared" ca="1" si="127"/>
        <v>21</v>
      </c>
      <c r="AB1687" s="918">
        <v>7.4165460977518514</v>
      </c>
      <c r="AC1687" s="918">
        <v>7.6229535863671316</v>
      </c>
      <c r="AD1687" s="918">
        <v>7.8293610749824127</v>
      </c>
      <c r="AE1687" s="918">
        <v>8.0357685635976939</v>
      </c>
      <c r="AF1687" s="918">
        <v>8.2421760522129759</v>
      </c>
      <c r="AG1687" s="918">
        <v>8.4485835408282579</v>
      </c>
      <c r="AH1687" s="918">
        <v>8.6549910294435382</v>
      </c>
      <c r="AI1687" s="918">
        <v>8.8613985180588202</v>
      </c>
      <c r="AJ1687" s="918">
        <v>8.1547869478108836</v>
      </c>
      <c r="AK1687" s="918">
        <v>7.4047869478108836</v>
      </c>
      <c r="AL1687" s="918">
        <v>7.6545828661782291</v>
      </c>
      <c r="AM1687" s="918">
        <v>7.9043787845455764</v>
      </c>
      <c r="AN1687" s="918">
        <v>7.1543787845455764</v>
      </c>
      <c r="AO1687" s="918">
        <v>6.4043787845455773</v>
      </c>
      <c r="AP1687" s="918">
        <v>6.6541747029129237</v>
      </c>
      <c r="AQ1687" s="918">
        <v>6.9033583763823119</v>
      </c>
      <c r="AR1687" s="918">
        <v>7.1528925619834709</v>
      </c>
      <c r="AS1687" s="918">
        <v>6.3161157024793386</v>
      </c>
      <c r="AT1687" s="918">
        <v>5.5227272727272725</v>
      </c>
      <c r="AU1687" s="918" t="e">
        <v>#VALUE!</v>
      </c>
      <c r="AV1687" s="918" t="e">
        <f t="shared" ca="1" si="126"/>
        <v>#VALUE!</v>
      </c>
      <c r="AX1687" s="86" t="str">
        <f t="shared" ca="1" si="128"/>
        <v>LOCK</v>
      </c>
    </row>
    <row r="1688" spans="1:65" ht="23" customHeight="1">
      <c r="A1688" s="86" t="str">
        <f t="shared" ca="1" si="125"/>
        <v>JBASML</v>
      </c>
      <c r="F1688" s="918">
        <v>8.8980502606683203</v>
      </c>
      <c r="G1688" s="918">
        <v>9.6736735293663809</v>
      </c>
      <c r="H1688" s="918">
        <v>10.449296798064442</v>
      </c>
      <c r="I1688" s="918">
        <v>11.224920066762504</v>
      </c>
      <c r="J1688" s="918">
        <v>12.000543335460565</v>
      </c>
      <c r="K1688" s="918">
        <v>12.776166604158625</v>
      </c>
      <c r="L1688" s="918">
        <v>13.551789872856688</v>
      </c>
      <c r="M1688" s="918">
        <v>14.327413141554747</v>
      </c>
      <c r="N1688" s="918">
        <v>14.327413141554747</v>
      </c>
      <c r="O1688" s="918">
        <v>14.327413141554747</v>
      </c>
      <c r="P1688" s="918">
        <v>15.23478554231089</v>
      </c>
      <c r="Q1688" s="918">
        <v>16.142157943067033</v>
      </c>
      <c r="R1688" s="918">
        <v>16.142157943067033</v>
      </c>
      <c r="S1688" s="918">
        <v>16.142157943067033</v>
      </c>
      <c r="T1688" s="918">
        <v>17.067777777777778</v>
      </c>
      <c r="U1688" s="918">
        <v>18.04</v>
      </c>
      <c r="V1688" s="918">
        <v>19</v>
      </c>
      <c r="W1688" s="918">
        <v>20</v>
      </c>
      <c r="X1688" s="918">
        <v>21</v>
      </c>
      <c r="Y1688" s="918">
        <v>21</v>
      </c>
      <c r="Z1688" s="918">
        <f t="shared" ca="1" si="127"/>
        <v>21</v>
      </c>
      <c r="AB1688" s="918">
        <v>0.37080945862126952</v>
      </c>
      <c r="AC1688" s="918">
        <v>0.2841307395646992</v>
      </c>
      <c r="AD1688" s="918">
        <v>0.29293813161924009</v>
      </c>
      <c r="AE1688" s="918">
        <v>0.30174552367378094</v>
      </c>
      <c r="AF1688" s="918">
        <v>0.31055291572832178</v>
      </c>
      <c r="AG1688" s="918">
        <v>0.31936030778286267</v>
      </c>
      <c r="AH1688" s="918">
        <v>0.32816769983740357</v>
      </c>
      <c r="AI1688" s="918">
        <v>0.33697509189194441</v>
      </c>
      <c r="AJ1688" s="918">
        <v>0.39453248394648521</v>
      </c>
      <c r="AK1688" s="918">
        <v>0.71506181477653641</v>
      </c>
      <c r="AL1688" s="918">
        <v>0.89191767621883233</v>
      </c>
      <c r="AM1688" s="918">
        <v>1.0687735376611283</v>
      </c>
      <c r="AN1688" s="918">
        <v>1.1005046825501363</v>
      </c>
      <c r="AO1688" s="918">
        <v>0.99441028302019352</v>
      </c>
      <c r="AP1688" s="918">
        <v>0.993509834838048</v>
      </c>
      <c r="AQ1688" s="918">
        <v>0.99260938665590248</v>
      </c>
      <c r="AR1688" s="918">
        <v>0.99170893847375696</v>
      </c>
      <c r="AS1688" s="918">
        <v>0.98445759514650355</v>
      </c>
      <c r="AT1688" s="918">
        <v>0.97720625181925014</v>
      </c>
      <c r="AU1688" s="918">
        <v>0.96995490849199673</v>
      </c>
      <c r="AV1688" s="918">
        <f t="shared" ca="1" si="126"/>
        <v>0.96995490849199673</v>
      </c>
      <c r="AX1688" s="86" t="str">
        <f t="shared" ca="1" si="128"/>
        <v>JBASML</v>
      </c>
    </row>
    <row r="1689" spans="1:65" ht="23" customHeight="1">
      <c r="A1689" s="86" t="str">
        <f t="shared" ca="1" si="125"/>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27"/>
        <v>0</v>
      </c>
      <c r="AB1689" s="918">
        <v>10.351339627902082</v>
      </c>
      <c r="AC1689" s="918">
        <v>10.31912398030182</v>
      </c>
      <c r="AD1689" s="918">
        <v>10.280479813452523</v>
      </c>
      <c r="AE1689" s="918">
        <v>12.241835646603228</v>
      </c>
      <c r="AF1689" s="918">
        <v>13.203191479753933</v>
      </c>
      <c r="AG1689" s="918">
        <v>14.164547312904638</v>
      </c>
      <c r="AH1689" s="918">
        <v>15.125903146055343</v>
      </c>
      <c r="AI1689" s="918">
        <v>16.087258979206048</v>
      </c>
      <c r="AJ1689" s="918">
        <v>14.167258979206046</v>
      </c>
      <c r="AK1689" s="918">
        <v>13.207258979206046</v>
      </c>
      <c r="AL1689" s="918">
        <v>12.247258979206045</v>
      </c>
      <c r="AM1689" s="918">
        <v>11.287258979206046</v>
      </c>
      <c r="AN1689" s="918">
        <v>10.327258979206045</v>
      </c>
      <c r="AO1689" s="918">
        <v>9.3672589792060421</v>
      </c>
      <c r="AP1689" s="918">
        <v>8.4072589792060413</v>
      </c>
      <c r="AQ1689" s="918">
        <v>8.5494812014282644</v>
      </c>
      <c r="AR1689" s="918">
        <v>8.6133333333333262</v>
      </c>
      <c r="AS1689" s="918">
        <v>8.0022222222222226</v>
      </c>
      <c r="AT1689" s="918">
        <v>7.2522222222222235</v>
      </c>
      <c r="AU1689" s="918" t="e">
        <v>#VALUE!</v>
      </c>
      <c r="AV1689" s="918" t="e">
        <f t="shared" ca="1" si="126"/>
        <v>#VALUE!</v>
      </c>
      <c r="AX1689" s="86" t="str">
        <f t="shared" ca="1" si="128"/>
        <v>JBEOAN</v>
      </c>
    </row>
    <row r="1690" spans="1:65" ht="23" customHeight="1"/>
    <row r="1691" spans="1:65" ht="23" customHeight="1"/>
    <row r="1695" spans="1:65">
      <c r="A1695" s="86"/>
      <c r="D1695" s="1" t="s">
        <v>8</v>
      </c>
      <c r="E1695" t="s">
        <v>2440</v>
      </c>
      <c r="AW1695">
        <f>Y704*100</f>
        <v>-0.26900000000000002</v>
      </c>
      <c r="AX1695">
        <f ca="1">Z704*100</f>
        <v>-0.26900000000000002</v>
      </c>
      <c r="AY1695">
        <f>AA698*100</f>
        <v>0</v>
      </c>
      <c r="AZ1695">
        <f t="shared" ref="AZ1695:BM1695" si="129">AB704*100</f>
        <v>200</v>
      </c>
      <c r="BA1695">
        <f t="shared" si="129"/>
        <v>200</v>
      </c>
      <c r="BB1695">
        <f t="shared" si="129"/>
        <v>700</v>
      </c>
      <c r="BC1695">
        <f t="shared" si="129"/>
        <v>100</v>
      </c>
      <c r="BD1695">
        <f t="shared" si="129"/>
        <v>900</v>
      </c>
      <c r="BE1695">
        <f t="shared" si="129"/>
        <v>500</v>
      </c>
      <c r="BF1695">
        <f t="shared" si="129"/>
        <v>1100</v>
      </c>
      <c r="BG1695">
        <f t="shared" si="129"/>
        <v>200</v>
      </c>
      <c r="BH1695">
        <f t="shared" si="129"/>
        <v>100</v>
      </c>
      <c r="BI1695">
        <f t="shared" si="129"/>
        <v>200</v>
      </c>
      <c r="BJ1695">
        <f t="shared" si="129"/>
        <v>100</v>
      </c>
      <c r="BK1695">
        <f t="shared" si="129"/>
        <v>100</v>
      </c>
      <c r="BL1695">
        <f t="shared" si="129"/>
        <v>100</v>
      </c>
      <c r="BM1695">
        <f t="shared" si="129"/>
        <v>100</v>
      </c>
    </row>
    <row r="1696" spans="1:65">
      <c r="D1696" s="1" t="s">
        <v>2283</v>
      </c>
      <c r="E1696" s="167" t="s">
        <v>2432</v>
      </c>
      <c r="AU1696" s="918"/>
      <c r="AW1696" t="e">
        <f t="shared" ref="AW1696:BM1696" si="130">TANH(AW1695/$AD$1699)</f>
        <v>#DIV/0!</v>
      </c>
      <c r="AX1696" t="e">
        <f t="shared" ca="1" si="130"/>
        <v>#DIV/0!</v>
      </c>
      <c r="AY1696" t="e">
        <f t="shared" si="130"/>
        <v>#DIV/0!</v>
      </c>
      <c r="AZ1696" t="e">
        <f t="shared" si="130"/>
        <v>#DIV/0!</v>
      </c>
      <c r="BA1696" t="e">
        <f t="shared" si="130"/>
        <v>#DIV/0!</v>
      </c>
      <c r="BB1696" t="e">
        <f t="shared" si="130"/>
        <v>#DIV/0!</v>
      </c>
      <c r="BC1696" t="e">
        <f t="shared" si="130"/>
        <v>#DIV/0!</v>
      </c>
      <c r="BD1696" t="e">
        <f t="shared" si="130"/>
        <v>#DIV/0!</v>
      </c>
      <c r="BE1696" t="e">
        <f t="shared" si="130"/>
        <v>#DIV/0!</v>
      </c>
      <c r="BF1696" t="e">
        <f t="shared" si="130"/>
        <v>#DIV/0!</v>
      </c>
      <c r="BG1696" t="e">
        <f t="shared" si="130"/>
        <v>#DIV/0!</v>
      </c>
      <c r="BH1696" t="e">
        <f t="shared" si="130"/>
        <v>#DIV/0!</v>
      </c>
      <c r="BI1696" t="e">
        <f t="shared" si="130"/>
        <v>#DIV/0!</v>
      </c>
      <c r="BJ1696" t="e">
        <f t="shared" si="130"/>
        <v>#DIV/0!</v>
      </c>
      <c r="BK1696" t="e">
        <f t="shared" si="130"/>
        <v>#DIV/0!</v>
      </c>
      <c r="BL1696" t="e">
        <f t="shared" si="130"/>
        <v>#DIV/0!</v>
      </c>
      <c r="BM1696" t="e">
        <f t="shared" si="130"/>
        <v>#DIV/0!</v>
      </c>
    </row>
    <row r="1697" spans="1:51">
      <c r="B1697"/>
      <c r="C1697"/>
      <c r="D1697" s="315" t="s">
        <v>157</v>
      </c>
      <c r="E1697"/>
      <c r="F1697" s="974">
        <f>MEDIAN(W1703:Z1703)</f>
        <v>2</v>
      </c>
      <c r="AD1697" s="975"/>
      <c r="AE1697" s="976"/>
      <c r="AH1697" s="84"/>
      <c r="AI1697" s="86"/>
      <c r="AJ1697" s="89"/>
      <c r="AK1697" s="1"/>
      <c r="AM1697" s="80"/>
      <c r="AN1697" s="80"/>
      <c r="AP1697" s="85"/>
      <c r="AU1697" s="88"/>
      <c r="AV1697" s="113"/>
      <c r="AX1697" s="86"/>
    </row>
    <row r="1698" spans="1:51">
      <c r="A1698" s="315" t="s">
        <v>1821</v>
      </c>
      <c r="B1698"/>
      <c r="C1698" s="315" t="s">
        <v>1896</v>
      </c>
      <c r="D1698" s="315" t="s">
        <v>1893</v>
      </c>
      <c r="E1698" s="315" t="s">
        <v>1895</v>
      </c>
      <c r="F1698" cm="1">
        <f t="array" ref="F1698">MEDIAN(ABS(W1703:Z1703 - F1697))</f>
        <v>1</v>
      </c>
      <c r="AH1698" s="84"/>
      <c r="AI1698" s="86"/>
      <c r="AJ1698" s="89"/>
      <c r="AK1698" s="1"/>
      <c r="AM1698" s="80"/>
      <c r="AN1698" s="80"/>
      <c r="AP1698" s="85"/>
      <c r="AU1698" s="88"/>
      <c r="AV1698" s="113"/>
      <c r="AX1698" s="86"/>
    </row>
    <row r="1699" spans="1:51">
      <c r="A1699" s="91">
        <v>19083746.583999999</v>
      </c>
      <c r="B1699" s="699" t="s">
        <v>1447</v>
      </c>
      <c r="C1699" s="91">
        <v>-43578449.623417005</v>
      </c>
      <c r="D1699" s="680">
        <v>-3520822.5087989997</v>
      </c>
      <c r="E1699" s="91">
        <v>2052479.3559999983</v>
      </c>
      <c r="F1699">
        <f>1.4826*F1698</f>
        <v>1.4825999999999999</v>
      </c>
      <c r="AH1699" s="84"/>
      <c r="AI1699" s="86"/>
      <c r="AJ1699" s="89"/>
      <c r="AK1699" s="1"/>
      <c r="AM1699" s="80"/>
      <c r="AN1699" s="80"/>
      <c r="AP1699" s="85"/>
      <c r="AU1699" s="88"/>
      <c r="AV1699" s="113"/>
      <c r="AX1699" s="86"/>
    </row>
    <row r="1700" spans="1:51">
      <c r="A1700" s="91">
        <v>10005085.549999999</v>
      </c>
      <c r="B1700" s="138" t="s">
        <v>1448</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1894</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c r="B1702" t="s">
        <v>1890</v>
      </c>
      <c r="C1702"/>
      <c r="D1702" s="680">
        <v>-20207171.195754714</v>
      </c>
      <c r="E1702"/>
      <c r="F1702" s="897" t="e">
        <f>W1497</f>
        <v>#N/A</v>
      </c>
      <c r="G1702" s="897" t="e">
        <f>X1497</f>
        <v>#N/A</v>
      </c>
      <c r="H1702" s="897" t="e">
        <f>Y1497</f>
        <v>#N/A</v>
      </c>
      <c r="I1702" s="897" t="e">
        <f ca="1">Z1497</f>
        <v>#N/A</v>
      </c>
      <c r="J1702" s="897">
        <f>AA1490</f>
        <v>0</v>
      </c>
      <c r="K1702" s="897" t="str">
        <f t="shared" ref="K1702:AA1702" si="131">AB1496</f>
        <v>Rev_GL0</v>
      </c>
      <c r="L1702" s="897" t="str">
        <f t="shared" si="131"/>
        <v>Rev_GL1</v>
      </c>
      <c r="M1702" s="897" t="str">
        <f t="shared" si="131"/>
        <v>Rev_GL2</v>
      </c>
      <c r="N1702" s="897" t="str">
        <f t="shared" si="131"/>
        <v>Rev_GL3</v>
      </c>
      <c r="O1702" s="897" t="str">
        <f t="shared" si="131"/>
        <v>Rev_GL4</v>
      </c>
      <c r="P1702" s="897" t="str">
        <f t="shared" si="131"/>
        <v>Rev_GL5</v>
      </c>
      <c r="Q1702" s="897" t="str">
        <f t="shared" si="131"/>
        <v>Rev_GL6</v>
      </c>
      <c r="R1702" s="897" t="str">
        <f t="shared" si="131"/>
        <v>Rev_GL7</v>
      </c>
      <c r="S1702" s="897" t="str">
        <f t="shared" si="131"/>
        <v>Rev_GL8</v>
      </c>
      <c r="T1702" s="897" t="str">
        <f t="shared" si="131"/>
        <v>Rev_GL9</v>
      </c>
      <c r="U1702" s="897" t="str">
        <f t="shared" si="131"/>
        <v>Rev_GL10</v>
      </c>
      <c r="V1702" s="897" t="str">
        <f t="shared" si="131"/>
        <v>Rev_GL11</v>
      </c>
      <c r="W1702" s="897" t="str">
        <f t="shared" si="131"/>
        <v>Rev_GL12</v>
      </c>
      <c r="X1702" s="897" t="str">
        <f t="shared" si="131"/>
        <v>Rev_GL13</v>
      </c>
      <c r="Y1702" s="897" t="str">
        <f t="shared" si="131"/>
        <v>Rev_GL14</v>
      </c>
      <c r="Z1702" s="897" t="str">
        <f t="shared" si="131"/>
        <v>Rev_GL15</v>
      </c>
      <c r="AA1702" s="897" t="str">
        <f t="shared" si="131"/>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944</v>
      </c>
      <c r="C1703"/>
      <c r="D1703" s="681">
        <v>8881660.9382452965</v>
      </c>
      <c r="E1703" s="88">
        <v>0.4395301475998396</v>
      </c>
      <c r="F1703" s="977">
        <f>W704</f>
        <v>-1.116E-3</v>
      </c>
      <c r="G1703" s="977">
        <f>X704</f>
        <v>5.7720000000000002E-3</v>
      </c>
      <c r="H1703" s="977">
        <f>Y704</f>
        <v>-2.6900000000000001E-3</v>
      </c>
      <c r="I1703" s="977">
        <f ca="1">Z704</f>
        <v>-2.6900000000000001E-3</v>
      </c>
      <c r="J1703" s="977">
        <f>AA698</f>
        <v>0</v>
      </c>
      <c r="K1703" s="977">
        <f t="shared" ref="K1703:AA1703" si="132">AB704</f>
        <v>2</v>
      </c>
      <c r="L1703" s="977">
        <f t="shared" si="132"/>
        <v>2</v>
      </c>
      <c r="M1703" s="977">
        <f t="shared" si="132"/>
        <v>7</v>
      </c>
      <c r="N1703" s="977">
        <f t="shared" si="132"/>
        <v>1</v>
      </c>
      <c r="O1703" s="977">
        <f t="shared" si="132"/>
        <v>9</v>
      </c>
      <c r="P1703" s="977">
        <f t="shared" si="132"/>
        <v>5</v>
      </c>
      <c r="Q1703" s="977">
        <f t="shared" si="132"/>
        <v>11</v>
      </c>
      <c r="R1703" s="977">
        <f t="shared" si="132"/>
        <v>2</v>
      </c>
      <c r="S1703" s="977">
        <f t="shared" si="132"/>
        <v>1</v>
      </c>
      <c r="T1703" s="977">
        <f t="shared" si="132"/>
        <v>2</v>
      </c>
      <c r="U1703" s="977">
        <f t="shared" si="132"/>
        <v>1</v>
      </c>
      <c r="V1703" s="977">
        <f t="shared" si="132"/>
        <v>1</v>
      </c>
      <c r="W1703" s="977">
        <f t="shared" si="132"/>
        <v>1</v>
      </c>
      <c r="X1703" s="977">
        <f t="shared" si="132"/>
        <v>1</v>
      </c>
      <c r="Y1703" s="977">
        <f t="shared" si="132"/>
        <v>3</v>
      </c>
      <c r="Z1703" s="977">
        <f t="shared" si="132"/>
        <v>5</v>
      </c>
      <c r="AA1703" s="977">
        <f t="shared" si="132"/>
        <v>7</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-0.68400000000000005</v>
      </c>
      <c r="AU1703">
        <f>W704*100</f>
        <v>-0.1116</v>
      </c>
      <c r="AV1703">
        <f>X704*100</f>
        <v>0.57720000000000005</v>
      </c>
      <c r="AX1703" s="86"/>
    </row>
    <row r="1704" spans="1:51">
      <c r="B1704" s="649" t="s">
        <v>1891</v>
      </c>
      <c r="C1704"/>
      <c r="D1704" s="1064">
        <v>4055878.5772362803</v>
      </c>
      <c r="E1704" s="88">
        <v>0.45665766858665729</v>
      </c>
      <c r="F1704">
        <f t="shared" ref="F1704:AA1704" si="133">TANH(W1703/$F$1699)</f>
        <v>0.58792613826262718</v>
      </c>
      <c r="G1704">
        <f t="shared" si="133"/>
        <v>0.58792613826262718</v>
      </c>
      <c r="H1704">
        <f t="shared" si="133"/>
        <v>0.96564893036834909</v>
      </c>
      <c r="I1704">
        <f t="shared" si="133"/>
        <v>0.99764905188658526</v>
      </c>
      <c r="J1704">
        <f t="shared" si="133"/>
        <v>0.99984150740762578</v>
      </c>
      <c r="K1704">
        <f t="shared" si="133"/>
        <v>0.99999999999973876</v>
      </c>
      <c r="L1704">
        <f t="shared" si="133"/>
        <v>0.99999999999993205</v>
      </c>
      <c r="M1704">
        <f t="shared" si="133"/>
        <v>0.99999999999998257</v>
      </c>
      <c r="N1704">
        <f t="shared" si="133"/>
        <v>0.99999999999999534</v>
      </c>
      <c r="O1704">
        <f t="shared" si="133"/>
        <v>0.99999999999999889</v>
      </c>
      <c r="P1704">
        <f t="shared" si="133"/>
        <v>0.99999999999999967</v>
      </c>
      <c r="Q1704">
        <f t="shared" si="133"/>
        <v>1</v>
      </c>
      <c r="R1704">
        <f t="shared" si="133"/>
        <v>1</v>
      </c>
      <c r="S1704">
        <f t="shared" si="133"/>
        <v>1</v>
      </c>
      <c r="T1704">
        <f t="shared" si="133"/>
        <v>1</v>
      </c>
      <c r="U1704">
        <f t="shared" si="133"/>
        <v>1</v>
      </c>
      <c r="V1704">
        <f t="shared" si="133"/>
        <v>1</v>
      </c>
      <c r="W1704">
        <f t="shared" si="133"/>
        <v>1</v>
      </c>
      <c r="X1704">
        <f t="shared" si="133"/>
        <v>1</v>
      </c>
      <c r="Y1704">
        <f t="shared" si="133"/>
        <v>1</v>
      </c>
      <c r="Z1704">
        <f t="shared" si="133"/>
        <v>1</v>
      </c>
      <c r="AA1704">
        <f t="shared" si="133"/>
        <v>1</v>
      </c>
      <c r="AB1704">
        <f t="shared" ref="AB1704:AS1704" si="134">TANH(VS1690/$F$1699)</f>
        <v>0</v>
      </c>
      <c r="AC1704">
        <f t="shared" si="134"/>
        <v>0</v>
      </c>
      <c r="AD1704">
        <f t="shared" si="134"/>
        <v>0</v>
      </c>
      <c r="AE1704">
        <f t="shared" si="134"/>
        <v>0</v>
      </c>
      <c r="AF1704">
        <f t="shared" si="134"/>
        <v>0</v>
      </c>
      <c r="AG1704">
        <f t="shared" si="134"/>
        <v>0</v>
      </c>
      <c r="AH1704">
        <f t="shared" si="134"/>
        <v>0</v>
      </c>
      <c r="AI1704">
        <f t="shared" si="134"/>
        <v>0</v>
      </c>
      <c r="AJ1704">
        <f t="shared" si="134"/>
        <v>0</v>
      </c>
      <c r="AK1704">
        <f t="shared" si="134"/>
        <v>0</v>
      </c>
      <c r="AL1704">
        <f t="shared" si="134"/>
        <v>0</v>
      </c>
      <c r="AM1704">
        <f t="shared" si="134"/>
        <v>0</v>
      </c>
      <c r="AN1704">
        <f t="shared" si="134"/>
        <v>0</v>
      </c>
      <c r="AO1704">
        <f t="shared" si="134"/>
        <v>0</v>
      </c>
      <c r="AP1704">
        <f t="shared" si="134"/>
        <v>0</v>
      </c>
      <c r="AQ1704">
        <f t="shared" si="134"/>
        <v>0</v>
      </c>
      <c r="AR1704">
        <f t="shared" si="134"/>
        <v>0</v>
      </c>
      <c r="AS1704">
        <f t="shared" si="134"/>
        <v>0</v>
      </c>
      <c r="AT1704" t="e">
        <f>TANH(AT1703/$AD$1699)</f>
        <v>#DIV/0!</v>
      </c>
      <c r="AU1704" t="e">
        <f>TANH(AU1703/$AD$1699)</f>
        <v>#DIV/0!</v>
      </c>
      <c r="AV1704" t="e">
        <f>TANH(AV1703/$AD$1699)</f>
        <v>#DIV/0!</v>
      </c>
      <c r="AX1704" s="86"/>
    </row>
    <row r="1705" spans="1:51">
      <c r="B1705" s="1" t="s">
        <v>2436</v>
      </c>
      <c r="C1705" s="167" t="s">
        <v>2430</v>
      </c>
      <c r="E1705"/>
      <c r="J1705"/>
      <c r="K1705"/>
      <c r="AU1705" s="918"/>
      <c r="AX1705" s="86"/>
    </row>
    <row r="1706" spans="1:51">
      <c r="B1706" s="1" t="s">
        <v>2435</v>
      </c>
      <c r="C1706" s="167" t="s">
        <v>2431</v>
      </c>
      <c r="E1706"/>
      <c r="F1706" s="315" t="s">
        <v>1898</v>
      </c>
      <c r="G1706" s="330" t="s">
        <v>1890</v>
      </c>
      <c r="H1706" s="315" t="s">
        <v>1897</v>
      </c>
      <c r="I1706" s="330" t="s">
        <v>974</v>
      </c>
      <c r="J1706" s="315" t="s">
        <v>1899</v>
      </c>
      <c r="K1706" s="315" t="s">
        <v>1892</v>
      </c>
      <c r="AU1706" s="918"/>
      <c r="AX1706" s="86"/>
    </row>
    <row r="1707" spans="1:51">
      <c r="B1707" s="1" t="s">
        <v>2434</v>
      </c>
      <c r="C1707" s="167" t="s">
        <v>546</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2437</v>
      </c>
      <c r="C1708" s="167" t="s">
        <v>2433</v>
      </c>
      <c r="E1708"/>
      <c r="F1708" s="91">
        <v>-23992587.351737719</v>
      </c>
      <c r="G1708" s="91">
        <v>-14580044.811737716</v>
      </c>
      <c r="H1708" s="91">
        <v>9412542.5399999991</v>
      </c>
      <c r="I1708" s="91">
        <v>-4574959.2617377173</v>
      </c>
      <c r="J1708" s="91">
        <v>0</v>
      </c>
      <c r="K1708" s="91">
        <v>-62380.727114518064</v>
      </c>
      <c r="AU1708" s="918"/>
    </row>
    <row r="1709" spans="1:51">
      <c r="B1709" s="1" t="s">
        <v>2438</v>
      </c>
      <c r="C1709" s="167" t="s">
        <v>2439</v>
      </c>
      <c r="E1709" s="714"/>
      <c r="J1709"/>
      <c r="K1709"/>
      <c r="AB1709" s="661" t="s">
        <v>2473</v>
      </c>
      <c r="AU1709" s="918"/>
    </row>
    <row r="1710" spans="1:51" ht="23" thickBot="1">
      <c r="B1710" s="1" t="s">
        <v>690</v>
      </c>
      <c r="C1710" t="s">
        <v>2441</v>
      </c>
      <c r="E1710" s="91"/>
      <c r="F1710" s="62">
        <f t="shared" ref="F1710:Z1710" ca="1" si="135">F1396</f>
        <v>45974</v>
      </c>
      <c r="G1710" s="62">
        <f t="shared" ca="1" si="135"/>
        <v>45975</v>
      </c>
      <c r="H1710" s="62">
        <f t="shared" ca="1" si="135"/>
        <v>45978</v>
      </c>
      <c r="I1710" s="62">
        <f t="shared" ca="1" si="135"/>
        <v>45979</v>
      </c>
      <c r="J1710" s="62">
        <f t="shared" ca="1" si="135"/>
        <v>45980</v>
      </c>
      <c r="K1710" s="62">
        <f t="shared" ca="1" si="135"/>
        <v>45981</v>
      </c>
      <c r="L1710" s="62">
        <f t="shared" ca="1" si="135"/>
        <v>45982</v>
      </c>
      <c r="M1710" s="62">
        <f t="shared" ca="1" si="135"/>
        <v>45985</v>
      </c>
      <c r="N1710" s="62">
        <f t="shared" ca="1" si="135"/>
        <v>45986</v>
      </c>
      <c r="O1710" s="62">
        <f t="shared" ca="1" si="135"/>
        <v>45987</v>
      </c>
      <c r="P1710" s="62">
        <f t="shared" ca="1" si="135"/>
        <v>45988</v>
      </c>
      <c r="Q1710" s="62">
        <f t="shared" ca="1" si="135"/>
        <v>45989</v>
      </c>
      <c r="R1710" s="62">
        <f t="shared" ca="1" si="135"/>
        <v>45992</v>
      </c>
      <c r="S1710" s="62">
        <f t="shared" ca="1" si="135"/>
        <v>45993</v>
      </c>
      <c r="T1710" s="62">
        <f t="shared" ca="1" si="135"/>
        <v>45994</v>
      </c>
      <c r="U1710" s="62">
        <f t="shared" ca="1" si="135"/>
        <v>45995</v>
      </c>
      <c r="V1710" s="62">
        <f t="shared" ca="1" si="135"/>
        <v>45996</v>
      </c>
      <c r="W1710" s="62">
        <f t="shared" ca="1" si="135"/>
        <v>45999</v>
      </c>
      <c r="X1710" s="62">
        <f t="shared" ca="1" si="135"/>
        <v>46000</v>
      </c>
      <c r="Y1710" s="62">
        <f t="shared" ca="1" si="135"/>
        <v>46001</v>
      </c>
      <c r="Z1710" s="62">
        <f t="shared" ca="1" si="135"/>
        <v>46002</v>
      </c>
      <c r="AU1710" s="918"/>
      <c r="AV1710" s="1" t="s">
        <v>2305</v>
      </c>
    </row>
    <row r="1711" spans="1:51" ht="23" thickBot="1">
      <c r="A1711" s="699" t="s">
        <v>1447</v>
      </c>
      <c r="B1711" s="1291"/>
      <c r="C1711" s="1123"/>
      <c r="D1711" s="1123" t="s">
        <v>2206</v>
      </c>
      <c r="E1711" s="1292"/>
      <c r="F1711" t="s">
        <v>2091</v>
      </c>
      <c r="G1711" t="s">
        <v>2092</v>
      </c>
      <c r="H1711" t="s">
        <v>2093</v>
      </c>
      <c r="I1711" t="s">
        <v>2094</v>
      </c>
      <c r="J1711" t="s">
        <v>2095</v>
      </c>
      <c r="K1711" t="s">
        <v>2096</v>
      </c>
      <c r="L1711" t="s">
        <v>2097</v>
      </c>
      <c r="M1711" t="s">
        <v>2098</v>
      </c>
      <c r="N1711" t="s">
        <v>2099</v>
      </c>
      <c r="O1711" t="s">
        <v>2100</v>
      </c>
      <c r="P1711" t="s">
        <v>2101</v>
      </c>
      <c r="Q1711" t="s">
        <v>2102</v>
      </c>
      <c r="R1711" t="s">
        <v>2103</v>
      </c>
      <c r="S1711" t="s">
        <v>2104</v>
      </c>
      <c r="T1711" t="s">
        <v>2105</v>
      </c>
      <c r="U1711" t="s">
        <v>2106</v>
      </c>
      <c r="V1711" t="s">
        <v>2107</v>
      </c>
      <c r="W1711" t="s">
        <v>2108</v>
      </c>
      <c r="X1711" t="s">
        <v>2109</v>
      </c>
      <c r="Y1711" t="s">
        <v>2110</v>
      </c>
      <c r="Z1711" t="s">
        <v>2111</v>
      </c>
      <c r="AB1711" t="s">
        <v>2224</v>
      </c>
      <c r="AC1711" t="s">
        <v>2225</v>
      </c>
      <c r="AD1711" t="s">
        <v>2226</v>
      </c>
      <c r="AE1711" t="s">
        <v>2227</v>
      </c>
      <c r="AF1711" t="s">
        <v>2228</v>
      </c>
      <c r="AG1711" t="s">
        <v>2229</v>
      </c>
      <c r="AH1711" t="s">
        <v>2230</v>
      </c>
      <c r="AI1711" t="s">
        <v>2231</v>
      </c>
      <c r="AJ1711" t="s">
        <v>2232</v>
      </c>
      <c r="AK1711" t="s">
        <v>2233</v>
      </c>
      <c r="AL1711" t="s">
        <v>2234</v>
      </c>
      <c r="AM1711" t="s">
        <v>2235</v>
      </c>
      <c r="AN1711" t="s">
        <v>2236</v>
      </c>
      <c r="AO1711" t="s">
        <v>2237</v>
      </c>
      <c r="AP1711" t="s">
        <v>2238</v>
      </c>
      <c r="AQ1711" t="s">
        <v>2239</v>
      </c>
      <c r="AR1711" t="s">
        <v>2240</v>
      </c>
      <c r="AS1711" t="s">
        <v>2241</v>
      </c>
      <c r="AT1711" t="s">
        <v>2242</v>
      </c>
      <c r="AU1711" s="918" t="s">
        <v>2223</v>
      </c>
      <c r="AV1711" s="1402" t="s">
        <v>2222</v>
      </c>
    </row>
    <row r="1712" spans="1:51" ht="23" thickBot="1">
      <c r="A1712">
        <v>1</v>
      </c>
      <c r="B1712" s="315" t="s">
        <v>1821</v>
      </c>
      <c r="C1712" s="1289">
        <f ca="1">Calc!BC103</f>
        <v>-18293202.056299996</v>
      </c>
      <c r="D1712" s="1290" t="s">
        <v>2269</v>
      </c>
      <c r="E1712" s="91"/>
      <c r="F1712" s="714">
        <v>30414171.708000004</v>
      </c>
      <c r="G1712" s="714">
        <v>28544730.019900002</v>
      </c>
      <c r="H1712" s="714">
        <v>28178201.249999996</v>
      </c>
      <c r="I1712" s="714">
        <v>28205287.73</v>
      </c>
      <c r="J1712" s="714">
        <v>28015792.080000002</v>
      </c>
      <c r="K1712" s="714">
        <v>27966444.900000002</v>
      </c>
      <c r="L1712" s="714">
        <v>27417973.030900002</v>
      </c>
      <c r="M1712" s="714">
        <v>27222302.314999998</v>
      </c>
      <c r="N1712" s="714">
        <v>27760923.919999994</v>
      </c>
      <c r="O1712" s="714">
        <v>27584540.099999998</v>
      </c>
      <c r="P1712" s="714">
        <v>27796749.129999999</v>
      </c>
      <c r="Q1712" s="714">
        <v>27880880.495777495</v>
      </c>
      <c r="R1712" s="714">
        <v>27909180.7841313</v>
      </c>
      <c r="S1712" s="714">
        <v>26978248.240869496</v>
      </c>
      <c r="T1712" s="714">
        <v>27509745.478223998</v>
      </c>
      <c r="U1712" s="714">
        <v>27509334.347382523</v>
      </c>
      <c r="V1712" s="714">
        <v>27432185.791319486</v>
      </c>
      <c r="W1712" s="714">
        <v>27719036.029875796</v>
      </c>
      <c r="X1712" s="714">
        <v>27698505.861400805</v>
      </c>
      <c r="Y1712" s="714">
        <v>27729731.099908564</v>
      </c>
      <c r="Z1712" s="714">
        <f ca="1">Calc!BD103</f>
        <v>27729731.099908564</v>
      </c>
      <c r="AB1712" s="91">
        <f ca="1">Tab1SDataShiftSummary[[#This Row],[Summary0]]-Tab1SDataShiftSummary[[#This Row],[Summary20]]</f>
        <v>2684440.6080914401</v>
      </c>
      <c r="AC1712" s="91">
        <f>Tab1SDataShiftSummary[[#This Row],[Summary1]]-Tab1SDataShiftSummary[[#This Row],[Summary0]]</f>
        <v>-1869441.6881000027</v>
      </c>
      <c r="AD1712" s="91">
        <f>Tab1SDataShiftSummary[[#This Row],[Summary2]]-Tab1SDataShiftSummary[[#This Row],[Summary1]]</f>
        <v>-366528.76990000531</v>
      </c>
      <c r="AE1712" s="91">
        <f>Tab1SDataShiftSummary[[#This Row],[Summary3]]-Tab1SDataShiftSummary[[#This Row],[Summary2]]</f>
        <v>27086.480000004172</v>
      </c>
      <c r="AF1712" s="91">
        <f>Tab1SDataShiftSummary[[#This Row],[Summary4]]-Tab1SDataShiftSummary[[#This Row],[Summary3]]</f>
        <v>-189495.64999999851</v>
      </c>
      <c r="AG1712" s="91">
        <f>Tab1SDataShiftSummary[[#This Row],[Summary5]]-Tab1SDataShiftSummary[[#This Row],[Summary4]]</f>
        <v>-49347.179999999702</v>
      </c>
      <c r="AH1712" s="91">
        <f>Tab1SDataShiftSummary[[#This Row],[Summary6]]-Tab1SDataShiftSummary[[#This Row],[Summary5]]</f>
        <v>-548471.86910000071</v>
      </c>
      <c r="AI1712" s="91">
        <f>Tab1SDataShiftSummary[[#This Row],[Summary7]]-Tab1SDataShiftSummary[[#This Row],[Summary6]]</f>
        <v>-195670.71590000391</v>
      </c>
      <c r="AJ1712" s="91">
        <f>Tab1SDataShiftSummary[[#This Row],[Summary8]]-Tab1SDataShiftSummary[[#This Row],[Summary7]]</f>
        <v>538621.60499999672</v>
      </c>
      <c r="AK1712" s="91">
        <f>Tab1SDataShiftSummary[[#This Row],[Summary9]]-Tab1SDataShiftSummary[[#This Row],[Summary8]]</f>
        <v>-176383.81999999657</v>
      </c>
      <c r="AL1712" s="91">
        <f>Tab1SDataShiftSummary[[#This Row],[Summary10]]-Tab1SDataShiftSummary[[#This Row],[Summary9]]</f>
        <v>212209.03000000119</v>
      </c>
      <c r="AM1712" s="91">
        <f>Tab1SDataShiftSummary[[#This Row],[Summary11]]-Tab1SDataShiftSummary[[#This Row],[Summary10]]</f>
        <v>84131.365777496248</v>
      </c>
      <c r="AN1712" s="91">
        <f>Tab1SDataShiftSummary[[#This Row],[Summary12]]-Tab1SDataShiftSummary[[#This Row],[Summary11]]</f>
        <v>28300.288353804499</v>
      </c>
      <c r="AO1712" s="91">
        <f>Tab1SDataShiftSummary[[#This Row],[Summary13]]-Tab1SDataShiftSummary[[#This Row],[Summary12]]</f>
        <v>-930932.54326180369</v>
      </c>
      <c r="AP1712" s="91">
        <f>Tab1SDataShiftSummary[[#This Row],[Summary14]]-Tab1SDataShiftSummary[[#This Row],[Summary13]]</f>
        <v>531497.23735450208</v>
      </c>
      <c r="AQ1712" s="91">
        <f>Tab1SDataShiftSummary[[#This Row],[Summary15]]-Tab1SDataShiftSummary[[#This Row],[Summary14]]</f>
        <v>-411.13084147498012</v>
      </c>
      <c r="AR1712" s="91">
        <f>Tab1SDataShiftSummary[[#This Row],[Summary16]]-Tab1SDataShiftSummary[[#This Row],[Summary15]]</f>
        <v>-77148.556063037366</v>
      </c>
      <c r="AS1712" s="91">
        <f>Tab1SDataShiftSummary[[#This Row],[Summary17]]-Tab1SDataShiftSummary[[#This Row],[Summary16]]</f>
        <v>286850.23855631053</v>
      </c>
      <c r="AT1712" s="91">
        <f>Tab1SDataShiftSummary[[#This Row],[Summary18]]-Tab1SDataShiftSummary[[#This Row],[Summary17]]</f>
        <v>-20530.168474990875</v>
      </c>
      <c r="AU1712" s="91">
        <f>Tab1SDataShiftSummary[[#This Row],[Summary19]]-Tab1SDataShiftSummary[[#This Row],[Summary18]]</f>
        <v>31225.238507758826</v>
      </c>
      <c r="AV1712" s="1403">
        <f ca="1">Tab1SDataShiftSummary[[#This Row],[Summary20]]-Tab1SDataShiftSummary[[#This Row],[Summary19]]</f>
        <v>0</v>
      </c>
      <c r="AY1712" s="315" t="s">
        <v>1821</v>
      </c>
    </row>
    <row r="1713" spans="1:52">
      <c r="A1713">
        <v>2</v>
      </c>
      <c r="B1713" s="315" t="s">
        <v>1896</v>
      </c>
      <c r="C1713"/>
      <c r="E1713" s="91"/>
      <c r="F1713" s="91">
        <v>-61672967.540085554</v>
      </c>
      <c r="G1713" s="91">
        <v>-59520323.294239551</v>
      </c>
      <c r="H1713" s="91">
        <v>-59637527.234239548</v>
      </c>
      <c r="I1713" s="91">
        <v>-59875819.186639547</v>
      </c>
      <c r="J1713" s="91">
        <v>-59964719.728639558</v>
      </c>
      <c r="K1713" s="91">
        <v>-59964719.728639558</v>
      </c>
      <c r="L1713" s="91">
        <v>-59900648.098069556</v>
      </c>
      <c r="M1713" s="91">
        <v>-59938265.65006955</v>
      </c>
      <c r="N1713" s="91">
        <v>-59802452.41989135</v>
      </c>
      <c r="O1713" s="91">
        <v>-59802452.41989135</v>
      </c>
      <c r="P1713" s="91">
        <v>-59802452.41989135</v>
      </c>
      <c r="Q1713" s="91">
        <v>-59802452.41989135</v>
      </c>
      <c r="R1713" s="91">
        <v>-59912537.899891347</v>
      </c>
      <c r="S1713" s="91">
        <v>-59912537.899891347</v>
      </c>
      <c r="T1713" s="91">
        <v>-60287138.942949347</v>
      </c>
      <c r="U1713" s="91">
        <v>-60663414.722949348</v>
      </c>
      <c r="V1713" s="91">
        <v>-60764557.010949351</v>
      </c>
      <c r="W1713" s="91">
        <v>-61112224.602549352</v>
      </c>
      <c r="X1713" s="91">
        <v>-61204945.050549351</v>
      </c>
      <c r="Y1713" s="91">
        <v>-61204945.050549351</v>
      </c>
      <c r="Z1713" s="91">
        <f ca="1">Calc!BE103</f>
        <v>-61204945.050549351</v>
      </c>
      <c r="AB1713" s="91">
        <f ca="1">Tab1SDataShiftSummary[[#This Row],[Summary0]]-Tab1SDataShiftSummary[[#This Row],[Summary20]]</f>
        <v>-468022.48953620344</v>
      </c>
      <c r="AC1713" s="91">
        <f>Tab1SDataShiftSummary[[#This Row],[Summary1]]-Tab1SDataShiftSummary[[#This Row],[Summary0]]</f>
        <v>2152644.2458460033</v>
      </c>
      <c r="AD1713" s="91">
        <f>Tab1SDataShiftSummary[[#This Row],[Summary2]]-Tab1SDataShiftSummary[[#This Row],[Summary1]]</f>
        <v>-117203.93999999762</v>
      </c>
      <c r="AE1713" s="91">
        <f>Tab1SDataShiftSummary[[#This Row],[Summary3]]-Tab1SDataShiftSummary[[#This Row],[Summary2]]</f>
        <v>-238291.9523999989</v>
      </c>
      <c r="AF1713" s="91">
        <f>Tab1SDataShiftSummary[[#This Row],[Summary4]]-Tab1SDataShiftSummary[[#This Row],[Summary3]]</f>
        <v>-88900.54200001061</v>
      </c>
      <c r="AG1713" s="91">
        <f>Tab1SDataShiftSummary[[#This Row],[Summary5]]-Tab1SDataShiftSummary[[#This Row],[Summary4]]</f>
        <v>0</v>
      </c>
      <c r="AH1713" s="91">
        <f>Tab1SDataShiftSummary[[#This Row],[Summary6]]-Tab1SDataShiftSummary[[#This Row],[Summary5]]</f>
        <v>64071.6305700019</v>
      </c>
      <c r="AI1713" s="91">
        <f>Tab1SDataShiftSummary[[#This Row],[Summary7]]-Tab1SDataShiftSummary[[#This Row],[Summary6]]</f>
        <v>-37617.551999993622</v>
      </c>
      <c r="AJ1713" s="91">
        <f>Tab1SDataShiftSummary[[#This Row],[Summary8]]-Tab1SDataShiftSummary[[#This Row],[Summary7]]</f>
        <v>135813.23017819971</v>
      </c>
      <c r="AK1713" s="91">
        <f>Tab1SDataShiftSummary[[#This Row],[Summary9]]-Tab1SDataShiftSummary[[#This Row],[Summary8]]</f>
        <v>0</v>
      </c>
      <c r="AL1713" s="91">
        <f>Tab1SDataShiftSummary[[#This Row],[Summary10]]-Tab1SDataShiftSummary[[#This Row],[Summary9]]</f>
        <v>0</v>
      </c>
      <c r="AM1713" s="91">
        <f>Tab1SDataShiftSummary[[#This Row],[Summary11]]-Tab1SDataShiftSummary[[#This Row],[Summary10]]</f>
        <v>0</v>
      </c>
      <c r="AN1713" s="91">
        <f>Tab1SDataShiftSummary[[#This Row],[Summary12]]-Tab1SDataShiftSummary[[#This Row],[Summary11]]</f>
        <v>-110085.47999999672</v>
      </c>
      <c r="AO1713" s="91">
        <f>Tab1SDataShiftSummary[[#This Row],[Summary13]]-Tab1SDataShiftSummary[[#This Row],[Summary12]]</f>
        <v>0</v>
      </c>
      <c r="AP1713" s="91">
        <f>Tab1SDataShiftSummary[[#This Row],[Summary14]]-Tab1SDataShiftSummary[[#This Row],[Summary13]]</f>
        <v>-374601.0430580005</v>
      </c>
      <c r="AQ1713" s="91">
        <f>Tab1SDataShiftSummary[[#This Row],[Summary15]]-Tab1SDataShiftSummary[[#This Row],[Summary14]]</f>
        <v>-376275.78000000119</v>
      </c>
      <c r="AR1713" s="91">
        <f>Tab1SDataShiftSummary[[#This Row],[Summary16]]-Tab1SDataShiftSummary[[#This Row],[Summary15]]</f>
        <v>-101142.2880000025</v>
      </c>
      <c r="AS1713" s="91">
        <f>Tab1SDataShiftSummary[[#This Row],[Summary17]]-Tab1SDataShiftSummary[[#This Row],[Summary16]]</f>
        <v>-347667.59160000086</v>
      </c>
      <c r="AT1713" s="91">
        <f>Tab1SDataShiftSummary[[#This Row],[Summary18]]-Tab1SDataShiftSummary[[#This Row],[Summary17]]</f>
        <v>-92720.447999998927</v>
      </c>
      <c r="AU1713" s="91">
        <f>Tab1SDataShiftSummary[[#This Row],[Summary19]]-Tab1SDataShiftSummary[[#This Row],[Summary18]]</f>
        <v>0</v>
      </c>
      <c r="AV1713" s="1403">
        <f ca="1">Tab1SDataShiftSummary[[#This Row],[Summary20]]-Tab1SDataShiftSummary[[#This Row],[Summary19]]</f>
        <v>0</v>
      </c>
      <c r="AX1713" s="699" t="s">
        <v>1447</v>
      </c>
      <c r="AY1713" s="315" t="s">
        <v>1896</v>
      </c>
    </row>
    <row r="1714" spans="1:52">
      <c r="A1714">
        <v>3</v>
      </c>
      <c r="B1714" s="315" t="s">
        <v>2282</v>
      </c>
      <c r="C1714" s="1022"/>
      <c r="D1714" s="1065"/>
      <c r="E1714" s="91"/>
      <c r="F1714" s="91">
        <v>-6900631.9936687211</v>
      </c>
      <c r="G1714" s="91">
        <v>-5627486.908598721</v>
      </c>
      <c r="H1714" s="91">
        <v>-5345307.9085987201</v>
      </c>
      <c r="I1714" s="91">
        <v>-5249933.9085987201</v>
      </c>
      <c r="J1714" s="91">
        <v>-5651431.2023588009</v>
      </c>
      <c r="K1714" s="91">
        <v>-5681767.3096688967</v>
      </c>
      <c r="L1714" s="91">
        <v>-5649405.4369988982</v>
      </c>
      <c r="M1714" s="91">
        <v>-5649405.4369988982</v>
      </c>
      <c r="N1714" s="91">
        <v>-5324698.8303389987</v>
      </c>
      <c r="O1714" s="91">
        <v>-5257173.7203389993</v>
      </c>
      <c r="P1714" s="91">
        <v>-5257173.7203389993</v>
      </c>
      <c r="Q1714" s="91">
        <v>-5257173.7203389993</v>
      </c>
      <c r="R1714" s="91">
        <v>-5176674.9663389986</v>
      </c>
      <c r="S1714" s="91">
        <v>-4804143.8973389985</v>
      </c>
      <c r="T1714" s="91">
        <v>-4871914.6443389989</v>
      </c>
      <c r="U1714" s="91">
        <v>-4814906.8083389988</v>
      </c>
      <c r="V1714" s="91">
        <v>-4916049.0963389985</v>
      </c>
      <c r="W1714" s="91">
        <v>-5044147.2879389981</v>
      </c>
      <c r="X1714" s="91">
        <v>-5136867.7359389979</v>
      </c>
      <c r="Y1714" s="91">
        <v>-5122637.1623969981</v>
      </c>
      <c r="Z1714" s="91">
        <f ca="1">Calc!BF103</f>
        <v>-5122637.1623969981</v>
      </c>
      <c r="AB1714" s="91">
        <f ca="1">Tab1SDataShiftSummary[[#This Row],[Summary0]]-Tab1SDataShiftSummary[[#This Row],[Summary20]]</f>
        <v>-1777994.8312717229</v>
      </c>
      <c r="AC1714" s="91">
        <f>Tab1SDataShiftSummary[[#This Row],[Summary1]]-Tab1SDataShiftSummary[[#This Row],[Summary0]]</f>
        <v>1273145.08507</v>
      </c>
      <c r="AD1714" s="91">
        <f>Tab1SDataShiftSummary[[#This Row],[Summary2]]-Tab1SDataShiftSummary[[#This Row],[Summary1]]</f>
        <v>282179.00000000093</v>
      </c>
      <c r="AE1714" s="91">
        <f>Tab1SDataShiftSummary[[#This Row],[Summary3]]-Tab1SDataShiftSummary[[#This Row],[Summary2]]</f>
        <v>95374</v>
      </c>
      <c r="AF1714" s="91">
        <f>Tab1SDataShiftSummary[[#This Row],[Summary4]]-Tab1SDataShiftSummary[[#This Row],[Summary3]]</f>
        <v>-401497.29376008082</v>
      </c>
      <c r="AG1714" s="91">
        <f>Tab1SDataShiftSummary[[#This Row],[Summary5]]-Tab1SDataShiftSummary[[#This Row],[Summary4]]</f>
        <v>-30336.107310095802</v>
      </c>
      <c r="AH1714" s="91">
        <f>Tab1SDataShiftSummary[[#This Row],[Summary6]]-Tab1SDataShiftSummary[[#This Row],[Summary5]]</f>
        <v>32361.872669998556</v>
      </c>
      <c r="AI1714" s="91">
        <f>Tab1SDataShiftSummary[[#This Row],[Summary7]]-Tab1SDataShiftSummary[[#This Row],[Summary6]]</f>
        <v>0</v>
      </c>
      <c r="AJ1714" s="91">
        <f>Tab1SDataShiftSummary[[#This Row],[Summary8]]-Tab1SDataShiftSummary[[#This Row],[Summary7]]</f>
        <v>324706.60665989947</v>
      </c>
      <c r="AK1714" s="91">
        <f>Tab1SDataShiftSummary[[#This Row],[Summary9]]-Tab1SDataShiftSummary[[#This Row],[Summary8]]</f>
        <v>67525.109999999404</v>
      </c>
      <c r="AL1714" s="91">
        <f>Tab1SDataShiftSummary[[#This Row],[Summary10]]-Tab1SDataShiftSummary[[#This Row],[Summary9]]</f>
        <v>0</v>
      </c>
      <c r="AM1714" s="91">
        <f>Tab1SDataShiftSummary[[#This Row],[Summary11]]-Tab1SDataShiftSummary[[#This Row],[Summary10]]</f>
        <v>0</v>
      </c>
      <c r="AN1714" s="91">
        <f>Tab1SDataShiftSummary[[#This Row],[Summary12]]-Tab1SDataShiftSummary[[#This Row],[Summary11]]</f>
        <v>80498.754000000656</v>
      </c>
      <c r="AO1714" s="91">
        <f>Tab1SDataShiftSummary[[#This Row],[Summary13]]-Tab1SDataShiftSummary[[#This Row],[Summary12]]</f>
        <v>372531.06900000013</v>
      </c>
      <c r="AP1714" s="91">
        <f>Tab1SDataShiftSummary[[#This Row],[Summary14]]-Tab1SDataShiftSummary[[#This Row],[Summary13]]</f>
        <v>-67770.74700000044</v>
      </c>
      <c r="AQ1714" s="91">
        <f>Tab1SDataShiftSummary[[#This Row],[Summary15]]-Tab1SDataShiftSummary[[#This Row],[Summary14]]</f>
        <v>57007.836000000127</v>
      </c>
      <c r="AR1714" s="91">
        <f>Tab1SDataShiftSummary[[#This Row],[Summary16]]-Tab1SDataShiftSummary[[#This Row],[Summary15]]</f>
        <v>-101142.28799999971</v>
      </c>
      <c r="AS1714" s="91">
        <f>Tab1SDataShiftSummary[[#This Row],[Summary17]]-Tab1SDataShiftSummary[[#This Row],[Summary16]]</f>
        <v>-128098.19159999955</v>
      </c>
      <c r="AT1714" s="91">
        <f>Tab1SDataShiftSummary[[#This Row],[Summary18]]-Tab1SDataShiftSummary[[#This Row],[Summary17]]</f>
        <v>-92720.447999999858</v>
      </c>
      <c r="AU1714" s="91">
        <f>Tab1SDataShiftSummary[[#This Row],[Summary19]]-Tab1SDataShiftSummary[[#This Row],[Summary18]]</f>
        <v>14230.573541999795</v>
      </c>
      <c r="AV1714" s="1403">
        <f ca="1">Tab1SDataShiftSummary[[#This Row],[Summary20]]-Tab1SDataShiftSummary[[#This Row],[Summary19]]</f>
        <v>0</v>
      </c>
      <c r="AY1714" s="315" t="s">
        <v>2282</v>
      </c>
    </row>
    <row r="1715" spans="1:52">
      <c r="A1715">
        <v>4</v>
      </c>
      <c r="B1715" s="315" t="s">
        <v>2116</v>
      </c>
      <c r="C1715"/>
      <c r="E1715" s="91"/>
      <c r="F1715" s="91">
        <v>11877149.716200003</v>
      </c>
      <c r="G1715" s="91">
        <v>10442965.588100005</v>
      </c>
      <c r="H1715" s="91">
        <v>10076436.818200003</v>
      </c>
      <c r="I1715" s="91">
        <v>10103523.298200002</v>
      </c>
      <c r="J1715" s="91">
        <v>9914027.6482000034</v>
      </c>
      <c r="K1715" s="91">
        <v>9864680.4682000019</v>
      </c>
      <c r="L1715" s="91">
        <v>9262232.5991000049</v>
      </c>
      <c r="M1715" s="91">
        <v>9066561.8832000066</v>
      </c>
      <c r="N1715" s="91">
        <v>9763406.3737000022</v>
      </c>
      <c r="O1715" s="91">
        <v>9587022.5537000019</v>
      </c>
      <c r="P1715" s="91">
        <v>9799231.5837000087</v>
      </c>
      <c r="Q1715" s="91">
        <v>9883362.9494774994</v>
      </c>
      <c r="R1715" s="91">
        <v>9911663.2378312964</v>
      </c>
      <c r="S1715" s="91">
        <v>8980730.6945695002</v>
      </c>
      <c r="T1715" s="91">
        <v>9216543.4219240006</v>
      </c>
      <c r="U1715" s="91">
        <v>9216132.2910825294</v>
      </c>
      <c r="V1715" s="91">
        <v>9138983.7350195032</v>
      </c>
      <c r="W1715" s="91">
        <v>9425833.9735758007</v>
      </c>
      <c r="X1715" s="91">
        <v>9405303.8051008005</v>
      </c>
      <c r="Y1715" s="91">
        <v>9436529.0436085742</v>
      </c>
      <c r="Z1715" s="91">
        <f ca="1">Calc!BG103</f>
        <v>9436529.0436085742</v>
      </c>
      <c r="AA1715" s="306"/>
      <c r="AB1715" s="91">
        <f ca="1">Tab1SDataShiftSummary[[#This Row],[Summary0]]-Tab1SDataShiftSummary[[#This Row],[Summary20]]</f>
        <v>2440620.6725914292</v>
      </c>
      <c r="AC1715" s="91">
        <f>Tab1SDataShiftSummary[[#This Row],[Summary1]]-Tab1SDataShiftSummary[[#This Row],[Summary0]]</f>
        <v>-1434184.1280999985</v>
      </c>
      <c r="AD1715" s="91">
        <f>Tab1SDataShiftSummary[[#This Row],[Summary2]]-Tab1SDataShiftSummary[[#This Row],[Summary1]]</f>
        <v>-366528.76990000159</v>
      </c>
      <c r="AE1715" s="91">
        <f>Tab1SDataShiftSummary[[#This Row],[Summary3]]-Tab1SDataShiftSummary[[#This Row],[Summary2]]</f>
        <v>27086.479999998584</v>
      </c>
      <c r="AF1715" s="91">
        <f>Tab1SDataShiftSummary[[#This Row],[Summary4]]-Tab1SDataShiftSummary[[#This Row],[Summary3]]</f>
        <v>-189495.64999999851</v>
      </c>
      <c r="AG1715" s="91">
        <f>Tab1SDataShiftSummary[[#This Row],[Summary5]]-Tab1SDataShiftSummary[[#This Row],[Summary4]]</f>
        <v>-49347.180000001565</v>
      </c>
      <c r="AH1715" s="91">
        <f>Tab1SDataShiftSummary[[#This Row],[Summary6]]-Tab1SDataShiftSummary[[#This Row],[Summary5]]</f>
        <v>-602447.86909999698</v>
      </c>
      <c r="AI1715" s="91">
        <f>Tab1SDataShiftSummary[[#This Row],[Summary7]]-Tab1SDataShiftSummary[[#This Row],[Summary6]]</f>
        <v>-195670.71589999832</v>
      </c>
      <c r="AJ1715" s="91">
        <f>Tab1SDataShiftSummary[[#This Row],[Summary8]]-Tab1SDataShiftSummary[[#This Row],[Summary7]]</f>
        <v>696844.49049999565</v>
      </c>
      <c r="AK1715" s="91">
        <f>Tab1SDataShiftSummary[[#This Row],[Summary9]]-Tab1SDataShiftSummary[[#This Row],[Summary8]]</f>
        <v>-176383.8200000003</v>
      </c>
      <c r="AL1715" s="91">
        <f>Tab1SDataShiftSummary[[#This Row],[Summary10]]-Tab1SDataShiftSummary[[#This Row],[Summary9]]</f>
        <v>212209.03000000678</v>
      </c>
      <c r="AM1715" s="91">
        <f>Tab1SDataShiftSummary[[#This Row],[Summary11]]-Tab1SDataShiftSummary[[#This Row],[Summary10]]</f>
        <v>84131.365777490661</v>
      </c>
      <c r="AN1715" s="91">
        <f>Tab1SDataShiftSummary[[#This Row],[Summary12]]-Tab1SDataShiftSummary[[#This Row],[Summary11]]</f>
        <v>28300.288353797048</v>
      </c>
      <c r="AO1715" s="91">
        <f>Tab1SDataShiftSummary[[#This Row],[Summary13]]-Tab1SDataShiftSummary[[#This Row],[Summary12]]</f>
        <v>-930932.54326179624</v>
      </c>
      <c r="AP1715" s="91">
        <f>Tab1SDataShiftSummary[[#This Row],[Summary14]]-Tab1SDataShiftSummary[[#This Row],[Summary13]]</f>
        <v>235812.72735450044</v>
      </c>
      <c r="AQ1715" s="91">
        <f>Tab1SDataShiftSummary[[#This Row],[Summary15]]-Tab1SDataShiftSummary[[#This Row],[Summary14]]</f>
        <v>-411.13084147125483</v>
      </c>
      <c r="AR1715" s="91">
        <f>Tab1SDataShiftSummary[[#This Row],[Summary16]]-Tab1SDataShiftSummary[[#This Row],[Summary15]]</f>
        <v>-77148.55606302619</v>
      </c>
      <c r="AS1715" s="91">
        <f>Tab1SDataShiftSummary[[#This Row],[Summary17]]-Tab1SDataShiftSummary[[#This Row],[Summary16]]</f>
        <v>286850.2385562975</v>
      </c>
      <c r="AT1715" s="91">
        <f>Tab1SDataShiftSummary[[#This Row],[Summary18]]-Tab1SDataShiftSummary[[#This Row],[Summary17]]</f>
        <v>-20530.168475000188</v>
      </c>
      <c r="AU1715" s="91">
        <f>Tab1SDataShiftSummary[[#This Row],[Summary19]]-Tab1SDataShiftSummary[[#This Row],[Summary18]]</f>
        <v>31225.238507773727</v>
      </c>
      <c r="AV1715" s="1403">
        <f ca="1">Tab1SDataShiftSummary[[#This Row],[Summary20]]-Tab1SDataShiftSummary[[#This Row],[Summary19]]</f>
        <v>0</v>
      </c>
      <c r="AY1715" s="315" t="s">
        <v>2116</v>
      </c>
      <c r="AZ1715" t="s">
        <v>2113</v>
      </c>
    </row>
    <row r="1716" spans="1:52">
      <c r="A1716">
        <v>5</v>
      </c>
      <c r="B1716" s="315" t="s">
        <v>1898</v>
      </c>
      <c r="C1716"/>
      <c r="E1716" s="91"/>
      <c r="F1716" s="91">
        <v>-80209989.531885564</v>
      </c>
      <c r="G1716" s="91">
        <v>-77622087.726039559</v>
      </c>
      <c r="H1716" s="91">
        <v>-77739291.666039556</v>
      </c>
      <c r="I1716" s="91">
        <v>-77977583.618439555</v>
      </c>
      <c r="J1716" s="91">
        <v>-78066484.160439551</v>
      </c>
      <c r="K1716" s="91">
        <v>-78066484.160439551</v>
      </c>
      <c r="L1716" s="91">
        <v>-78056388.529869542</v>
      </c>
      <c r="M1716" s="91">
        <v>-78094006.081869543</v>
      </c>
      <c r="N1716" s="91">
        <v>-77799969.966191351</v>
      </c>
      <c r="O1716" s="91">
        <v>-77799969.966191351</v>
      </c>
      <c r="P1716" s="91">
        <v>-77799969.966191351</v>
      </c>
      <c r="Q1716" s="91">
        <v>-77799969.966191351</v>
      </c>
      <c r="R1716" s="91">
        <v>-77910055.446191341</v>
      </c>
      <c r="S1716" s="91">
        <v>-77910055.446191341</v>
      </c>
      <c r="T1716" s="91">
        <v>-78580340.999249339</v>
      </c>
      <c r="U1716" s="91">
        <v>-78956616.77924934</v>
      </c>
      <c r="V1716" s="91">
        <v>-79057759.067249343</v>
      </c>
      <c r="W1716" s="91">
        <v>-79405426.658849344</v>
      </c>
      <c r="X1716" s="91">
        <v>-79498147.106849343</v>
      </c>
      <c r="Y1716" s="91">
        <v>-79498147.106849343</v>
      </c>
      <c r="Z1716" s="91">
        <f ca="1">Calc!BH103</f>
        <v>-79498147.106849343</v>
      </c>
      <c r="AB1716" s="91">
        <f ca="1">Tab1SDataShiftSummary[[#This Row],[Summary0]]-Tab1SDataShiftSummary[[#This Row],[Summary20]]</f>
        <v>-711842.42503622174</v>
      </c>
      <c r="AC1716" s="91">
        <f>Tab1SDataShiftSummary[[#This Row],[Summary1]]-Tab1SDataShiftSummary[[#This Row],[Summary0]]</f>
        <v>2587901.8058460057</v>
      </c>
      <c r="AD1716" s="91">
        <f>Tab1SDataShiftSummary[[#This Row],[Summary2]]-Tab1SDataShiftSummary[[#This Row],[Summary1]]</f>
        <v>-117203.93999999762</v>
      </c>
      <c r="AE1716" s="91">
        <f>Tab1SDataShiftSummary[[#This Row],[Summary3]]-Tab1SDataShiftSummary[[#This Row],[Summary2]]</f>
        <v>-238291.9523999989</v>
      </c>
      <c r="AF1716" s="91">
        <f>Tab1SDataShiftSummary[[#This Row],[Summary4]]-Tab1SDataShiftSummary[[#This Row],[Summary3]]</f>
        <v>-88900.541999995708</v>
      </c>
      <c r="AG1716" s="91">
        <f>Tab1SDataShiftSummary[[#This Row],[Summary5]]-Tab1SDataShiftSummary[[#This Row],[Summary4]]</f>
        <v>0</v>
      </c>
      <c r="AH1716" s="91">
        <f>Tab1SDataShiftSummary[[#This Row],[Summary6]]-Tab1SDataShiftSummary[[#This Row],[Summary5]]</f>
        <v>10095.630570009351</v>
      </c>
      <c r="AI1716" s="91">
        <f>Tab1SDataShiftSummary[[#This Row],[Summary7]]-Tab1SDataShiftSummary[[#This Row],[Summary6]]</f>
        <v>-37617.552000001073</v>
      </c>
      <c r="AJ1716" s="91">
        <f>Tab1SDataShiftSummary[[#This Row],[Summary8]]-Tab1SDataShiftSummary[[#This Row],[Summary7]]</f>
        <v>294036.11567819118</v>
      </c>
      <c r="AK1716" s="91">
        <f>Tab1SDataShiftSummary[[#This Row],[Summary9]]-Tab1SDataShiftSummary[[#This Row],[Summary8]]</f>
        <v>0</v>
      </c>
      <c r="AL1716" s="91">
        <f>Tab1SDataShiftSummary[[#This Row],[Summary10]]-Tab1SDataShiftSummary[[#This Row],[Summary9]]</f>
        <v>0</v>
      </c>
      <c r="AM1716" s="91">
        <f>Tab1SDataShiftSummary[[#This Row],[Summary11]]-Tab1SDataShiftSummary[[#This Row],[Summary10]]</f>
        <v>0</v>
      </c>
      <c r="AN1716" s="91">
        <f>Tab1SDataShiftSummary[[#This Row],[Summary12]]-Tab1SDataShiftSummary[[#This Row],[Summary11]]</f>
        <v>-110085.47999998927</v>
      </c>
      <c r="AO1716" s="91">
        <f>Tab1SDataShiftSummary[[#This Row],[Summary13]]-Tab1SDataShiftSummary[[#This Row],[Summary12]]</f>
        <v>0</v>
      </c>
      <c r="AP1716" s="91">
        <f>Tab1SDataShiftSummary[[#This Row],[Summary14]]-Tab1SDataShiftSummary[[#This Row],[Summary13]]</f>
        <v>-670285.55305799842</v>
      </c>
      <c r="AQ1716" s="91">
        <f>Tab1SDataShiftSummary[[#This Row],[Summary15]]-Tab1SDataShiftSummary[[#This Row],[Summary14]]</f>
        <v>-376275.78000000119</v>
      </c>
      <c r="AR1716" s="91">
        <f>Tab1SDataShiftSummary[[#This Row],[Summary16]]-Tab1SDataShiftSummary[[#This Row],[Summary15]]</f>
        <v>-101142.2880000025</v>
      </c>
      <c r="AS1716" s="91">
        <f>Tab1SDataShiftSummary[[#This Row],[Summary17]]-Tab1SDataShiftSummary[[#This Row],[Summary16]]</f>
        <v>-347667.59160000086</v>
      </c>
      <c r="AT1716" s="91">
        <f>Tab1SDataShiftSummary[[#This Row],[Summary18]]-Tab1SDataShiftSummary[[#This Row],[Summary17]]</f>
        <v>-92720.447999998927</v>
      </c>
      <c r="AU1716" s="91">
        <f>Tab1SDataShiftSummary[[#This Row],[Summary19]]-Tab1SDataShiftSummary[[#This Row],[Summary18]]</f>
        <v>0</v>
      </c>
      <c r="AV1716" s="1403">
        <f ca="1">Tab1SDataShiftSummary[[#This Row],[Summary20]]-Tab1SDataShiftSummary[[#This Row],[Summary19]]</f>
        <v>0</v>
      </c>
      <c r="AY1716" s="315" t="s">
        <v>1898</v>
      </c>
    </row>
    <row r="1717" spans="1:52">
      <c r="A1717">
        <v>6</v>
      </c>
      <c r="B1717" s="330" t="s">
        <v>2276</v>
      </c>
      <c r="C1717"/>
      <c r="E1717" s="91"/>
      <c r="F1717" s="91">
        <v>-13117372.737916997</v>
      </c>
      <c r="G1717" s="91">
        <v>-11566609.202917</v>
      </c>
      <c r="H1717" s="91">
        <v>-11325328.202917</v>
      </c>
      <c r="I1717" s="91">
        <v>-11109458.202917</v>
      </c>
      <c r="J1717" s="91">
        <v>-11489044.202917</v>
      </c>
      <c r="K1717" s="91">
        <v>-11518915.717844589</v>
      </c>
      <c r="L1717" s="91">
        <v>-11275885.856827389</v>
      </c>
      <c r="M1717" s="91">
        <v>-11290089.490507388</v>
      </c>
      <c r="N1717" s="91">
        <v>-10834139.650845191</v>
      </c>
      <c r="O1717" s="91">
        <v>-10726710.058245191</v>
      </c>
      <c r="P1717" s="91">
        <v>-10681141.888245191</v>
      </c>
      <c r="Q1717" s="91">
        <v>-10681141.888245191</v>
      </c>
      <c r="R1717" s="91">
        <v>-10600643.134245191</v>
      </c>
      <c r="S1717" s="91">
        <v>-9891549.2712451946</v>
      </c>
      <c r="T1717" s="91">
        <v>-10427047.285503192</v>
      </c>
      <c r="U1717" s="91">
        <v>-10548401.989503192</v>
      </c>
      <c r="V1717" s="91">
        <v>-10525903.645503193</v>
      </c>
      <c r="W1717" s="91">
        <v>-10765783.716303192</v>
      </c>
      <c r="X1717" s="91">
        <v>-10857809.723439192</v>
      </c>
      <c r="Y1717" s="91">
        <v>-10758201.413439192</v>
      </c>
      <c r="Z1717" s="91">
        <f ca="1">Calc!BI103</f>
        <v>-10758201.413439192</v>
      </c>
      <c r="AB1717" s="91">
        <f ca="1">Tab1SDataShiftSummary[[#This Row],[Summary0]]-Tab1SDataShiftSummary[[#This Row],[Summary20]]</f>
        <v>-2359171.3244778048</v>
      </c>
      <c r="AC1717" s="91">
        <f>Tab1SDataShiftSummary[[#This Row],[Summary1]]-Tab1SDataShiftSummary[[#This Row],[Summary0]]</f>
        <v>1550763.5349999964</v>
      </c>
      <c r="AD1717" s="91">
        <f>Tab1SDataShiftSummary[[#This Row],[Summary2]]-Tab1SDataShiftSummary[[#This Row],[Summary1]]</f>
        <v>241281</v>
      </c>
      <c r="AE1717" s="91">
        <f>Tab1SDataShiftSummary[[#This Row],[Summary3]]-Tab1SDataShiftSummary[[#This Row],[Summary2]]</f>
        <v>215870</v>
      </c>
      <c r="AF1717" s="91">
        <f>Tab1SDataShiftSummary[[#This Row],[Summary4]]-Tab1SDataShiftSummary[[#This Row],[Summary3]]</f>
        <v>-379586</v>
      </c>
      <c r="AG1717" s="91">
        <f>Tab1SDataShiftSummary[[#This Row],[Summary5]]-Tab1SDataShiftSummary[[#This Row],[Summary4]]</f>
        <v>-29871.514927588403</v>
      </c>
      <c r="AH1717" s="91">
        <f>Tab1SDataShiftSummary[[#This Row],[Summary6]]-Tab1SDataShiftSummary[[#This Row],[Summary5]]</f>
        <v>243029.86101719923</v>
      </c>
      <c r="AI1717" s="91">
        <f>Tab1SDataShiftSummary[[#This Row],[Summary7]]-Tab1SDataShiftSummary[[#This Row],[Summary6]]</f>
        <v>-14203.633679999039</v>
      </c>
      <c r="AJ1717" s="91">
        <f>Tab1SDataShiftSummary[[#This Row],[Summary8]]-Tab1SDataShiftSummary[[#This Row],[Summary7]]</f>
        <v>455949.83966219798</v>
      </c>
      <c r="AK1717" s="91">
        <f>Tab1SDataShiftSummary[[#This Row],[Summary9]]-Tab1SDataShiftSummary[[#This Row],[Summary8]]</f>
        <v>107429.59259999916</v>
      </c>
      <c r="AL1717" s="91">
        <f>Tab1SDataShiftSummary[[#This Row],[Summary10]]-Tab1SDataShiftSummary[[#This Row],[Summary9]]</f>
        <v>45568.169999999925</v>
      </c>
      <c r="AM1717" s="91">
        <f>Tab1SDataShiftSummary[[#This Row],[Summary11]]-Tab1SDataShiftSummary[[#This Row],[Summary10]]</f>
        <v>0</v>
      </c>
      <c r="AN1717" s="91">
        <f>Tab1SDataShiftSummary[[#This Row],[Summary12]]-Tab1SDataShiftSummary[[#This Row],[Summary11]]</f>
        <v>80498.754000000656</v>
      </c>
      <c r="AO1717" s="91">
        <f>Tab1SDataShiftSummary[[#This Row],[Summary13]]-Tab1SDataShiftSummary[[#This Row],[Summary12]]</f>
        <v>709093.86299999617</v>
      </c>
      <c r="AP1717" s="91">
        <f>Tab1SDataShiftSummary[[#This Row],[Summary14]]-Tab1SDataShiftSummary[[#This Row],[Summary13]]</f>
        <v>-535498.01425799727</v>
      </c>
      <c r="AQ1717" s="91">
        <f>Tab1SDataShiftSummary[[#This Row],[Summary15]]-Tab1SDataShiftSummary[[#This Row],[Summary14]]</f>
        <v>-121354.70399999991</v>
      </c>
      <c r="AR1717" s="91">
        <f>Tab1SDataShiftSummary[[#This Row],[Summary16]]-Tab1SDataShiftSummary[[#This Row],[Summary15]]</f>
        <v>22498.343999998644</v>
      </c>
      <c r="AS1717" s="91">
        <f>Tab1SDataShiftSummary[[#This Row],[Summary17]]-Tab1SDataShiftSummary[[#This Row],[Summary16]]</f>
        <v>-239880.07079999894</v>
      </c>
      <c r="AT1717" s="91">
        <f>Tab1SDataShiftSummary[[#This Row],[Summary18]]-Tab1SDataShiftSummary[[#This Row],[Summary17]]</f>
        <v>-92026.00713600032</v>
      </c>
      <c r="AU1717" s="91">
        <f>Tab1SDataShiftSummary[[#This Row],[Summary19]]-Tab1SDataShiftSummary[[#This Row],[Summary18]]</f>
        <v>99608.310000000522</v>
      </c>
      <c r="AV1717" s="1403">
        <f ca="1">Tab1SDataShiftSummary[[#This Row],[Summary20]]-Tab1SDataShiftSummary[[#This Row],[Summary19]]</f>
        <v>0</v>
      </c>
      <c r="AY1717" s="330" t="s">
        <v>2276</v>
      </c>
    </row>
    <row r="1718" spans="1:52">
      <c r="A1718">
        <v>7</v>
      </c>
      <c r="B1718" s="315" t="s">
        <v>1897</v>
      </c>
      <c r="C1718"/>
      <c r="E1718" s="91"/>
      <c r="F1718" s="91">
        <v>66710711.644350022</v>
      </c>
      <c r="G1718" s="91">
        <v>65682963.58000502</v>
      </c>
      <c r="H1718" s="91">
        <v>66040213.309405029</v>
      </c>
      <c r="I1718" s="91">
        <v>66492578.09500502</v>
      </c>
      <c r="J1718" s="91">
        <v>66202418.476605028</v>
      </c>
      <c r="K1718" s="91">
        <v>66202418.476605028</v>
      </c>
      <c r="L1718" s="91">
        <v>66434144.590157822</v>
      </c>
      <c r="M1718" s="91">
        <v>66457437.071837813</v>
      </c>
      <c r="N1718" s="91">
        <v>66618511.027853802</v>
      </c>
      <c r="O1718" s="91">
        <v>66725383.435253799</v>
      </c>
      <c r="P1718" s="91">
        <v>66770715.265253812</v>
      </c>
      <c r="Q1718" s="91">
        <v>66770715.265253812</v>
      </c>
      <c r="R1718" s="91">
        <v>66960311.031253815</v>
      </c>
      <c r="S1718" s="91">
        <v>67665727.168253809</v>
      </c>
      <c r="T1718" s="91">
        <v>67799815.629453823</v>
      </c>
      <c r="U1718" s="91">
        <v>68053414.553453833</v>
      </c>
      <c r="V1718" s="91">
        <v>68176413.921453834</v>
      </c>
      <c r="W1718" s="91">
        <v>68283642.400653839</v>
      </c>
      <c r="X1718" s="91">
        <v>68284333.239789844</v>
      </c>
      <c r="Y1718" s="91">
        <v>68383424.929789841</v>
      </c>
      <c r="Z1718" s="91">
        <f ca="1">Calc!BJ103</f>
        <v>68383424.929789841</v>
      </c>
      <c r="AB1718" s="91">
        <f ca="1">Tab1SDataShiftSummary[[#This Row],[Summary0]]-Tab1SDataShiftSummary[[#This Row],[Summary20]]</f>
        <v>-1672713.2854398191</v>
      </c>
      <c r="AC1718" s="91">
        <f>Tab1SDataShiftSummary[[#This Row],[Summary1]]-Tab1SDataShiftSummary[[#This Row],[Summary0]]</f>
        <v>-1027748.0643450022</v>
      </c>
      <c r="AD1718" s="91">
        <f>Tab1SDataShiftSummary[[#This Row],[Summary2]]-Tab1SDataShiftSummary[[#This Row],[Summary1]]</f>
        <v>357249.72940000892</v>
      </c>
      <c r="AE1718" s="91">
        <f>Tab1SDataShiftSummary[[#This Row],[Summary3]]-Tab1SDataShiftSummary[[#This Row],[Summary2]]</f>
        <v>452364.78559999168</v>
      </c>
      <c r="AF1718" s="91">
        <f>Tab1SDataShiftSummary[[#This Row],[Summary4]]-Tab1SDataShiftSummary[[#This Row],[Summary3]]</f>
        <v>-290159.61839999259</v>
      </c>
      <c r="AG1718" s="91">
        <f>Tab1SDataShiftSummary[[#This Row],[Summary5]]-Tab1SDataShiftSummary[[#This Row],[Summary4]]</f>
        <v>0</v>
      </c>
      <c r="AH1718" s="91">
        <f>Tab1SDataShiftSummary[[#This Row],[Summary6]]-Tab1SDataShiftSummary[[#This Row],[Summary5]]</f>
        <v>231726.11355279386</v>
      </c>
      <c r="AI1718" s="91">
        <f>Tab1SDataShiftSummary[[#This Row],[Summary7]]-Tab1SDataShiftSummary[[#This Row],[Summary6]]</f>
        <v>23292.481679990888</v>
      </c>
      <c r="AJ1718" s="91">
        <f>Tab1SDataShiftSummary[[#This Row],[Summary8]]-Tab1SDataShiftSummary[[#This Row],[Summary7]]</f>
        <v>161073.95601598918</v>
      </c>
      <c r="AK1718" s="91">
        <f>Tab1SDataShiftSummary[[#This Row],[Summary9]]-Tab1SDataShiftSummary[[#This Row],[Summary8]]</f>
        <v>106872.40739999712</v>
      </c>
      <c r="AL1718" s="91">
        <f>Tab1SDataShiftSummary[[#This Row],[Summary10]]-Tab1SDataShiftSummary[[#This Row],[Summary9]]</f>
        <v>45331.830000013113</v>
      </c>
      <c r="AM1718" s="91">
        <f>Tab1SDataShiftSummary[[#This Row],[Summary11]]-Tab1SDataShiftSummary[[#This Row],[Summary10]]</f>
        <v>0</v>
      </c>
      <c r="AN1718" s="91">
        <f>Tab1SDataShiftSummary[[#This Row],[Summary12]]-Tab1SDataShiftSummary[[#This Row],[Summary11]]</f>
        <v>189595.76600000262</v>
      </c>
      <c r="AO1718" s="91">
        <f>Tab1SDataShiftSummary[[#This Row],[Summary13]]-Tab1SDataShiftSummary[[#This Row],[Summary12]]</f>
        <v>705416.13699999452</v>
      </c>
      <c r="AP1718" s="91">
        <f>Tab1SDataShiftSummary[[#This Row],[Summary14]]-Tab1SDataShiftSummary[[#This Row],[Summary13]]</f>
        <v>134088.46120001376</v>
      </c>
      <c r="AQ1718" s="91">
        <f>Tab1SDataShiftSummary[[#This Row],[Summary15]]-Tab1SDataShiftSummary[[#This Row],[Summary14]]</f>
        <v>253598.92400000989</v>
      </c>
      <c r="AR1718" s="91">
        <f>Tab1SDataShiftSummary[[#This Row],[Summary16]]-Tab1SDataShiftSummary[[#This Row],[Summary15]]</f>
        <v>122999.36800000072</v>
      </c>
      <c r="AS1718" s="91">
        <f>Tab1SDataShiftSummary[[#This Row],[Summary17]]-Tab1SDataShiftSummary[[#This Row],[Summary16]]</f>
        <v>107228.47920000553</v>
      </c>
      <c r="AT1718" s="91">
        <f>Tab1SDataShiftSummary[[#This Row],[Summary18]]-Tab1SDataShiftSummary[[#This Row],[Summary17]]</f>
        <v>690.83913600444794</v>
      </c>
      <c r="AU1718" s="91">
        <f>Tab1SDataShiftSummary[[#This Row],[Summary19]]-Tab1SDataShiftSummary[[#This Row],[Summary18]]</f>
        <v>99091.689999997616</v>
      </c>
      <c r="AV1718" s="1403">
        <f ca="1">Tab1SDataShiftSummary[[#This Row],[Summary20]]-Tab1SDataShiftSummary[[#This Row],[Summary19]]</f>
        <v>0</v>
      </c>
      <c r="AY1718" s="315" t="s">
        <v>1897</v>
      </c>
    </row>
    <row r="1719" spans="1:52">
      <c r="A1719">
        <v>8</v>
      </c>
      <c r="B1719" s="330" t="s">
        <v>974</v>
      </c>
      <c r="C1719"/>
      <c r="E1719" s="91"/>
      <c r="F1719" s="91">
        <v>17296798.970083002</v>
      </c>
      <c r="G1719" s="91">
        <v>16978120.816982999</v>
      </c>
      <c r="H1719" s="91">
        <v>16852873.047083002</v>
      </c>
      <c r="I1719" s="91">
        <v>17095829.527083006</v>
      </c>
      <c r="J1719" s="91">
        <v>16526747.877083002</v>
      </c>
      <c r="K1719" s="91">
        <v>16374816.425415415</v>
      </c>
      <c r="L1719" s="91">
        <v>16070800.444192274</v>
      </c>
      <c r="M1719" s="91">
        <v>15861434.838473614</v>
      </c>
      <c r="N1719" s="91">
        <v>16854605.866962813</v>
      </c>
      <c r="O1719" s="91">
        <v>16786110.237494815</v>
      </c>
      <c r="P1719" s="91">
        <v>17043335.694016814</v>
      </c>
      <c r="Q1719" s="91">
        <v>17127248.318243288</v>
      </c>
      <c r="R1719" s="91">
        <v>17235973.779847365</v>
      </c>
      <c r="S1719" s="91">
        <v>17016555.524198052</v>
      </c>
      <c r="T1719" s="91">
        <v>17011172.854477435</v>
      </c>
      <c r="U1719" s="91">
        <v>16889408.088576145</v>
      </c>
      <c r="V1719" s="91">
        <v>16834958.462758876</v>
      </c>
      <c r="W1719" s="91">
        <v>16881182.819894936</v>
      </c>
      <c r="X1719" s="91">
        <v>16768680.022721976</v>
      </c>
      <c r="Y1719" s="91">
        <v>16899432.385609619</v>
      </c>
      <c r="Z1719" s="91">
        <f ca="1">Calc!BL103</f>
        <v>16899432.385609619</v>
      </c>
      <c r="AB1719" s="91">
        <f ca="1">Tab1SDataShiftSummary[[#This Row],[Summary0]]-Tab1SDataShiftSummary[[#This Row],[Summary20]]</f>
        <v>397366.58447338268</v>
      </c>
      <c r="AC1719" s="91">
        <f>Tab1SDataShiftSummary[[#This Row],[Summary1]]-Tab1SDataShiftSummary[[#This Row],[Summary0]]</f>
        <v>-318678.15310000256</v>
      </c>
      <c r="AD1719" s="91">
        <f>Tab1SDataShiftSummary[[#This Row],[Summary2]]-Tab1SDataShiftSummary[[#This Row],[Summary1]]</f>
        <v>-125247.76989999786</v>
      </c>
      <c r="AE1719" s="91">
        <f>Tab1SDataShiftSummary[[#This Row],[Summary3]]-Tab1SDataShiftSummary[[#This Row],[Summary2]]</f>
        <v>242956.48000000417</v>
      </c>
      <c r="AF1719" s="91">
        <f>Tab1SDataShiftSummary[[#This Row],[Summary4]]-Tab1SDataShiftSummary[[#This Row],[Summary3]]</f>
        <v>-569081.6500000041</v>
      </c>
      <c r="AG1719" s="91">
        <f>Tab1SDataShiftSummary[[#This Row],[Summary5]]-Tab1SDataShiftSummary[[#This Row],[Summary4]]</f>
        <v>-151931.45166758634</v>
      </c>
      <c r="AH1719" s="91">
        <f>Tab1SDataShiftSummary[[#This Row],[Summary6]]-Tab1SDataShiftSummary[[#This Row],[Summary5]]</f>
        <v>-304015.98122314177</v>
      </c>
      <c r="AI1719" s="91">
        <f>Tab1SDataShiftSummary[[#This Row],[Summary7]]-Tab1SDataShiftSummary[[#This Row],[Summary6]]</f>
        <v>-209365.60571865924</v>
      </c>
      <c r="AJ1719" s="91">
        <f>Tab1SDataShiftSummary[[#This Row],[Summary8]]-Tab1SDataShiftSummary[[#This Row],[Summary7]]</f>
        <v>993171.02848919854</v>
      </c>
      <c r="AK1719" s="91">
        <f>Tab1SDataShiftSummary[[#This Row],[Summary9]]-Tab1SDataShiftSummary[[#This Row],[Summary8]]</f>
        <v>-68495.6294679977</v>
      </c>
      <c r="AL1719" s="91">
        <f>Tab1SDataShiftSummary[[#This Row],[Summary10]]-Tab1SDataShiftSummary[[#This Row],[Summary9]]</f>
        <v>257225.45652199909</v>
      </c>
      <c r="AM1719" s="91">
        <f>Tab1SDataShiftSummary[[#This Row],[Summary11]]-Tab1SDataShiftSummary[[#This Row],[Summary10]]</f>
        <v>83912.624226473272</v>
      </c>
      <c r="AN1719" s="91">
        <f>Tab1SDataShiftSummary[[#This Row],[Summary12]]-Tab1SDataShiftSummary[[#This Row],[Summary11]]</f>
        <v>108725.46160407737</v>
      </c>
      <c r="AO1719" s="91">
        <f>Tab1SDataShiftSummary[[#This Row],[Summary13]]-Tab1SDataShiftSummary[[#This Row],[Summary12]]</f>
        <v>-219418.25564931333</v>
      </c>
      <c r="AP1719" s="91">
        <f>Tab1SDataShiftSummary[[#This Row],[Summary14]]-Tab1SDataShiftSummary[[#This Row],[Summary13]]</f>
        <v>-5382.6697206161916</v>
      </c>
      <c r="AQ1719" s="91">
        <f>Tab1SDataShiftSummary[[#This Row],[Summary15]]-Tab1SDataShiftSummary[[#This Row],[Summary14]]</f>
        <v>-121764.76590128988</v>
      </c>
      <c r="AR1719" s="91">
        <f>Tab1SDataShiftSummary[[#This Row],[Summary16]]-Tab1SDataShiftSummary[[#This Row],[Summary15]]</f>
        <v>-54449.625817269087</v>
      </c>
      <c r="AS1719" s="91">
        <f>Tab1SDataShiftSummary[[#This Row],[Summary17]]-Tab1SDataShiftSummary[[#This Row],[Summary16]]</f>
        <v>46224.357136059552</v>
      </c>
      <c r="AT1719" s="91">
        <f>Tab1SDataShiftSummary[[#This Row],[Summary18]]-Tab1SDataShiftSummary[[#This Row],[Summary17]]</f>
        <v>-112502.79717295989</v>
      </c>
      <c r="AU1719" s="91">
        <f>Tab1SDataShiftSummary[[#This Row],[Summary19]]-Tab1SDataShiftSummary[[#This Row],[Summary18]]</f>
        <v>130752.36288764328</v>
      </c>
      <c r="AV1719" s="1403">
        <f ca="1">Tab1SDataShiftSummary[[#This Row],[Summary20]]-Tab1SDataShiftSummary[[#This Row],[Summary19]]</f>
        <v>0</v>
      </c>
      <c r="AY1719" s="330" t="s">
        <v>974</v>
      </c>
    </row>
    <row r="1720" spans="1:52">
      <c r="A1720">
        <v>9</v>
      </c>
      <c r="B1720" s="315" t="s">
        <v>2279</v>
      </c>
      <c r="C1720"/>
      <c r="E1720" s="91"/>
      <c r="F1720" s="91">
        <v>11388791.75389</v>
      </c>
      <c r="G1720" s="91">
        <v>11235238.450789999</v>
      </c>
      <c r="H1720" s="91">
        <v>11169925.580890002</v>
      </c>
      <c r="I1720" s="91">
        <v>11324427.175890002</v>
      </c>
      <c r="J1720" s="91">
        <v>10884292.68489</v>
      </c>
      <c r="K1720" s="91">
        <v>10832558.414982712</v>
      </c>
      <c r="L1720" s="91">
        <v>10798664.727545572</v>
      </c>
      <c r="M1720" s="91">
        <v>10758455.927650914</v>
      </c>
      <c r="N1720" s="91">
        <v>11198080.345227916</v>
      </c>
      <c r="O1720" s="91">
        <v>11173176.598469913</v>
      </c>
      <c r="P1720" s="91">
        <v>11437695.071918515</v>
      </c>
      <c r="Q1720" s="91">
        <v>11399087.114096489</v>
      </c>
      <c r="R1720" s="91">
        <v>11383354.535424301</v>
      </c>
      <c r="S1720" s="91">
        <v>11444297.372352229</v>
      </c>
      <c r="T1720" s="91">
        <v>11322547.69809548</v>
      </c>
      <c r="U1720" s="91">
        <v>11093601.433246987</v>
      </c>
      <c r="V1720" s="91">
        <v>11137444.851917936</v>
      </c>
      <c r="W1720" s="91">
        <v>11323715.507177755</v>
      </c>
      <c r="X1720" s="91">
        <v>11447950.364149574</v>
      </c>
      <c r="Y1720" s="91">
        <v>11373146.09110387</v>
      </c>
      <c r="Z1720" s="91">
        <f ca="1">Calc!BN103</f>
        <v>11373146.09110387</v>
      </c>
      <c r="AB1720" s="91">
        <f ca="1">Tab1SDataShiftSummary[[#This Row],[Summary0]]-Tab1SDataShiftSummary[[#This Row],[Summary20]]</f>
        <v>15645.662786129862</v>
      </c>
      <c r="AC1720" s="91">
        <f>Tab1SDataShiftSummary[[#This Row],[Summary1]]-Tab1SDataShiftSummary[[#This Row],[Summary0]]</f>
        <v>-153553.30310000107</v>
      </c>
      <c r="AD1720" s="91">
        <f>Tab1SDataShiftSummary[[#This Row],[Summary2]]-Tab1SDataShiftSummary[[#This Row],[Summary1]]</f>
        <v>-65312.869899997488</v>
      </c>
      <c r="AE1720" s="91">
        <f>Tab1SDataShiftSummary[[#This Row],[Summary3]]-Tab1SDataShiftSummary[[#This Row],[Summary2]]</f>
        <v>154501.59500000067</v>
      </c>
      <c r="AF1720" s="91">
        <f>Tab1SDataShiftSummary[[#This Row],[Summary4]]-Tab1SDataShiftSummary[[#This Row],[Summary3]]</f>
        <v>-440134.49100000225</v>
      </c>
      <c r="AG1720" s="91">
        <f>Tab1SDataShiftSummary[[#This Row],[Summary5]]-Tab1SDataShiftSummary[[#This Row],[Summary4]]</f>
        <v>-51734.269907288253</v>
      </c>
      <c r="AH1720" s="91">
        <f>Tab1SDataShiftSummary[[#This Row],[Summary6]]-Tab1SDataShiftSummary[[#This Row],[Summary5]]</f>
        <v>-33893.687437139452</v>
      </c>
      <c r="AI1720" s="91">
        <f>Tab1SDataShiftSummary[[#This Row],[Summary7]]-Tab1SDataShiftSummary[[#This Row],[Summary6]]</f>
        <v>-40208.799894658849</v>
      </c>
      <c r="AJ1720" s="91">
        <f>Tab1SDataShiftSummary[[#This Row],[Summary8]]-Tab1SDataShiftSummary[[#This Row],[Summary7]]</f>
        <v>439624.4175770022</v>
      </c>
      <c r="AK1720" s="91">
        <f>Tab1SDataShiftSummary[[#This Row],[Summary9]]-Tab1SDataShiftSummary[[#This Row],[Summary8]]</f>
        <v>-24903.746758002788</v>
      </c>
      <c r="AL1720" s="91">
        <f>Tab1SDataShiftSummary[[#This Row],[Summary10]]-Tab1SDataShiftSummary[[#This Row],[Summary9]]</f>
        <v>264518.47344860248</v>
      </c>
      <c r="AM1720" s="91">
        <f>Tab1SDataShiftSummary[[#This Row],[Summary11]]-Tab1SDataShiftSummary[[#This Row],[Summary10]]</f>
        <v>-38607.957822026685</v>
      </c>
      <c r="AN1720" s="91">
        <f>Tab1SDataShiftSummary[[#This Row],[Summary12]]-Tab1SDataShiftSummary[[#This Row],[Summary11]]</f>
        <v>-15732.578672187403</v>
      </c>
      <c r="AO1720" s="91">
        <f>Tab1SDataShiftSummary[[#This Row],[Summary13]]-Tab1SDataShiftSummary[[#This Row],[Summary12]]</f>
        <v>60942.83692792803</v>
      </c>
      <c r="AP1720" s="91">
        <f>Tab1SDataShiftSummary[[#This Row],[Summary14]]-Tab1SDataShiftSummary[[#This Row],[Summary13]]</f>
        <v>-121749.67425674945</v>
      </c>
      <c r="AQ1720" s="91">
        <f>Tab1SDataShiftSummary[[#This Row],[Summary15]]-Tab1SDataShiftSummary[[#This Row],[Summary14]]</f>
        <v>-228946.26484849304</v>
      </c>
      <c r="AR1720" s="91">
        <f>Tab1SDataShiftSummary[[#This Row],[Summary16]]-Tab1SDataShiftSummary[[#This Row],[Summary15]]</f>
        <v>43843.418670948595</v>
      </c>
      <c r="AS1720" s="91">
        <f>Tab1SDataShiftSummary[[#This Row],[Summary17]]-Tab1SDataShiftSummary[[#This Row],[Summary16]]</f>
        <v>186270.6552598197</v>
      </c>
      <c r="AT1720" s="91">
        <f>Tab1SDataShiftSummary[[#This Row],[Summary18]]-Tab1SDataShiftSummary[[#This Row],[Summary17]]</f>
        <v>124234.85697181895</v>
      </c>
      <c r="AU1720" s="91">
        <f>Tab1SDataShiftSummary[[#This Row],[Summary19]]-Tab1SDataShiftSummary[[#This Row],[Summary18]]</f>
        <v>-74804.273045703769</v>
      </c>
      <c r="AV1720" s="1403">
        <f ca="1">Tab1SDataShiftSummary[[#This Row],[Summary20]]-Tab1SDataShiftSummary[[#This Row],[Summary19]]</f>
        <v>0</v>
      </c>
      <c r="AY1720" s="315" t="s">
        <v>2279</v>
      </c>
    </row>
    <row r="1721" spans="1:52">
      <c r="A1721">
        <v>10</v>
      </c>
      <c r="B1721" s="315" t="s">
        <v>1892</v>
      </c>
      <c r="C1721"/>
      <c r="E1721" s="88"/>
      <c r="F1721" s="91">
        <v>-381993.82305821253</v>
      </c>
      <c r="G1721" s="91">
        <v>-372593.13339571591</v>
      </c>
      <c r="H1721" s="91">
        <v>-373826.71293615591</v>
      </c>
      <c r="I1721" s="91">
        <v>-375622.42045495589</v>
      </c>
      <c r="J1721" s="91">
        <v>-375099.1468563159</v>
      </c>
      <c r="K1721" s="91">
        <v>-375099.1468563159</v>
      </c>
      <c r="L1721" s="91">
        <v>-375675.38611207111</v>
      </c>
      <c r="M1721" s="91">
        <v>-375833.7521996391</v>
      </c>
      <c r="N1721" s="91">
        <v>-375488.05058451736</v>
      </c>
      <c r="O1721" s="91">
        <v>-375765.91884375736</v>
      </c>
      <c r="P1721" s="91">
        <v>-375883.78160175739</v>
      </c>
      <c r="Q1721" s="91">
        <v>-375883.78160175739</v>
      </c>
      <c r="R1721" s="91">
        <v>-376662.95284135739</v>
      </c>
      <c r="S1721" s="91">
        <v>-378497.0347975574</v>
      </c>
      <c r="T1721" s="91">
        <v>-380588.40723462822</v>
      </c>
      <c r="U1721" s="91">
        <v>-382226.08146502823</v>
      </c>
      <c r="V1721" s="91">
        <v>-382808.84977062827</v>
      </c>
      <c r="W1721" s="91">
        <v>-383991.57955470833</v>
      </c>
      <c r="X1721" s="91">
        <v>-384234.44890126184</v>
      </c>
      <c r="Y1721" s="91">
        <v>-384492.08729526185</v>
      </c>
      <c r="Z1721" s="91">
        <f ca="1">Calc!BO103</f>
        <v>-384492.08729526185</v>
      </c>
      <c r="AB1721" s="91">
        <f ca="1">Tab1SDataShiftSummary[[#This Row],[Summary0]]-Tab1SDataShiftSummary[[#This Row],[Summary20]]</f>
        <v>2498.2642370493268</v>
      </c>
      <c r="AC1721" s="91">
        <f>Tab1SDataShiftSummary[[#This Row],[Summary1]]-Tab1SDataShiftSummary[[#This Row],[Summary0]]</f>
        <v>9400.6896624966175</v>
      </c>
      <c r="AD1721" s="91">
        <f>Tab1SDataShiftSummary[[#This Row],[Summary2]]-Tab1SDataShiftSummary[[#This Row],[Summary1]]</f>
        <v>-1233.5795404399978</v>
      </c>
      <c r="AE1721" s="91">
        <f>Tab1SDataShiftSummary[[#This Row],[Summary3]]-Tab1SDataShiftSummary[[#This Row],[Summary2]]</f>
        <v>-1795.7075187999872</v>
      </c>
      <c r="AF1721" s="91">
        <f>Tab1SDataShiftSummary[[#This Row],[Summary4]]-Tab1SDataShiftSummary[[#This Row],[Summary3]]</f>
        <v>523.273598639993</v>
      </c>
      <c r="AG1721" s="91">
        <f>Tab1SDataShiftSummary[[#This Row],[Summary5]]-Tab1SDataShiftSummary[[#This Row],[Summary4]]</f>
        <v>0</v>
      </c>
      <c r="AH1721" s="91">
        <f>Tab1SDataShiftSummary[[#This Row],[Summary6]]-Tab1SDataShiftSummary[[#This Row],[Summary5]]</f>
        <v>-576.23925575520843</v>
      </c>
      <c r="AI1721" s="91">
        <f>Tab1SDataShiftSummary[[#This Row],[Summary7]]-Tab1SDataShiftSummary[[#This Row],[Summary6]]</f>
        <v>-158.36608756799251</v>
      </c>
      <c r="AJ1721" s="91">
        <f>Tab1SDataShiftSummary[[#This Row],[Summary8]]-Tab1SDataShiftSummary[[#This Row],[Summary7]]</f>
        <v>345.70161512173945</v>
      </c>
      <c r="AK1721" s="91">
        <f>Tab1SDataShiftSummary[[#This Row],[Summary9]]-Tab1SDataShiftSummary[[#This Row],[Summary8]]</f>
        <v>-277.86825924000004</v>
      </c>
      <c r="AL1721" s="91">
        <f>Tab1SDataShiftSummary[[#This Row],[Summary10]]-Tab1SDataShiftSummary[[#This Row],[Summary9]]</f>
        <v>-117.86275800003204</v>
      </c>
      <c r="AM1721" s="91">
        <f>Tab1SDataShiftSummary[[#This Row],[Summary11]]-Tab1SDataShiftSummary[[#This Row],[Summary10]]</f>
        <v>0</v>
      </c>
      <c r="AN1721" s="91">
        <f>Tab1SDataShiftSummary[[#This Row],[Summary12]]-Tab1SDataShiftSummary[[#This Row],[Summary11]]</f>
        <v>-779.17123959999299</v>
      </c>
      <c r="AO1721" s="91">
        <f>Tab1SDataShiftSummary[[#This Row],[Summary13]]-Tab1SDataShiftSummary[[#This Row],[Summary12]]</f>
        <v>-1834.0819562000106</v>
      </c>
      <c r="AP1721" s="91">
        <f>Tab1SDataShiftSummary[[#This Row],[Summary14]]-Tab1SDataShiftSummary[[#This Row],[Summary13]]</f>
        <v>-2091.3724370708223</v>
      </c>
      <c r="AQ1721" s="91">
        <f>Tab1SDataShiftSummary[[#This Row],[Summary15]]-Tab1SDataShiftSummary[[#This Row],[Summary14]]</f>
        <v>-1637.6742304000072</v>
      </c>
      <c r="AR1721" s="91">
        <f>Tab1SDataShiftSummary[[#This Row],[Summary16]]-Tab1SDataShiftSummary[[#This Row],[Summary15]]</f>
        <v>-582.76830560003873</v>
      </c>
      <c r="AS1721" s="91">
        <f>Tab1SDataShiftSummary[[#This Row],[Summary17]]-Tab1SDataShiftSummary[[#This Row],[Summary16]]</f>
        <v>-1182.7297840800602</v>
      </c>
      <c r="AT1721" s="91">
        <f>Tab1SDataShiftSummary[[#This Row],[Summary18]]-Tab1SDataShiftSummary[[#This Row],[Summary17]]</f>
        <v>-242.86934655351797</v>
      </c>
      <c r="AU1721" s="91">
        <f>Tab1SDataShiftSummary[[#This Row],[Summary19]]-Tab1SDataShiftSummary[[#This Row],[Summary18]]</f>
        <v>-257.6383940000087</v>
      </c>
      <c r="AV1721" s="1403">
        <f ca="1">Tab1SDataShiftSummary[[#This Row],[Summary20]]-Tab1SDataShiftSummary[[#This Row],[Summary19]]</f>
        <v>0</v>
      </c>
      <c r="AY1721" s="315" t="s">
        <v>1892</v>
      </c>
    </row>
    <row r="1722" spans="1:52">
      <c r="A1722">
        <v>11</v>
      </c>
      <c r="B1722" s="315" t="s">
        <v>1891</v>
      </c>
      <c r="C1722" t="s">
        <v>2281</v>
      </c>
      <c r="E1722" s="88"/>
      <c r="F1722" s="91">
        <v>5037744.104264468</v>
      </c>
      <c r="G1722" s="91">
        <v>6162640.2857654691</v>
      </c>
      <c r="H1722" s="91">
        <v>6402686.0751654804</v>
      </c>
      <c r="I1722" s="91">
        <v>6616758.9083654732</v>
      </c>
      <c r="J1722" s="91">
        <v>6237698.74796547</v>
      </c>
      <c r="K1722" s="91">
        <v>6237698.74796547</v>
      </c>
      <c r="L1722" s="91">
        <v>6533496.4920882657</v>
      </c>
      <c r="M1722" s="91">
        <v>6519171.421768263</v>
      </c>
      <c r="N1722" s="91">
        <v>6816058.6079624519</v>
      </c>
      <c r="O1722" s="91">
        <v>6922931.015362449</v>
      </c>
      <c r="P1722" s="91">
        <v>6968262.8453624621</v>
      </c>
      <c r="Q1722" s="91">
        <v>6968262.8453624621</v>
      </c>
      <c r="R1722" s="91">
        <v>7047773.131362468</v>
      </c>
      <c r="S1722" s="91">
        <v>7753189.2683624625</v>
      </c>
      <c r="T1722" s="91">
        <v>7512676.6865044758</v>
      </c>
      <c r="U1722" s="91">
        <v>7389999.8305044845</v>
      </c>
      <c r="V1722" s="91">
        <v>7411856.9105044827</v>
      </c>
      <c r="W1722" s="91">
        <v>7171417.7981044874</v>
      </c>
      <c r="X1722" s="91">
        <v>7079388.1892404929</v>
      </c>
      <c r="Y1722" s="91">
        <v>7178479.8792404905</v>
      </c>
      <c r="Z1722" s="91">
        <f ca="1">Z1718+Z1713</f>
        <v>7178479.8792404905</v>
      </c>
      <c r="AB1722" s="91">
        <f ca="1">Tab1SDataShiftSummary[[#This Row],[Summary0]]-Tab1SDataShiftSummary[[#This Row],[Summary20]]</f>
        <v>-2140735.7749760225</v>
      </c>
      <c r="AC1722" s="91">
        <f>Tab1SDataShiftSummary[[#This Row],[Summary1]]-Tab1SDataShiftSummary[[#This Row],[Summary0]]</f>
        <v>1124896.1815010011</v>
      </c>
      <c r="AD1722" s="91">
        <f>Tab1SDataShiftSummary[[#This Row],[Summary2]]-Tab1SDataShiftSummary[[#This Row],[Summary1]]</f>
        <v>240045.7894000113</v>
      </c>
      <c r="AE1722" s="91">
        <f>Tab1SDataShiftSummary[[#This Row],[Summary3]]-Tab1SDataShiftSummary[[#This Row],[Summary2]]</f>
        <v>214072.83319999278</v>
      </c>
      <c r="AF1722" s="91">
        <f>Tab1SDataShiftSummary[[#This Row],[Summary4]]-Tab1SDataShiftSummary[[#This Row],[Summary3]]</f>
        <v>-379060.16040000319</v>
      </c>
      <c r="AG1722" s="91">
        <f>Tab1SDataShiftSummary[[#This Row],[Summary5]]-Tab1SDataShiftSummary[[#This Row],[Summary4]]</f>
        <v>0</v>
      </c>
      <c r="AH1722" s="91">
        <f>Tab1SDataShiftSummary[[#This Row],[Summary6]]-Tab1SDataShiftSummary[[#This Row],[Summary5]]</f>
        <v>295797.74412279576</v>
      </c>
      <c r="AI1722" s="91">
        <f>Tab1SDataShiftSummary[[#This Row],[Summary7]]-Tab1SDataShiftSummary[[#This Row],[Summary6]]</f>
        <v>-14325.070320002735</v>
      </c>
      <c r="AJ1722" s="91">
        <f>Tab1SDataShiftSummary[[#This Row],[Summary8]]-Tab1SDataShiftSummary[[#This Row],[Summary7]]</f>
        <v>296887.18619418889</v>
      </c>
      <c r="AK1722" s="91">
        <f>Tab1SDataShiftSummary[[#This Row],[Summary9]]-Tab1SDataShiftSummary[[#This Row],[Summary8]]</f>
        <v>106872.40739999712</v>
      </c>
      <c r="AL1722" s="91">
        <f>Tab1SDataShiftSummary[[#This Row],[Summary10]]-Tab1SDataShiftSummary[[#This Row],[Summary9]]</f>
        <v>45331.830000013113</v>
      </c>
      <c r="AM1722" s="91">
        <f>Tab1SDataShiftSummary[[#This Row],[Summary11]]-Tab1SDataShiftSummary[[#This Row],[Summary10]]</f>
        <v>0</v>
      </c>
      <c r="AN1722" s="91">
        <f>Tab1SDataShiftSummary[[#This Row],[Summary12]]-Tab1SDataShiftSummary[[#This Row],[Summary11]]</f>
        <v>79510.286000005901</v>
      </c>
      <c r="AO1722" s="91">
        <f>Tab1SDataShiftSummary[[#This Row],[Summary13]]-Tab1SDataShiftSummary[[#This Row],[Summary12]]</f>
        <v>705416.13699999452</v>
      </c>
      <c r="AP1722" s="91">
        <f>Tab1SDataShiftSummary[[#This Row],[Summary14]]-Tab1SDataShiftSummary[[#This Row],[Summary13]]</f>
        <v>-240512.58185798675</v>
      </c>
      <c r="AQ1722" s="91">
        <f>Tab1SDataShiftSummary[[#This Row],[Summary15]]-Tab1SDataShiftSummary[[#This Row],[Summary14]]</f>
        <v>-122676.8559999913</v>
      </c>
      <c r="AR1722" s="91">
        <f>Tab1SDataShiftSummary[[#This Row],[Summary16]]-Tab1SDataShiftSummary[[#This Row],[Summary15]]</f>
        <v>21857.079999998212</v>
      </c>
      <c r="AS1722" s="91">
        <f>Tab1SDataShiftSummary[[#This Row],[Summary17]]-Tab1SDataShiftSummary[[#This Row],[Summary16]]</f>
        <v>-240439.11239999533</v>
      </c>
      <c r="AT1722" s="91">
        <f>Tab1SDataShiftSummary[[#This Row],[Summary18]]-Tab1SDataShiftSummary[[#This Row],[Summary17]]</f>
        <v>-92029.608863994479</v>
      </c>
      <c r="AU1722" s="91">
        <f>Tab1SDataShiftSummary[[#This Row],[Summary19]]-Tab1SDataShiftSummary[[#This Row],[Summary18]]</f>
        <v>99091.689999997616</v>
      </c>
      <c r="AV1722" s="1403">
        <f ca="1">Tab1SDataShiftSummary[[#This Row],[Summary20]]-Tab1SDataShiftSummary[[#This Row],[Summary19]]</f>
        <v>0</v>
      </c>
      <c r="AY1722" s="315" t="s">
        <v>1891</v>
      </c>
    </row>
    <row r="1723" spans="1:52">
      <c r="A1723">
        <v>12</v>
      </c>
      <c r="B1723" s="315" t="s">
        <v>2271</v>
      </c>
      <c r="C1723" t="s">
        <v>2280</v>
      </c>
      <c r="E1723" s="88"/>
      <c r="F1723" s="306">
        <v>1.7211683983578896</v>
      </c>
      <c r="G1723" s="306">
        <v>1.8557067759932591</v>
      </c>
      <c r="H1723" s="306">
        <v>1.8850994162544989</v>
      </c>
      <c r="I1723" s="306">
        <v>1.9245048555090805</v>
      </c>
      <c r="J1723" s="306">
        <v>1.7542507894393327</v>
      </c>
      <c r="K1723" s="306">
        <v>1.7361993074607034</v>
      </c>
      <c r="L1723" s="306">
        <v>1.6395057324864841</v>
      </c>
      <c r="M1723" s="306">
        <v>1.6048701025813408</v>
      </c>
      <c r="N1723" s="306">
        <v>1.8336072489340043</v>
      </c>
      <c r="O1723" s="306">
        <v>1.8236077146565741</v>
      </c>
      <c r="P1723" s="306">
        <v>1.8639733257793358</v>
      </c>
      <c r="Q1723" s="306">
        <v>1.8799764807544135</v>
      </c>
      <c r="R1723" s="306">
        <v>1.9146775299359646</v>
      </c>
      <c r="S1723" s="306">
        <v>1.8693717104402099</v>
      </c>
      <c r="T1723" s="306">
        <v>1.8917702986921814</v>
      </c>
      <c r="U1723" s="306">
        <v>1.9140832123938498</v>
      </c>
      <c r="V1723" s="306">
        <v>1.8590098585112467</v>
      </c>
      <c r="W1723" s="306">
        <v>1.8686674745033323</v>
      </c>
      <c r="X1723" s="306">
        <v>1.8309414002035913</v>
      </c>
      <c r="Y1723" s="306">
        <v>1.8421232549667852</v>
      </c>
      <c r="Z1723" s="306">
        <f ca="1">Z1715/ABS(Z1714)</f>
        <v>1.8421232549667852</v>
      </c>
      <c r="AB1723" s="306">
        <f ca="1">Tab1SDataShiftSummary[[#This Row],[Summary0]]-Tab1SDataShiftSummary[[#This Row],[Summary20]]</f>
        <v>-0.1209548566088956</v>
      </c>
      <c r="AC1723" s="306">
        <f>Tab1SDataShiftSummary[[#This Row],[Summary1]]-Tab1SDataShiftSummary[[#This Row],[Summary0]]</f>
        <v>0.13453837763536947</v>
      </c>
      <c r="AD1723" s="306">
        <f>Tab1SDataShiftSummary[[#This Row],[Summary2]]-Tab1SDataShiftSummary[[#This Row],[Summary1]]</f>
        <v>2.9392640261239888E-2</v>
      </c>
      <c r="AE1723" s="306">
        <f>Tab1SDataShiftSummary[[#This Row],[Summary3]]-Tab1SDataShiftSummary[[#This Row],[Summary2]]</f>
        <v>3.9405439254581509E-2</v>
      </c>
      <c r="AF1723" s="306">
        <f>Tab1SDataShiftSummary[[#This Row],[Summary4]]-Tab1SDataShiftSummary[[#This Row],[Summary3]]</f>
        <v>-0.1702540660697478</v>
      </c>
      <c r="AG1723" s="306">
        <f>Tab1SDataShiftSummary[[#This Row],[Summary5]]-Tab1SDataShiftSummary[[#This Row],[Summary4]]</f>
        <v>-1.8051481978629269E-2</v>
      </c>
      <c r="AH1723" s="306">
        <f>Tab1SDataShiftSummary[[#This Row],[Summary6]]-Tab1SDataShiftSummary[[#This Row],[Summary5]]</f>
        <v>-9.6693574974219265E-2</v>
      </c>
      <c r="AI1723" s="306">
        <f>Tab1SDataShiftSummary[[#This Row],[Summary7]]-Tab1SDataShiftSummary[[#This Row],[Summary6]]</f>
        <v>-3.463562990514335E-2</v>
      </c>
      <c r="AJ1723" s="306">
        <f>Tab1SDataShiftSummary[[#This Row],[Summary8]]-Tab1SDataShiftSummary[[#This Row],[Summary7]]</f>
        <v>0.22873714635266351</v>
      </c>
      <c r="AK1723" s="306">
        <f>Tab1SDataShiftSummary[[#This Row],[Summary9]]-Tab1SDataShiftSummary[[#This Row],[Summary8]]</f>
        <v>-9.9995342774301665E-3</v>
      </c>
      <c r="AL1723" s="306">
        <f>Tab1SDataShiftSummary[[#This Row],[Summary10]]-Tab1SDataShiftSummary[[#This Row],[Summary9]]</f>
        <v>4.0365611122761713E-2</v>
      </c>
      <c r="AM1723" s="306">
        <f>Tab1SDataShiftSummary[[#This Row],[Summary11]]-Tab1SDataShiftSummary[[#This Row],[Summary10]]</f>
        <v>1.6003154975077649E-2</v>
      </c>
      <c r="AN1723" s="306">
        <f>Tab1SDataShiftSummary[[#This Row],[Summary12]]-Tab1SDataShiftSummary[[#This Row],[Summary11]]</f>
        <v>3.4701049181551147E-2</v>
      </c>
      <c r="AO1723" s="306">
        <f>Tab1SDataShiftSummary[[#This Row],[Summary13]]-Tab1SDataShiftSummary[[#This Row],[Summary12]]</f>
        <v>-4.530581949575474E-2</v>
      </c>
      <c r="AP1723" s="306">
        <f>Tab1SDataShiftSummary[[#This Row],[Summary14]]-Tab1SDataShiftSummary[[#This Row],[Summary13]]</f>
        <v>2.2398588251971496E-2</v>
      </c>
      <c r="AQ1723" s="306">
        <f>Tab1SDataShiftSummary[[#This Row],[Summary15]]-Tab1SDataShiftSummary[[#This Row],[Summary14]]</f>
        <v>2.2312913701668435E-2</v>
      </c>
      <c r="AR1723" s="306">
        <f>Tab1SDataShiftSummary[[#This Row],[Summary16]]-Tab1SDataShiftSummary[[#This Row],[Summary15]]</f>
        <v>-5.5073353882603149E-2</v>
      </c>
      <c r="AS1723" s="306">
        <f>Tab1SDataShiftSummary[[#This Row],[Summary17]]-Tab1SDataShiftSummary[[#This Row],[Summary16]]</f>
        <v>9.6576159920855886E-3</v>
      </c>
      <c r="AT1723" s="306">
        <f>Tab1SDataShiftSummary[[#This Row],[Summary18]]-Tab1SDataShiftSummary[[#This Row],[Summary17]]</f>
        <v>-3.7726074299740953E-2</v>
      </c>
      <c r="AU1723" s="306">
        <f>Tab1SDataShiftSummary[[#This Row],[Summary19]]-Tab1SDataShiftSummary[[#This Row],[Summary18]]</f>
        <v>1.1181854763193888E-2</v>
      </c>
      <c r="AV1723" s="1404">
        <f ca="1">Tab1SDataShiftSummary[[#This Row],[Summary20]]-Tab1SDataShiftSummary[[#This Row],[Summary19]]</f>
        <v>0</v>
      </c>
      <c r="AY1723" s="315" t="s">
        <v>2271</v>
      </c>
      <c r="AZ1723" t="s">
        <v>2262</v>
      </c>
    </row>
    <row r="1724" spans="1:52">
      <c r="A1724">
        <v>13</v>
      </c>
      <c r="B1724" s="315" t="s">
        <v>1133</v>
      </c>
      <c r="C1724"/>
      <c r="E1724" s="88"/>
      <c r="F1724" s="91">
        <v>6678130.5600000005</v>
      </c>
      <c r="G1724" s="91">
        <v>5327296.87</v>
      </c>
      <c r="H1724" s="91">
        <v>5235971.1100000003</v>
      </c>
      <c r="I1724" s="91">
        <v>5224982.38</v>
      </c>
      <c r="J1724" s="91">
        <v>5575495.9299999997</v>
      </c>
      <c r="K1724" s="91">
        <v>5684332.7300000004</v>
      </c>
      <c r="L1724" s="91">
        <v>5477209.5199999996</v>
      </c>
      <c r="M1724" s="91">
        <v>5253554.13</v>
      </c>
      <c r="N1724" s="91">
        <v>5268709.51</v>
      </c>
      <c r="O1724" s="91">
        <v>5218645.62</v>
      </c>
      <c r="P1724" s="91">
        <v>5254871.5200000005</v>
      </c>
      <c r="Q1724" s="91">
        <v>5322560.6397579992</v>
      </c>
      <c r="R1724" s="91">
        <v>5184825.0725999996</v>
      </c>
      <c r="S1724" s="91">
        <v>4563735.8135979995</v>
      </c>
      <c r="T1724" s="91">
        <v>4692387.4138679998</v>
      </c>
      <c r="U1724" s="91">
        <v>4673859.7739279997</v>
      </c>
      <c r="V1724" s="91">
        <v>4573379.7345170006</v>
      </c>
      <c r="W1724" s="91">
        <v>4675387.3183920011</v>
      </c>
      <c r="X1724" s="91">
        <v>4651556.2863769997</v>
      </c>
      <c r="Y1724" s="91">
        <v>4610638.7129219994</v>
      </c>
      <c r="Z1724" s="91">
        <f ca="1">Calc!BS103</f>
        <v>4610638.7129219994</v>
      </c>
      <c r="AB1724" s="91">
        <f ca="1">Tab1SDataShiftSummary[[#This Row],[Summary0]]-Tab1SDataShiftSummary[[#This Row],[Summary20]]</f>
        <v>2067491.8470780011</v>
      </c>
      <c r="AC1724" s="91">
        <f>Tab1SDataShiftSummary[[#This Row],[Summary1]]-Tab1SDataShiftSummary[[#This Row],[Summary0]]</f>
        <v>-1350833.6900000004</v>
      </c>
      <c r="AD1724" s="91">
        <f>Tab1SDataShiftSummary[[#This Row],[Summary2]]-Tab1SDataShiftSummary[[#This Row],[Summary1]]</f>
        <v>-91325.759999999776</v>
      </c>
      <c r="AE1724" s="91">
        <f>Tab1SDataShiftSummary[[#This Row],[Summary3]]-Tab1SDataShiftSummary[[#This Row],[Summary2]]</f>
        <v>-10988.730000000447</v>
      </c>
      <c r="AF1724" s="91">
        <f>Tab1SDataShiftSummary[[#This Row],[Summary4]]-Tab1SDataShiftSummary[[#This Row],[Summary3]]</f>
        <v>350513.54999999981</v>
      </c>
      <c r="AG1724" s="91">
        <f>Tab1SDataShiftSummary[[#This Row],[Summary5]]-Tab1SDataShiftSummary[[#This Row],[Summary4]]</f>
        <v>108836.80000000075</v>
      </c>
      <c r="AH1724" s="91">
        <f>Tab1SDataShiftSummary[[#This Row],[Summary6]]-Tab1SDataShiftSummary[[#This Row],[Summary5]]</f>
        <v>-207123.21000000089</v>
      </c>
      <c r="AI1724" s="91">
        <f>Tab1SDataShiftSummary[[#This Row],[Summary7]]-Tab1SDataShiftSummary[[#This Row],[Summary6]]</f>
        <v>-223655.38999999966</v>
      </c>
      <c r="AJ1724" s="91">
        <f>Tab1SDataShiftSummary[[#This Row],[Summary8]]-Tab1SDataShiftSummary[[#This Row],[Summary7]]</f>
        <v>15155.379999999888</v>
      </c>
      <c r="AK1724" s="91">
        <f>Tab1SDataShiftSummary[[#This Row],[Summary9]]-Tab1SDataShiftSummary[[#This Row],[Summary8]]</f>
        <v>-50063.889999999665</v>
      </c>
      <c r="AL1724" s="91">
        <f>Tab1SDataShiftSummary[[#This Row],[Summary10]]-Tab1SDataShiftSummary[[#This Row],[Summary9]]</f>
        <v>36225.900000000373</v>
      </c>
      <c r="AM1724" s="91">
        <f>Tab1SDataShiftSummary[[#This Row],[Summary11]]-Tab1SDataShiftSummary[[#This Row],[Summary10]]</f>
        <v>67689.119757998735</v>
      </c>
      <c r="AN1724" s="91">
        <f>Tab1SDataShiftSummary[[#This Row],[Summary12]]-Tab1SDataShiftSummary[[#This Row],[Summary11]]</f>
        <v>-137735.56715799961</v>
      </c>
      <c r="AO1724" s="91">
        <f>Tab1SDataShiftSummary[[#This Row],[Summary13]]-Tab1SDataShiftSummary[[#This Row],[Summary12]]</f>
        <v>-621089.25900200009</v>
      </c>
      <c r="AP1724" s="91">
        <f>Tab1SDataShiftSummary[[#This Row],[Summary14]]-Tab1SDataShiftSummary[[#This Row],[Summary13]]</f>
        <v>128651.60027000029</v>
      </c>
      <c r="AQ1724" s="91">
        <f>Tab1SDataShiftSummary[[#This Row],[Summary15]]-Tab1SDataShiftSummary[[#This Row],[Summary14]]</f>
        <v>-18527.639940000139</v>
      </c>
      <c r="AR1724" s="91">
        <f>Tab1SDataShiftSummary[[#This Row],[Summary16]]-Tab1SDataShiftSummary[[#This Row],[Summary15]]</f>
        <v>-100480.03941099904</v>
      </c>
      <c r="AS1724" s="91">
        <f>Tab1SDataShiftSummary[[#This Row],[Summary17]]-Tab1SDataShiftSummary[[#This Row],[Summary16]]</f>
        <v>102007.58387500048</v>
      </c>
      <c r="AT1724" s="91">
        <f>Tab1SDataShiftSummary[[#This Row],[Summary18]]-Tab1SDataShiftSummary[[#This Row],[Summary17]]</f>
        <v>-23831.032015001401</v>
      </c>
      <c r="AU1724" s="91">
        <f>Tab1SDataShiftSummary[[#This Row],[Summary19]]-Tab1SDataShiftSummary[[#This Row],[Summary18]]</f>
        <v>-40917.573455000296</v>
      </c>
      <c r="AV1724" s="1403">
        <f ca="1">Tab1SDataShiftSummary[[#This Row],[Summary20]]-Tab1SDataShiftSummary[[#This Row],[Summary19]]</f>
        <v>0</v>
      </c>
      <c r="AY1724" s="841" t="s">
        <v>1133</v>
      </c>
      <c r="AZ1724" t="s">
        <v>2264</v>
      </c>
    </row>
    <row r="1725" spans="1:52">
      <c r="A1725">
        <v>14</v>
      </c>
      <c r="B1725" s="315" t="s">
        <v>1130</v>
      </c>
      <c r="C1725"/>
      <c r="E1725" s="91"/>
      <c r="F1725" s="91">
        <v>21715251.148000002</v>
      </c>
      <c r="G1725" s="91">
        <v>21123873.149900001</v>
      </c>
      <c r="H1725" s="91">
        <v>20865450.139999997</v>
      </c>
      <c r="I1725" s="91">
        <v>20929405.350000001</v>
      </c>
      <c r="J1725" s="91">
        <v>20437727.149999999</v>
      </c>
      <c r="K1725" s="91">
        <v>20260242.169999998</v>
      </c>
      <c r="L1725" s="91">
        <v>19899703.510899998</v>
      </c>
      <c r="M1725" s="91">
        <v>19909178.184999995</v>
      </c>
      <c r="N1725" s="91">
        <v>20756194.409999996</v>
      </c>
      <c r="O1725" s="91">
        <v>20660174.479999997</v>
      </c>
      <c r="P1725" s="91">
        <v>20830317.609999999</v>
      </c>
      <c r="Q1725" s="91">
        <v>20852109.097019497</v>
      </c>
      <c r="R1725" s="91">
        <v>21018773.251531292</v>
      </c>
      <c r="S1725" s="91">
        <v>20722463.328271504</v>
      </c>
      <c r="T1725" s="91">
        <v>21123793.069356006</v>
      </c>
      <c r="U1725" s="91">
        <v>21208319.785454527</v>
      </c>
      <c r="V1725" s="91">
        <v>21290043.183802489</v>
      </c>
      <c r="W1725" s="91">
        <v>21505273.569483802</v>
      </c>
      <c r="X1725" s="91">
        <v>21519365.219023801</v>
      </c>
      <c r="Y1725" s="91">
        <v>21572000.842986565</v>
      </c>
      <c r="Z1725" s="91">
        <f ca="1">Calc!BT103</f>
        <v>21572000.842986565</v>
      </c>
      <c r="AB1725" s="91">
        <f ca="1">Tab1SDataShiftSummary[[#This Row],[Summary0]]-Tab1SDataShiftSummary[[#This Row],[Summary20]]</f>
        <v>143250.30501343682</v>
      </c>
      <c r="AC1725" s="91">
        <f>Tab1SDataShiftSummary[[#This Row],[Summary1]]-Tab1SDataShiftSummary[[#This Row],[Summary0]]</f>
        <v>-591377.99810000136</v>
      </c>
      <c r="AD1725" s="91">
        <f>Tab1SDataShiftSummary[[#This Row],[Summary2]]-Tab1SDataShiftSummary[[#This Row],[Summary1]]</f>
        <v>-258423.00990000367</v>
      </c>
      <c r="AE1725" s="91">
        <f>Tab1SDataShiftSummary[[#This Row],[Summary3]]-Tab1SDataShiftSummary[[#This Row],[Summary2]]</f>
        <v>63955.210000004619</v>
      </c>
      <c r="AF1725" s="91">
        <f>Tab1SDataShiftSummary[[#This Row],[Summary4]]-Tab1SDataShiftSummary[[#This Row],[Summary3]]</f>
        <v>-491678.20000000298</v>
      </c>
      <c r="AG1725" s="91">
        <f>Tab1SDataShiftSummary[[#This Row],[Summary5]]-Tab1SDataShiftSummary[[#This Row],[Summary4]]</f>
        <v>-177484.98000000045</v>
      </c>
      <c r="AH1725" s="91">
        <f>Tab1SDataShiftSummary[[#This Row],[Summary6]]-Tab1SDataShiftSummary[[#This Row],[Summary5]]</f>
        <v>-360538.65909999982</v>
      </c>
      <c r="AI1725" s="91">
        <f>Tab1SDataShiftSummary[[#This Row],[Summary7]]-Tab1SDataShiftSummary[[#This Row],[Summary6]]</f>
        <v>9474.674099996686</v>
      </c>
      <c r="AJ1725" s="91">
        <f>Tab1SDataShiftSummary[[#This Row],[Summary8]]-Tab1SDataShiftSummary[[#This Row],[Summary7]]</f>
        <v>847016.22500000149</v>
      </c>
      <c r="AK1725" s="91">
        <f>Tab1SDataShiftSummary[[#This Row],[Summary9]]-Tab1SDataShiftSummary[[#This Row],[Summary8]]</f>
        <v>-96019.929999999702</v>
      </c>
      <c r="AL1725" s="91">
        <f>Tab1SDataShiftSummary[[#This Row],[Summary10]]-Tab1SDataShiftSummary[[#This Row],[Summary9]]</f>
        <v>170143.13000000268</v>
      </c>
      <c r="AM1725" s="91">
        <f>Tab1SDataShiftSummary[[#This Row],[Summary11]]-Tab1SDataShiftSummary[[#This Row],[Summary10]]</f>
        <v>21791.487019497901</v>
      </c>
      <c r="AN1725" s="91">
        <f>Tab1SDataShiftSummary[[#This Row],[Summary12]]-Tab1SDataShiftSummary[[#This Row],[Summary11]]</f>
        <v>166664.15451179445</v>
      </c>
      <c r="AO1725" s="91">
        <f>Tab1SDataShiftSummary[[#This Row],[Summary13]]-Tab1SDataShiftSummary[[#This Row],[Summary12]]</f>
        <v>-296309.92325978726</v>
      </c>
      <c r="AP1725" s="91">
        <f>Tab1SDataShiftSummary[[#This Row],[Summary14]]-Tab1SDataShiftSummary[[#This Row],[Summary13]]</f>
        <v>401329.74108450115</v>
      </c>
      <c r="AQ1725" s="91">
        <f>Tab1SDataShiftSummary[[#This Row],[Summary15]]-Tab1SDataShiftSummary[[#This Row],[Summary14]]</f>
        <v>84526.716098520905</v>
      </c>
      <c r="AR1725" s="91">
        <f>Tab1SDataShiftSummary[[#This Row],[Summary16]]-Tab1SDataShiftSummary[[#This Row],[Summary15]]</f>
        <v>81723.398347962648</v>
      </c>
      <c r="AS1725" s="91">
        <f>Tab1SDataShiftSummary[[#This Row],[Summary17]]-Tab1SDataShiftSummary[[#This Row],[Summary16]]</f>
        <v>215230.38568131253</v>
      </c>
      <c r="AT1725" s="91">
        <f>Tab1SDataShiftSummary[[#This Row],[Summary18]]-Tab1SDataShiftSummary[[#This Row],[Summary17]]</f>
        <v>14091.649539999664</v>
      </c>
      <c r="AU1725" s="91">
        <f>Tab1SDataShiftSummary[[#This Row],[Summary19]]-Tab1SDataShiftSummary[[#This Row],[Summary18]]</f>
        <v>52635.623962763697</v>
      </c>
      <c r="AV1725" s="1403">
        <f ca="1">Tab1SDataShiftSummary[[#This Row],[Summary20]]-Tab1SDataShiftSummary[[#This Row],[Summary19]]</f>
        <v>0</v>
      </c>
      <c r="AY1725" s="841" t="s">
        <v>1130</v>
      </c>
      <c r="AZ1725" t="s">
        <v>2264</v>
      </c>
    </row>
    <row r="1726" spans="1:52">
      <c r="A1726">
        <v>15</v>
      </c>
      <c r="B1726" s="315" t="s">
        <v>1431</v>
      </c>
      <c r="C1726"/>
      <c r="E1726" s="91"/>
      <c r="F1726" s="91">
        <v>1075190</v>
      </c>
      <c r="G1726" s="91">
        <v>1045960</v>
      </c>
      <c r="H1726" s="91">
        <v>910780</v>
      </c>
      <c r="I1726" s="91">
        <v>898900</v>
      </c>
      <c r="J1726" s="91">
        <v>875529</v>
      </c>
      <c r="K1726" s="91">
        <v>885230</v>
      </c>
      <c r="L1726" s="91">
        <v>892900</v>
      </c>
      <c r="M1726" s="91">
        <v>917170</v>
      </c>
      <c r="N1726" s="91">
        <v>584020</v>
      </c>
      <c r="O1726" s="91">
        <v>542200</v>
      </c>
      <c r="P1726" s="91">
        <v>546120</v>
      </c>
      <c r="Q1726" s="91">
        <v>540087.81499999994</v>
      </c>
      <c r="R1726" s="91">
        <v>535629.88400000008</v>
      </c>
      <c r="S1726" s="91">
        <v>537415.05099999998</v>
      </c>
      <c r="T1726" s="91">
        <v>535101.31499999994</v>
      </c>
      <c r="U1726" s="91">
        <v>530324.24800000002</v>
      </c>
      <c r="V1726" s="91">
        <v>531171.95299999998</v>
      </c>
      <c r="W1726" s="91">
        <v>529656.05700000003</v>
      </c>
      <c r="X1726" s="91">
        <v>527092.99600000004</v>
      </c>
      <c r="Y1726" s="91">
        <v>541663.549</v>
      </c>
      <c r="Z1726" s="91">
        <f ca="1">Calc!BU103</f>
        <v>541663.549</v>
      </c>
      <c r="AB1726" s="91">
        <f ca="1">Tab1SDataShiftSummary[[#This Row],[Summary0]]-Tab1SDataShiftSummary[[#This Row],[Summary20]]</f>
        <v>533526.451</v>
      </c>
      <c r="AC1726" s="91">
        <f>Tab1SDataShiftSummary[[#This Row],[Summary1]]-Tab1SDataShiftSummary[[#This Row],[Summary0]]</f>
        <v>-29230</v>
      </c>
      <c r="AD1726" s="91">
        <f>Tab1SDataShiftSummary[[#This Row],[Summary2]]-Tab1SDataShiftSummary[[#This Row],[Summary1]]</f>
        <v>-135180</v>
      </c>
      <c r="AE1726" s="91">
        <f>Tab1SDataShiftSummary[[#This Row],[Summary3]]-Tab1SDataShiftSummary[[#This Row],[Summary2]]</f>
        <v>-11880</v>
      </c>
      <c r="AF1726" s="91">
        <f>Tab1SDataShiftSummary[[#This Row],[Summary4]]-Tab1SDataShiftSummary[[#This Row],[Summary3]]</f>
        <v>-23371</v>
      </c>
      <c r="AG1726" s="91">
        <f>Tab1SDataShiftSummary[[#This Row],[Summary5]]-Tab1SDataShiftSummary[[#This Row],[Summary4]]</f>
        <v>9701</v>
      </c>
      <c r="AH1726" s="91">
        <f>Tab1SDataShiftSummary[[#This Row],[Summary6]]-Tab1SDataShiftSummary[[#This Row],[Summary5]]</f>
        <v>7670</v>
      </c>
      <c r="AI1726" s="91">
        <f>Tab1SDataShiftSummary[[#This Row],[Summary7]]-Tab1SDataShiftSummary[[#This Row],[Summary6]]</f>
        <v>24270</v>
      </c>
      <c r="AJ1726" s="91">
        <f>Tab1SDataShiftSummary[[#This Row],[Summary8]]-Tab1SDataShiftSummary[[#This Row],[Summary7]]</f>
        <v>-333150</v>
      </c>
      <c r="AK1726" s="91">
        <f>Tab1SDataShiftSummary[[#This Row],[Summary9]]-Tab1SDataShiftSummary[[#This Row],[Summary8]]</f>
        <v>-41820</v>
      </c>
      <c r="AL1726" s="91">
        <f>Tab1SDataShiftSummary[[#This Row],[Summary10]]-Tab1SDataShiftSummary[[#This Row],[Summary9]]</f>
        <v>3920</v>
      </c>
      <c r="AM1726" s="91">
        <f>Tab1SDataShiftSummary[[#This Row],[Summary11]]-Tab1SDataShiftSummary[[#This Row],[Summary10]]</f>
        <v>-6032.1850000000559</v>
      </c>
      <c r="AN1726" s="91">
        <f>Tab1SDataShiftSummary[[#This Row],[Summary12]]-Tab1SDataShiftSummary[[#This Row],[Summary11]]</f>
        <v>-4457.9309999998659</v>
      </c>
      <c r="AO1726" s="91">
        <f>Tab1SDataShiftSummary[[#This Row],[Summary13]]-Tab1SDataShiftSummary[[#This Row],[Summary12]]</f>
        <v>1785.1669999998994</v>
      </c>
      <c r="AP1726" s="91">
        <f>Tab1SDataShiftSummary[[#This Row],[Summary14]]-Tab1SDataShiftSummary[[#This Row],[Summary13]]</f>
        <v>-2313.7360000000335</v>
      </c>
      <c r="AQ1726" s="91">
        <f>Tab1SDataShiftSummary[[#This Row],[Summary15]]-Tab1SDataShiftSummary[[#This Row],[Summary14]]</f>
        <v>-4777.0669999999227</v>
      </c>
      <c r="AR1726" s="91">
        <f>Tab1SDataShiftSummary[[#This Row],[Summary16]]-Tab1SDataShiftSummary[[#This Row],[Summary15]]</f>
        <v>847.70499999995809</v>
      </c>
      <c r="AS1726" s="91">
        <f>Tab1SDataShiftSummary[[#This Row],[Summary17]]-Tab1SDataShiftSummary[[#This Row],[Summary16]]</f>
        <v>-1515.8959999999497</v>
      </c>
      <c r="AT1726" s="91">
        <f>Tab1SDataShiftSummary[[#This Row],[Summary18]]-Tab1SDataShiftSummary[[#This Row],[Summary17]]</f>
        <v>-2563.060999999987</v>
      </c>
      <c r="AU1726" s="91">
        <f>Tab1SDataShiftSummary[[#This Row],[Summary19]]-Tab1SDataShiftSummary[[#This Row],[Summary18]]</f>
        <v>14570.552999999956</v>
      </c>
      <c r="AV1726" s="1403">
        <f ca="1">Tab1SDataShiftSummary[[#This Row],[Summary20]]-Tab1SDataShiftSummary[[#This Row],[Summary19]]</f>
        <v>0</v>
      </c>
      <c r="AY1726" s="841" t="s">
        <v>1431</v>
      </c>
      <c r="AZ1726" t="s">
        <v>2264</v>
      </c>
    </row>
    <row r="1727" spans="1:52">
      <c r="A1727">
        <v>16</v>
      </c>
      <c r="B1727" s="315" t="s">
        <v>1132</v>
      </c>
      <c r="C1727"/>
      <c r="E1727" s="91"/>
      <c r="F1727" s="91">
        <v>361201</v>
      </c>
      <c r="G1727" s="91">
        <v>361201</v>
      </c>
      <c r="H1727" s="91">
        <v>361201</v>
      </c>
      <c r="I1727" s="91">
        <v>361201</v>
      </c>
      <c r="J1727" s="91">
        <v>361201</v>
      </c>
      <c r="K1727" s="91">
        <v>361201</v>
      </c>
      <c r="L1727" s="91">
        <v>361201</v>
      </c>
      <c r="M1727" s="91">
        <v>361201</v>
      </c>
      <c r="N1727" s="91">
        <v>1166122.9439999999</v>
      </c>
      <c r="O1727" s="91">
        <v>1166122.9439999999</v>
      </c>
      <c r="P1727" s="91">
        <v>1166122.9439999999</v>
      </c>
      <c r="Q1727" s="91">
        <v>1166122.9439999999</v>
      </c>
      <c r="R1727" s="91">
        <v>1169952.5759999999</v>
      </c>
      <c r="S1727" s="91">
        <v>1154634.048</v>
      </c>
      <c r="T1727" s="91">
        <v>1158463.68</v>
      </c>
      <c r="U1727" s="91">
        <v>1096830.54</v>
      </c>
      <c r="V1727" s="91">
        <v>1037590.9199999999</v>
      </c>
      <c r="W1727" s="91">
        <v>1008719.085</v>
      </c>
      <c r="X1727" s="91">
        <v>1000491.36</v>
      </c>
      <c r="Y1727" s="91">
        <v>1005427.995</v>
      </c>
      <c r="Z1727" s="91">
        <f ca="1">Calc!BV103</f>
        <v>1005427.995</v>
      </c>
      <c r="AB1727" s="91">
        <f ca="1">Tab1SDataShiftSummary[[#This Row],[Summary0]]-Tab1SDataShiftSummary[[#This Row],[Summary20]]</f>
        <v>-644226.995</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804921.9439999999</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3829.6319999999832</v>
      </c>
      <c r="AO1727" s="91">
        <f>Tab1SDataShiftSummary[[#This Row],[Summary13]]-Tab1SDataShiftSummary[[#This Row],[Summary12]]</f>
        <v>-15318.527999999933</v>
      </c>
      <c r="AP1727" s="91">
        <f>Tab1SDataShiftSummary[[#This Row],[Summary14]]-Tab1SDataShiftSummary[[#This Row],[Summary13]]</f>
        <v>3829.6319999999832</v>
      </c>
      <c r="AQ1727" s="91">
        <f>Tab1SDataShiftSummary[[#This Row],[Summary15]]-Tab1SDataShiftSummary[[#This Row],[Summary14]]</f>
        <v>-61633.139999999898</v>
      </c>
      <c r="AR1727" s="91">
        <f>Tab1SDataShiftSummary[[#This Row],[Summary16]]-Tab1SDataShiftSummary[[#This Row],[Summary15]]</f>
        <v>-59239.620000000112</v>
      </c>
      <c r="AS1727" s="91">
        <f>Tab1SDataShiftSummary[[#This Row],[Summary17]]-Tab1SDataShiftSummary[[#This Row],[Summary16]]</f>
        <v>-28871.834999999963</v>
      </c>
      <c r="AT1727" s="91">
        <f>Tab1SDataShiftSummary[[#This Row],[Summary18]]-Tab1SDataShiftSummary[[#This Row],[Summary17]]</f>
        <v>-8227.7249999999767</v>
      </c>
      <c r="AU1727" s="91">
        <f>Tab1SDataShiftSummary[[#This Row],[Summary19]]-Tab1SDataShiftSummary[[#This Row],[Summary18]]</f>
        <v>4936.6350000000093</v>
      </c>
      <c r="AV1727" s="1403">
        <f ca="1">Tab1SDataShiftSummary[[#This Row],[Summary20]]-Tab1SDataShiftSummary[[#This Row],[Summary19]]</f>
        <v>0</v>
      </c>
      <c r="AY1727" s="841" t="s">
        <v>1132</v>
      </c>
      <c r="AZ1727" t="s">
        <v>2264</v>
      </c>
    </row>
    <row r="1728" spans="1:52">
      <c r="A1728">
        <v>17</v>
      </c>
      <c r="B1728" s="315" t="s">
        <v>2112</v>
      </c>
      <c r="C1728"/>
      <c r="E1728" s="91"/>
      <c r="F1728" s="306">
        <v>2.5065528760195717</v>
      </c>
      <c r="G1728" s="306">
        <v>3.0169987230073638</v>
      </c>
      <c r="H1728" s="306">
        <v>3.1528348479182382</v>
      </c>
      <c r="I1728" s="306">
        <v>3.2563894755098199</v>
      </c>
      <c r="J1728" s="306">
        <v>2.9243473529652184</v>
      </c>
      <c r="K1728" s="306">
        <v>2.881993494796895</v>
      </c>
      <c r="L1728" s="306">
        <v>2.8446888125504186</v>
      </c>
      <c r="M1728" s="306">
        <v>2.8076290532441579</v>
      </c>
      <c r="N1728" s="306">
        <v>3.1653632259779392</v>
      </c>
      <c r="O1728" s="306">
        <v>3.192991354375939</v>
      </c>
      <c r="P1728" s="306">
        <v>3.2419198224474512</v>
      </c>
      <c r="Q1728" s="306">
        <v>3.2578813692195943</v>
      </c>
      <c r="R1728" s="306">
        <v>3.3295452953726463</v>
      </c>
      <c r="S1728" s="306">
        <v>3.5420578333682871</v>
      </c>
      <c r="T1728" s="306">
        <v>3.4916812170024052</v>
      </c>
      <c r="U1728" s="306">
        <v>3.5077331215061447</v>
      </c>
      <c r="V1728" s="306">
        <v>3.4244894900044707</v>
      </c>
      <c r="W1728" s="306">
        <v>3.3466871318883444</v>
      </c>
      <c r="X1728" s="306">
        <v>3.2643783886829492</v>
      </c>
      <c r="Y1728" s="306">
        <v>3.2989711841511711</v>
      </c>
      <c r="Z1728" s="306">
        <f ca="1">-Z1719/Z1714</f>
        <v>3.2989711841511711</v>
      </c>
      <c r="AB1728" s="306">
        <f ca="1">Tab1SDataShiftSummary[[#This Row],[Summary0]]-Tab1SDataShiftSummary[[#This Row],[Summary20]]</f>
        <v>-0.79241830813159941</v>
      </c>
      <c r="AC1728" s="306">
        <f>Tab1SDataShiftSummary[[#This Row],[Summary1]]-Tab1SDataShiftSummary[[#This Row],[Summary0]]</f>
        <v>0.51044584698779216</v>
      </c>
      <c r="AD1728" s="306">
        <f>Tab1SDataShiftSummary[[#This Row],[Summary2]]-Tab1SDataShiftSummary[[#This Row],[Summary1]]</f>
        <v>0.13583612491087438</v>
      </c>
      <c r="AE1728" s="306">
        <f>Tab1SDataShiftSummary[[#This Row],[Summary3]]-Tab1SDataShiftSummary[[#This Row],[Summary2]]</f>
        <v>0.10355462759158174</v>
      </c>
      <c r="AF1728" s="306">
        <f>Tab1SDataShiftSummary[[#This Row],[Summary4]]-Tab1SDataShiftSummary[[#This Row],[Summary3]]</f>
        <v>-0.33204212254460153</v>
      </c>
      <c r="AG1728" s="306">
        <f>Tab1SDataShiftSummary[[#This Row],[Summary5]]-Tab1SDataShiftSummary[[#This Row],[Summary4]]</f>
        <v>-4.2353858168323377E-2</v>
      </c>
      <c r="AH1728" s="306">
        <f>Tab1SDataShiftSummary[[#This Row],[Summary6]]-Tab1SDataShiftSummary[[#This Row],[Summary5]]</f>
        <v>-3.7304682246476428E-2</v>
      </c>
      <c r="AI1728" s="306">
        <f>Tab1SDataShiftSummary[[#This Row],[Summary7]]-Tab1SDataShiftSummary[[#This Row],[Summary6]]</f>
        <v>-3.7059759306260709E-2</v>
      </c>
      <c r="AJ1728" s="306">
        <f>Tab1SDataShiftSummary[[#This Row],[Summary8]]-Tab1SDataShiftSummary[[#This Row],[Summary7]]</f>
        <v>0.35773417273378127</v>
      </c>
      <c r="AK1728" s="306">
        <f>Tab1SDataShiftSummary[[#This Row],[Summary9]]-Tab1SDataShiftSummary[[#This Row],[Summary8]]</f>
        <v>2.7628128397999774E-2</v>
      </c>
      <c r="AL1728" s="306">
        <f>Tab1SDataShiftSummary[[#This Row],[Summary10]]-Tab1SDataShiftSummary[[#This Row],[Summary9]]</f>
        <v>4.8928468071512299E-2</v>
      </c>
      <c r="AM1728" s="306">
        <f>Tab1SDataShiftSummary[[#This Row],[Summary11]]-Tab1SDataShiftSummary[[#This Row],[Summary10]]</f>
        <v>1.5961546772143009E-2</v>
      </c>
      <c r="AN1728" s="306">
        <f>Tab1SDataShiftSummary[[#This Row],[Summary12]]-Tab1SDataShiftSummary[[#This Row],[Summary11]]</f>
        <v>7.166392615305206E-2</v>
      </c>
      <c r="AO1728" s="306">
        <f>Tab1SDataShiftSummary[[#This Row],[Summary13]]-Tab1SDataShiftSummary[[#This Row],[Summary12]]</f>
        <v>0.21251253799564074</v>
      </c>
      <c r="AP1728" s="306">
        <f>Tab1SDataShiftSummary[[#This Row],[Summary14]]-Tab1SDataShiftSummary[[#This Row],[Summary13]]</f>
        <v>-5.0376616365881866E-2</v>
      </c>
      <c r="AQ1728" s="306">
        <f>Tab1SDataShiftSummary[[#This Row],[Summary15]]-Tab1SDataShiftSummary[[#This Row],[Summary14]]</f>
        <v>1.60519045037395E-2</v>
      </c>
      <c r="AR1728" s="306">
        <f>Tab1SDataShiftSummary[[#This Row],[Summary16]]-Tab1SDataShiftSummary[[#This Row],[Summary15]]</f>
        <v>-8.324363150167402E-2</v>
      </c>
      <c r="AS1728" s="306">
        <f>Tab1SDataShiftSummary[[#This Row],[Summary17]]-Tab1SDataShiftSummary[[#This Row],[Summary16]]</f>
        <v>-7.7802358116126236E-2</v>
      </c>
      <c r="AT1728" s="306">
        <f>Tab1SDataShiftSummary[[#This Row],[Summary18]]-Tab1SDataShiftSummary[[#This Row],[Summary17]]</f>
        <v>-8.2308743205395274E-2</v>
      </c>
      <c r="AU1728" s="306">
        <f>Tab1SDataShiftSummary[[#This Row],[Summary19]]-Tab1SDataShiftSummary[[#This Row],[Summary18]]</f>
        <v>3.4592795468221915E-2</v>
      </c>
      <c r="AV1728" s="1404">
        <f ca="1">Tab1SDataShiftSummary[[#This Row],[Summary20]]-Tab1SDataShiftSummary[[#This Row],[Summary19]]</f>
        <v>0</v>
      </c>
      <c r="AY1728" s="841" t="s">
        <v>2112</v>
      </c>
    </row>
    <row r="1729" spans="1:52">
      <c r="A1729">
        <v>18</v>
      </c>
      <c r="B1729" s="315" t="s">
        <v>2268</v>
      </c>
      <c r="C1729"/>
      <c r="E1729" s="91"/>
      <c r="F1729" s="306">
        <v>1.3186176314167688</v>
      </c>
      <c r="G1729" s="306">
        <v>1.4678563543671261</v>
      </c>
      <c r="H1729" s="306">
        <v>1.4880692855101805</v>
      </c>
      <c r="I1729" s="306">
        <v>1.5388535799697383</v>
      </c>
      <c r="J1729" s="306">
        <v>1.4384789182799869</v>
      </c>
      <c r="K1729" s="306">
        <v>1.4278713018687721</v>
      </c>
      <c r="L1729" s="306">
        <v>1.4315582277997969</v>
      </c>
      <c r="M1729" s="306">
        <v>1.4111679839108697</v>
      </c>
      <c r="N1729" s="306">
        <v>1.5623561089905569</v>
      </c>
      <c r="O1729" s="306">
        <v>1.5715750635766339</v>
      </c>
      <c r="P1729" s="306">
        <v>1.602413620269465</v>
      </c>
      <c r="Q1729" s="306">
        <v>1.6102902468191118</v>
      </c>
      <c r="R1729" s="306">
        <v>1.6327818445251858</v>
      </c>
      <c r="S1729" s="306">
        <v>1.7274037161494469</v>
      </c>
      <c r="T1729" s="306">
        <v>1.6383063896210599</v>
      </c>
      <c r="U1729" s="306">
        <v>1.6079148647119541</v>
      </c>
      <c r="V1729" s="306">
        <v>1.6061596909106119</v>
      </c>
      <c r="W1729" s="306">
        <v>1.5747346185210283</v>
      </c>
      <c r="X1729" s="306">
        <v>1.5510214828693232</v>
      </c>
      <c r="Y1729" s="306">
        <v>1.577543404724554</v>
      </c>
      <c r="Z1729" s="306">
        <f ca="1">ABS((Z1712+Z1717)/Z1717)</f>
        <v>1.577543404724554</v>
      </c>
      <c r="AB1729" s="306">
        <f ca="1">Tab1SDataShiftSummary[[#This Row],[Summary0]]-Tab1SDataShiftSummary[[#This Row],[Summary20]]</f>
        <v>-0.25892577330778521</v>
      </c>
      <c r="AC1729" s="306">
        <f>Tab1SDataShiftSummary[[#This Row],[Summary1]]-Tab1SDataShiftSummary[[#This Row],[Summary0]]</f>
        <v>0.14923872295035734</v>
      </c>
      <c r="AD1729" s="306">
        <f>Tab1SDataShiftSummary[[#This Row],[Summary2]]-Tab1SDataShiftSummary[[#This Row],[Summary1]]</f>
        <v>2.0212931143054336E-2</v>
      </c>
      <c r="AE1729" s="306">
        <f>Tab1SDataShiftSummary[[#This Row],[Summary3]]-Tab1SDataShiftSummary[[#This Row],[Summary2]]</f>
        <v>5.0784294459557788E-2</v>
      </c>
      <c r="AF1729" s="306">
        <f>Tab1SDataShiftSummary[[#This Row],[Summary4]]-Tab1SDataShiftSummary[[#This Row],[Summary3]]</f>
        <v>-0.1003746616897514</v>
      </c>
      <c r="AG1729" s="306">
        <f>Tab1SDataShiftSummary[[#This Row],[Summary5]]-Tab1SDataShiftSummary[[#This Row],[Summary4]]</f>
        <v>-1.0607616411214771E-2</v>
      </c>
      <c r="AH1729" s="306">
        <f>Tab1SDataShiftSummary[[#This Row],[Summary6]]-Tab1SDataShiftSummary[[#This Row],[Summary5]]</f>
        <v>3.6869259310248204E-3</v>
      </c>
      <c r="AI1729" s="306">
        <f>Tab1SDataShiftSummary[[#This Row],[Summary7]]-Tab1SDataShiftSummary[[#This Row],[Summary6]]</f>
        <v>-2.0390243888927184E-2</v>
      </c>
      <c r="AJ1729" s="306">
        <f>Tab1SDataShiftSummary[[#This Row],[Summary8]]-Tab1SDataShiftSummary[[#This Row],[Summary7]]</f>
        <v>0.15118812507968715</v>
      </c>
      <c r="AK1729" s="306">
        <f>Tab1SDataShiftSummary[[#This Row],[Summary9]]-Tab1SDataShiftSummary[[#This Row],[Summary8]]</f>
        <v>9.2189545860770217E-3</v>
      </c>
      <c r="AL1729" s="306">
        <f>Tab1SDataShiftSummary[[#This Row],[Summary10]]-Tab1SDataShiftSummary[[#This Row],[Summary9]]</f>
        <v>3.0838556692831087E-2</v>
      </c>
      <c r="AM1729" s="306">
        <f>Tab1SDataShiftSummary[[#This Row],[Summary11]]-Tab1SDataShiftSummary[[#This Row],[Summary10]]</f>
        <v>7.8766265496468257E-3</v>
      </c>
      <c r="AN1729" s="306">
        <f>Tab1SDataShiftSummary[[#This Row],[Summary12]]-Tab1SDataShiftSummary[[#This Row],[Summary11]]</f>
        <v>2.2491597706074007E-2</v>
      </c>
      <c r="AO1729" s="306">
        <f>Tab1SDataShiftSummary[[#This Row],[Summary13]]-Tab1SDataShiftSummary[[#This Row],[Summary12]]</f>
        <v>9.4621871624261056E-2</v>
      </c>
      <c r="AP1729" s="306">
        <f>Tab1SDataShiftSummary[[#This Row],[Summary14]]-Tab1SDataShiftSummary[[#This Row],[Summary13]]</f>
        <v>-8.9097326528386978E-2</v>
      </c>
      <c r="AQ1729" s="306">
        <f>Tab1SDataShiftSummary[[#This Row],[Summary15]]-Tab1SDataShiftSummary[[#This Row],[Summary14]]</f>
        <v>-3.0391524909105794E-2</v>
      </c>
      <c r="AR1729" s="306">
        <f>Tab1SDataShiftSummary[[#This Row],[Summary16]]-Tab1SDataShiftSummary[[#This Row],[Summary15]]</f>
        <v>-1.7551738013421581E-3</v>
      </c>
      <c r="AS1729" s="306">
        <f>Tab1SDataShiftSummary[[#This Row],[Summary17]]-Tab1SDataShiftSummary[[#This Row],[Summary16]]</f>
        <v>-3.1425072389583697E-2</v>
      </c>
      <c r="AT1729" s="306">
        <f>Tab1SDataShiftSummary[[#This Row],[Summary18]]-Tab1SDataShiftSummary[[#This Row],[Summary17]]</f>
        <v>-2.3713135651705075E-2</v>
      </c>
      <c r="AU1729" s="306">
        <f>Tab1SDataShiftSummary[[#This Row],[Summary19]]-Tab1SDataShiftSummary[[#This Row],[Summary18]]</f>
        <v>2.6521921855230834E-2</v>
      </c>
      <c r="AV1729" s="1404">
        <f ca="1">Tab1SDataShiftSummary[[#This Row],[Summary20]]-Tab1SDataShiftSummary[[#This Row],[Summary19]]</f>
        <v>0</v>
      </c>
      <c r="AY1729" s="841" t="s">
        <v>2268</v>
      </c>
    </row>
    <row r="1730" spans="1:52">
      <c r="A1730">
        <v>19</v>
      </c>
      <c r="B1730" s="315" t="s">
        <v>2278</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03"/>
      <c r="AY1730" s="841" t="s">
        <v>2278</v>
      </c>
    </row>
    <row r="1731" spans="1:52">
      <c r="A1731">
        <v>20</v>
      </c>
      <c r="B1731" s="315" t="s">
        <v>1829</v>
      </c>
      <c r="C1731"/>
      <c r="E1731"/>
      <c r="F1731" s="720">
        <v>2646188.2297</v>
      </c>
      <c r="G1731" s="720">
        <v>2646188.2297</v>
      </c>
      <c r="H1731" s="720">
        <v>2722190.2297</v>
      </c>
      <c r="I1731" s="720">
        <v>2743420.7587000006</v>
      </c>
      <c r="J1731" s="720">
        <v>2744444.1339080003</v>
      </c>
      <c r="K1731" s="720">
        <v>2751579.6886561606</v>
      </c>
      <c r="L1731" s="1023">
        <v>2797624.7172733606</v>
      </c>
      <c r="M1731" s="1024">
        <v>2783421.0835933606</v>
      </c>
      <c r="N1731" s="720">
        <v>2761578.8189761606</v>
      </c>
      <c r="O1731" s="1025">
        <v>2801483.3015761608</v>
      </c>
      <c r="P1731" s="1025">
        <v>2847051.4715761608</v>
      </c>
      <c r="Q1731" s="720">
        <v>2847051.4715761608</v>
      </c>
      <c r="R1731" s="1026">
        <v>2847051.4715761608</v>
      </c>
      <c r="S1731" s="720">
        <v>3126241.0400269609</v>
      </c>
      <c r="T1731" s="720">
        <v>3126241.0400269609</v>
      </c>
      <c r="U1731" s="720">
        <v>3059433.639231761</v>
      </c>
      <c r="V1731" s="720">
        <v>3059433.639231761</v>
      </c>
      <c r="W1731" s="1023">
        <v>2916671.4200317608</v>
      </c>
      <c r="X1731" s="1027">
        <v>2917365.8608957608</v>
      </c>
      <c r="Y1731" s="720">
        <v>2917365.8608957608</v>
      </c>
      <c r="Z1731" s="720">
        <f ca="1">Calc!BA103</f>
        <v>2917365.8608957608</v>
      </c>
      <c r="AB1731" s="91">
        <f ca="1">Tab1SDataShiftSummary[[#This Row],[Summary0]]-Tab1SDataShiftSummary[[#This Row],[Summary20]]</f>
        <v>-271177.6311957608</v>
      </c>
      <c r="AC1731" s="91">
        <f>Tab1SDataShiftSummary[[#This Row],[Summary1]]-Tab1SDataShiftSummary[[#This Row],[Summary0]]</f>
        <v>0</v>
      </c>
      <c r="AD1731" s="91">
        <f>Tab1SDataShiftSummary[[#This Row],[Summary2]]-Tab1SDataShiftSummary[[#This Row],[Summary1]]</f>
        <v>76002</v>
      </c>
      <c r="AE1731" s="91">
        <f>Tab1SDataShiftSummary[[#This Row],[Summary3]]-Tab1SDataShiftSummary[[#This Row],[Summary2]]</f>
        <v>21230.529000000563</v>
      </c>
      <c r="AF1731" s="91">
        <f>Tab1SDataShiftSummary[[#This Row],[Summary4]]-Tab1SDataShiftSummary[[#This Row],[Summary3]]</f>
        <v>1023.3752079997212</v>
      </c>
      <c r="AG1731" s="91">
        <f>Tab1SDataShiftSummary[[#This Row],[Summary5]]-Tab1SDataShiftSummary[[#This Row],[Summary4]]</f>
        <v>7135.5547481602989</v>
      </c>
      <c r="AH1731" s="91">
        <f>Tab1SDataShiftSummary[[#This Row],[Summary6]]-Tab1SDataShiftSummary[[#This Row],[Summary5]]</f>
        <v>46045.028617199976</v>
      </c>
      <c r="AI1731" s="91">
        <f>Tab1SDataShiftSummary[[#This Row],[Summary7]]-Tab1SDataShiftSummary[[#This Row],[Summary6]]</f>
        <v>-14203.63367999997</v>
      </c>
      <c r="AJ1731" s="91">
        <f>Tab1SDataShiftSummary[[#This Row],[Summary8]]-Tab1SDataShiftSummary[[#This Row],[Summary7]]</f>
        <v>-21842.26461720001</v>
      </c>
      <c r="AK1731" s="91">
        <f>Tab1SDataShiftSummary[[#This Row],[Summary9]]-Tab1SDataShiftSummary[[#This Row],[Summary8]]</f>
        <v>39904.482600000221</v>
      </c>
      <c r="AL1731" s="91">
        <f>Tab1SDataShiftSummary[[#This Row],[Summary10]]-Tab1SDataShiftSummary[[#This Row],[Summary9]]</f>
        <v>45568.169999999925</v>
      </c>
      <c r="AM1731" s="91">
        <f>Tab1SDataShiftSummary[[#This Row],[Summary11]]-Tab1SDataShiftSummary[[#This Row],[Summary10]]</f>
        <v>0</v>
      </c>
      <c r="AN1731" s="91">
        <f>Tab1SDataShiftSummary[[#This Row],[Summary12]]-Tab1SDataShiftSummary[[#This Row],[Summary11]]</f>
        <v>0</v>
      </c>
      <c r="AO1731" s="91">
        <f>Tab1SDataShiftSummary[[#This Row],[Summary13]]-Tab1SDataShiftSummary[[#This Row],[Summary12]]</f>
        <v>279189.56845080014</v>
      </c>
      <c r="AP1731" s="91">
        <f>Tab1SDataShiftSummary[[#This Row],[Summary14]]-Tab1SDataShiftSummary[[#This Row],[Summary13]]</f>
        <v>0</v>
      </c>
      <c r="AQ1731" s="91">
        <f>Tab1SDataShiftSummary[[#This Row],[Summary15]]-Tab1SDataShiftSummary[[#This Row],[Summary14]]</f>
        <v>-66807.400795199908</v>
      </c>
      <c r="AR1731" s="91">
        <f>Tab1SDataShiftSummary[[#This Row],[Summary16]]-Tab1SDataShiftSummary[[#This Row],[Summary15]]</f>
        <v>0</v>
      </c>
      <c r="AS1731" s="91">
        <f>Tab1SDataShiftSummary[[#This Row],[Summary17]]-Tab1SDataShiftSummary[[#This Row],[Summary16]]</f>
        <v>-142762.21920000017</v>
      </c>
      <c r="AT1731" s="91">
        <f>Tab1SDataShiftSummary[[#This Row],[Summary18]]-Tab1SDataShiftSummary[[#This Row],[Summary17]]</f>
        <v>694.44086400000378</v>
      </c>
      <c r="AU1731" s="91">
        <f>Tab1SDataShiftSummary[[#This Row],[Summary19]]-Tab1SDataShiftSummary[[#This Row],[Summary18]]</f>
        <v>0</v>
      </c>
      <c r="AV1731" s="1403">
        <f ca="1">Tab1SDataShiftSummary[[#This Row],[Summary20]]-Tab1SDataShiftSummary[[#This Row],[Summary19]]</f>
        <v>0</v>
      </c>
      <c r="AY1731" s="841" t="s">
        <v>1829</v>
      </c>
    </row>
    <row r="1732" spans="1:52" ht="23" thickBot="1">
      <c r="A1732">
        <v>21</v>
      </c>
      <c r="B1732" s="315" t="s">
        <v>2472</v>
      </c>
      <c r="C1732"/>
      <c r="E1732"/>
      <c r="F1732" s="1378">
        <v>1.1135113915673838</v>
      </c>
      <c r="G1732" s="1378">
        <v>1.5653219027494674</v>
      </c>
      <c r="H1732" s="1378">
        <v>1.7070815116537559</v>
      </c>
      <c r="I1732" s="1378">
        <v>1.7829138099690545</v>
      </c>
      <c r="J1732" s="1378">
        <v>1.5893572017871318</v>
      </c>
      <c r="K1732" s="1378">
        <v>1.5821271704182969</v>
      </c>
      <c r="L1732" s="1378">
        <v>1.6516996900683667</v>
      </c>
      <c r="M1732" s="1378">
        <v>1.646649830517986</v>
      </c>
      <c r="N1732" s="1378">
        <v>1.798719088555258</v>
      </c>
      <c r="O1732" s="1378">
        <v>1.8497418640203405</v>
      </c>
      <c r="P1732" s="1378">
        <v>1.8670325233813467</v>
      </c>
      <c r="Q1732" s="1378">
        <v>1.8670325233813467</v>
      </c>
      <c r="R1732" s="1378">
        <v>1.9114247402587763</v>
      </c>
      <c r="S1732" s="1378">
        <v>2.264592930785339</v>
      </c>
      <c r="T1732" s="1378">
        <v>2.1837241625104213</v>
      </c>
      <c r="U1732" s="1378">
        <v>2.1702254863248314</v>
      </c>
      <c r="V1732" s="1378">
        <v>2.130021556850247</v>
      </c>
      <c r="W1732" s="1378">
        <v>1.9999592879172581</v>
      </c>
      <c r="X1732" s="1378">
        <v>1.9460797053807906</v>
      </c>
      <c r="Y1732" s="1378">
        <v>1.9708297543002589</v>
      </c>
      <c r="Z1732" s="1379">
        <f ca="1">_xlfn.LET(_xlpm.Result,(Z1722+Z1731),-_xlpm.Result/Z1714)</f>
        <v>1.9708297543002589</v>
      </c>
      <c r="AA1732" s="826"/>
      <c r="AB1732" s="1380">
        <f ca="1">Tab1SDataShiftSummary[[#This Row],[Summary0]]-Tab1SDataShiftSummary[[#This Row],[Summary20]]</f>
        <v>-0.85731836273287509</v>
      </c>
      <c r="AC1732" s="1380">
        <f>Tab1SDataShiftSummary[[#This Row],[Summary1]]-Tab1SDataShiftSummary[[#This Row],[Summary0]]</f>
        <v>0.4518105111820836</v>
      </c>
      <c r="AD1732" s="1380">
        <f>Tab1SDataShiftSummary[[#This Row],[Summary2]]-Tab1SDataShiftSummary[[#This Row],[Summary1]]</f>
        <v>0.14175960890428851</v>
      </c>
      <c r="AE1732" s="1380">
        <f>Tab1SDataShiftSummary[[#This Row],[Summary3]]-Tab1SDataShiftSummary[[#This Row],[Summary2]]</f>
        <v>7.5832298315298585E-2</v>
      </c>
      <c r="AF1732" s="1380">
        <f>Tab1SDataShiftSummary[[#This Row],[Summary4]]-Tab1SDataShiftSummary[[#This Row],[Summary3]]</f>
        <v>-0.19355660818192266</v>
      </c>
      <c r="AG1732" s="1380">
        <f>Tab1SDataShiftSummary[[#This Row],[Summary5]]-Tab1SDataShiftSummary[[#This Row],[Summary4]]</f>
        <v>-7.2300313688349327E-3</v>
      </c>
      <c r="AH1732" s="1380">
        <f>Tab1SDataShiftSummary[[#This Row],[Summary6]]-Tab1SDataShiftSummary[[#This Row],[Summary5]]</f>
        <v>6.9572519650069831E-2</v>
      </c>
      <c r="AI1732" s="1380">
        <f>Tab1SDataShiftSummary[[#This Row],[Summary7]]-Tab1SDataShiftSummary[[#This Row],[Summary6]]</f>
        <v>-5.0498595503807309E-3</v>
      </c>
      <c r="AJ1732" s="1380">
        <f>Tab1SDataShiftSummary[[#This Row],[Summary8]]-Tab1SDataShiftSummary[[#This Row],[Summary7]]</f>
        <v>0.152069258037272</v>
      </c>
      <c r="AK1732" s="1380">
        <f>Tab1SDataShiftSummary[[#This Row],[Summary9]]-Tab1SDataShiftSummary[[#This Row],[Summary8]]</f>
        <v>5.1022775465082493E-2</v>
      </c>
      <c r="AL1732" s="1380">
        <f>Tab1SDataShiftSummary[[#This Row],[Summary10]]-Tab1SDataShiftSummary[[#This Row],[Summary9]]</f>
        <v>1.7290659361006266E-2</v>
      </c>
      <c r="AM1732" s="1380">
        <f>Tab1SDataShiftSummary[[#This Row],[Summary11]]-Tab1SDataShiftSummary[[#This Row],[Summary10]]</f>
        <v>0</v>
      </c>
      <c r="AN1732" s="1380">
        <f>Tab1SDataShiftSummary[[#This Row],[Summary12]]-Tab1SDataShiftSummary[[#This Row],[Summary11]]</f>
        <v>4.4392216877429558E-2</v>
      </c>
      <c r="AO1732" s="1380">
        <f>Tab1SDataShiftSummary[[#This Row],[Summary13]]-Tab1SDataShiftSummary[[#This Row],[Summary12]]</f>
        <v>0.35316819052656268</v>
      </c>
      <c r="AP1732" s="1380">
        <f>Tab1SDataShiftSummary[[#This Row],[Summary14]]-Tab1SDataShiftSummary[[#This Row],[Summary13]]</f>
        <v>-8.0868768274917624E-2</v>
      </c>
      <c r="AQ1732" s="1380">
        <f>Tab1SDataShiftSummary[[#This Row],[Summary15]]-Tab1SDataShiftSummary[[#This Row],[Summary14]]</f>
        <v>-1.3498676185589975E-2</v>
      </c>
      <c r="AR1732" s="1380">
        <f>Tab1SDataShiftSummary[[#This Row],[Summary16]]-Tab1SDataShiftSummary[[#This Row],[Summary15]]</f>
        <v>-4.0203929474584399E-2</v>
      </c>
      <c r="AS1732" s="1380">
        <f>Tab1SDataShiftSummary[[#This Row],[Summary17]]-Tab1SDataShiftSummary[[#This Row],[Summary16]]</f>
        <v>-0.13006226893298889</v>
      </c>
      <c r="AT1732" s="1380">
        <f>Tab1SDataShiftSummary[[#This Row],[Summary18]]-Tab1SDataShiftSummary[[#This Row],[Summary17]]</f>
        <v>-5.3879582536467518E-2</v>
      </c>
      <c r="AU1732" s="1380">
        <f>Tab1SDataShiftSummary[[#This Row],[Summary19]]-Tab1SDataShiftSummary[[#This Row],[Summary18]]</f>
        <v>2.4750048919468304E-2</v>
      </c>
      <c r="AV1732" s="1405"/>
      <c r="AY1732" s="841"/>
    </row>
    <row r="1733" spans="1:52" ht="24" thickTop="1" thickBot="1">
      <c r="A1733" s="138" t="s">
        <v>2090</v>
      </c>
      <c r="B1733" s="717" t="s">
        <v>1821</v>
      </c>
      <c r="C1733" s="853">
        <f ca="1">Calc!BC104</f>
        <v>-7301619.5004637176</v>
      </c>
      <c r="D1733" s="1066" t="s">
        <v>2269</v>
      </c>
      <c r="E1733"/>
      <c r="F1733" s="719">
        <v>4959592.0500000007</v>
      </c>
      <c r="G1733" s="719">
        <v>5857156.366200001</v>
      </c>
      <c r="H1733" s="842">
        <v>5852179.2250000006</v>
      </c>
      <c r="I1733" s="842">
        <v>5416974.25</v>
      </c>
      <c r="J1733" s="842">
        <v>5330391.7297999999</v>
      </c>
      <c r="K1733" s="719">
        <v>5348775.6894000005</v>
      </c>
      <c r="L1733" s="719">
        <v>5185227.3097999999</v>
      </c>
      <c r="M1733" s="719">
        <v>5180589.4425999997</v>
      </c>
      <c r="N1733" s="719">
        <v>5578528.3602</v>
      </c>
      <c r="O1733" s="719">
        <v>5499501.7980000013</v>
      </c>
      <c r="P1733" s="719">
        <v>5490558.6734000007</v>
      </c>
      <c r="Q1733" s="719">
        <v>5466388.3914853996</v>
      </c>
      <c r="R1733" s="719">
        <v>5439671.2313132603</v>
      </c>
      <c r="S1733" s="719">
        <v>5517039.0745978588</v>
      </c>
      <c r="T1733" s="719">
        <v>5304553.6051780386</v>
      </c>
      <c r="U1733" s="719">
        <v>5337442.7118792497</v>
      </c>
      <c r="V1733" s="719">
        <v>5382523.0557254404</v>
      </c>
      <c r="W1733" s="719">
        <v>5236259.2134496979</v>
      </c>
      <c r="X1733" s="719">
        <v>5285037.0307898978</v>
      </c>
      <c r="Y1733" s="719">
        <v>5174099.2323716804</v>
      </c>
      <c r="Z1733" s="719">
        <f ca="1">Calc!BD104</f>
        <v>5174099.2323716804</v>
      </c>
      <c r="AB1733" s="91">
        <f ca="1">Tab1SDataShiftSummary[[#This Row],[Summary0]]-Tab1SDataShiftSummary[[#This Row],[Summary20]]</f>
        <v>-214507.18237167969</v>
      </c>
      <c r="AC1733" s="91">
        <f>Tab1SDataShiftSummary[[#This Row],[Summary1]]-Tab1SDataShiftSummary[[#This Row],[Summary0]]</f>
        <v>897564.31620000023</v>
      </c>
      <c r="AD1733" s="91">
        <f>Tab1SDataShiftSummary[[#This Row],[Summary2]]-Tab1SDataShiftSummary[[#This Row],[Summary1]]</f>
        <v>-4977.1412000004202</v>
      </c>
      <c r="AE1733" s="91">
        <f>Tab1SDataShiftSummary[[#This Row],[Summary3]]-Tab1SDataShiftSummary[[#This Row],[Summary2]]</f>
        <v>-435204.97500000056</v>
      </c>
      <c r="AF1733" s="91">
        <f>Tab1SDataShiftSummary[[#This Row],[Summary4]]-Tab1SDataShiftSummary[[#This Row],[Summary3]]</f>
        <v>-86582.520200000145</v>
      </c>
      <c r="AG1733" s="91">
        <f>Tab1SDataShiftSummary[[#This Row],[Summary5]]-Tab1SDataShiftSummary[[#This Row],[Summary4]]</f>
        <v>18383.959600000642</v>
      </c>
      <c r="AH1733" s="91">
        <f>Tab1SDataShiftSummary[[#This Row],[Summary6]]-Tab1SDataShiftSummary[[#This Row],[Summary5]]</f>
        <v>-163548.37960000057</v>
      </c>
      <c r="AI1733" s="91">
        <f>Tab1SDataShiftSummary[[#This Row],[Summary7]]-Tab1SDataShiftSummary[[#This Row],[Summary6]]</f>
        <v>-4637.8672000002116</v>
      </c>
      <c r="AJ1733" s="91">
        <f>Tab1SDataShiftSummary[[#This Row],[Summary8]]-Tab1SDataShiftSummary[[#This Row],[Summary7]]</f>
        <v>397938.91760000028</v>
      </c>
      <c r="AK1733" s="91">
        <f>Tab1SDataShiftSummary[[#This Row],[Summary9]]-Tab1SDataShiftSummary[[#This Row],[Summary8]]</f>
        <v>-79026.562199998647</v>
      </c>
      <c r="AL1733" s="91">
        <f>Tab1SDataShiftSummary[[#This Row],[Summary10]]-Tab1SDataShiftSummary[[#This Row],[Summary9]]</f>
        <v>-8943.1246000006795</v>
      </c>
      <c r="AM1733" s="91">
        <f>Tab1SDataShiftSummary[[#This Row],[Summary11]]-Tab1SDataShiftSummary[[#This Row],[Summary10]]</f>
        <v>-24170.281914601102</v>
      </c>
      <c r="AN1733" s="91">
        <f>Tab1SDataShiftSummary[[#This Row],[Summary12]]-Tab1SDataShiftSummary[[#This Row],[Summary11]]</f>
        <v>-26717.160172139294</v>
      </c>
      <c r="AO1733" s="91">
        <f>Tab1SDataShiftSummary[[#This Row],[Summary13]]-Tab1SDataShiftSummary[[#This Row],[Summary12]]</f>
        <v>77367.843284598552</v>
      </c>
      <c r="AP1733" s="91">
        <f>Tab1SDataShiftSummary[[#This Row],[Summary14]]-Tab1SDataShiftSummary[[#This Row],[Summary13]]</f>
        <v>-212485.46941982023</v>
      </c>
      <c r="AQ1733" s="91">
        <f>Tab1SDataShiftSummary[[#This Row],[Summary15]]-Tab1SDataShiftSummary[[#This Row],[Summary14]]</f>
        <v>32889.106701211073</v>
      </c>
      <c r="AR1733" s="91">
        <f>Tab1SDataShiftSummary[[#This Row],[Summary16]]-Tab1SDataShiftSummary[[#This Row],[Summary15]]</f>
        <v>45080.343846190721</v>
      </c>
      <c r="AS1733" s="91">
        <f>Tab1SDataShiftSummary[[#This Row],[Summary17]]-Tab1SDataShiftSummary[[#This Row],[Summary16]]</f>
        <v>-146263.84227574244</v>
      </c>
      <c r="AT1733" s="91">
        <f>Tab1SDataShiftSummary[[#This Row],[Summary18]]-Tab1SDataShiftSummary[[#This Row],[Summary17]]</f>
        <v>48777.817340199836</v>
      </c>
      <c r="AU1733" s="91">
        <f>Tab1SDataShiftSummary[[#This Row],[Summary19]]-Tab1SDataShiftSummary[[#This Row],[Summary18]]</f>
        <v>-110937.79841821734</v>
      </c>
      <c r="AV1733" s="1403">
        <f ca="1">Tab1SDataShiftSummary[[#This Row],[Summary20]]-Tab1SDataShiftSummary[[#This Row],[Summary19]]</f>
        <v>0</v>
      </c>
      <c r="AX1733" s="138" t="s">
        <v>2090</v>
      </c>
      <c r="AY1733" s="717" t="s">
        <v>1821</v>
      </c>
      <c r="AZ1733">
        <v>-7746320.7987637175</v>
      </c>
    </row>
    <row r="1734" spans="1:52">
      <c r="A1734">
        <v>2</v>
      </c>
      <c r="B1734" s="717" t="s">
        <v>1896</v>
      </c>
      <c r="C1734"/>
      <c r="D1734" s="680"/>
      <c r="E1734"/>
      <c r="F1734" s="719">
        <v>-10828095.104714459</v>
      </c>
      <c r="G1734" s="719">
        <v>-12994876.010560457</v>
      </c>
      <c r="H1734" s="842">
        <v>-12994876.010560457</v>
      </c>
      <c r="I1734" s="842">
        <v>-13016578.621018456</v>
      </c>
      <c r="J1734" s="842">
        <v>-12919536.766498456</v>
      </c>
      <c r="K1734" s="719">
        <v>-12919536.766498456</v>
      </c>
      <c r="L1734" s="719">
        <v>-12692507.818300456</v>
      </c>
      <c r="M1734" s="719">
        <v>-12692507.818300456</v>
      </c>
      <c r="N1734" s="719">
        <v>-13068287.342878653</v>
      </c>
      <c r="O1734" s="719">
        <v>-13068287.342878653</v>
      </c>
      <c r="P1734" s="719">
        <v>-13068287.342878653</v>
      </c>
      <c r="Q1734" s="719">
        <v>-13068287.342878653</v>
      </c>
      <c r="R1734" s="719">
        <v>-13068287.342878653</v>
      </c>
      <c r="S1734" s="719">
        <v>-13068287.342878653</v>
      </c>
      <c r="T1734" s="719">
        <v>-12994370.621702652</v>
      </c>
      <c r="U1734" s="719">
        <v>-12994370.621702652</v>
      </c>
      <c r="V1734" s="719">
        <v>-13028488.097102653</v>
      </c>
      <c r="W1734" s="719">
        <v>-13067027.148888914</v>
      </c>
      <c r="X1734" s="719">
        <v>-13067027.148888914</v>
      </c>
      <c r="Y1734" s="719">
        <v>-13067027.148888914</v>
      </c>
      <c r="Z1734" s="719">
        <f ca="1">Calc!BE104</f>
        <v>-13067027.148888914</v>
      </c>
      <c r="AB1734" s="91">
        <f ca="1">Tab1SDataShiftSummary[[#This Row],[Summary0]]-Tab1SDataShiftSummary[[#This Row],[Summary20]]</f>
        <v>2238932.0441744551</v>
      </c>
      <c r="AC1734" s="91">
        <f>Tab1SDataShiftSummary[[#This Row],[Summary1]]-Tab1SDataShiftSummary[[#This Row],[Summary0]]</f>
        <v>-2166780.9058459979</v>
      </c>
      <c r="AD1734" s="91">
        <f>Tab1SDataShiftSummary[[#This Row],[Summary2]]-Tab1SDataShiftSummary[[#This Row],[Summary1]]</f>
        <v>0</v>
      </c>
      <c r="AE1734" s="91">
        <f>Tab1SDataShiftSummary[[#This Row],[Summary3]]-Tab1SDataShiftSummary[[#This Row],[Summary2]]</f>
        <v>-21702.610457999632</v>
      </c>
      <c r="AF1734" s="91">
        <f>Tab1SDataShiftSummary[[#This Row],[Summary4]]-Tab1SDataShiftSummary[[#This Row],[Summary3]]</f>
        <v>97041.854520000517</v>
      </c>
      <c r="AG1734" s="91">
        <f>Tab1SDataShiftSummary[[#This Row],[Summary5]]-Tab1SDataShiftSummary[[#This Row],[Summary4]]</f>
        <v>0</v>
      </c>
      <c r="AH1734" s="91">
        <f>Tab1SDataShiftSummary[[#This Row],[Summary6]]-Tab1SDataShiftSummary[[#This Row],[Summary5]]</f>
        <v>227028.94819799997</v>
      </c>
      <c r="AI1734" s="91">
        <f>Tab1SDataShiftSummary[[#This Row],[Summary7]]-Tab1SDataShiftSummary[[#This Row],[Summary6]]</f>
        <v>0</v>
      </c>
      <c r="AJ1734" s="91">
        <f>Tab1SDataShiftSummary[[#This Row],[Summary8]]-Tab1SDataShiftSummary[[#This Row],[Summary7]]</f>
        <v>-375779.52457819693</v>
      </c>
      <c r="AK1734" s="91">
        <f>Tab1SDataShiftSummary[[#This Row],[Summary9]]-Tab1SDataShiftSummary[[#This Row],[Summary8]]</f>
        <v>0</v>
      </c>
      <c r="AL1734" s="91">
        <f>Tab1SDataShiftSummary[[#This Row],[Summary10]]-Tab1SDataShiftSummary[[#This Row],[Summary9]]</f>
        <v>0</v>
      </c>
      <c r="AM1734" s="91">
        <f>Tab1SDataShiftSummary[[#This Row],[Summary11]]-Tab1SDataShiftSummary[[#This Row],[Summary10]]</f>
        <v>0</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73916.721176000312</v>
      </c>
      <c r="AQ1734" s="91">
        <f>Tab1SDataShiftSummary[[#This Row],[Summary15]]-Tab1SDataShiftSummary[[#This Row],[Summary14]]</f>
        <v>0</v>
      </c>
      <c r="AR1734" s="91">
        <f>Tab1SDataShiftSummary[[#This Row],[Summary16]]-Tab1SDataShiftSummary[[#This Row],[Summary15]]</f>
        <v>-34117.475400000811</v>
      </c>
      <c r="AS1734" s="91">
        <f>Tab1SDataShiftSummary[[#This Row],[Summary17]]-Tab1SDataShiftSummary[[#This Row],[Summary16]]</f>
        <v>-38539.051786260679</v>
      </c>
      <c r="AT1734" s="91">
        <f>Tab1SDataShiftSummary[[#This Row],[Summary18]]-Tab1SDataShiftSummary[[#This Row],[Summary17]]</f>
        <v>0</v>
      </c>
      <c r="AU1734" s="91">
        <f>Tab1SDataShiftSummary[[#This Row],[Summary19]]-Tab1SDataShiftSummary[[#This Row],[Summary18]]</f>
        <v>0</v>
      </c>
      <c r="AV1734" s="1403">
        <f ca="1">Tab1SDataShiftSummary[[#This Row],[Summary20]]-Tab1SDataShiftSummary[[#This Row],[Summary19]]</f>
        <v>0</v>
      </c>
      <c r="AY1734" s="717" t="s">
        <v>1896</v>
      </c>
    </row>
    <row r="1735" spans="1:52">
      <c r="A1735">
        <v>3</v>
      </c>
      <c r="B1735" s="717" t="s">
        <v>2282</v>
      </c>
      <c r="C1735" s="193"/>
      <c r="D1735" s="1067"/>
      <c r="E1735"/>
      <c r="F1735" s="719">
        <v>-3346225.9203153141</v>
      </c>
      <c r="G1735" s="719">
        <v>-3931156.0053853146</v>
      </c>
      <c r="H1735" s="719">
        <v>-3931156.0053853146</v>
      </c>
      <c r="I1735" s="719">
        <v>-3940355.0853853147</v>
      </c>
      <c r="J1735" s="719">
        <v>-3940355.0853853147</v>
      </c>
      <c r="K1735" s="719">
        <v>-3964533.7791513936</v>
      </c>
      <c r="L1735" s="719">
        <v>-3964533.7791513936</v>
      </c>
      <c r="M1735" s="719">
        <v>-3964533.7791513936</v>
      </c>
      <c r="N1735" s="719">
        <v>-4132588.1462112912</v>
      </c>
      <c r="O1735" s="719">
        <v>-4132588.1462112912</v>
      </c>
      <c r="P1735" s="719">
        <v>-4132588.1462112912</v>
      </c>
      <c r="Q1735" s="719">
        <v>-4132588.1462112912</v>
      </c>
      <c r="R1735" s="719">
        <v>-4132588.1462112912</v>
      </c>
      <c r="S1735" s="719">
        <v>-4132588.1462112912</v>
      </c>
      <c r="T1735" s="719">
        <v>-4132588.1462112912</v>
      </c>
      <c r="U1735" s="719">
        <v>-4132588.1462112912</v>
      </c>
      <c r="V1735" s="719">
        <v>-4132588.1462112912</v>
      </c>
      <c r="W1735" s="719">
        <v>-4171127.1969949515</v>
      </c>
      <c r="X1735" s="719">
        <v>-4171127.1969949515</v>
      </c>
      <c r="Y1735" s="719">
        <v>-4171127.1979975509</v>
      </c>
      <c r="Z1735" s="719">
        <f ca="1">Calc!BF104</f>
        <v>-4171127.1979975509</v>
      </c>
      <c r="AB1735" s="91">
        <f ca="1">Tab1SDataShiftSummary[[#This Row],[Summary0]]-Tab1SDataShiftSummary[[#This Row],[Summary20]]</f>
        <v>824901.27768223686</v>
      </c>
      <c r="AC1735" s="91">
        <f>Tab1SDataShiftSummary[[#This Row],[Summary1]]-Tab1SDataShiftSummary[[#This Row],[Summary0]]</f>
        <v>-584930.0850700005</v>
      </c>
      <c r="AD1735" s="91">
        <f>Tab1SDataShiftSummary[[#This Row],[Summary2]]-Tab1SDataShiftSummary[[#This Row],[Summary1]]</f>
        <v>0</v>
      </c>
      <c r="AE1735" s="91">
        <f>Tab1SDataShiftSummary[[#This Row],[Summary3]]-Tab1SDataShiftSummary[[#This Row],[Summary2]]</f>
        <v>-9199.0800000000745</v>
      </c>
      <c r="AF1735" s="91">
        <f>Tab1SDataShiftSummary[[#This Row],[Summary4]]-Tab1SDataShiftSummary[[#This Row],[Summary3]]</f>
        <v>0</v>
      </c>
      <c r="AG1735" s="91">
        <f>Tab1SDataShiftSummary[[#This Row],[Summary5]]-Tab1SDataShiftSummary[[#This Row],[Summary4]]</f>
        <v>-24178.693766078912</v>
      </c>
      <c r="AH1735" s="91">
        <f>Tab1SDataShiftSummary[[#This Row],[Summary6]]-Tab1SDataShiftSummary[[#This Row],[Summary5]]</f>
        <v>0</v>
      </c>
      <c r="AI1735" s="91">
        <f>Tab1SDataShiftSummary[[#This Row],[Summary7]]-Tab1SDataShiftSummary[[#This Row],[Summary6]]</f>
        <v>0</v>
      </c>
      <c r="AJ1735" s="91">
        <f>Tab1SDataShiftSummary[[#This Row],[Summary8]]-Tab1SDataShiftSummary[[#This Row],[Summary7]]</f>
        <v>-168054.36705989763</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-38539.050783660263</v>
      </c>
      <c r="AT1735" s="91">
        <f>Tab1SDataShiftSummary[[#This Row],[Summary18]]-Tab1SDataShiftSummary[[#This Row],[Summary17]]</f>
        <v>0</v>
      </c>
      <c r="AU1735" s="91">
        <f>Tab1SDataShiftSummary[[#This Row],[Summary19]]-Tab1SDataShiftSummary[[#This Row],[Summary18]]</f>
        <v>-1.0025994852185249E-3</v>
      </c>
      <c r="AV1735" s="1403">
        <f ca="1">Tab1SDataShiftSummary[[#This Row],[Summary20]]-Tab1SDataShiftSummary[[#This Row],[Summary19]]</f>
        <v>0</v>
      </c>
      <c r="AY1735" s="717" t="s">
        <v>2282</v>
      </c>
    </row>
    <row r="1736" spans="1:52">
      <c r="A1736">
        <v>4</v>
      </c>
      <c r="B1736" s="717" t="s">
        <v>2116</v>
      </c>
      <c r="C1736"/>
      <c r="D1736" s="680"/>
      <c r="E1736"/>
      <c r="F1736" s="719">
        <v>-2098207.5149637163</v>
      </c>
      <c r="G1736" s="719">
        <v>-1635900.758763717</v>
      </c>
      <c r="H1736" s="719">
        <v>-1640877.899963717</v>
      </c>
      <c r="I1736" s="719">
        <v>-2076082.8749637168</v>
      </c>
      <c r="J1736" s="719">
        <v>-2162665.3951637167</v>
      </c>
      <c r="K1736" s="719">
        <v>-2144281.435563717</v>
      </c>
      <c r="L1736" s="719">
        <v>-2253853.8151637167</v>
      </c>
      <c r="M1736" s="719">
        <v>-2258491.6823637174</v>
      </c>
      <c r="N1736" s="719">
        <v>-2018775.6502637172</v>
      </c>
      <c r="O1736" s="719">
        <v>-2097802.212463717</v>
      </c>
      <c r="P1736" s="719">
        <v>-2106745.3370637172</v>
      </c>
      <c r="Q1736" s="719">
        <v>-2130915.6189783174</v>
      </c>
      <c r="R1736" s="719">
        <v>-2157632.7791504571</v>
      </c>
      <c r="S1736" s="719">
        <v>-2080264.9358658569</v>
      </c>
      <c r="T1736" s="719">
        <v>-1997065.8952856762</v>
      </c>
      <c r="U1736" s="719">
        <v>-1964176.788584467</v>
      </c>
      <c r="V1736" s="719">
        <v>-1919096.4447382768</v>
      </c>
      <c r="W1736" s="719">
        <v>-2065360.2870140169</v>
      </c>
      <c r="X1736" s="719">
        <v>-2016582.4696738168</v>
      </c>
      <c r="Y1736" s="719">
        <v>-2127520.2680920367</v>
      </c>
      <c r="Z1736" s="719">
        <f ca="1">Calc!BG104</f>
        <v>-2127520.2680920367</v>
      </c>
      <c r="AB1736" s="91">
        <f ca="1">Tab1SDataShiftSummary[[#This Row],[Summary0]]-Tab1SDataShiftSummary[[#This Row],[Summary20]]</f>
        <v>29312.753128320444</v>
      </c>
      <c r="AC1736" s="91">
        <f>Tab1SDataShiftSummary[[#This Row],[Summary1]]-Tab1SDataShiftSummary[[#This Row],[Summary0]]</f>
        <v>462306.75619999925</v>
      </c>
      <c r="AD1736" s="91">
        <f>Tab1SDataShiftSummary[[#This Row],[Summary2]]-Tab1SDataShiftSummary[[#This Row],[Summary1]]</f>
        <v>-4977.1411999999546</v>
      </c>
      <c r="AE1736" s="91">
        <f>Tab1SDataShiftSummary[[#This Row],[Summary3]]-Tab1SDataShiftSummary[[#This Row],[Summary2]]</f>
        <v>-435204.97499999986</v>
      </c>
      <c r="AF1736" s="91">
        <f>Tab1SDataShiftSummary[[#This Row],[Summary4]]-Tab1SDataShiftSummary[[#This Row],[Summary3]]</f>
        <v>-86582.520199999912</v>
      </c>
      <c r="AG1736" s="91">
        <f>Tab1SDataShiftSummary[[#This Row],[Summary5]]-Tab1SDataShiftSummary[[#This Row],[Summary4]]</f>
        <v>18383.959599999711</v>
      </c>
      <c r="AH1736" s="91">
        <f>Tab1SDataShiftSummary[[#This Row],[Summary6]]-Tab1SDataShiftSummary[[#This Row],[Summary5]]</f>
        <v>-109572.37959999964</v>
      </c>
      <c r="AI1736" s="91">
        <f>Tab1SDataShiftSummary[[#This Row],[Summary7]]-Tab1SDataShiftSummary[[#This Row],[Summary6]]</f>
        <v>-4637.8672000006773</v>
      </c>
      <c r="AJ1736" s="91">
        <f>Tab1SDataShiftSummary[[#This Row],[Summary8]]-Tab1SDataShiftSummary[[#This Row],[Summary7]]</f>
        <v>239716.03210000019</v>
      </c>
      <c r="AK1736" s="91">
        <f>Tab1SDataShiftSummary[[#This Row],[Summary9]]-Tab1SDataShiftSummary[[#This Row],[Summary8]]</f>
        <v>-79026.562199999811</v>
      </c>
      <c r="AL1736" s="91">
        <f>Tab1SDataShiftSummary[[#This Row],[Summary10]]-Tab1SDataShiftSummary[[#This Row],[Summary9]]</f>
        <v>-8943.1246000002138</v>
      </c>
      <c r="AM1736" s="91">
        <f>Tab1SDataShiftSummary[[#This Row],[Summary11]]-Tab1SDataShiftSummary[[#This Row],[Summary10]]</f>
        <v>-24170.281914600171</v>
      </c>
      <c r="AN1736" s="91">
        <f>Tab1SDataShiftSummary[[#This Row],[Summary12]]-Tab1SDataShiftSummary[[#This Row],[Summary11]]</f>
        <v>-26717.16017213976</v>
      </c>
      <c r="AO1736" s="91">
        <f>Tab1SDataShiftSummary[[#This Row],[Summary13]]-Tab1SDataShiftSummary[[#This Row],[Summary12]]</f>
        <v>77367.843284600182</v>
      </c>
      <c r="AP1736" s="91">
        <f>Tab1SDataShiftSummary[[#This Row],[Summary14]]-Tab1SDataShiftSummary[[#This Row],[Summary13]]</f>
        <v>83199.040580180706</v>
      </c>
      <c r="AQ1736" s="91">
        <f>Tab1SDataShiftSummary[[#This Row],[Summary15]]-Tab1SDataShiftSummary[[#This Row],[Summary14]]</f>
        <v>32889.10670120921</v>
      </c>
      <c r="AR1736" s="91">
        <f>Tab1SDataShiftSummary[[#This Row],[Summary16]]-Tab1SDataShiftSummary[[#This Row],[Summary15]]</f>
        <v>45080.343846190255</v>
      </c>
      <c r="AS1736" s="91">
        <f>Tab1SDataShiftSummary[[#This Row],[Summary17]]-Tab1SDataShiftSummary[[#This Row],[Summary16]]</f>
        <v>-146263.84227574011</v>
      </c>
      <c r="AT1736" s="91">
        <f>Tab1SDataShiftSummary[[#This Row],[Summary18]]-Tab1SDataShiftSummary[[#This Row],[Summary17]]</f>
        <v>48777.817340200068</v>
      </c>
      <c r="AU1736" s="91">
        <f>Tab1SDataShiftSummary[[#This Row],[Summary19]]-Tab1SDataShiftSummary[[#This Row],[Summary18]]</f>
        <v>-110937.7984182199</v>
      </c>
      <c r="AV1736" s="1403">
        <f ca="1">Tab1SDataShiftSummary[[#This Row],[Summary20]]-Tab1SDataShiftSummary[[#This Row],[Summary19]]</f>
        <v>0</v>
      </c>
      <c r="AY1736" s="717" t="s">
        <v>2116</v>
      </c>
      <c r="AZ1736" t="s">
        <v>2113</v>
      </c>
    </row>
    <row r="1737" spans="1:52">
      <c r="A1737">
        <v>5</v>
      </c>
      <c r="B1737" s="717" t="s">
        <v>1898</v>
      </c>
      <c r="C1737"/>
      <c r="D1737" s="680"/>
      <c r="E1737"/>
      <c r="F1737" s="719">
        <v>-17885894.66967817</v>
      </c>
      <c r="G1737" s="719">
        <v>-20487933.135524176</v>
      </c>
      <c r="H1737" s="719">
        <v>-20487933.135524176</v>
      </c>
      <c r="I1737" s="719">
        <v>-20509635.74598217</v>
      </c>
      <c r="J1737" s="719">
        <v>-20412593.891462173</v>
      </c>
      <c r="K1737" s="719">
        <v>-20412593.891462173</v>
      </c>
      <c r="L1737" s="719">
        <v>-20131588.943264171</v>
      </c>
      <c r="M1737" s="719">
        <v>-20131588.943264171</v>
      </c>
      <c r="N1737" s="719">
        <v>-20665591.353342373</v>
      </c>
      <c r="O1737" s="719">
        <v>-20665591.353342373</v>
      </c>
      <c r="P1737" s="719">
        <v>-20665591.353342373</v>
      </c>
      <c r="Q1737" s="719">
        <v>-20665591.353342373</v>
      </c>
      <c r="R1737" s="719">
        <v>-20665591.353342373</v>
      </c>
      <c r="S1737" s="719">
        <v>-20665591.353342373</v>
      </c>
      <c r="T1737" s="719">
        <v>-20295990.122166373</v>
      </c>
      <c r="U1737" s="719">
        <v>-20295990.122166373</v>
      </c>
      <c r="V1737" s="719">
        <v>-20330107.59756637</v>
      </c>
      <c r="W1737" s="719">
        <v>-20368646.649352629</v>
      </c>
      <c r="X1737" s="719">
        <v>-20368646.649352629</v>
      </c>
      <c r="Y1737" s="719">
        <v>-20368646.649352629</v>
      </c>
      <c r="Z1737" s="719">
        <f ca="1">Calc!BH104</f>
        <v>-20368646.649352629</v>
      </c>
      <c r="AB1737" s="91">
        <f ca="1">Tab1SDataShiftSummary[[#This Row],[Summary0]]-Tab1SDataShiftSummary[[#This Row],[Summary20]]</f>
        <v>2482751.9796744585</v>
      </c>
      <c r="AC1737" s="91">
        <f>Tab1SDataShiftSummary[[#This Row],[Summary1]]-Tab1SDataShiftSummary[[#This Row],[Summary0]]</f>
        <v>-2602038.4658460058</v>
      </c>
      <c r="AD1737" s="91">
        <f>Tab1SDataShiftSummary[[#This Row],[Summary2]]-Tab1SDataShiftSummary[[#This Row],[Summary1]]</f>
        <v>0</v>
      </c>
      <c r="AE1737" s="91">
        <f>Tab1SDataShiftSummary[[#This Row],[Summary3]]-Tab1SDataShiftSummary[[#This Row],[Summary2]]</f>
        <v>-21702.610457994044</v>
      </c>
      <c r="AF1737" s="91">
        <f>Tab1SDataShiftSummary[[#This Row],[Summary4]]-Tab1SDataShiftSummary[[#This Row],[Summary3]]</f>
        <v>97041.854519996792</v>
      </c>
      <c r="AG1737" s="91">
        <f>Tab1SDataShiftSummary[[#This Row],[Summary5]]-Tab1SDataShiftSummary[[#This Row],[Summary4]]</f>
        <v>0</v>
      </c>
      <c r="AH1737" s="91">
        <f>Tab1SDataShiftSummary[[#This Row],[Summary6]]-Tab1SDataShiftSummary[[#This Row],[Summary5]]</f>
        <v>281004.94819800183</v>
      </c>
      <c r="AI1737" s="91">
        <f>Tab1SDataShiftSummary[[#This Row],[Summary7]]-Tab1SDataShiftSummary[[#This Row],[Summary6]]</f>
        <v>0</v>
      </c>
      <c r="AJ1737" s="91">
        <f>Tab1SDataShiftSummary[[#This Row],[Summary8]]-Tab1SDataShiftSummary[[#This Row],[Summary7]]</f>
        <v>-534002.41007820144</v>
      </c>
      <c r="AK1737" s="91">
        <f>Tab1SDataShiftSummary[[#This Row],[Summary9]]-Tab1SDataShiftSummary[[#This Row],[Summary8]]</f>
        <v>0</v>
      </c>
      <c r="AL1737" s="91">
        <f>Tab1SDataShiftSummary[[#This Row],[Summary10]]-Tab1SDataShiftSummary[[#This Row],[Summary9]]</f>
        <v>0</v>
      </c>
      <c r="AM1737" s="91">
        <f>Tab1SDataShiftSummary[[#This Row],[Summary11]]-Tab1SDataShiftSummary[[#This Row],[Summary10]]</f>
        <v>0</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369601.23117600009</v>
      </c>
      <c r="AQ1737" s="91">
        <f>Tab1SDataShiftSummary[[#This Row],[Summary15]]-Tab1SDataShiftSummary[[#This Row],[Summary14]]</f>
        <v>0</v>
      </c>
      <c r="AR1737" s="91">
        <f>Tab1SDataShiftSummary[[#This Row],[Summary16]]-Tab1SDataShiftSummary[[#This Row],[Summary15]]</f>
        <v>-34117.475399997085</v>
      </c>
      <c r="AS1737" s="91">
        <f>Tab1SDataShiftSummary[[#This Row],[Summary17]]-Tab1SDataShiftSummary[[#This Row],[Summary16]]</f>
        <v>-38539.051786258817</v>
      </c>
      <c r="AT1737" s="91">
        <f>Tab1SDataShiftSummary[[#This Row],[Summary18]]-Tab1SDataShiftSummary[[#This Row],[Summary17]]</f>
        <v>0</v>
      </c>
      <c r="AU1737" s="91">
        <f>Tab1SDataShiftSummary[[#This Row],[Summary19]]-Tab1SDataShiftSummary[[#This Row],[Summary18]]</f>
        <v>0</v>
      </c>
      <c r="AV1737" s="1403">
        <f ca="1">Tab1SDataShiftSummary[[#This Row],[Summary20]]-Tab1SDataShiftSummary[[#This Row],[Summary19]]</f>
        <v>0</v>
      </c>
      <c r="AY1737" s="717" t="s">
        <v>1898</v>
      </c>
    </row>
    <row r="1738" spans="1:52">
      <c r="A1738">
        <v>6</v>
      </c>
      <c r="B1738" s="718" t="s">
        <v>2275</v>
      </c>
      <c r="C1738"/>
      <c r="E1738"/>
      <c r="F1738" s="719">
        <v>-9874504.9808377158</v>
      </c>
      <c r="G1738" s="719">
        <v>-10854653.515837716</v>
      </c>
      <c r="H1738" s="719">
        <v>-10854653.515837716</v>
      </c>
      <c r="I1738" s="719">
        <v>-10876299.845837716</v>
      </c>
      <c r="J1738" s="719">
        <v>-10825444.645837715</v>
      </c>
      <c r="K1738" s="719">
        <v>-10853590.801916895</v>
      </c>
      <c r="L1738" s="719">
        <v>-10805515.071166094</v>
      </c>
      <c r="M1738" s="719">
        <v>-10805515.071166094</v>
      </c>
      <c r="N1738" s="719">
        <v>-11132203.703228291</v>
      </c>
      <c r="O1738" s="719">
        <v>-11132203.703228291</v>
      </c>
      <c r="P1738" s="719">
        <v>-11132203.703228291</v>
      </c>
      <c r="Q1738" s="719">
        <v>-11132203.703228291</v>
      </c>
      <c r="R1738" s="719">
        <v>-11132203.703228291</v>
      </c>
      <c r="S1738" s="719">
        <v>-11132203.703228291</v>
      </c>
      <c r="T1738" s="719">
        <v>-10863777.845852291</v>
      </c>
      <c r="U1738" s="719">
        <v>-10863777.845852291</v>
      </c>
      <c r="V1738" s="719">
        <v>-10897895.32125229</v>
      </c>
      <c r="W1738" s="719">
        <v>-10936434.372035949</v>
      </c>
      <c r="X1738" s="719">
        <v>-10936434.372035949</v>
      </c>
      <c r="Y1738" s="719">
        <v>-10936434.373038549</v>
      </c>
      <c r="Z1738" s="719">
        <f ca="1">Calc!BI104</f>
        <v>-10936434.373038549</v>
      </c>
      <c r="AB1738" s="91">
        <f ca="1">Tab1SDataShiftSummary[[#This Row],[Summary0]]-Tab1SDataShiftSummary[[#This Row],[Summary20]]</f>
        <v>1061929.3922008332</v>
      </c>
      <c r="AC1738" s="91">
        <f>Tab1SDataShiftSummary[[#This Row],[Summary1]]-Tab1SDataShiftSummary[[#This Row],[Summary0]]</f>
        <v>-980148.53500000015</v>
      </c>
      <c r="AD1738" s="91">
        <f>Tab1SDataShiftSummary[[#This Row],[Summary2]]-Tab1SDataShiftSummary[[#This Row],[Summary1]]</f>
        <v>0</v>
      </c>
      <c r="AE1738" s="91">
        <f>Tab1SDataShiftSummary[[#This Row],[Summary3]]-Tab1SDataShiftSummary[[#This Row],[Summary2]]</f>
        <v>-21646.330000000075</v>
      </c>
      <c r="AF1738" s="91">
        <f>Tab1SDataShiftSummary[[#This Row],[Summary4]]-Tab1SDataShiftSummary[[#This Row],[Summary3]]</f>
        <v>50855.200000001118</v>
      </c>
      <c r="AG1738" s="91">
        <f>Tab1SDataShiftSummary[[#This Row],[Summary5]]-Tab1SDataShiftSummary[[#This Row],[Summary4]]</f>
        <v>-28146.156079180539</v>
      </c>
      <c r="AH1738" s="91">
        <f>Tab1SDataShiftSummary[[#This Row],[Summary6]]-Tab1SDataShiftSummary[[#This Row],[Summary5]]</f>
        <v>48075.730750801042</v>
      </c>
      <c r="AI1738" s="91">
        <f>Tab1SDataShiftSummary[[#This Row],[Summary7]]-Tab1SDataShiftSummary[[#This Row],[Summary6]]</f>
        <v>0</v>
      </c>
      <c r="AJ1738" s="91">
        <f>Tab1SDataShiftSummary[[#This Row],[Summary8]]-Tab1SDataShiftSummary[[#This Row],[Summary7]]</f>
        <v>-326688.63206219673</v>
      </c>
      <c r="AK1738" s="91">
        <f>Tab1SDataShiftSummary[[#This Row],[Summary9]]-Tab1SDataShiftSummary[[#This Row],[Summary8]]</f>
        <v>0</v>
      </c>
      <c r="AL1738" s="91">
        <f>Tab1SDataShiftSummary[[#This Row],[Summary10]]-Tab1SDataShiftSummary[[#This Row],[Summary9]]</f>
        <v>0</v>
      </c>
      <c r="AM1738" s="91">
        <f>Tab1SDataShiftSummary[[#This Row],[Summary11]]-Tab1SDataShiftSummary[[#This Row],[Summary10]]</f>
        <v>0</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268425.85737599991</v>
      </c>
      <c r="AQ1738" s="91">
        <f>Tab1SDataShiftSummary[[#This Row],[Summary15]]-Tab1SDataShiftSummary[[#This Row],[Summary14]]</f>
        <v>0</v>
      </c>
      <c r="AR1738" s="91">
        <f>Tab1SDataShiftSummary[[#This Row],[Summary16]]-Tab1SDataShiftSummary[[#This Row],[Summary15]]</f>
        <v>-34117.475399998948</v>
      </c>
      <c r="AS1738" s="91">
        <f>Tab1SDataShiftSummary[[#This Row],[Summary17]]-Tab1SDataShiftSummary[[#This Row],[Summary16]]</f>
        <v>-38539.0507836584</v>
      </c>
      <c r="AT1738" s="91">
        <f>Tab1SDataShiftSummary[[#This Row],[Summary18]]-Tab1SDataShiftSummary[[#This Row],[Summary17]]</f>
        <v>0</v>
      </c>
      <c r="AU1738" s="91">
        <f>Tab1SDataShiftSummary[[#This Row],[Summary19]]-Tab1SDataShiftSummary[[#This Row],[Summary18]]</f>
        <v>-1.0026004165410995E-3</v>
      </c>
      <c r="AV1738" s="1403">
        <f ca="1">Tab1SDataShiftSummary[[#This Row],[Summary20]]-Tab1SDataShiftSummary[[#This Row],[Summary19]]</f>
        <v>0</v>
      </c>
      <c r="AY1738" s="718" t="s">
        <v>2275</v>
      </c>
    </row>
    <row r="1739" spans="1:52">
      <c r="A1739">
        <v>7</v>
      </c>
      <c r="B1739" s="717" t="s">
        <v>1897</v>
      </c>
      <c r="C1739"/>
      <c r="E1739"/>
      <c r="F1739" s="719">
        <v>7944297.9397097183</v>
      </c>
      <c r="G1739" s="719">
        <v>9555240.7450547181</v>
      </c>
      <c r="H1739" s="719">
        <v>9555240.7450547181</v>
      </c>
      <c r="I1739" s="719">
        <v>9555240.7450547181</v>
      </c>
      <c r="J1739" s="719">
        <v>9509425.176054718</v>
      </c>
      <c r="K1739" s="719">
        <v>9509425.176054718</v>
      </c>
      <c r="L1739" s="719">
        <v>9277704.0495019183</v>
      </c>
      <c r="M1739" s="719">
        <v>9277704.0495019183</v>
      </c>
      <c r="N1739" s="719">
        <v>9483942.5914859194</v>
      </c>
      <c r="O1739" s="719">
        <v>9483942.5914859194</v>
      </c>
      <c r="P1739" s="719">
        <v>9483942.5914859194</v>
      </c>
      <c r="Q1739" s="719">
        <v>9483942.5914859194</v>
      </c>
      <c r="R1739" s="719">
        <v>9483942.5914859194</v>
      </c>
      <c r="S1739" s="719">
        <v>9483942.5914859194</v>
      </c>
      <c r="T1739" s="719">
        <v>9383291.9652859196</v>
      </c>
      <c r="U1739" s="719">
        <v>9383291.9652859196</v>
      </c>
      <c r="V1739" s="719">
        <v>9383291.9652859196</v>
      </c>
      <c r="W1739" s="719">
        <v>9383291.9662833195</v>
      </c>
      <c r="X1739" s="719">
        <v>9383291.9662833195</v>
      </c>
      <c r="Y1739" s="719">
        <v>9383291.9652859196</v>
      </c>
      <c r="Z1739" s="719">
        <f ca="1">Calc!BJ104</f>
        <v>9383291.9652859196</v>
      </c>
      <c r="AB1739" s="91">
        <f ca="1">Tab1SDataShiftSummary[[#This Row],[Summary0]]-Tab1SDataShiftSummary[[#This Row],[Summary20]]</f>
        <v>-1438994.0255762013</v>
      </c>
      <c r="AC1739" s="91">
        <f>Tab1SDataShiftSummary[[#This Row],[Summary1]]-Tab1SDataShiftSummary[[#This Row],[Summary0]]</f>
        <v>1610942.8053449998</v>
      </c>
      <c r="AD1739" s="91">
        <f>Tab1SDataShiftSummary[[#This Row],[Summary2]]-Tab1SDataShiftSummary[[#This Row],[Summary1]]</f>
        <v>0</v>
      </c>
      <c r="AE1739" s="91">
        <f>Tab1SDataShiftSummary[[#This Row],[Summary3]]-Tab1SDataShiftSummary[[#This Row],[Summary2]]</f>
        <v>0</v>
      </c>
      <c r="AF1739" s="91">
        <f>Tab1SDataShiftSummary[[#This Row],[Summary4]]-Tab1SDataShiftSummary[[#This Row],[Summary3]]</f>
        <v>-45815.569000000134</v>
      </c>
      <c r="AG1739" s="91">
        <f>Tab1SDataShiftSummary[[#This Row],[Summary5]]-Tab1SDataShiftSummary[[#This Row],[Summary4]]</f>
        <v>0</v>
      </c>
      <c r="AH1739" s="91">
        <f>Tab1SDataShiftSummary[[#This Row],[Summary6]]-Tab1SDataShiftSummary[[#This Row],[Summary5]]</f>
        <v>-231721.12655279972</v>
      </c>
      <c r="AI1739" s="91">
        <f>Tab1SDataShiftSummary[[#This Row],[Summary7]]-Tab1SDataShiftSummary[[#This Row],[Summary6]]</f>
        <v>0</v>
      </c>
      <c r="AJ1739" s="91">
        <f>Tab1SDataShiftSummary[[#This Row],[Summary8]]-Tab1SDataShiftSummary[[#This Row],[Summary7]]</f>
        <v>206238.54198400117</v>
      </c>
      <c r="AK1739" s="91">
        <f>Tab1SDataShiftSummary[[#This Row],[Summary9]]-Tab1SDataShiftSummary[[#This Row],[Summary8]]</f>
        <v>0</v>
      </c>
      <c r="AL1739" s="91">
        <f>Tab1SDataShiftSummary[[#This Row],[Summary10]]-Tab1SDataShiftSummary[[#This Row],[Summary9]]</f>
        <v>0</v>
      </c>
      <c r="AM1739" s="91">
        <f>Tab1SDataShiftSummary[[#This Row],[Summary11]]-Tab1SDataShiftSummary[[#This Row],[Summary10]]</f>
        <v>0</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-100650.62619999982</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03">
        <f ca="1">Tab1SDataShiftSummary[[#This Row],[Summary20]]-Tab1SDataShiftSummary[[#This Row],[Summary19]]</f>
        <v>0</v>
      </c>
      <c r="AY1739" s="717" t="s">
        <v>1897</v>
      </c>
    </row>
    <row r="1740" spans="1:52">
      <c r="A1740">
        <v>8</v>
      </c>
      <c r="B1740" s="718" t="s">
        <v>974</v>
      </c>
      <c r="C1740"/>
      <c r="E1740"/>
      <c r="F1740" s="719">
        <v>-4914912.9308377169</v>
      </c>
      <c r="G1740" s="719">
        <v>-4997497.1496377168</v>
      </c>
      <c r="H1740" s="719">
        <v>-5002474.2908377172</v>
      </c>
      <c r="I1740" s="719">
        <v>-5459325.5958377179</v>
      </c>
      <c r="J1740" s="719">
        <v>-5495052.9160377169</v>
      </c>
      <c r="K1740" s="719">
        <v>-5518721.9293093337</v>
      </c>
      <c r="L1740" s="719">
        <v>-5633769.3523715753</v>
      </c>
      <c r="M1740" s="719">
        <v>-5638395.1611168534</v>
      </c>
      <c r="N1740" s="719">
        <v>-5568179.516764815</v>
      </c>
      <c r="O1740" s="719">
        <v>-5647000.6099030925</v>
      </c>
      <c r="P1740" s="719">
        <v>-5655920.482379132</v>
      </c>
      <c r="Q1740" s="719">
        <v>-5680027.921560755</v>
      </c>
      <c r="R1740" s="719">
        <v>-5706675.6171164466</v>
      </c>
      <c r="S1740" s="719">
        <v>-5629508.9302243879</v>
      </c>
      <c r="T1740" s="719">
        <v>-5573016.0800477164</v>
      </c>
      <c r="U1740" s="719">
        <v>-5540212.4850239279</v>
      </c>
      <c r="V1740" s="719">
        <v>-5529366.8254717384</v>
      </c>
      <c r="W1740" s="719">
        <v>-5713789.4325412214</v>
      </c>
      <c r="X1740" s="719">
        <v>-5665138.4375261087</v>
      </c>
      <c r="Y1740" s="719">
        <v>-5775787.7986710398</v>
      </c>
      <c r="Z1740" s="719">
        <f ca="1">Calc!BL104</f>
        <v>-5775787.7986710398</v>
      </c>
      <c r="AB1740" s="91">
        <f ca="1">Tab1SDataShiftSummary[[#This Row],[Summary0]]-Tab1SDataShiftSummary[[#This Row],[Summary20]]</f>
        <v>860874.86783332285</v>
      </c>
      <c r="AC1740" s="91">
        <f>Tab1SDataShiftSummary[[#This Row],[Summary1]]-Tab1SDataShiftSummary[[#This Row],[Summary0]]</f>
        <v>-82584.218799999915</v>
      </c>
      <c r="AD1740" s="91">
        <f>Tab1SDataShiftSummary[[#This Row],[Summary2]]-Tab1SDataShiftSummary[[#This Row],[Summary1]]</f>
        <v>-4977.1412000004202</v>
      </c>
      <c r="AE1740" s="91">
        <f>Tab1SDataShiftSummary[[#This Row],[Summary3]]-Tab1SDataShiftSummary[[#This Row],[Summary2]]</f>
        <v>-456851.30500000063</v>
      </c>
      <c r="AF1740" s="91">
        <f>Tab1SDataShiftSummary[[#This Row],[Summary4]]-Tab1SDataShiftSummary[[#This Row],[Summary3]]</f>
        <v>-35727.320199999027</v>
      </c>
      <c r="AG1740" s="91">
        <f>Tab1SDataShiftSummary[[#This Row],[Summary5]]-Tab1SDataShiftSummary[[#This Row],[Summary4]]</f>
        <v>-23669.013271616772</v>
      </c>
      <c r="AH1740" s="91">
        <f>Tab1SDataShiftSummary[[#This Row],[Summary6]]-Tab1SDataShiftSummary[[#This Row],[Summary5]]</f>
        <v>-115047.42306224164</v>
      </c>
      <c r="AI1740" s="91">
        <f>Tab1SDataShiftSummary[[#This Row],[Summary7]]-Tab1SDataShiftSummary[[#This Row],[Summary6]]</f>
        <v>-4625.8087452780455</v>
      </c>
      <c r="AJ1740" s="91">
        <f>Tab1SDataShiftSummary[[#This Row],[Summary8]]-Tab1SDataShiftSummary[[#This Row],[Summary7]]</f>
        <v>70215.644352038391</v>
      </c>
      <c r="AK1740" s="91">
        <f>Tab1SDataShiftSummary[[#This Row],[Summary9]]-Tab1SDataShiftSummary[[#This Row],[Summary8]]</f>
        <v>-78821.093138277531</v>
      </c>
      <c r="AL1740" s="91">
        <f>Tab1SDataShiftSummary[[#This Row],[Summary10]]-Tab1SDataShiftSummary[[#This Row],[Summary9]]</f>
        <v>-8919.8724760394543</v>
      </c>
      <c r="AM1740" s="91">
        <f>Tab1SDataShiftSummary[[#This Row],[Summary11]]-Tab1SDataShiftSummary[[#This Row],[Summary10]]</f>
        <v>-24107.439181623049</v>
      </c>
      <c r="AN1740" s="91">
        <f>Tab1SDataShiftSummary[[#This Row],[Summary12]]-Tab1SDataShiftSummary[[#This Row],[Summary11]]</f>
        <v>-26647.695555691607</v>
      </c>
      <c r="AO1740" s="91">
        <f>Tab1SDataShiftSummary[[#This Row],[Summary13]]-Tab1SDataShiftSummary[[#This Row],[Summary12]]</f>
        <v>77166.6868920587</v>
      </c>
      <c r="AP1740" s="91">
        <f>Tab1SDataShiftSummary[[#This Row],[Summary14]]-Tab1SDataShiftSummary[[#This Row],[Summary13]]</f>
        <v>56492.85017667152</v>
      </c>
      <c r="AQ1740" s="91">
        <f>Tab1SDataShiftSummary[[#This Row],[Summary15]]-Tab1SDataShiftSummary[[#This Row],[Summary14]]</f>
        <v>32803.595023788512</v>
      </c>
      <c r="AR1740" s="91">
        <f>Tab1SDataShiftSummary[[#This Row],[Summary16]]-Tab1SDataShiftSummary[[#This Row],[Summary15]]</f>
        <v>10845.659552189521</v>
      </c>
      <c r="AS1740" s="91">
        <f>Tab1SDataShiftSummary[[#This Row],[Summary17]]-Tab1SDataShiftSummary[[#This Row],[Summary16]]</f>
        <v>-184422.60706948303</v>
      </c>
      <c r="AT1740" s="91">
        <f>Tab1SDataShiftSummary[[#This Row],[Summary18]]-Tab1SDataShiftSummary[[#This Row],[Summary17]]</f>
        <v>48650.995015112683</v>
      </c>
      <c r="AU1740" s="91">
        <f>Tab1SDataShiftSummary[[#This Row],[Summary19]]-Tab1SDataShiftSummary[[#This Row],[Summary18]]</f>
        <v>-110649.36114493106</v>
      </c>
      <c r="AV1740" s="1403">
        <f ca="1">Tab1SDataShiftSummary[[#This Row],[Summary20]]-Tab1SDataShiftSummary[[#This Row],[Summary19]]</f>
        <v>0</v>
      </c>
      <c r="AY1740" s="718" t="s">
        <v>974</v>
      </c>
    </row>
    <row r="1741" spans="1:52">
      <c r="A1741">
        <v>9</v>
      </c>
      <c r="B1741" s="717" t="s">
        <v>2279</v>
      </c>
      <c r="C1741"/>
      <c r="E1741"/>
      <c r="F1741" s="719">
        <v>-28648.984799999995</v>
      </c>
      <c r="G1741" s="719">
        <v>-28648.984799999995</v>
      </c>
      <c r="H1741" s="719">
        <v>-28648.984799999995</v>
      </c>
      <c r="I1741" s="719">
        <v>-28648.984799999995</v>
      </c>
      <c r="J1741" s="719">
        <v>-28648.984799999995</v>
      </c>
      <c r="K1741" s="719">
        <v>-28723.472160479992</v>
      </c>
      <c r="L1741" s="719">
        <v>-28723.472160479992</v>
      </c>
      <c r="M1741" s="719">
        <v>-28723.472160479992</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-74.487360479997733</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03">
        <f ca="1">Tab1SDataShiftSummary[[#This Row],[Summary20]]-Tab1SDataShiftSummary[[#This Row],[Summary19]]</f>
        <v>0</v>
      </c>
      <c r="AY1741" s="717" t="s">
        <v>2279</v>
      </c>
    </row>
    <row r="1742" spans="1:52">
      <c r="A1742">
        <v>10</v>
      </c>
      <c r="B1742" s="717" t="s">
        <v>1892</v>
      </c>
      <c r="C1742"/>
      <c r="E1742"/>
      <c r="F1742" s="719">
        <v>-67158.500784408505</v>
      </c>
      <c r="G1742" s="719">
        <v>-78112.252089505128</v>
      </c>
      <c r="H1742" s="719">
        <v>-78112.252089505128</v>
      </c>
      <c r="I1742" s="719">
        <v>-78168.678876695907</v>
      </c>
      <c r="J1742" s="719">
        <v>-77797.249575543916</v>
      </c>
      <c r="K1742" s="719">
        <v>-77797.249575543916</v>
      </c>
      <c r="L1742" s="719">
        <v>-76464.161781191826</v>
      </c>
      <c r="M1742" s="719">
        <v>-76464.161781191826</v>
      </c>
      <c r="N1742" s="719">
        <v>-78388.788256553555</v>
      </c>
      <c r="O1742" s="719">
        <v>-78388.788256553555</v>
      </c>
      <c r="P1742" s="719">
        <v>-78388.788256553555</v>
      </c>
      <c r="Q1742" s="719">
        <v>-78388.788256553555</v>
      </c>
      <c r="R1742" s="719">
        <v>-78388.788256553555</v>
      </c>
      <c r="S1742" s="719">
        <v>-78388.788256553555</v>
      </c>
      <c r="T1742" s="719">
        <v>-77166.133427375957</v>
      </c>
      <c r="U1742" s="719">
        <v>-77166.133427375957</v>
      </c>
      <c r="V1742" s="719">
        <v>-77254.838863415949</v>
      </c>
      <c r="W1742" s="719">
        <v>-77355.040400653452</v>
      </c>
      <c r="X1742" s="719">
        <v>-77355.040400653452</v>
      </c>
      <c r="Y1742" s="719">
        <v>-77355.040398060228</v>
      </c>
      <c r="Z1742" s="719">
        <f ca="1">Calc!BO104</f>
        <v>-77355.040398060228</v>
      </c>
      <c r="AB1742" s="91">
        <f ca="1">Tab1SDataShiftSummary[[#This Row],[Summary0]]-Tab1SDataShiftSummary[[#This Row],[Summary20]]</f>
        <v>10196.539613651723</v>
      </c>
      <c r="AC1742" s="91">
        <f>Tab1SDataShiftSummary[[#This Row],[Summary1]]-Tab1SDataShiftSummary[[#This Row],[Summary0]]</f>
        <v>-10953.751305096623</v>
      </c>
      <c r="AD1742" s="91">
        <f>Tab1SDataShiftSummary[[#This Row],[Summary2]]-Tab1SDataShiftSummary[[#This Row],[Summary1]]</f>
        <v>0</v>
      </c>
      <c r="AE1742" s="91">
        <f>Tab1SDataShiftSummary[[#This Row],[Summary3]]-Tab1SDataShiftSummary[[#This Row],[Summary2]]</f>
        <v>-56.426787190779578</v>
      </c>
      <c r="AF1742" s="91">
        <f>Tab1SDataShiftSummary[[#This Row],[Summary4]]-Tab1SDataShiftSummary[[#This Row],[Summary3]]</f>
        <v>371.42930115199124</v>
      </c>
      <c r="AG1742" s="91">
        <f>Tab1SDataShiftSummary[[#This Row],[Summary5]]-Tab1SDataShiftSummary[[#This Row],[Summary4]]</f>
        <v>0</v>
      </c>
      <c r="AH1742" s="91">
        <f>Tab1SDataShiftSummary[[#This Row],[Summary6]]-Tab1SDataShiftSummary[[#This Row],[Summary5]]</f>
        <v>1333.08779435209</v>
      </c>
      <c r="AI1742" s="91">
        <f>Tab1SDataShiftSummary[[#This Row],[Summary7]]-Tab1SDataShiftSummary[[#This Row],[Summary6]]</f>
        <v>0</v>
      </c>
      <c r="AJ1742" s="91">
        <f>Tab1SDataShiftSummary[[#This Row],[Summary8]]-Tab1SDataShiftSummary[[#This Row],[Summary7]]</f>
        <v>-1924.6264753617288</v>
      </c>
      <c r="AK1742" s="91">
        <f>Tab1SDataShiftSummary[[#This Row],[Summary9]]-Tab1SDataShiftSummary[[#This Row],[Summary8]]</f>
        <v>0</v>
      </c>
      <c r="AL1742" s="91">
        <f>Tab1SDataShiftSummary[[#This Row],[Summary10]]-Tab1SDataShiftSummary[[#This Row],[Summary9]]</f>
        <v>0</v>
      </c>
      <c r="AM1742" s="91">
        <f>Tab1SDataShiftSummary[[#This Row],[Summary11]]-Tab1SDataShiftSummary[[#This Row],[Summary10]]</f>
        <v>0</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1222.654829177598</v>
      </c>
      <c r="AQ1742" s="91">
        <f>Tab1SDataShiftSummary[[#This Row],[Summary15]]-Tab1SDataShiftSummary[[#This Row],[Summary14]]</f>
        <v>0</v>
      </c>
      <c r="AR1742" s="91">
        <f>Tab1SDataShiftSummary[[#This Row],[Summary16]]-Tab1SDataShiftSummary[[#This Row],[Summary15]]</f>
        <v>-88.705436039992492</v>
      </c>
      <c r="AS1742" s="91">
        <f>Tab1SDataShiftSummary[[#This Row],[Summary17]]-Tab1SDataShiftSummary[[#This Row],[Summary16]]</f>
        <v>-100.20153723750263</v>
      </c>
      <c r="AT1742" s="91">
        <f>Tab1SDataShiftSummary[[#This Row],[Summary18]]-Tab1SDataShiftSummary[[#This Row],[Summary17]]</f>
        <v>0</v>
      </c>
      <c r="AU1742" s="91">
        <f>Tab1SDataShiftSummary[[#This Row],[Summary19]]-Tab1SDataShiftSummary[[#This Row],[Summary18]]</f>
        <v>2.5932240532711148E-6</v>
      </c>
      <c r="AV1742" s="1403">
        <f ca="1">Tab1SDataShiftSummary[[#This Row],[Summary20]]-Tab1SDataShiftSummary[[#This Row],[Summary19]]</f>
        <v>0</v>
      </c>
      <c r="AY1742" s="717" t="s">
        <v>1892</v>
      </c>
    </row>
    <row r="1743" spans="1:52">
      <c r="A1743">
        <v>11</v>
      </c>
      <c r="B1743" s="717" t="s">
        <v>1891</v>
      </c>
      <c r="C1743" t="s">
        <v>2281</v>
      </c>
      <c r="E1743"/>
      <c r="F1743" s="719">
        <v>-2883797.1650047405</v>
      </c>
      <c r="G1743" s="719">
        <v>-3439635.2655057386</v>
      </c>
      <c r="H1743" s="719">
        <v>-3439635.2655057386</v>
      </c>
      <c r="I1743" s="719">
        <v>-3461337.8759637382</v>
      </c>
      <c r="J1743" s="719">
        <v>-3410111.5904437378</v>
      </c>
      <c r="K1743" s="719">
        <v>-3410111.5904437378</v>
      </c>
      <c r="L1743" s="719">
        <v>-3414803.7687985376</v>
      </c>
      <c r="M1743" s="719">
        <v>-3414803.7687985376</v>
      </c>
      <c r="N1743" s="719">
        <v>-3584344.7513927333</v>
      </c>
      <c r="O1743" s="719">
        <v>-3584344.7513927333</v>
      </c>
      <c r="P1743" s="719">
        <v>-3584344.7513927333</v>
      </c>
      <c r="Q1743" s="719">
        <v>-3584344.7513927333</v>
      </c>
      <c r="R1743" s="719">
        <v>-3584344.7513927333</v>
      </c>
      <c r="S1743" s="719">
        <v>-3584344.7513927333</v>
      </c>
      <c r="T1743" s="719">
        <v>-3611078.6564167328</v>
      </c>
      <c r="U1743" s="719">
        <v>-3611078.6564167328</v>
      </c>
      <c r="V1743" s="719">
        <v>-3645196.1318167336</v>
      </c>
      <c r="W1743" s="719">
        <v>-3683735.1826055944</v>
      </c>
      <c r="X1743" s="719">
        <v>-3683735.1826055944</v>
      </c>
      <c r="Y1743" s="719">
        <v>-3683735.1836029943</v>
      </c>
      <c r="Z1743" s="719">
        <f ca="1">Z1739+Z1734</f>
        <v>-3683735.1836029943</v>
      </c>
      <c r="AB1743" s="91">
        <f ca="1">Tab1SDataShiftSummary[[#This Row],[Summary0]]-Tab1SDataShiftSummary[[#This Row],[Summary20]]</f>
        <v>799938.01859825384</v>
      </c>
      <c r="AC1743" s="91">
        <f>Tab1SDataShiftSummary[[#This Row],[Summary1]]-Tab1SDataShiftSummary[[#This Row],[Summary0]]</f>
        <v>-555838.10050099809</v>
      </c>
      <c r="AD1743" s="91">
        <f>Tab1SDataShiftSummary[[#This Row],[Summary2]]-Tab1SDataShiftSummary[[#This Row],[Summary1]]</f>
        <v>0</v>
      </c>
      <c r="AE1743" s="91">
        <f>Tab1SDataShiftSummary[[#This Row],[Summary3]]-Tab1SDataShiftSummary[[#This Row],[Summary2]]</f>
        <v>-21702.610457999632</v>
      </c>
      <c r="AF1743" s="91">
        <f>Tab1SDataShiftSummary[[#This Row],[Summary4]]-Tab1SDataShiftSummary[[#This Row],[Summary3]]</f>
        <v>51226.285520000383</v>
      </c>
      <c r="AG1743" s="91">
        <f>Tab1SDataShiftSummary[[#This Row],[Summary5]]-Tab1SDataShiftSummary[[#This Row],[Summary4]]</f>
        <v>0</v>
      </c>
      <c r="AH1743" s="91">
        <f>Tab1SDataShiftSummary[[#This Row],[Summary6]]-Tab1SDataShiftSummary[[#This Row],[Summary5]]</f>
        <v>-4692.1783547997475</v>
      </c>
      <c r="AI1743" s="91">
        <f>Tab1SDataShiftSummary[[#This Row],[Summary7]]-Tab1SDataShiftSummary[[#This Row],[Summary6]]</f>
        <v>0</v>
      </c>
      <c r="AJ1743" s="91">
        <f>Tab1SDataShiftSummary[[#This Row],[Summary8]]-Tab1SDataShiftSummary[[#This Row],[Summary7]]</f>
        <v>-169540.98259419575</v>
      </c>
      <c r="AK1743" s="91">
        <f>Tab1SDataShiftSummary[[#This Row],[Summary9]]-Tab1SDataShiftSummary[[#This Row],[Summary8]]</f>
        <v>0</v>
      </c>
      <c r="AL1743" s="91">
        <f>Tab1SDataShiftSummary[[#This Row],[Summary10]]-Tab1SDataShiftSummary[[#This Row],[Summary9]]</f>
        <v>0</v>
      </c>
      <c r="AM1743" s="91">
        <f>Tab1SDataShiftSummary[[#This Row],[Summary11]]-Tab1SDataShiftSummary[[#This Row],[Summary10]]</f>
        <v>0</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-26733.905023999512</v>
      </c>
      <c r="AQ1743" s="91">
        <f>Tab1SDataShiftSummary[[#This Row],[Summary15]]-Tab1SDataShiftSummary[[#This Row],[Summary14]]</f>
        <v>0</v>
      </c>
      <c r="AR1743" s="91">
        <f>Tab1SDataShiftSummary[[#This Row],[Summary16]]-Tab1SDataShiftSummary[[#This Row],[Summary15]]</f>
        <v>-34117.475400000811</v>
      </c>
      <c r="AS1743" s="91">
        <f>Tab1SDataShiftSummary[[#This Row],[Summary17]]-Tab1SDataShiftSummary[[#This Row],[Summary16]]</f>
        <v>-38539.050788860768</v>
      </c>
      <c r="AT1743" s="91">
        <f>Tab1SDataShiftSummary[[#This Row],[Summary18]]-Tab1SDataShiftSummary[[#This Row],[Summary17]]</f>
        <v>0</v>
      </c>
      <c r="AU1743" s="91">
        <f>Tab1SDataShiftSummary[[#This Row],[Summary19]]-Tab1SDataShiftSummary[[#This Row],[Summary18]]</f>
        <v>-9.9739991128444672E-4</v>
      </c>
      <c r="AV1743" s="1403">
        <f ca="1">Tab1SDataShiftSummary[[#This Row],[Summary20]]-Tab1SDataShiftSummary[[#This Row],[Summary19]]</f>
        <v>0</v>
      </c>
      <c r="AY1743" s="717" t="s">
        <v>1891</v>
      </c>
    </row>
    <row r="1744" spans="1:52">
      <c r="A1744">
        <v>12</v>
      </c>
      <c r="B1744" s="717" t="s">
        <v>2271</v>
      </c>
      <c r="C1744" t="s">
        <v>2280</v>
      </c>
      <c r="E1744"/>
      <c r="F1744" s="306">
        <v>-0.62703701570932868</v>
      </c>
      <c r="G1744" s="306">
        <v>-0.41613732869483849</v>
      </c>
      <c r="H1744" s="306">
        <v>-0.41740340442248242</v>
      </c>
      <c r="I1744" s="306">
        <v>-0.52687710370668372</v>
      </c>
      <c r="J1744" s="306">
        <v>-0.54885038233863548</v>
      </c>
      <c r="K1744" s="306">
        <v>-0.54086597693782279</v>
      </c>
      <c r="L1744" s="306">
        <v>-0.56850412702150133</v>
      </c>
      <c r="M1744" s="306">
        <v>-0.56967396626574995</v>
      </c>
      <c r="N1744" s="306">
        <v>-0.48850153435069671</v>
      </c>
      <c r="O1744" s="306">
        <v>-0.50762431150729537</v>
      </c>
      <c r="P1744" s="306">
        <v>-0.5097883608351238</v>
      </c>
      <c r="Q1744" s="306">
        <v>-0.51563706413181198</v>
      </c>
      <c r="R1744" s="306">
        <v>-0.52210205876154148</v>
      </c>
      <c r="S1744" s="306">
        <v>-0.50338065693118239</v>
      </c>
      <c r="T1744" s="306">
        <v>-0.48324822717128563</v>
      </c>
      <c r="U1744" s="306">
        <v>-0.47528975041589894</v>
      </c>
      <c r="V1744" s="306">
        <v>-0.46438124895114025</v>
      </c>
      <c r="W1744" s="306">
        <v>-0.49515639046011012</v>
      </c>
      <c r="X1744" s="306">
        <v>-0.4834622332127978</v>
      </c>
      <c r="Y1744" s="306">
        <v>-0.51005883232556504</v>
      </c>
      <c r="Z1744" s="306">
        <f ca="1">Z1736/ABS(Z1735)</f>
        <v>-0.51005883232556504</v>
      </c>
      <c r="AB1744" s="306">
        <f ca="1">Tab1SDataShiftSummary[[#This Row],[Summary0]]-Tab1SDataShiftSummary[[#This Row],[Summary20]]</f>
        <v>-0.11697818338376365</v>
      </c>
      <c r="AC1744" s="306">
        <f>Tab1SDataShiftSummary[[#This Row],[Summary1]]-Tab1SDataShiftSummary[[#This Row],[Summary0]]</f>
        <v>0.21089968701449019</v>
      </c>
      <c r="AD1744" s="306">
        <f>Tab1SDataShiftSummary[[#This Row],[Summary2]]-Tab1SDataShiftSummary[[#This Row],[Summary1]]</f>
        <v>-1.2660757276439227E-3</v>
      </c>
      <c r="AE1744" s="306">
        <f>Tab1SDataShiftSummary[[#This Row],[Summary3]]-Tab1SDataShiftSummary[[#This Row],[Summary2]]</f>
        <v>-0.10947369928420131</v>
      </c>
      <c r="AF1744" s="306">
        <f>Tab1SDataShiftSummary[[#This Row],[Summary4]]-Tab1SDataShiftSummary[[#This Row],[Summary3]]</f>
        <v>-2.1973278631951754E-2</v>
      </c>
      <c r="AG1744" s="306">
        <f>Tab1SDataShiftSummary[[#This Row],[Summary5]]-Tab1SDataShiftSummary[[#This Row],[Summary4]]</f>
        <v>7.9844054008126886E-3</v>
      </c>
      <c r="AH1744" s="306">
        <f>Tab1SDataShiftSummary[[#This Row],[Summary6]]-Tab1SDataShiftSummary[[#This Row],[Summary5]]</f>
        <v>-2.7638150083678537E-2</v>
      </c>
      <c r="AI1744" s="306">
        <f>Tab1SDataShiftSummary[[#This Row],[Summary7]]-Tab1SDataShiftSummary[[#This Row],[Summary6]]</f>
        <v>-1.1698392442486272E-3</v>
      </c>
      <c r="AJ1744" s="306">
        <f>Tab1SDataShiftSummary[[#This Row],[Summary8]]-Tab1SDataShiftSummary[[#This Row],[Summary7]]</f>
        <v>8.1172431915053245E-2</v>
      </c>
      <c r="AK1744" s="306">
        <f>Tab1SDataShiftSummary[[#This Row],[Summary9]]-Tab1SDataShiftSummary[[#This Row],[Summary8]]</f>
        <v>-1.9122777156598658E-2</v>
      </c>
      <c r="AL1744" s="306">
        <f>Tab1SDataShiftSummary[[#This Row],[Summary10]]-Tab1SDataShiftSummary[[#This Row],[Summary9]]</f>
        <v>-2.1640493278284323E-3</v>
      </c>
      <c r="AM1744" s="306">
        <f>Tab1SDataShiftSummary[[#This Row],[Summary11]]-Tab1SDataShiftSummary[[#This Row],[Summary10]]</f>
        <v>-5.8487032966881847E-3</v>
      </c>
      <c r="AN1744" s="306">
        <f>Tab1SDataShiftSummary[[#This Row],[Summary12]]-Tab1SDataShiftSummary[[#This Row],[Summary11]]</f>
        <v>-6.4649946297294925E-3</v>
      </c>
      <c r="AO1744" s="306">
        <f>Tab1SDataShiftSummary[[#This Row],[Summary13]]-Tab1SDataShiftSummary[[#This Row],[Summary12]]</f>
        <v>1.8721401830359086E-2</v>
      </c>
      <c r="AP1744" s="306">
        <f>Tab1SDataShiftSummary[[#This Row],[Summary14]]-Tab1SDataShiftSummary[[#This Row],[Summary13]]</f>
        <v>2.0132429759896764E-2</v>
      </c>
      <c r="AQ1744" s="306">
        <f>Tab1SDataShiftSummary[[#This Row],[Summary15]]-Tab1SDataShiftSummary[[#This Row],[Summary14]]</f>
        <v>7.9584767553866897E-3</v>
      </c>
      <c r="AR1744" s="306">
        <f>Tab1SDataShiftSummary[[#This Row],[Summary16]]-Tab1SDataShiftSummary[[#This Row],[Summary15]]</f>
        <v>1.0908501464758691E-2</v>
      </c>
      <c r="AS1744" s="306">
        <f>Tab1SDataShiftSummary[[#This Row],[Summary17]]-Tab1SDataShiftSummary[[#This Row],[Summary16]]</f>
        <v>-3.0775141508969872E-2</v>
      </c>
      <c r="AT1744" s="306">
        <f>Tab1SDataShiftSummary[[#This Row],[Summary18]]-Tab1SDataShiftSummary[[#This Row],[Summary17]]</f>
        <v>1.169415724731232E-2</v>
      </c>
      <c r="AU1744" s="306">
        <f>Tab1SDataShiftSummary[[#This Row],[Summary19]]-Tab1SDataShiftSummary[[#This Row],[Summary18]]</f>
        <v>-2.6596599112767239E-2</v>
      </c>
      <c r="AV1744" s="1404">
        <f ca="1">Tab1SDataShiftSummary[[#This Row],[Summary20]]-Tab1SDataShiftSummary[[#This Row],[Summary19]]</f>
        <v>0</v>
      </c>
      <c r="AY1744" s="717" t="s">
        <v>2271</v>
      </c>
    </row>
    <row r="1745" spans="1:55">
      <c r="A1745">
        <v>13</v>
      </c>
      <c r="B1745" s="717" t="s">
        <v>1133</v>
      </c>
      <c r="C1745"/>
      <c r="E1745"/>
      <c r="F1745" s="719">
        <v>2886350</v>
      </c>
      <c r="G1745" s="719">
        <v>3673242</v>
      </c>
      <c r="H1745" s="719">
        <v>3661670</v>
      </c>
      <c r="I1745" s="719">
        <v>3309146</v>
      </c>
      <c r="J1745" s="719">
        <v>3289698</v>
      </c>
      <c r="K1745" s="719">
        <v>3350750</v>
      </c>
      <c r="L1745" s="719">
        <v>3293092</v>
      </c>
      <c r="M1745" s="719">
        <v>3252600</v>
      </c>
      <c r="N1745" s="719">
        <v>3232220</v>
      </c>
      <c r="O1745" s="719">
        <v>3157000</v>
      </c>
      <c r="P1745" s="719">
        <v>3114290</v>
      </c>
      <c r="Q1745" s="719">
        <v>3145284.74</v>
      </c>
      <c r="R1745" s="719">
        <v>3138253.7749999994</v>
      </c>
      <c r="S1745" s="719">
        <v>3160483.5919999997</v>
      </c>
      <c r="T1745" s="719">
        <v>3151587.676</v>
      </c>
      <c r="U1745" s="719">
        <v>3154190.6289999997</v>
      </c>
      <c r="V1745" s="719">
        <v>3165958.7689999999</v>
      </c>
      <c r="W1745" s="719">
        <v>3067944.1250000005</v>
      </c>
      <c r="X1745" s="719">
        <v>3090642.6729999995</v>
      </c>
      <c r="Y1745" s="719">
        <v>2939960.6160000004</v>
      </c>
      <c r="Z1745" s="719">
        <f ca="1">Calc!BS104</f>
        <v>2939960.6160000004</v>
      </c>
      <c r="AB1745" s="91">
        <f ca="1">Tab1SDataShiftSummary[[#This Row],[Summary0]]-Tab1SDataShiftSummary[[#This Row],[Summary20]]</f>
        <v>-53610.616000000387</v>
      </c>
      <c r="AC1745" s="91">
        <f>Tab1SDataShiftSummary[[#This Row],[Summary1]]-Tab1SDataShiftSummary[[#This Row],[Summary0]]</f>
        <v>786892</v>
      </c>
      <c r="AD1745" s="91">
        <f>Tab1SDataShiftSummary[[#This Row],[Summary2]]-Tab1SDataShiftSummary[[#This Row],[Summary1]]</f>
        <v>-11572</v>
      </c>
      <c r="AE1745" s="91">
        <f>Tab1SDataShiftSummary[[#This Row],[Summary3]]-Tab1SDataShiftSummary[[#This Row],[Summary2]]</f>
        <v>-352524</v>
      </c>
      <c r="AF1745" s="91">
        <f>Tab1SDataShiftSummary[[#This Row],[Summary4]]-Tab1SDataShiftSummary[[#This Row],[Summary3]]</f>
        <v>-19448</v>
      </c>
      <c r="AG1745" s="91">
        <f>Tab1SDataShiftSummary[[#This Row],[Summary5]]-Tab1SDataShiftSummary[[#This Row],[Summary4]]</f>
        <v>61052</v>
      </c>
      <c r="AH1745" s="91">
        <f>Tab1SDataShiftSummary[[#This Row],[Summary6]]-Tab1SDataShiftSummary[[#This Row],[Summary5]]</f>
        <v>-57658</v>
      </c>
      <c r="AI1745" s="91">
        <f>Tab1SDataShiftSummary[[#This Row],[Summary7]]-Tab1SDataShiftSummary[[#This Row],[Summary6]]</f>
        <v>-40492</v>
      </c>
      <c r="AJ1745" s="91">
        <f>Tab1SDataShiftSummary[[#This Row],[Summary8]]-Tab1SDataShiftSummary[[#This Row],[Summary7]]</f>
        <v>-20380</v>
      </c>
      <c r="AK1745" s="91">
        <f>Tab1SDataShiftSummary[[#This Row],[Summary9]]-Tab1SDataShiftSummary[[#This Row],[Summary8]]</f>
        <v>-75220</v>
      </c>
      <c r="AL1745" s="91">
        <f>Tab1SDataShiftSummary[[#This Row],[Summary10]]-Tab1SDataShiftSummary[[#This Row],[Summary9]]</f>
        <v>-42710</v>
      </c>
      <c r="AM1745" s="91">
        <f>Tab1SDataShiftSummary[[#This Row],[Summary11]]-Tab1SDataShiftSummary[[#This Row],[Summary10]]</f>
        <v>30994.740000000224</v>
      </c>
      <c r="AN1745" s="91">
        <f>Tab1SDataShiftSummary[[#This Row],[Summary12]]-Tab1SDataShiftSummary[[#This Row],[Summary11]]</f>
        <v>-7030.9650000007823</v>
      </c>
      <c r="AO1745" s="91">
        <f>Tab1SDataShiftSummary[[#This Row],[Summary13]]-Tab1SDataShiftSummary[[#This Row],[Summary12]]</f>
        <v>22229.817000000272</v>
      </c>
      <c r="AP1745" s="91">
        <f>Tab1SDataShiftSummary[[#This Row],[Summary14]]-Tab1SDataShiftSummary[[#This Row],[Summary13]]</f>
        <v>-8895.9159999997355</v>
      </c>
      <c r="AQ1745" s="91">
        <f>Tab1SDataShiftSummary[[#This Row],[Summary15]]-Tab1SDataShiftSummary[[#This Row],[Summary14]]</f>
        <v>2602.9529999997467</v>
      </c>
      <c r="AR1745" s="91">
        <f>Tab1SDataShiftSummary[[#This Row],[Summary16]]-Tab1SDataShiftSummary[[#This Row],[Summary15]]</f>
        <v>11768.14000000013</v>
      </c>
      <c r="AS1745" s="91">
        <f>Tab1SDataShiftSummary[[#This Row],[Summary17]]-Tab1SDataShiftSummary[[#This Row],[Summary16]]</f>
        <v>-98014.643999999389</v>
      </c>
      <c r="AT1745" s="91">
        <f>Tab1SDataShiftSummary[[#This Row],[Summary18]]-Tab1SDataShiftSummary[[#This Row],[Summary17]]</f>
        <v>22698.54799999902</v>
      </c>
      <c r="AU1745" s="91">
        <f>Tab1SDataShiftSummary[[#This Row],[Summary19]]-Tab1SDataShiftSummary[[#This Row],[Summary18]]</f>
        <v>-150682.0569999991</v>
      </c>
      <c r="AV1745" s="1403">
        <f ca="1">Tab1SDataShiftSummary[[#This Row],[Summary20]]-Tab1SDataShiftSummary[[#This Row],[Summary19]]</f>
        <v>0</v>
      </c>
      <c r="AY1745" s="717" t="s">
        <v>1133</v>
      </c>
      <c r="AZ1745" t="s">
        <v>2264</v>
      </c>
    </row>
    <row r="1746" spans="1:55">
      <c r="A1746">
        <v>14</v>
      </c>
      <c r="B1746" s="717" t="s">
        <v>1130</v>
      </c>
      <c r="C1746"/>
      <c r="E1746"/>
      <c r="F1746" s="719">
        <v>2073242.05</v>
      </c>
      <c r="G1746" s="719">
        <v>2183914.3662</v>
      </c>
      <c r="H1746" s="719">
        <v>2190509.2249999996</v>
      </c>
      <c r="I1746" s="719">
        <v>2107828.25</v>
      </c>
      <c r="J1746" s="719">
        <v>2040693.7297999999</v>
      </c>
      <c r="K1746" s="719">
        <v>1998025.6893999998</v>
      </c>
      <c r="L1746" s="719">
        <v>1892135.3097999997</v>
      </c>
      <c r="M1746" s="719">
        <v>1927989.4426</v>
      </c>
      <c r="N1746" s="719">
        <v>2017488.3602</v>
      </c>
      <c r="O1746" s="719">
        <v>2024341.798</v>
      </c>
      <c r="P1746" s="719">
        <v>2064668.6733999997</v>
      </c>
      <c r="Q1746" s="719">
        <v>2002167.1114853998</v>
      </c>
      <c r="R1746" s="719">
        <v>1989840.9903132599</v>
      </c>
      <c r="S1746" s="719">
        <v>2037618.9425978602</v>
      </c>
      <c r="T1746" s="719">
        <v>1838936.1051780405</v>
      </c>
      <c r="U1746" s="719">
        <v>1867586.6868792498</v>
      </c>
      <c r="V1746" s="719">
        <v>1895992.1747254399</v>
      </c>
      <c r="W1746" s="719">
        <v>1852649.6924497001</v>
      </c>
      <c r="X1746" s="719">
        <v>1866462.1717898999</v>
      </c>
      <c r="Y1746" s="719">
        <v>1915202.0763716802</v>
      </c>
      <c r="Z1746" s="719">
        <f ca="1">Calc!BT104</f>
        <v>1915202.0763716802</v>
      </c>
      <c r="AB1746" s="91">
        <f ca="1">Tab1SDataShiftSummary[[#This Row],[Summary0]]-Tab1SDataShiftSummary[[#This Row],[Summary20]]</f>
        <v>158039.9736283198</v>
      </c>
      <c r="AC1746" s="91">
        <f>Tab1SDataShiftSummary[[#This Row],[Summary1]]-Tab1SDataShiftSummary[[#This Row],[Summary0]]</f>
        <v>110672.3162</v>
      </c>
      <c r="AD1746" s="91">
        <f>Tab1SDataShiftSummary[[#This Row],[Summary2]]-Tab1SDataShiftSummary[[#This Row],[Summary1]]</f>
        <v>6594.8587999995798</v>
      </c>
      <c r="AE1746" s="91">
        <f>Tab1SDataShiftSummary[[#This Row],[Summary3]]-Tab1SDataShiftSummary[[#This Row],[Summary2]]</f>
        <v>-82680.974999999627</v>
      </c>
      <c r="AF1746" s="91">
        <f>Tab1SDataShiftSummary[[#This Row],[Summary4]]-Tab1SDataShiftSummary[[#This Row],[Summary3]]</f>
        <v>-67134.520200000145</v>
      </c>
      <c r="AG1746" s="91">
        <f>Tab1SDataShiftSummary[[#This Row],[Summary5]]-Tab1SDataShiftSummary[[#This Row],[Summary4]]</f>
        <v>-42668.040400000056</v>
      </c>
      <c r="AH1746" s="91">
        <f>Tab1SDataShiftSummary[[#This Row],[Summary6]]-Tab1SDataShiftSummary[[#This Row],[Summary5]]</f>
        <v>-105890.3796000001</v>
      </c>
      <c r="AI1746" s="91">
        <f>Tab1SDataShiftSummary[[#This Row],[Summary7]]-Tab1SDataShiftSummary[[#This Row],[Summary6]]</f>
        <v>35854.132800000254</v>
      </c>
      <c r="AJ1746" s="91">
        <f>Tab1SDataShiftSummary[[#This Row],[Summary8]]-Tab1SDataShiftSummary[[#This Row],[Summary7]]</f>
        <v>89498.917600000044</v>
      </c>
      <c r="AK1746" s="91">
        <f>Tab1SDataShiftSummary[[#This Row],[Summary9]]-Tab1SDataShiftSummary[[#This Row],[Summary8]]</f>
        <v>6853.437799999956</v>
      </c>
      <c r="AL1746" s="91">
        <f>Tab1SDataShiftSummary[[#This Row],[Summary10]]-Tab1SDataShiftSummary[[#This Row],[Summary9]]</f>
        <v>40326.875399999786</v>
      </c>
      <c r="AM1746" s="91">
        <f>Tab1SDataShiftSummary[[#This Row],[Summary11]]-Tab1SDataShiftSummary[[#This Row],[Summary10]]</f>
        <v>-62501.561914599966</v>
      </c>
      <c r="AN1746" s="91">
        <f>Tab1SDataShiftSummary[[#This Row],[Summary12]]-Tab1SDataShiftSummary[[#This Row],[Summary11]]</f>
        <v>-12326.121172139887</v>
      </c>
      <c r="AO1746" s="91">
        <f>Tab1SDataShiftSummary[[#This Row],[Summary13]]-Tab1SDataShiftSummary[[#This Row],[Summary12]]</f>
        <v>47777.952284600353</v>
      </c>
      <c r="AP1746" s="91">
        <f>Tab1SDataShiftSummary[[#This Row],[Summary14]]-Tab1SDataShiftSummary[[#This Row],[Summary13]]</f>
        <v>-198682.83741981979</v>
      </c>
      <c r="AQ1746" s="91">
        <f>Tab1SDataShiftSummary[[#This Row],[Summary15]]-Tab1SDataShiftSummary[[#This Row],[Summary14]]</f>
        <v>28650.581701209303</v>
      </c>
      <c r="AR1746" s="91">
        <f>Tab1SDataShiftSummary[[#This Row],[Summary16]]-Tab1SDataShiftSummary[[#This Row],[Summary15]]</f>
        <v>28405.48784619011</v>
      </c>
      <c r="AS1746" s="91">
        <f>Tab1SDataShiftSummary[[#This Row],[Summary17]]-Tab1SDataShiftSummary[[#This Row],[Summary16]]</f>
        <v>-43342.482275739778</v>
      </c>
      <c r="AT1746" s="91">
        <f>Tab1SDataShiftSummary[[#This Row],[Summary18]]-Tab1SDataShiftSummary[[#This Row],[Summary17]]</f>
        <v>13812.479340199847</v>
      </c>
      <c r="AU1746" s="91">
        <f>Tab1SDataShiftSummary[[#This Row],[Summary19]]-Tab1SDataShiftSummary[[#This Row],[Summary18]]</f>
        <v>48739.904581780313</v>
      </c>
      <c r="AV1746" s="1403">
        <f ca="1">Tab1SDataShiftSummary[[#This Row],[Summary20]]-Tab1SDataShiftSummary[[#This Row],[Summary19]]</f>
        <v>0</v>
      </c>
      <c r="AY1746" s="717" t="s">
        <v>1130</v>
      </c>
      <c r="AZ1746" t="s">
        <v>2264</v>
      </c>
    </row>
    <row r="1747" spans="1:55">
      <c r="A1747">
        <v>15</v>
      </c>
      <c r="B1747" s="717" t="s">
        <v>1431</v>
      </c>
      <c r="C1747"/>
      <c r="E1747"/>
      <c r="F1747" s="719">
        <v>0</v>
      </c>
      <c r="G1747" s="719">
        <v>0</v>
      </c>
      <c r="H1747" s="719">
        <v>0</v>
      </c>
      <c r="I1747" s="719">
        <v>0</v>
      </c>
      <c r="J1747" s="719">
        <v>0</v>
      </c>
      <c r="K1747" s="719">
        <v>0</v>
      </c>
      <c r="L1747" s="719">
        <v>0</v>
      </c>
      <c r="M1747" s="719">
        <v>0</v>
      </c>
      <c r="N1747" s="719">
        <v>328820</v>
      </c>
      <c r="O1747" s="719">
        <v>318159.99999999994</v>
      </c>
      <c r="P1747" s="719">
        <v>311600</v>
      </c>
      <c r="Q1747" s="719">
        <v>318936.53999999998</v>
      </c>
      <c r="R1747" s="719">
        <v>311576.46599999996</v>
      </c>
      <c r="S1747" s="719">
        <v>318936.53999999998</v>
      </c>
      <c r="T1747" s="719">
        <v>314029.82399999996</v>
      </c>
      <c r="U1747" s="719">
        <v>315665.39600000001</v>
      </c>
      <c r="V1747" s="719">
        <v>320572.11200000002</v>
      </c>
      <c r="W1747" s="719">
        <v>315665.39600000001</v>
      </c>
      <c r="X1747" s="719">
        <v>327932.18599999999</v>
      </c>
      <c r="Y1747" s="719">
        <v>318936.53999999998</v>
      </c>
      <c r="Z1747" s="719">
        <f ca="1">Calc!BU104</f>
        <v>318936.53999999998</v>
      </c>
      <c r="AB1747" s="91">
        <f ca="1">Tab1SDataShiftSummary[[#This Row],[Summary0]]-Tab1SDataShiftSummary[[#This Row],[Summary20]]</f>
        <v>-318936.53999999998</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328820</v>
      </c>
      <c r="AK1747" s="91">
        <f>Tab1SDataShiftSummary[[#This Row],[Summary9]]-Tab1SDataShiftSummary[[#This Row],[Summary8]]</f>
        <v>-10660.000000000058</v>
      </c>
      <c r="AL1747" s="91">
        <f>Tab1SDataShiftSummary[[#This Row],[Summary10]]-Tab1SDataShiftSummary[[#This Row],[Summary9]]</f>
        <v>-6559.9999999999418</v>
      </c>
      <c r="AM1747" s="91">
        <f>Tab1SDataShiftSummary[[#This Row],[Summary11]]-Tab1SDataShiftSummary[[#This Row],[Summary10]]</f>
        <v>7336.539999999979</v>
      </c>
      <c r="AN1747" s="91">
        <f>Tab1SDataShiftSummary[[#This Row],[Summary12]]-Tab1SDataShiftSummary[[#This Row],[Summary11]]</f>
        <v>-7360.0740000000224</v>
      </c>
      <c r="AO1747" s="91">
        <f>Tab1SDataShiftSummary[[#This Row],[Summary13]]-Tab1SDataShiftSummary[[#This Row],[Summary12]]</f>
        <v>7360.0740000000224</v>
      </c>
      <c r="AP1747" s="91">
        <f>Tab1SDataShiftSummary[[#This Row],[Summary14]]-Tab1SDataShiftSummary[[#This Row],[Summary13]]</f>
        <v>-4906.7160000000149</v>
      </c>
      <c r="AQ1747" s="91">
        <f>Tab1SDataShiftSummary[[#This Row],[Summary15]]-Tab1SDataShiftSummary[[#This Row],[Summary14]]</f>
        <v>1635.5720000000438</v>
      </c>
      <c r="AR1747" s="91">
        <f>Tab1SDataShiftSummary[[#This Row],[Summary16]]-Tab1SDataShiftSummary[[#This Row],[Summary15]]</f>
        <v>4906.7160000000149</v>
      </c>
      <c r="AS1747" s="91">
        <f>Tab1SDataShiftSummary[[#This Row],[Summary17]]-Tab1SDataShiftSummary[[#This Row],[Summary16]]</f>
        <v>-4906.7160000000149</v>
      </c>
      <c r="AT1747" s="91">
        <f>Tab1SDataShiftSummary[[#This Row],[Summary18]]-Tab1SDataShiftSummary[[#This Row],[Summary17]]</f>
        <v>12266.789999999979</v>
      </c>
      <c r="AU1747" s="91">
        <f>Tab1SDataShiftSummary[[#This Row],[Summary19]]-Tab1SDataShiftSummary[[#This Row],[Summary18]]</f>
        <v>-8995.6460000000079</v>
      </c>
      <c r="AV1747" s="1403">
        <f ca="1">Tab1SDataShiftSummary[[#This Row],[Summary20]]-Tab1SDataShiftSummary[[#This Row],[Summary19]]</f>
        <v>0</v>
      </c>
      <c r="AY1747" s="717" t="s">
        <v>1431</v>
      </c>
      <c r="AZ1747" t="s">
        <v>2264</v>
      </c>
    </row>
    <row r="1748" spans="1:55">
      <c r="A1748">
        <v>16</v>
      </c>
      <c r="B1748" s="717" t="s">
        <v>1132</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03">
        <f ca="1">Tab1SDataShiftSummary[[#This Row],[Summary20]]-Tab1SDataShiftSummary[[#This Row],[Summary19]]</f>
        <v>0</v>
      </c>
      <c r="AY1748" s="717" t="s">
        <v>1132</v>
      </c>
      <c r="AZ1748" t="s">
        <v>2264</v>
      </c>
    </row>
    <row r="1749" spans="1:55">
      <c r="A1749">
        <v>17</v>
      </c>
      <c r="B1749" s="717" t="s">
        <v>2112</v>
      </c>
      <c r="C1749"/>
      <c r="E1749"/>
      <c r="F1749" s="306">
        <v>-1.4687929171185745</v>
      </c>
      <c r="G1749" s="306">
        <v>-1.2712538354600058</v>
      </c>
      <c r="H1749" s="306">
        <v>-1.27251991118765</v>
      </c>
      <c r="I1749" s="306">
        <v>-1.3854907686076896</v>
      </c>
      <c r="J1749" s="306">
        <v>-1.3945577992244254</v>
      </c>
      <c r="K1749" s="306">
        <v>-1.3920229304971676</v>
      </c>
      <c r="L1749" s="306">
        <v>-1.4210420862090576</v>
      </c>
      <c r="M1749" s="306">
        <v>-1.4222088838712705</v>
      </c>
      <c r="N1749" s="306">
        <v>-1.3473831216085874</v>
      </c>
      <c r="O1749" s="306">
        <v>-1.3664561795445784</v>
      </c>
      <c r="P1749" s="306">
        <v>-1.3686146023441543</v>
      </c>
      <c r="Q1749" s="306">
        <v>-1.3744480990122712</v>
      </c>
      <c r="R1749" s="306">
        <v>-1.3808962846559631</v>
      </c>
      <c r="S1749" s="306">
        <v>-1.3622235584703635</v>
      </c>
      <c r="T1749" s="306">
        <v>-1.3485534688853504</v>
      </c>
      <c r="U1749" s="306">
        <v>-1.3406156841695271</v>
      </c>
      <c r="V1749" s="306">
        <v>-1.3379912611279683</v>
      </c>
      <c r="W1749" s="306">
        <v>-1.3698430095005651</v>
      </c>
      <c r="X1749" s="306">
        <v>-1.3581792570620965</v>
      </c>
      <c r="Y1749" s="306">
        <v>-1.3847067050469821</v>
      </c>
      <c r="Z1749" s="306">
        <f ca="1">-Z1740/Z1735</f>
        <v>-1.3847067050469821</v>
      </c>
      <c r="AB1749" s="306">
        <f ca="1">Tab1SDataShiftSummary[[#This Row],[Summary0]]-Tab1SDataShiftSummary[[#This Row],[Summary20]]</f>
        <v>-8.4086212071592392E-2</v>
      </c>
      <c r="AC1749" s="306">
        <f>Tab1SDataShiftSummary[[#This Row],[Summary1]]-Tab1SDataShiftSummary[[#This Row],[Summary0]]</f>
        <v>0.1975390816585687</v>
      </c>
      <c r="AD1749" s="306">
        <f>Tab1SDataShiftSummary[[#This Row],[Summary2]]-Tab1SDataShiftSummary[[#This Row],[Summary1]]</f>
        <v>-1.2660757276441448E-3</v>
      </c>
      <c r="AE1749" s="306">
        <f>Tab1SDataShiftSummary[[#This Row],[Summary3]]-Tab1SDataShiftSummary[[#This Row],[Summary2]]</f>
        <v>-0.11297085742003965</v>
      </c>
      <c r="AF1749" s="306">
        <f>Tab1SDataShiftSummary[[#This Row],[Summary4]]-Tab1SDataShiftSummary[[#This Row],[Summary3]]</f>
        <v>-9.0670306167357495E-3</v>
      </c>
      <c r="AG1749" s="306">
        <f>Tab1SDataShiftSummary[[#This Row],[Summary5]]-Tab1SDataShiftSummary[[#This Row],[Summary4]]</f>
        <v>2.5348687272577219E-3</v>
      </c>
      <c r="AH1749" s="306">
        <f>Tab1SDataShiftSummary[[#This Row],[Summary6]]-Tab1SDataShiftSummary[[#This Row],[Summary5]]</f>
        <v>-2.9019155711889955E-2</v>
      </c>
      <c r="AI1749" s="306">
        <f>Tab1SDataShiftSummary[[#This Row],[Summary7]]-Tab1SDataShiftSummary[[#This Row],[Summary6]]</f>
        <v>-1.1667976622129483E-3</v>
      </c>
      <c r="AJ1749" s="306">
        <f>Tab1SDataShiftSummary[[#This Row],[Summary8]]-Tab1SDataShiftSummary[[#This Row],[Summary7]]</f>
        <v>7.4825762262683115E-2</v>
      </c>
      <c r="AK1749" s="306">
        <f>Tab1SDataShiftSummary[[#This Row],[Summary9]]-Tab1SDataShiftSummary[[#This Row],[Summary8]]</f>
        <v>-1.9073057935991011E-2</v>
      </c>
      <c r="AL1749" s="306">
        <f>Tab1SDataShiftSummary[[#This Row],[Summary10]]-Tab1SDataShiftSummary[[#This Row],[Summary9]]</f>
        <v>-2.1584227995758987E-3</v>
      </c>
      <c r="AM1749" s="306">
        <f>Tab1SDataShiftSummary[[#This Row],[Summary11]]-Tab1SDataShiftSummary[[#This Row],[Summary10]]</f>
        <v>-5.8334966681168332E-3</v>
      </c>
      <c r="AN1749" s="306">
        <f>Tab1SDataShiftSummary[[#This Row],[Summary12]]-Tab1SDataShiftSummary[[#This Row],[Summary11]]</f>
        <v>-6.4481856436919838E-3</v>
      </c>
      <c r="AO1749" s="306">
        <f>Tab1SDataShiftSummary[[#This Row],[Summary13]]-Tab1SDataShiftSummary[[#This Row],[Summary12]]</f>
        <v>1.8672726185599675E-2</v>
      </c>
      <c r="AP1749" s="306">
        <f>Tab1SDataShiftSummary[[#This Row],[Summary14]]-Tab1SDataShiftSummary[[#This Row],[Summary13]]</f>
        <v>1.3670089585013034E-2</v>
      </c>
      <c r="AQ1749" s="306">
        <f>Tab1SDataShiftSummary[[#This Row],[Summary15]]-Tab1SDataShiftSummary[[#This Row],[Summary14]]</f>
        <v>7.9377847158232928E-3</v>
      </c>
      <c r="AR1749" s="306">
        <f>Tab1SDataShiftSummary[[#This Row],[Summary16]]-Tab1SDataShiftSummary[[#This Row],[Summary15]]</f>
        <v>2.6244230415588543E-3</v>
      </c>
      <c r="AS1749" s="306">
        <f>Tab1SDataShiftSummary[[#This Row],[Summary17]]-Tab1SDataShiftSummary[[#This Row],[Summary16]]</f>
        <v>-3.1851748372596855E-2</v>
      </c>
      <c r="AT1749" s="306">
        <f>Tab1SDataShiftSummary[[#This Row],[Summary18]]-Tab1SDataShiftSummary[[#This Row],[Summary17]]</f>
        <v>1.1663752438468622E-2</v>
      </c>
      <c r="AU1749" s="306">
        <f>Tab1SDataShiftSummary[[#This Row],[Summary19]]-Tab1SDataShiftSummary[[#This Row],[Summary18]]</f>
        <v>-2.6527447984885599E-2</v>
      </c>
      <c r="AV1749" s="1404">
        <f ca="1">Tab1SDataShiftSummary[[#This Row],[Summary20]]-Tab1SDataShiftSummary[[#This Row],[Summary19]]</f>
        <v>0</v>
      </c>
      <c r="AY1749" s="717" t="s">
        <v>2112</v>
      </c>
    </row>
    <row r="1750" spans="1:55">
      <c r="A1750">
        <v>18</v>
      </c>
      <c r="B1750" s="717" t="s">
        <v>2268</v>
      </c>
      <c r="C1750"/>
      <c r="E1750"/>
      <c r="F1750" s="306">
        <v>0.49773765271023768</v>
      </c>
      <c r="G1750" s="306">
        <v>0.46040135158123741</v>
      </c>
      <c r="H1750" s="306">
        <v>0.46085987761274438</v>
      </c>
      <c r="I1750" s="306">
        <v>0.50194695560245717</v>
      </c>
      <c r="J1750" s="306">
        <v>0.50760528512337022</v>
      </c>
      <c r="K1750" s="306">
        <v>0.50718837783571757</v>
      </c>
      <c r="L1750" s="306">
        <v>0.52013140737395425</v>
      </c>
      <c r="M1750" s="306">
        <v>0.52056062034246664</v>
      </c>
      <c r="N1750" s="306">
        <v>0.498883733273561</v>
      </c>
      <c r="O1750" s="306">
        <v>0.50598264776585344</v>
      </c>
      <c r="P1750" s="306">
        <v>0.50678600394208007</v>
      </c>
      <c r="Q1750" s="306">
        <v>0.50895720764612218</v>
      </c>
      <c r="R1750" s="306">
        <v>0.51135719608366681</v>
      </c>
      <c r="S1750" s="306">
        <v>0.50440728343859342</v>
      </c>
      <c r="T1750" s="306">
        <v>0.51172108998866561</v>
      </c>
      <c r="U1750" s="306">
        <v>0.50869368026362527</v>
      </c>
      <c r="V1750" s="306">
        <v>0.50609517736614407</v>
      </c>
      <c r="W1750" s="306">
        <v>0.52120965249527618</v>
      </c>
      <c r="X1750" s="306">
        <v>0.51674953179406091</v>
      </c>
      <c r="Y1750" s="306">
        <v>0.52689340457001954</v>
      </c>
      <c r="Z1750" s="306">
        <f ca="1">ABS((Z1733+Z1738)/Z1738)</f>
        <v>0.52689340457001954</v>
      </c>
      <c r="AB1750" s="306">
        <f ca="1">Tab1SDataShiftSummary[[#This Row],[Summary0]]-Tab1SDataShiftSummary[[#This Row],[Summary20]]</f>
        <v>-2.9155751859781864E-2</v>
      </c>
      <c r="AC1750" s="306">
        <f>Tab1SDataShiftSummary[[#This Row],[Summary1]]-Tab1SDataShiftSummary[[#This Row],[Summary0]]</f>
        <v>-3.7336301129000271E-2</v>
      </c>
      <c r="AD1750" s="306">
        <f>Tab1SDataShiftSummary[[#This Row],[Summary2]]-Tab1SDataShiftSummary[[#This Row],[Summary1]]</f>
        <v>4.5852603150697835E-4</v>
      </c>
      <c r="AE1750" s="306">
        <f>Tab1SDataShiftSummary[[#This Row],[Summary3]]-Tab1SDataShiftSummary[[#This Row],[Summary2]]</f>
        <v>4.1087077989712784E-2</v>
      </c>
      <c r="AF1750" s="306">
        <f>Tab1SDataShiftSummary[[#This Row],[Summary4]]-Tab1SDataShiftSummary[[#This Row],[Summary3]]</f>
        <v>5.6583295209130524E-3</v>
      </c>
      <c r="AG1750" s="306">
        <f>Tab1SDataShiftSummary[[#This Row],[Summary5]]-Tab1SDataShiftSummary[[#This Row],[Summary4]]</f>
        <v>-4.1690728765264584E-4</v>
      </c>
      <c r="AH1750" s="306">
        <f>Tab1SDataShiftSummary[[#This Row],[Summary6]]-Tab1SDataShiftSummary[[#This Row],[Summary5]]</f>
        <v>1.2943029538236672E-2</v>
      </c>
      <c r="AI1750" s="306">
        <f>Tab1SDataShiftSummary[[#This Row],[Summary7]]-Tab1SDataShiftSummary[[#This Row],[Summary6]]</f>
        <v>4.2921296851239354E-4</v>
      </c>
      <c r="AJ1750" s="306">
        <f>Tab1SDataShiftSummary[[#This Row],[Summary8]]-Tab1SDataShiftSummary[[#This Row],[Summary7]]</f>
        <v>-2.1676887068905637E-2</v>
      </c>
      <c r="AK1750" s="306">
        <f>Tab1SDataShiftSummary[[#This Row],[Summary9]]-Tab1SDataShiftSummary[[#This Row],[Summary8]]</f>
        <v>7.0989144922924408E-3</v>
      </c>
      <c r="AL1750" s="306">
        <f>Tab1SDataShiftSummary[[#This Row],[Summary10]]-Tab1SDataShiftSummary[[#This Row],[Summary9]]</f>
        <v>8.033561762266217E-4</v>
      </c>
      <c r="AM1750" s="306">
        <f>Tab1SDataShiftSummary[[#This Row],[Summary11]]-Tab1SDataShiftSummary[[#This Row],[Summary10]]</f>
        <v>2.1712037040421128E-3</v>
      </c>
      <c r="AN1750" s="306">
        <f>Tab1SDataShiftSummary[[#This Row],[Summary12]]-Tab1SDataShiftSummary[[#This Row],[Summary11]]</f>
        <v>2.3999884375446312E-3</v>
      </c>
      <c r="AO1750" s="306">
        <f>Tab1SDataShiftSummary[[#This Row],[Summary13]]-Tab1SDataShiftSummary[[#This Row],[Summary12]]</f>
        <v>-6.9499126450733861E-3</v>
      </c>
      <c r="AP1750" s="306">
        <f>Tab1SDataShiftSummary[[#This Row],[Summary14]]-Tab1SDataShiftSummary[[#This Row],[Summary13]]</f>
        <v>7.3138065500721883E-3</v>
      </c>
      <c r="AQ1750" s="306">
        <f>Tab1SDataShiftSummary[[#This Row],[Summary15]]-Tab1SDataShiftSummary[[#This Row],[Summary14]]</f>
        <v>-3.027409725040342E-3</v>
      </c>
      <c r="AR1750" s="306">
        <f>Tab1SDataShiftSummary[[#This Row],[Summary16]]-Tab1SDataShiftSummary[[#This Row],[Summary15]]</f>
        <v>-2.598502897481203E-3</v>
      </c>
      <c r="AS1750" s="306">
        <f>Tab1SDataShiftSummary[[#This Row],[Summary17]]-Tab1SDataShiftSummary[[#This Row],[Summary16]]</f>
        <v>1.511447512913211E-2</v>
      </c>
      <c r="AT1750" s="306">
        <f>Tab1SDataShiftSummary[[#This Row],[Summary18]]-Tab1SDataShiftSummary[[#This Row],[Summary17]]</f>
        <v>-4.4601207012152644E-3</v>
      </c>
      <c r="AU1750" s="306">
        <f>Tab1SDataShiftSummary[[#This Row],[Summary19]]-Tab1SDataShiftSummary[[#This Row],[Summary18]]</f>
        <v>1.0143872775958629E-2</v>
      </c>
      <c r="AV1750" s="1404">
        <f ca="1">Tab1SDataShiftSummary[[#This Row],[Summary20]]-Tab1SDataShiftSummary[[#This Row],[Summary19]]</f>
        <v>0</v>
      </c>
      <c r="AY1750" s="717" t="s">
        <v>2268</v>
      </c>
    </row>
    <row r="1751" spans="1:55">
      <c r="A1751">
        <v>19</v>
      </c>
      <c r="B1751" s="717" t="s">
        <v>2278</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03"/>
      <c r="AY1751" s="717" t="s">
        <v>2278</v>
      </c>
    </row>
    <row r="1752" spans="1:55" ht="23" thickBot="1">
      <c r="A1752">
        <v>20</v>
      </c>
      <c r="B1752" s="717" t="s">
        <v>1829</v>
      </c>
      <c r="C1752"/>
      <c r="E1752" t="s">
        <v>2566</v>
      </c>
      <c r="F1752" s="719">
        <v>323965.18309999997</v>
      </c>
      <c r="G1752" s="719">
        <v>323965.18309999997</v>
      </c>
      <c r="H1752" s="719">
        <v>323965.18309999997</v>
      </c>
      <c r="I1752" s="719">
        <v>323965.18309999997</v>
      </c>
      <c r="J1752" s="719">
        <v>323965.18309999997</v>
      </c>
      <c r="K1752" s="719">
        <v>324807.49257605994</v>
      </c>
      <c r="L1752" s="719">
        <v>370852.52119325992</v>
      </c>
      <c r="M1752" s="719">
        <v>370852.52119325992</v>
      </c>
      <c r="N1752" s="719">
        <v>324807.49257605994</v>
      </c>
      <c r="O1752" s="719">
        <v>324807.49257605994</v>
      </c>
      <c r="P1752" s="719">
        <v>324807.49257605994</v>
      </c>
      <c r="Q1752" s="719">
        <v>324807.49257605994</v>
      </c>
      <c r="R1752" s="719">
        <v>324807.49257605994</v>
      </c>
      <c r="S1752" s="719">
        <v>603997.06102686014</v>
      </c>
      <c r="T1752" s="719">
        <v>603997.06102686014</v>
      </c>
      <c r="U1752" s="719">
        <v>603997.06102686014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-280031.87792686018</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842.3094760599779</v>
      </c>
      <c r="AH1752" s="306">
        <f>Tab1SDataShiftSummary[[#This Row],[Summary6]]-Tab1SDataShiftSummary[[#This Row],[Summary5]]</f>
        <v>46045.028617199976</v>
      </c>
      <c r="AI1752" s="306">
        <f>Tab1SDataShiftSummary[[#This Row],[Summary7]]-Tab1SDataShiftSummary[[#This Row],[Summary6]]</f>
        <v>0</v>
      </c>
      <c r="AJ1752" s="306">
        <f>Tab1SDataShiftSummary[[#This Row],[Summary8]]-Tab1SDataShiftSummary[[#This Row],[Summary7]]</f>
        <v>-46045.028617199976</v>
      </c>
      <c r="AK1752" s="306">
        <f>Tab1SDataShiftSummary[[#This Row],[Summary9]]-Tab1SDataShiftSummary[[#This Row],[Summary8]]</f>
        <v>0</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279189.5684508002</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06" t="s">
        <v>2553</v>
      </c>
      <c r="AY1752" s="717" t="s">
        <v>2610</v>
      </c>
    </row>
    <row r="1753" spans="1:55" ht="24" thickTop="1" thickBot="1">
      <c r="A1753">
        <v>21</v>
      </c>
      <c r="B1753" s="717" t="s">
        <v>2472</v>
      </c>
      <c r="C1753"/>
      <c r="E1753" s="91">
        <f ca="1">MIN(F1754:Z1754)</f>
        <v>32402891.757599998</v>
      </c>
      <c r="F1753" s="1379">
        <v>-0.76499078151409694</v>
      </c>
      <c r="G1753" s="1379">
        <v>-0.79255823939257641</v>
      </c>
      <c r="H1753" s="1379">
        <v>-0.79255823939257641</v>
      </c>
      <c r="I1753" s="1379">
        <v>-0.796215727993698</v>
      </c>
      <c r="J1753" s="1379">
        <v>-0.78321530432376085</v>
      </c>
      <c r="K1753" s="1379">
        <v>-0.77822621012655002</v>
      </c>
      <c r="L1753" s="1379">
        <v>-0.76779551321084571</v>
      </c>
      <c r="M1753" s="1379">
        <v>-0.76779551321084571</v>
      </c>
      <c r="N1753" s="1379">
        <v>-0.7887399236250966</v>
      </c>
      <c r="O1753" s="1379">
        <v>-0.7887399236250966</v>
      </c>
      <c r="P1753" s="1379">
        <v>-0.7887399236250966</v>
      </c>
      <c r="Q1753" s="1379">
        <v>-0.7887399236250966</v>
      </c>
      <c r="R1753" s="1379">
        <v>-0.7887399236250966</v>
      </c>
      <c r="S1753" s="1379">
        <v>-0.72118188043931297</v>
      </c>
      <c r="T1753" s="1379">
        <v>-0.72765092697338596</v>
      </c>
      <c r="U1753" s="1379">
        <v>-0.72765092697338596</v>
      </c>
      <c r="V1753" s="1379">
        <v>-0.73590664329277755</v>
      </c>
      <c r="W1753" s="1379">
        <v>-0.73834672886444275</v>
      </c>
      <c r="X1753" s="1379">
        <v>-0.73834672886444275</v>
      </c>
      <c r="Y1753" s="1379">
        <v>-0.73834672892608888</v>
      </c>
      <c r="Z1753" s="1379">
        <f ca="1">_xlfn.LET(_xlpm.Result,(Z1743+Z1752),-_xlpm.Result/Z1735)</f>
        <v>-0.73834672892608888</v>
      </c>
      <c r="AA1753" s="826"/>
      <c r="AB1753" s="1379">
        <f ca="1">Tab1SDataShiftSummary[[#This Row],[Summary0]]-Tab1SDataShiftSummary[[#This Row],[Summary20]]</f>
        <v>-2.664405258800806E-2</v>
      </c>
      <c r="AC1753" s="1379">
        <f>Tab1SDataShiftSummary[[#This Row],[Summary1]]-Tab1SDataShiftSummary[[#This Row],[Summary0]]</f>
        <v>-2.7567457878479473E-2</v>
      </c>
      <c r="AD1753" s="1379">
        <f>Tab1SDataShiftSummary[[#This Row],[Summary2]]-Tab1SDataShiftSummary[[#This Row],[Summary1]]</f>
        <v>0</v>
      </c>
      <c r="AE1753" s="1379">
        <f>Tab1SDataShiftSummary[[#This Row],[Summary3]]-Tab1SDataShiftSummary[[#This Row],[Summary2]]</f>
        <v>-3.6574886011215835E-3</v>
      </c>
      <c r="AF1753" s="1379">
        <f>Tab1SDataShiftSummary[[#This Row],[Summary4]]-Tab1SDataShiftSummary[[#This Row],[Summary3]]</f>
        <v>1.3000423669937144E-2</v>
      </c>
      <c r="AG1753" s="1379">
        <f>Tab1SDataShiftSummary[[#This Row],[Summary5]]-Tab1SDataShiftSummary[[#This Row],[Summary4]]</f>
        <v>4.9890941972108305E-3</v>
      </c>
      <c r="AH1753" s="1379">
        <f>Tab1SDataShiftSummary[[#This Row],[Summary6]]-Tab1SDataShiftSummary[[#This Row],[Summary5]]</f>
        <v>1.0430696915704307E-2</v>
      </c>
      <c r="AI1753" s="1379">
        <f>Tab1SDataShiftSummary[[#This Row],[Summary7]]-Tab1SDataShiftSummary[[#This Row],[Summary6]]</f>
        <v>0</v>
      </c>
      <c r="AJ1753" s="1379">
        <f>Tab1SDataShiftSummary[[#This Row],[Summary8]]-Tab1SDataShiftSummary[[#This Row],[Summary7]]</f>
        <v>-2.094441041425088E-2</v>
      </c>
      <c r="AK1753" s="1379">
        <f>Tab1SDataShiftSummary[[#This Row],[Summary9]]-Tab1SDataShiftSummary[[#This Row],[Summary8]]</f>
        <v>0</v>
      </c>
      <c r="AL1753" s="1379">
        <f>Tab1SDataShiftSummary[[#This Row],[Summary10]]-Tab1SDataShiftSummary[[#This Row],[Summary9]]</f>
        <v>0</v>
      </c>
      <c r="AM1753" s="1379">
        <f>Tab1SDataShiftSummary[[#This Row],[Summary11]]-Tab1SDataShiftSummary[[#This Row],[Summary10]]</f>
        <v>0</v>
      </c>
      <c r="AN1753" s="1379">
        <f>Tab1SDataShiftSummary[[#This Row],[Summary12]]-Tab1SDataShiftSummary[[#This Row],[Summary11]]</f>
        <v>0</v>
      </c>
      <c r="AO1753" s="1379">
        <f>Tab1SDataShiftSummary[[#This Row],[Summary13]]-Tab1SDataShiftSummary[[#This Row],[Summary12]]</f>
        <v>6.7558043185783623E-2</v>
      </c>
      <c r="AP1753" s="1379">
        <f>Tab1SDataShiftSummary[[#This Row],[Summary14]]-Tab1SDataShiftSummary[[#This Row],[Summary13]]</f>
        <v>-6.4690465340729864E-3</v>
      </c>
      <c r="AQ1753" s="1379">
        <f>Tab1SDataShiftSummary[[#This Row],[Summary15]]-Tab1SDataShiftSummary[[#This Row],[Summary14]]</f>
        <v>0</v>
      </c>
      <c r="AR1753" s="1379">
        <f>Tab1SDataShiftSummary[[#This Row],[Summary16]]-Tab1SDataShiftSummary[[#This Row],[Summary15]]</f>
        <v>-8.2557163193915928E-3</v>
      </c>
      <c r="AS1753" s="1379">
        <f>Tab1SDataShiftSummary[[#This Row],[Summary17]]-Tab1SDataShiftSummary[[#This Row],[Summary16]]</f>
        <v>-2.4400855716651959E-3</v>
      </c>
      <c r="AT1753" s="1379">
        <f>Tab1SDataShiftSummary[[#This Row],[Summary18]]-Tab1SDataShiftSummary[[#This Row],[Summary17]]</f>
        <v>0</v>
      </c>
      <c r="AU1753" s="1379">
        <f>Tab1SDataShiftSummary[[#This Row],[Summary19]]-Tab1SDataShiftSummary[[#This Row],[Summary18]]</f>
        <v>-6.164613264303398E-11</v>
      </c>
      <c r="AV1753" s="1407" t="s">
        <v>2478</v>
      </c>
      <c r="AY1753" s="717"/>
      <c r="AZ1753" s="351" t="s">
        <v>967</v>
      </c>
      <c r="BA1753" s="351" t="s">
        <v>157</v>
      </c>
      <c r="BB1753" s="351" t="s">
        <v>2571</v>
      </c>
      <c r="BC1753" s="351" t="s">
        <v>1085</v>
      </c>
    </row>
    <row r="1754" spans="1:55" ht="23" thickTop="1">
      <c r="A1754" t="s">
        <v>1085</v>
      </c>
      <c r="B1754" s="715" t="s">
        <v>1821</v>
      </c>
      <c r="C1754" s="862">
        <f ca="1">Calc!BC105</f>
        <v>-25594821.556763712</v>
      </c>
      <c r="D1754" s="715" t="s">
        <v>2269</v>
      </c>
      <c r="E1754" s="1223">
        <f ca="1">MAX(Tab1SDataShiftSummary[#This Row])</f>
        <v>35373763.758000001</v>
      </c>
      <c r="F1754" s="720">
        <v>35373763.758000001</v>
      </c>
      <c r="G1754" s="720">
        <v>34401886.386100002</v>
      </c>
      <c r="H1754" s="720">
        <v>34030380.474999994</v>
      </c>
      <c r="I1754" s="720">
        <v>33622261.980000004</v>
      </c>
      <c r="J1754" s="720">
        <v>33346183.809800003</v>
      </c>
      <c r="K1754" s="720">
        <v>33315220.589400001</v>
      </c>
      <c r="L1754" s="720">
        <v>32603200.340700001</v>
      </c>
      <c r="M1754" s="720">
        <v>32402891.757599998</v>
      </c>
      <c r="N1754" s="720">
        <v>33339452.280199993</v>
      </c>
      <c r="O1754" s="720">
        <v>33084041.897999998</v>
      </c>
      <c r="P1754" s="720">
        <v>33287307.803399999</v>
      </c>
      <c r="Q1754" s="720">
        <v>33347268.887262896</v>
      </c>
      <c r="R1754" s="720">
        <v>33348852.015444562</v>
      </c>
      <c r="S1754" s="720">
        <v>32495287.315467354</v>
      </c>
      <c r="T1754" s="720">
        <v>32814299.083402038</v>
      </c>
      <c r="U1754" s="720">
        <v>32846777.059261773</v>
      </c>
      <c r="V1754" s="720">
        <v>32814708.847044926</v>
      </c>
      <c r="W1754" s="720">
        <v>32955295.243325494</v>
      </c>
      <c r="X1754" s="720">
        <v>32983542.892190702</v>
      </c>
      <c r="Y1754" s="720">
        <v>32903830.332280245</v>
      </c>
      <c r="Z1754" s="720">
        <f t="shared" ref="Z1754:Z1763" ca="1" si="136">Z1712+Z1733</f>
        <v>32903830.332280245</v>
      </c>
      <c r="AB1754" s="91">
        <f ca="1">Tab1SDataShiftSummary[[#This Row],[Summary0]]-Tab1SDataShiftSummary[[#This Row],[Summary20]]</f>
        <v>2469933.4257197566</v>
      </c>
      <c r="AC1754" s="91">
        <f>Tab1SDataShiftSummary[[#This Row],[Summary1]]-Tab1SDataShiftSummary[[#This Row],[Summary0]]</f>
        <v>-971877.37189999968</v>
      </c>
      <c r="AD1754" s="91">
        <f>Tab1SDataShiftSummary[[#This Row],[Summary2]]-Tab1SDataShiftSummary[[#This Row],[Summary1]]</f>
        <v>-371505.91110000759</v>
      </c>
      <c r="AE1754" s="91">
        <f>Tab1SDataShiftSummary[[#This Row],[Summary3]]-Tab1SDataShiftSummary[[#This Row],[Summary2]]</f>
        <v>-408118.49499998987</v>
      </c>
      <c r="AF1754" s="91">
        <f>Tab1SDataShiftSummary[[#This Row],[Summary4]]-Tab1SDataShiftSummary[[#This Row],[Summary3]]</f>
        <v>-276078.17020000145</v>
      </c>
      <c r="AG1754" s="91">
        <f>Tab1SDataShiftSummary[[#This Row],[Summary5]]-Tab1SDataShiftSummary[[#This Row],[Summary4]]</f>
        <v>-30963.220400001854</v>
      </c>
      <c r="AH1754" s="91">
        <f>Tab1SDataShiftSummary[[#This Row],[Summary6]]-Tab1SDataShiftSummary[[#This Row],[Summary5]]</f>
        <v>-712020.24870000035</v>
      </c>
      <c r="AI1754" s="91">
        <f>Tab1SDataShiftSummary[[#This Row],[Summary7]]-Tab1SDataShiftSummary[[#This Row],[Summary6]]</f>
        <v>-200308.58310000226</v>
      </c>
      <c r="AJ1754" s="91">
        <f>Tab1SDataShiftSummary[[#This Row],[Summary8]]-Tab1SDataShiftSummary[[#This Row],[Summary7]]</f>
        <v>936560.52259999514</v>
      </c>
      <c r="AK1754" s="91">
        <f>Tab1SDataShiftSummary[[#This Row],[Summary9]]-Tab1SDataShiftSummary[[#This Row],[Summary8]]</f>
        <v>-255410.38219999522</v>
      </c>
      <c r="AL1754" s="91">
        <f>Tab1SDataShiftSummary[[#This Row],[Summary10]]-Tab1SDataShiftSummary[[#This Row],[Summary9]]</f>
        <v>203265.90540000051</v>
      </c>
      <c r="AM1754" s="91">
        <f>Tab1SDataShiftSummary[[#This Row],[Summary11]]-Tab1SDataShiftSummary[[#This Row],[Summary10]]</f>
        <v>59961.083862897009</v>
      </c>
      <c r="AN1754" s="91">
        <f>Tab1SDataShiftSummary[[#This Row],[Summary12]]-Tab1SDataShiftSummary[[#This Row],[Summary11]]</f>
        <v>1583.1281816661358</v>
      </c>
      <c r="AO1754" s="91">
        <f>Tab1SDataShiftSummary[[#This Row],[Summary13]]-Tab1SDataShiftSummary[[#This Row],[Summary12]]</f>
        <v>-853564.69997720793</v>
      </c>
      <c r="AP1754" s="91">
        <f>Tab1SDataShiftSummary[[#This Row],[Summary14]]-Tab1SDataShiftSummary[[#This Row],[Summary13]]</f>
        <v>319011.76793468371</v>
      </c>
      <c r="AQ1754" s="91">
        <f>Tab1SDataShiftSummary[[#This Row],[Summary15]]-Tab1SDataShiftSummary[[#This Row],[Summary14]]</f>
        <v>32477.975859735161</v>
      </c>
      <c r="AR1754" s="91">
        <f>Tab1SDataShiftSummary[[#This Row],[Summary16]]-Tab1SDataShiftSummary[[#This Row],[Summary15]]</f>
        <v>-32068.212216846645</v>
      </c>
      <c r="AS1754" s="91">
        <f>Tab1SDataShiftSummary[[#This Row],[Summary17]]-Tab1SDataShiftSummary[[#This Row],[Summary16]]</f>
        <v>140586.39628056809</v>
      </c>
      <c r="AT1754" s="91">
        <f>Tab1SDataShiftSummary[[#This Row],[Summary18]]-Tab1SDataShiftSummary[[#This Row],[Summary17]]</f>
        <v>28247.64886520803</v>
      </c>
      <c r="AU1754" s="91">
        <f>Tab1SDataShiftSummary[[#This Row],[Summary19]]-Tab1SDataShiftSummary[[#This Row],[Summary18]]</f>
        <v>-79712.559910457581</v>
      </c>
      <c r="AV1754" s="1403">
        <f ca="1">Tab1SDataShiftSummary[[#This Row],[Summary20]]-Tab1SDataShiftSummary[[#This Row],[Summary19]]</f>
        <v>0</v>
      </c>
      <c r="AW1754" s="91">
        <f ca="1">C1754+Tab1SDataShiftSummary[[#This Row],[Summary20]]</f>
        <v>7309008.7755165324</v>
      </c>
      <c r="AX1754" t="s">
        <v>2612</v>
      </c>
      <c r="AY1754" s="715" t="s">
        <v>1821</v>
      </c>
      <c r="AZ1754" s="91">
        <f ca="1">Tab1SDataShiftSummary[[#This Row],[Summary20]]+C1754</f>
        <v>7309008.7755165324</v>
      </c>
      <c r="BA1754" s="91">
        <f ca="1">Z1764</f>
        <v>3494744.6956375092</v>
      </c>
      <c r="BB1754" s="91">
        <f ca="1">Z1773</f>
        <v>3521362.9219226209</v>
      </c>
      <c r="BC1754" s="91">
        <f ca="1">AZ1754+Z1773</f>
        <v>10830371.697439153</v>
      </c>
    </row>
    <row r="1755" spans="1:55">
      <c r="A1755">
        <v>2</v>
      </c>
      <c r="B1755" s="715" t="s">
        <v>1896</v>
      </c>
      <c r="C1755"/>
      <c r="E1755"/>
      <c r="F1755" s="861">
        <v>-72501062.644800007</v>
      </c>
      <c r="G1755" s="861">
        <v>-72515199.304800004</v>
      </c>
      <c r="H1755" s="861">
        <v>-72632403.244800001</v>
      </c>
      <c r="I1755" s="861">
        <v>-72892397.807658002</v>
      </c>
      <c r="J1755" s="861">
        <v>-72884256.495138019</v>
      </c>
      <c r="K1755" s="861">
        <v>-72884256.495138019</v>
      </c>
      <c r="L1755" s="861">
        <v>-72593155.916370004</v>
      </c>
      <c r="M1755" s="861">
        <v>-72630773.468370005</v>
      </c>
      <c r="N1755" s="861">
        <v>-72870739.762769997</v>
      </c>
      <c r="O1755" s="861">
        <v>-72870739.762769997</v>
      </c>
      <c r="P1755" s="861">
        <v>-72870739.762769997</v>
      </c>
      <c r="Q1755" s="861">
        <v>-72870739.762769997</v>
      </c>
      <c r="R1755" s="861">
        <v>-72980825.242770001</v>
      </c>
      <c r="S1755" s="861">
        <v>-72980825.242770001</v>
      </c>
      <c r="T1755" s="861">
        <v>-73281509.564651996</v>
      </c>
      <c r="U1755" s="861">
        <v>-73657785.344651997</v>
      </c>
      <c r="V1755" s="861">
        <v>-73793045.108052</v>
      </c>
      <c r="W1755" s="861">
        <v>-74179251.75143826</v>
      </c>
      <c r="X1755" s="861">
        <v>-74271972.199438259</v>
      </c>
      <c r="Y1755" s="861">
        <v>-74271972.199438259</v>
      </c>
      <c r="Z1755" s="861">
        <f t="shared" ca="1" si="136"/>
        <v>-74271972.199438259</v>
      </c>
      <c r="AB1755" s="91">
        <f ca="1">Tab1SDataShiftSummary[[#This Row],[Summary0]]-Tab1SDataShiftSummary[[#This Row],[Summary20]]</f>
        <v>1770909.5546382517</v>
      </c>
      <c r="AC1755" s="91">
        <f>Tab1SDataShiftSummary[[#This Row],[Summary1]]-Tab1SDataShiftSummary[[#This Row],[Summary0]]</f>
        <v>-14136.659999996424</v>
      </c>
      <c r="AD1755" s="91">
        <f>Tab1SDataShiftSummary[[#This Row],[Summary2]]-Tab1SDataShiftSummary[[#This Row],[Summary1]]</f>
        <v>-117203.93999999762</v>
      </c>
      <c r="AE1755" s="91">
        <f>Tab1SDataShiftSummary[[#This Row],[Summary3]]-Tab1SDataShiftSummary[[#This Row],[Summary2]]</f>
        <v>-259994.5628580004</v>
      </c>
      <c r="AF1755" s="91">
        <f>Tab1SDataShiftSummary[[#This Row],[Summary4]]-Tab1SDataShiftSummary[[#This Row],[Summary3]]</f>
        <v>8141.3125199824572</v>
      </c>
      <c r="AG1755" s="91">
        <f>Tab1SDataShiftSummary[[#This Row],[Summary5]]-Tab1SDataShiftSummary[[#This Row],[Summary4]]</f>
        <v>0</v>
      </c>
      <c r="AH1755" s="91">
        <f>Tab1SDataShiftSummary[[#This Row],[Summary6]]-Tab1SDataShiftSummary[[#This Row],[Summary5]]</f>
        <v>291100.57876801491</v>
      </c>
      <c r="AI1755" s="91">
        <f>Tab1SDataShiftSummary[[#This Row],[Summary7]]-Tab1SDataShiftSummary[[#This Row],[Summary6]]</f>
        <v>-37617.552000001073</v>
      </c>
      <c r="AJ1755" s="91">
        <f>Tab1SDataShiftSummary[[#This Row],[Summary8]]-Tab1SDataShiftSummary[[#This Row],[Summary7]]</f>
        <v>-239966.29439999163</v>
      </c>
      <c r="AK1755" s="91">
        <f>Tab1SDataShiftSummary[[#This Row],[Summary9]]-Tab1SDataShiftSummary[[#This Row],[Summary8]]</f>
        <v>0</v>
      </c>
      <c r="AL1755" s="91">
        <f>Tab1SDataShiftSummary[[#This Row],[Summary10]]-Tab1SDataShiftSummary[[#This Row],[Summary9]]</f>
        <v>0</v>
      </c>
      <c r="AM1755" s="91">
        <f>Tab1SDataShiftSummary[[#This Row],[Summary11]]-Tab1SDataShiftSummary[[#This Row],[Summary10]]</f>
        <v>0</v>
      </c>
      <c r="AN1755" s="91">
        <f>Tab1SDataShiftSummary[[#This Row],[Summary12]]-Tab1SDataShiftSummary[[#This Row],[Summary11]]</f>
        <v>-110085.48000000417</v>
      </c>
      <c r="AO1755" s="91">
        <f>Tab1SDataShiftSummary[[#This Row],[Summary13]]-Tab1SDataShiftSummary[[#This Row],[Summary12]]</f>
        <v>0</v>
      </c>
      <c r="AP1755" s="91">
        <f>Tab1SDataShiftSummary[[#This Row],[Summary14]]-Tab1SDataShiftSummary[[#This Row],[Summary13]]</f>
        <v>-300684.32188199461</v>
      </c>
      <c r="AQ1755" s="91">
        <f>Tab1SDataShiftSummary[[#This Row],[Summary15]]-Tab1SDataShiftSummary[[#This Row],[Summary14]]</f>
        <v>-376275.78000000119</v>
      </c>
      <c r="AR1755" s="91">
        <f>Tab1SDataShiftSummary[[#This Row],[Summary16]]-Tab1SDataShiftSummary[[#This Row],[Summary15]]</f>
        <v>-135259.76340000331</v>
      </c>
      <c r="AS1755" s="91">
        <f>Tab1SDataShiftSummary[[#This Row],[Summary17]]-Tab1SDataShiftSummary[[#This Row],[Summary16]]</f>
        <v>-386206.64338625968</v>
      </c>
      <c r="AT1755" s="91">
        <f>Tab1SDataShiftSummary[[#This Row],[Summary18]]-Tab1SDataShiftSummary[[#This Row],[Summary17]]</f>
        <v>-92720.447999998927</v>
      </c>
      <c r="AU1755" s="91">
        <f>Tab1SDataShiftSummary[[#This Row],[Summary19]]-Tab1SDataShiftSummary[[#This Row],[Summary18]]</f>
        <v>0</v>
      </c>
      <c r="AV1755" s="1403">
        <f ca="1">Tab1SDataShiftSummary[[#This Row],[Summary20]]-Tab1SDataShiftSummary[[#This Row],[Summary19]]</f>
        <v>0</v>
      </c>
      <c r="AY1755" s="715" t="s">
        <v>1896</v>
      </c>
    </row>
    <row r="1756" spans="1:55">
      <c r="A1756">
        <v>3</v>
      </c>
      <c r="B1756" s="715" t="s">
        <v>2282</v>
      </c>
      <c r="C1756" s="91">
        <f ca="1">Tab1SDataShiftSummary[[#This Row],[Summary20]]</f>
        <v>-9293764.3603945486</v>
      </c>
      <c r="E1756"/>
      <c r="F1756" s="720">
        <v>-10246857.913984034</v>
      </c>
      <c r="G1756" s="720">
        <v>-9558642.9139840361</v>
      </c>
      <c r="H1756" s="720">
        <v>-9276463.9139840342</v>
      </c>
      <c r="I1756" s="720">
        <v>-9190288.9939840343</v>
      </c>
      <c r="J1756" s="720">
        <v>-9591786.287744116</v>
      </c>
      <c r="K1756" s="720">
        <v>-9646301.0888202898</v>
      </c>
      <c r="L1756" s="720">
        <v>-9613939.2161502913</v>
      </c>
      <c r="M1756" s="720">
        <v>-9613939.2161502913</v>
      </c>
      <c r="N1756" s="720">
        <v>-9457286.9765502904</v>
      </c>
      <c r="O1756" s="720">
        <v>-9389761.866550291</v>
      </c>
      <c r="P1756" s="720">
        <v>-9389761.866550291</v>
      </c>
      <c r="Q1756" s="720">
        <v>-9389761.866550291</v>
      </c>
      <c r="R1756" s="720">
        <v>-9309263.1125502903</v>
      </c>
      <c r="S1756" s="720">
        <v>-8936732.0435502902</v>
      </c>
      <c r="T1756" s="720">
        <v>-9004502.7905502897</v>
      </c>
      <c r="U1756" s="720">
        <v>-8947494.9545502905</v>
      </c>
      <c r="V1756" s="720">
        <v>-9048637.2425502893</v>
      </c>
      <c r="W1756" s="720">
        <v>-9215274.48493395</v>
      </c>
      <c r="X1756" s="720">
        <v>-9307994.9329339489</v>
      </c>
      <c r="Y1756" s="720">
        <v>-9293764.3603945486</v>
      </c>
      <c r="Z1756" s="720">
        <f t="shared" ca="1" si="136"/>
        <v>-9293764.3603945486</v>
      </c>
      <c r="AB1756" s="91">
        <f ca="1">Tab1SDataShiftSummary[[#This Row],[Summary0]]-Tab1SDataShiftSummary[[#This Row],[Summary20]]</f>
        <v>-953093.55358948559</v>
      </c>
      <c r="AC1756" s="91">
        <f>Tab1SDataShiftSummary[[#This Row],[Summary1]]-Tab1SDataShiftSummary[[#This Row],[Summary0]]</f>
        <v>688214.99999999814</v>
      </c>
      <c r="AD1756" s="91">
        <f>Tab1SDataShiftSummary[[#This Row],[Summary2]]-Tab1SDataShiftSummary[[#This Row],[Summary1]]</f>
        <v>282179.00000000186</v>
      </c>
      <c r="AE1756" s="91">
        <f>Tab1SDataShiftSummary[[#This Row],[Summary3]]-Tab1SDataShiftSummary[[#This Row],[Summary2]]</f>
        <v>86174.919999999925</v>
      </c>
      <c r="AF1756" s="91">
        <f>Tab1SDataShiftSummary[[#This Row],[Summary4]]-Tab1SDataShiftSummary[[#This Row],[Summary3]]</f>
        <v>-401497.29376008175</v>
      </c>
      <c r="AG1756" s="91">
        <f>Tab1SDataShiftSummary[[#This Row],[Summary5]]-Tab1SDataShiftSummary[[#This Row],[Summary4]]</f>
        <v>-54514.801076173782</v>
      </c>
      <c r="AH1756" s="91">
        <f>Tab1SDataShiftSummary[[#This Row],[Summary6]]-Tab1SDataShiftSummary[[#This Row],[Summary5]]</f>
        <v>32361.872669998556</v>
      </c>
      <c r="AI1756" s="91">
        <f>Tab1SDataShiftSummary[[#This Row],[Summary7]]-Tab1SDataShiftSummary[[#This Row],[Summary6]]</f>
        <v>0</v>
      </c>
      <c r="AJ1756" s="91">
        <f>Tab1SDataShiftSummary[[#This Row],[Summary8]]-Tab1SDataShiftSummary[[#This Row],[Summary7]]</f>
        <v>156652.2396000009</v>
      </c>
      <c r="AK1756" s="91">
        <f>Tab1SDataShiftSummary[[#This Row],[Summary9]]-Tab1SDataShiftSummary[[#This Row],[Summary8]]</f>
        <v>67525.109999999404</v>
      </c>
      <c r="AL1756" s="91">
        <f>Tab1SDataShiftSummary[[#This Row],[Summary10]]-Tab1SDataShiftSummary[[#This Row],[Summary9]]</f>
        <v>0</v>
      </c>
      <c r="AM1756" s="91">
        <f>Tab1SDataShiftSummary[[#This Row],[Summary11]]-Tab1SDataShiftSummary[[#This Row],[Summary10]]</f>
        <v>0</v>
      </c>
      <c r="AN1756" s="91">
        <f>Tab1SDataShiftSummary[[#This Row],[Summary12]]-Tab1SDataShiftSummary[[#This Row],[Summary11]]</f>
        <v>80498.754000000656</v>
      </c>
      <c r="AO1756" s="91">
        <f>Tab1SDataShiftSummary[[#This Row],[Summary13]]-Tab1SDataShiftSummary[[#This Row],[Summary12]]</f>
        <v>372531.06900000013</v>
      </c>
      <c r="AP1756" s="91">
        <f>Tab1SDataShiftSummary[[#This Row],[Summary14]]-Tab1SDataShiftSummary[[#This Row],[Summary13]]</f>
        <v>-67770.746999999508</v>
      </c>
      <c r="AQ1756" s="91">
        <f>Tab1SDataShiftSummary[[#This Row],[Summary15]]-Tab1SDataShiftSummary[[#This Row],[Summary14]]</f>
        <v>57007.835999999195</v>
      </c>
      <c r="AR1756" s="91">
        <f>Tab1SDataShiftSummary[[#This Row],[Summary16]]-Tab1SDataShiftSummary[[#This Row],[Summary15]]</f>
        <v>-101142.28799999878</v>
      </c>
      <c r="AS1756" s="91">
        <f>Tab1SDataShiftSummary[[#This Row],[Summary17]]-Tab1SDataShiftSummary[[#This Row],[Summary16]]</f>
        <v>-166637.24238366075</v>
      </c>
      <c r="AT1756" s="91">
        <f>Tab1SDataShiftSummary[[#This Row],[Summary18]]-Tab1SDataShiftSummary[[#This Row],[Summary17]]</f>
        <v>-92720.447999998927</v>
      </c>
      <c r="AU1756" s="91">
        <f>Tab1SDataShiftSummary[[#This Row],[Summary19]]-Tab1SDataShiftSummary[[#This Row],[Summary18]]</f>
        <v>14230.572539400309</v>
      </c>
      <c r="AV1756" s="1403">
        <f ca="1">Tab1SDataShiftSummary[[#This Row],[Summary20]]-Tab1SDataShiftSummary[[#This Row],[Summary19]]</f>
        <v>0</v>
      </c>
      <c r="AY1756" s="715" t="s">
        <v>2282</v>
      </c>
    </row>
    <row r="1757" spans="1:55">
      <c r="A1757">
        <v>4</v>
      </c>
      <c r="B1757" s="715" t="s">
        <v>2116</v>
      </c>
      <c r="C1757" s="91">
        <f ca="1">Tab1SDataShiftSummary[[#This Row],[Summary20]]</f>
        <v>7309008.7755165379</v>
      </c>
      <c r="E1757"/>
      <c r="F1757" s="720">
        <v>9778942.2012362871</v>
      </c>
      <c r="G1757" s="720">
        <v>8807064.8293362875</v>
      </c>
      <c r="H1757" s="720">
        <v>8435558.9182362854</v>
      </c>
      <c r="I1757" s="720">
        <v>8027440.4232362853</v>
      </c>
      <c r="J1757" s="720">
        <v>7751362.2530362867</v>
      </c>
      <c r="K1757" s="720">
        <v>7720399.0326362848</v>
      </c>
      <c r="L1757" s="720">
        <v>7008378.7839362882</v>
      </c>
      <c r="M1757" s="720">
        <v>6808070.2008362897</v>
      </c>
      <c r="N1757" s="720">
        <v>7744630.7234362848</v>
      </c>
      <c r="O1757" s="720">
        <v>7489220.3412362849</v>
      </c>
      <c r="P1757" s="720">
        <v>7692486.246636292</v>
      </c>
      <c r="Q1757" s="720">
        <v>7752447.3304991815</v>
      </c>
      <c r="R1757" s="720">
        <v>7754030.4586808393</v>
      </c>
      <c r="S1757" s="720">
        <v>6900465.7587036435</v>
      </c>
      <c r="T1757" s="720">
        <v>7219477.5266383244</v>
      </c>
      <c r="U1757" s="720">
        <v>7251955.5024980623</v>
      </c>
      <c r="V1757" s="720">
        <v>7219887.2902812269</v>
      </c>
      <c r="W1757" s="720">
        <v>7360473.6865617838</v>
      </c>
      <c r="X1757" s="720">
        <v>7388721.3354269834</v>
      </c>
      <c r="Y1757" s="720">
        <v>7309008.7755165379</v>
      </c>
      <c r="Z1757" s="720">
        <f t="shared" ca="1" si="136"/>
        <v>7309008.7755165379</v>
      </c>
      <c r="AB1757" s="91">
        <f ca="1">Tab1SDataShiftSummary[[#This Row],[Summary0]]-Tab1SDataShiftSummary[[#This Row],[Summary20]]</f>
        <v>2469933.4257197492</v>
      </c>
      <c r="AC1757" s="91">
        <f>Tab1SDataShiftSummary[[#This Row],[Summary1]]-Tab1SDataShiftSummary[[#This Row],[Summary0]]</f>
        <v>-971877.37189999968</v>
      </c>
      <c r="AD1757" s="91">
        <f>Tab1SDataShiftSummary[[#This Row],[Summary2]]-Tab1SDataShiftSummary[[#This Row],[Summary1]]</f>
        <v>-371505.91110000201</v>
      </c>
      <c r="AE1757" s="91">
        <f>Tab1SDataShiftSummary[[#This Row],[Summary3]]-Tab1SDataShiftSummary[[#This Row],[Summary2]]</f>
        <v>-408118.49500000011</v>
      </c>
      <c r="AF1757" s="91">
        <f>Tab1SDataShiftSummary[[#This Row],[Summary4]]-Tab1SDataShiftSummary[[#This Row],[Summary3]]</f>
        <v>-276078.17019999865</v>
      </c>
      <c r="AG1757" s="91">
        <f>Tab1SDataShiftSummary[[#This Row],[Summary5]]-Tab1SDataShiftSummary[[#This Row],[Summary4]]</f>
        <v>-30963.220400001854</v>
      </c>
      <c r="AH1757" s="91">
        <f>Tab1SDataShiftSummary[[#This Row],[Summary6]]-Tab1SDataShiftSummary[[#This Row],[Summary5]]</f>
        <v>-712020.24869999662</v>
      </c>
      <c r="AI1757" s="91">
        <f>Tab1SDataShiftSummary[[#This Row],[Summary7]]-Tab1SDataShiftSummary[[#This Row],[Summary6]]</f>
        <v>-200308.58309999853</v>
      </c>
      <c r="AJ1757" s="91">
        <f>Tab1SDataShiftSummary[[#This Row],[Summary8]]-Tab1SDataShiftSummary[[#This Row],[Summary7]]</f>
        <v>936560.52259999514</v>
      </c>
      <c r="AK1757" s="91">
        <f>Tab1SDataShiftSummary[[#This Row],[Summary9]]-Tab1SDataShiftSummary[[#This Row],[Summary8]]</f>
        <v>-255410.38219999988</v>
      </c>
      <c r="AL1757" s="91">
        <f>Tab1SDataShiftSummary[[#This Row],[Summary10]]-Tab1SDataShiftSummary[[#This Row],[Summary9]]</f>
        <v>203265.90540000703</v>
      </c>
      <c r="AM1757" s="91">
        <f>Tab1SDataShiftSummary[[#This Row],[Summary11]]-Tab1SDataShiftSummary[[#This Row],[Summary10]]</f>
        <v>59961.083862889558</v>
      </c>
      <c r="AN1757" s="91">
        <f>Tab1SDataShiftSummary[[#This Row],[Summary12]]-Tab1SDataShiftSummary[[#This Row],[Summary11]]</f>
        <v>1583.1281816577539</v>
      </c>
      <c r="AO1757" s="91">
        <f>Tab1SDataShiftSummary[[#This Row],[Summary13]]-Tab1SDataShiftSummary[[#This Row],[Summary12]]</f>
        <v>-853564.69997719582</v>
      </c>
      <c r="AP1757" s="91">
        <f>Tab1SDataShiftSummary[[#This Row],[Summary14]]-Tab1SDataShiftSummary[[#This Row],[Summary13]]</f>
        <v>319011.76793468092</v>
      </c>
      <c r="AQ1757" s="91">
        <f>Tab1SDataShiftSummary[[#This Row],[Summary15]]-Tab1SDataShiftSummary[[#This Row],[Summary14]]</f>
        <v>32477.975859737955</v>
      </c>
      <c r="AR1757" s="91">
        <f>Tab1SDataShiftSummary[[#This Row],[Summary16]]-Tab1SDataShiftSummary[[#This Row],[Summary15]]</f>
        <v>-32068.212216835469</v>
      </c>
      <c r="AS1757" s="91">
        <f>Tab1SDataShiftSummary[[#This Row],[Summary17]]-Tab1SDataShiftSummary[[#This Row],[Summary16]]</f>
        <v>140586.39628055692</v>
      </c>
      <c r="AT1757" s="91">
        <f>Tab1SDataShiftSummary[[#This Row],[Summary18]]-Tab1SDataShiftSummary[[#This Row],[Summary17]]</f>
        <v>28247.648865199648</v>
      </c>
      <c r="AU1757" s="91">
        <f>Tab1SDataShiftSummary[[#This Row],[Summary19]]-Tab1SDataShiftSummary[[#This Row],[Summary18]]</f>
        <v>-79712.559910445474</v>
      </c>
      <c r="AV1757" s="1403">
        <f ca="1">Tab1SDataShiftSummary[[#This Row],[Summary20]]-Tab1SDataShiftSummary[[#This Row],[Summary19]]</f>
        <v>0</v>
      </c>
      <c r="AY1757" s="715" t="s">
        <v>2116</v>
      </c>
      <c r="AZ1757" t="s">
        <v>2113</v>
      </c>
    </row>
    <row r="1758" spans="1:55">
      <c r="A1758">
        <v>5</v>
      </c>
      <c r="B1758" s="715" t="s">
        <v>1898</v>
      </c>
      <c r="C1758" s="91"/>
      <c r="E1758"/>
      <c r="F1758" s="720">
        <v>-98095884.201563731</v>
      </c>
      <c r="G1758" s="720">
        <v>-98110020.861563742</v>
      </c>
      <c r="H1758" s="720">
        <v>-98227224.80156374</v>
      </c>
      <c r="I1758" s="720">
        <v>-98487219.364421725</v>
      </c>
      <c r="J1758" s="720">
        <v>-98479078.051901728</v>
      </c>
      <c r="K1758" s="720">
        <v>-98479078.051901728</v>
      </c>
      <c r="L1758" s="720">
        <v>-98187977.473133713</v>
      </c>
      <c r="M1758" s="720">
        <v>-98225595.025133714</v>
      </c>
      <c r="N1758" s="720">
        <v>-98465561.319533721</v>
      </c>
      <c r="O1758" s="720">
        <v>-98465561.319533721</v>
      </c>
      <c r="P1758" s="720">
        <v>-98465561.319533721</v>
      </c>
      <c r="Q1758" s="720">
        <v>-98465561.319533721</v>
      </c>
      <c r="R1758" s="720">
        <v>-98575646.79953371</v>
      </c>
      <c r="S1758" s="720">
        <v>-98575646.79953371</v>
      </c>
      <c r="T1758" s="720">
        <v>-98876331.121415704</v>
      </c>
      <c r="U1758" s="720">
        <v>-99252606.901415706</v>
      </c>
      <c r="V1758" s="720">
        <v>-99387866.664815709</v>
      </c>
      <c r="W1758" s="720">
        <v>-99774073.308201969</v>
      </c>
      <c r="X1758" s="720">
        <v>-99866793.756201968</v>
      </c>
      <c r="Y1758" s="720">
        <v>-99866793.756201968</v>
      </c>
      <c r="Z1758" s="720">
        <f t="shared" ca="1" si="136"/>
        <v>-99866793.756201968</v>
      </c>
      <c r="AA1758" s="360"/>
      <c r="AB1758" s="91">
        <f ca="1">Tab1SDataShiftSummary[[#This Row],[Summary0]]-Tab1SDataShiftSummary[[#This Row],[Summary20]]</f>
        <v>1770909.5546382368</v>
      </c>
      <c r="AC1758" s="91">
        <f>Tab1SDataShiftSummary[[#This Row],[Summary1]]-Tab1SDataShiftSummary[[#This Row],[Summary0]]</f>
        <v>-14136.660000011325</v>
      </c>
      <c r="AD1758" s="91">
        <f>Tab1SDataShiftSummary[[#This Row],[Summary2]]-Tab1SDataShiftSummary[[#This Row],[Summary1]]</f>
        <v>-117203.93999999762</v>
      </c>
      <c r="AE1758" s="91">
        <f>Tab1SDataShiftSummary[[#This Row],[Summary3]]-Tab1SDataShiftSummary[[#This Row],[Summary2]]</f>
        <v>-259994.5628579855</v>
      </c>
      <c r="AF1758" s="91">
        <f>Tab1SDataShiftSummary[[#This Row],[Summary4]]-Tab1SDataShiftSummary[[#This Row],[Summary3]]</f>
        <v>8141.3125199973583</v>
      </c>
      <c r="AG1758" s="91">
        <f>Tab1SDataShiftSummary[[#This Row],[Summary5]]-Tab1SDataShiftSummary[[#This Row],[Summary4]]</f>
        <v>0</v>
      </c>
      <c r="AH1758" s="91">
        <f>Tab1SDataShiftSummary[[#This Row],[Summary6]]-Tab1SDataShiftSummary[[#This Row],[Summary5]]</f>
        <v>291100.57876801491</v>
      </c>
      <c r="AI1758" s="91">
        <f>Tab1SDataShiftSummary[[#This Row],[Summary7]]-Tab1SDataShiftSummary[[#This Row],[Summary6]]</f>
        <v>-37617.552000001073</v>
      </c>
      <c r="AJ1758" s="91">
        <f>Tab1SDataShiftSummary[[#This Row],[Summary8]]-Tab1SDataShiftSummary[[#This Row],[Summary7]]</f>
        <v>-239966.29440000653</v>
      </c>
      <c r="AK1758" s="91">
        <f>Tab1SDataShiftSummary[[#This Row],[Summary9]]-Tab1SDataShiftSummary[[#This Row],[Summary8]]</f>
        <v>0</v>
      </c>
      <c r="AL1758" s="91">
        <f>Tab1SDataShiftSummary[[#This Row],[Summary10]]-Tab1SDataShiftSummary[[#This Row],[Summary9]]</f>
        <v>0</v>
      </c>
      <c r="AM1758" s="91">
        <f>Tab1SDataShiftSummary[[#This Row],[Summary11]]-Tab1SDataShiftSummary[[#This Row],[Summary10]]</f>
        <v>0</v>
      </c>
      <c r="AN1758" s="91">
        <f>Tab1SDataShiftSummary[[#This Row],[Summary12]]-Tab1SDataShiftSummary[[#This Row],[Summary11]]</f>
        <v>-110085.47999998927</v>
      </c>
      <c r="AO1758" s="91">
        <f>Tab1SDataShiftSummary[[#This Row],[Summary13]]-Tab1SDataShiftSummary[[#This Row],[Summary12]]</f>
        <v>0</v>
      </c>
      <c r="AP1758" s="91">
        <f>Tab1SDataShiftSummary[[#This Row],[Summary14]]-Tab1SDataShiftSummary[[#This Row],[Summary13]]</f>
        <v>-300684.32188199461</v>
      </c>
      <c r="AQ1758" s="91">
        <f>Tab1SDataShiftSummary[[#This Row],[Summary15]]-Tab1SDataShiftSummary[[#This Row],[Summary14]]</f>
        <v>-376275.78000000119</v>
      </c>
      <c r="AR1758" s="91">
        <f>Tab1SDataShiftSummary[[#This Row],[Summary16]]-Tab1SDataShiftSummary[[#This Row],[Summary15]]</f>
        <v>-135259.76340000331</v>
      </c>
      <c r="AS1758" s="91">
        <f>Tab1SDataShiftSummary[[#This Row],[Summary17]]-Tab1SDataShiftSummary[[#This Row],[Summary16]]</f>
        <v>-386206.64338625968</v>
      </c>
      <c r="AT1758" s="91">
        <f>Tab1SDataShiftSummary[[#This Row],[Summary18]]-Tab1SDataShiftSummary[[#This Row],[Summary17]]</f>
        <v>-92720.447999998927</v>
      </c>
      <c r="AU1758" s="91">
        <f>Tab1SDataShiftSummary[[#This Row],[Summary19]]-Tab1SDataShiftSummary[[#This Row],[Summary18]]</f>
        <v>0</v>
      </c>
      <c r="AV1758" s="1403">
        <f ca="1">Tab1SDataShiftSummary[[#This Row],[Summary20]]-Tab1SDataShiftSummary[[#This Row],[Summary19]]</f>
        <v>0</v>
      </c>
      <c r="AY1758" s="715" t="s">
        <v>1898</v>
      </c>
    </row>
    <row r="1759" spans="1:55">
      <c r="A1759">
        <v>6</v>
      </c>
      <c r="B1759" s="716" t="s">
        <v>2277</v>
      </c>
      <c r="C1759" s="91">
        <f ca="1">Tab1SDataShiftSummary[[#This Row],[Summary20]]</f>
        <v>-21694635.786477741</v>
      </c>
      <c r="E1759"/>
      <c r="F1759" s="720">
        <v>-22991877.718754712</v>
      </c>
      <c r="G1759" s="720">
        <v>-22421262.718754716</v>
      </c>
      <c r="H1759" s="720">
        <v>-22179981.718754716</v>
      </c>
      <c r="I1759" s="720">
        <v>-21985758.048754714</v>
      </c>
      <c r="J1759" s="720">
        <v>-22314488.848754715</v>
      </c>
      <c r="K1759" s="720">
        <v>-22372506.519761484</v>
      </c>
      <c r="L1759" s="720">
        <v>-22081400.927993484</v>
      </c>
      <c r="M1759" s="720">
        <v>-22095604.561673485</v>
      </c>
      <c r="N1759" s="720">
        <v>-21966343.35407348</v>
      </c>
      <c r="O1759" s="720">
        <v>-21858913.761473484</v>
      </c>
      <c r="P1759" s="720">
        <v>-21813345.591473483</v>
      </c>
      <c r="Q1759" s="720">
        <v>-21813345.591473483</v>
      </c>
      <c r="R1759" s="720">
        <v>-21732846.837473482</v>
      </c>
      <c r="S1759" s="720">
        <v>-21023752.974473484</v>
      </c>
      <c r="T1759" s="720">
        <v>-21290825.131355483</v>
      </c>
      <c r="U1759" s="720">
        <v>-21412179.835355483</v>
      </c>
      <c r="V1759" s="720">
        <v>-21423798.966755483</v>
      </c>
      <c r="W1759" s="720">
        <v>-21702218.088339143</v>
      </c>
      <c r="X1759" s="720">
        <v>-21794244.095475141</v>
      </c>
      <c r="Y1759" s="720">
        <v>-21694635.786477741</v>
      </c>
      <c r="Z1759" s="720">
        <f t="shared" ca="1" si="136"/>
        <v>-21694635.786477741</v>
      </c>
      <c r="AA1759" s="360"/>
      <c r="AB1759" s="91">
        <f ca="1">Tab1SDataShiftSummary[[#This Row],[Summary0]]-Tab1SDataShiftSummary[[#This Row],[Summary20]]</f>
        <v>-1297241.9322769716</v>
      </c>
      <c r="AC1759" s="91">
        <f>Tab1SDataShiftSummary[[#This Row],[Summary1]]-Tab1SDataShiftSummary[[#This Row],[Summary0]]</f>
        <v>570614.99999999627</v>
      </c>
      <c r="AD1759" s="91">
        <f>Tab1SDataShiftSummary[[#This Row],[Summary2]]-Tab1SDataShiftSummary[[#This Row],[Summary1]]</f>
        <v>241281</v>
      </c>
      <c r="AE1759" s="91">
        <f>Tab1SDataShiftSummary[[#This Row],[Summary3]]-Tab1SDataShiftSummary[[#This Row],[Summary2]]</f>
        <v>194223.67000000179</v>
      </c>
      <c r="AF1759" s="91">
        <f>Tab1SDataShiftSummary[[#This Row],[Summary4]]-Tab1SDataShiftSummary[[#This Row],[Summary3]]</f>
        <v>-328730.80000000075</v>
      </c>
      <c r="AG1759" s="91">
        <f>Tab1SDataShiftSummary[[#This Row],[Summary5]]-Tab1SDataShiftSummary[[#This Row],[Summary4]]</f>
        <v>-58017.671006768942</v>
      </c>
      <c r="AH1759" s="91">
        <f>Tab1SDataShiftSummary[[#This Row],[Summary6]]-Tab1SDataShiftSummary[[#This Row],[Summary5]]</f>
        <v>291105.59176800027</v>
      </c>
      <c r="AI1759" s="91">
        <f>Tab1SDataShiftSummary[[#This Row],[Summary7]]-Tab1SDataShiftSummary[[#This Row],[Summary6]]</f>
        <v>-14203.633680000901</v>
      </c>
      <c r="AJ1759" s="91">
        <f>Tab1SDataShiftSummary[[#This Row],[Summary8]]-Tab1SDataShiftSummary[[#This Row],[Summary7]]</f>
        <v>129261.20760000497</v>
      </c>
      <c r="AK1759" s="91">
        <f>Tab1SDataShiftSummary[[#This Row],[Summary9]]-Tab1SDataShiftSummary[[#This Row],[Summary8]]</f>
        <v>107429.59259999543</v>
      </c>
      <c r="AL1759" s="91">
        <f>Tab1SDataShiftSummary[[#This Row],[Summary10]]-Tab1SDataShiftSummary[[#This Row],[Summary9]]</f>
        <v>45568.170000001788</v>
      </c>
      <c r="AM1759" s="91">
        <f>Tab1SDataShiftSummary[[#This Row],[Summary11]]-Tab1SDataShiftSummary[[#This Row],[Summary10]]</f>
        <v>0</v>
      </c>
      <c r="AN1759" s="91">
        <f>Tab1SDataShiftSummary[[#This Row],[Summary12]]-Tab1SDataShiftSummary[[#This Row],[Summary11]]</f>
        <v>80498.754000000656</v>
      </c>
      <c r="AO1759" s="91">
        <f>Tab1SDataShiftSummary[[#This Row],[Summary13]]-Tab1SDataShiftSummary[[#This Row],[Summary12]]</f>
        <v>709093.86299999803</v>
      </c>
      <c r="AP1759" s="91">
        <f>Tab1SDataShiftSummary[[#This Row],[Summary14]]-Tab1SDataShiftSummary[[#This Row],[Summary13]]</f>
        <v>-267072.15688199922</v>
      </c>
      <c r="AQ1759" s="91">
        <f>Tab1SDataShiftSummary[[#This Row],[Summary15]]-Tab1SDataShiftSummary[[#This Row],[Summary14]]</f>
        <v>-121354.70399999991</v>
      </c>
      <c r="AR1759" s="91">
        <f>Tab1SDataShiftSummary[[#This Row],[Summary16]]-Tab1SDataShiftSummary[[#This Row],[Summary15]]</f>
        <v>-11619.131400000304</v>
      </c>
      <c r="AS1759" s="91">
        <f>Tab1SDataShiftSummary[[#This Row],[Summary17]]-Tab1SDataShiftSummary[[#This Row],[Summary16]]</f>
        <v>-278419.1215836592</v>
      </c>
      <c r="AT1759" s="91">
        <f>Tab1SDataShiftSummary[[#This Row],[Summary18]]-Tab1SDataShiftSummary[[#This Row],[Summary17]]</f>
        <v>-92026.007135998458</v>
      </c>
      <c r="AU1759" s="91">
        <f>Tab1SDataShiftSummary[[#This Row],[Summary19]]-Tab1SDataShiftSummary[[#This Row],[Summary18]]</f>
        <v>99608.308997400105</v>
      </c>
      <c r="AV1759" s="1403">
        <f ca="1">Tab1SDataShiftSummary[[#This Row],[Summary20]]-Tab1SDataShiftSummary[[#This Row],[Summary19]]</f>
        <v>0</v>
      </c>
      <c r="AY1759" s="716" t="s">
        <v>2477</v>
      </c>
    </row>
    <row r="1760" spans="1:55">
      <c r="A1760">
        <v>7</v>
      </c>
      <c r="B1760" s="715" t="s">
        <v>1897</v>
      </c>
      <c r="C1760" s="91"/>
      <c r="E1760"/>
      <c r="F1760" s="861">
        <v>74655009.584059745</v>
      </c>
      <c r="G1760" s="861">
        <v>75238204.325059742</v>
      </c>
      <c r="H1760" s="861">
        <v>75595454.054459751</v>
      </c>
      <c r="I1760" s="861">
        <v>76047818.840059742</v>
      </c>
      <c r="J1760" s="861">
        <v>75711843.652659744</v>
      </c>
      <c r="K1760" s="861">
        <v>75711843.652659744</v>
      </c>
      <c r="L1760" s="861">
        <v>75711848.639659733</v>
      </c>
      <c r="M1760" s="861">
        <v>75735141.121339738</v>
      </c>
      <c r="N1760" s="861">
        <v>76102453.619339719</v>
      </c>
      <c r="O1760" s="861">
        <v>76209326.026739717</v>
      </c>
      <c r="P1760" s="861">
        <v>76254657.85673973</v>
      </c>
      <c r="Q1760" s="861">
        <v>76254657.85673973</v>
      </c>
      <c r="R1760" s="861">
        <v>76444253.622739732</v>
      </c>
      <c r="S1760" s="861">
        <v>77149669.759739727</v>
      </c>
      <c r="T1760" s="861">
        <v>77183107.594739735</v>
      </c>
      <c r="U1760" s="861">
        <v>77436706.51873976</v>
      </c>
      <c r="V1760" s="861">
        <v>77559705.886739761</v>
      </c>
      <c r="W1760" s="861">
        <v>77666934.36693716</v>
      </c>
      <c r="X1760" s="861">
        <v>77667625.206073165</v>
      </c>
      <c r="Y1760" s="861">
        <v>77766716.895075768</v>
      </c>
      <c r="Z1760" s="861">
        <f t="shared" ca="1" si="136"/>
        <v>77766716.895075768</v>
      </c>
      <c r="AA1760" s="360"/>
      <c r="AB1760" s="91">
        <f ca="1">Tab1SDataShiftSummary[[#This Row],[Summary0]]-Tab1SDataShiftSummary[[#This Row],[Summary20]]</f>
        <v>-3111707.3110160232</v>
      </c>
      <c r="AC1760" s="91">
        <f>Tab1SDataShiftSummary[[#This Row],[Summary1]]-Tab1SDataShiftSummary[[#This Row],[Summary0]]</f>
        <v>583194.74099999666</v>
      </c>
      <c r="AD1760" s="91">
        <f>Tab1SDataShiftSummary[[#This Row],[Summary2]]-Tab1SDataShiftSummary[[#This Row],[Summary1]]</f>
        <v>357249.72940000892</v>
      </c>
      <c r="AE1760" s="91">
        <f>Tab1SDataShiftSummary[[#This Row],[Summary3]]-Tab1SDataShiftSummary[[#This Row],[Summary2]]</f>
        <v>452364.78559999168</v>
      </c>
      <c r="AF1760" s="91">
        <f>Tab1SDataShiftSummary[[#This Row],[Summary4]]-Tab1SDataShiftSummary[[#This Row],[Summary3]]</f>
        <v>-335975.18739999831</v>
      </c>
      <c r="AG1760" s="91">
        <f>Tab1SDataShiftSummary[[#This Row],[Summary5]]-Tab1SDataShiftSummary[[#This Row],[Summary4]]</f>
        <v>0</v>
      </c>
      <c r="AH1760" s="91">
        <f>Tab1SDataShiftSummary[[#This Row],[Summary6]]-Tab1SDataShiftSummary[[#This Row],[Summary5]]</f>
        <v>4.9869999885559082</v>
      </c>
      <c r="AI1760" s="91">
        <f>Tab1SDataShiftSummary[[#This Row],[Summary7]]-Tab1SDataShiftSummary[[#This Row],[Summary6]]</f>
        <v>23292.481680005789</v>
      </c>
      <c r="AJ1760" s="91">
        <f>Tab1SDataShiftSummary[[#This Row],[Summary8]]-Tab1SDataShiftSummary[[#This Row],[Summary7]]</f>
        <v>367312.49799998105</v>
      </c>
      <c r="AK1760" s="91">
        <f>Tab1SDataShiftSummary[[#This Row],[Summary9]]-Tab1SDataShiftSummary[[#This Row],[Summary8]]</f>
        <v>106872.40739999712</v>
      </c>
      <c r="AL1760" s="91">
        <f>Tab1SDataShiftSummary[[#This Row],[Summary10]]-Tab1SDataShiftSummary[[#This Row],[Summary9]]</f>
        <v>45331.830000013113</v>
      </c>
      <c r="AM1760" s="91">
        <f>Tab1SDataShiftSummary[[#This Row],[Summary11]]-Tab1SDataShiftSummary[[#This Row],[Summary10]]</f>
        <v>0</v>
      </c>
      <c r="AN1760" s="91">
        <f>Tab1SDataShiftSummary[[#This Row],[Summary12]]-Tab1SDataShiftSummary[[#This Row],[Summary11]]</f>
        <v>189595.76600000262</v>
      </c>
      <c r="AO1760" s="91">
        <f>Tab1SDataShiftSummary[[#This Row],[Summary13]]-Tab1SDataShiftSummary[[#This Row],[Summary12]]</f>
        <v>705416.13699999452</v>
      </c>
      <c r="AP1760" s="91">
        <f>Tab1SDataShiftSummary[[#This Row],[Summary14]]-Tab1SDataShiftSummary[[#This Row],[Summary13]]</f>
        <v>33437.835000008345</v>
      </c>
      <c r="AQ1760" s="91">
        <f>Tab1SDataShiftSummary[[#This Row],[Summary15]]-Tab1SDataShiftSummary[[#This Row],[Summary14]]</f>
        <v>253598.9240000248</v>
      </c>
      <c r="AR1760" s="91">
        <f>Tab1SDataShiftSummary[[#This Row],[Summary16]]-Tab1SDataShiftSummary[[#This Row],[Summary15]]</f>
        <v>122999.36800000072</v>
      </c>
      <c r="AS1760" s="91">
        <f>Tab1SDataShiftSummary[[#This Row],[Summary17]]-Tab1SDataShiftSummary[[#This Row],[Summary16]]</f>
        <v>107228.48019739985</v>
      </c>
      <c r="AT1760" s="91">
        <f>Tab1SDataShiftSummary[[#This Row],[Summary18]]-Tab1SDataShiftSummary[[#This Row],[Summary17]]</f>
        <v>690.83913600444794</v>
      </c>
      <c r="AU1760" s="91">
        <f>Tab1SDataShiftSummary[[#This Row],[Summary19]]-Tab1SDataShiftSummary[[#This Row],[Summary18]]</f>
        <v>99091.689002603292</v>
      </c>
      <c r="AV1760" s="1403">
        <f ca="1">Tab1SDataShiftSummary[[#This Row],[Summary20]]-Tab1SDataShiftSummary[[#This Row],[Summary19]]</f>
        <v>0</v>
      </c>
      <c r="AY1760" s="715" t="s">
        <v>1897</v>
      </c>
    </row>
    <row r="1761" spans="1:58">
      <c r="A1761">
        <v>8</v>
      </c>
      <c r="B1761" s="716" t="s">
        <v>974</v>
      </c>
      <c r="C1761" s="91">
        <f ca="1">Tab1SDataShiftSummary[[#This Row],[Summary20]]</f>
        <v>11123644.586938579</v>
      </c>
      <c r="E1761"/>
      <c r="F1761" s="720">
        <v>12381886.039245285</v>
      </c>
      <c r="G1761" s="720">
        <v>11980623.667345282</v>
      </c>
      <c r="H1761" s="720">
        <v>11850398.756245285</v>
      </c>
      <c r="I1761" s="720">
        <v>11636503.931245288</v>
      </c>
      <c r="J1761" s="720">
        <v>11031694.961045284</v>
      </c>
      <c r="K1761" s="720">
        <v>10856094.496106081</v>
      </c>
      <c r="L1761" s="720">
        <v>10437031.091820698</v>
      </c>
      <c r="M1761" s="720">
        <v>10223039.677356761</v>
      </c>
      <c r="N1761" s="720">
        <v>11286426.350197997</v>
      </c>
      <c r="O1761" s="720">
        <v>11139109.627591722</v>
      </c>
      <c r="P1761" s="720">
        <v>11387415.211637683</v>
      </c>
      <c r="Q1761" s="720">
        <v>11447220.396682533</v>
      </c>
      <c r="R1761" s="720">
        <v>11529298.162730917</v>
      </c>
      <c r="S1761" s="720">
        <v>11387046.593973663</v>
      </c>
      <c r="T1761" s="720">
        <v>11438156.77442972</v>
      </c>
      <c r="U1761" s="720">
        <v>11349195.603552219</v>
      </c>
      <c r="V1761" s="720">
        <v>11305591.637287138</v>
      </c>
      <c r="W1761" s="720">
        <v>11167393.387353715</v>
      </c>
      <c r="X1761" s="720">
        <v>11103541.585195867</v>
      </c>
      <c r="Y1761" s="720">
        <v>11123644.586938579</v>
      </c>
      <c r="Z1761" s="720">
        <f t="shared" ca="1" si="136"/>
        <v>11123644.586938579</v>
      </c>
      <c r="AA1761" s="360"/>
      <c r="AB1761" s="91">
        <f ca="1">Tab1SDataShiftSummary[[#This Row],[Summary0]]-Tab1SDataShiftSummary[[#This Row],[Summary20]]</f>
        <v>1258241.4523067065</v>
      </c>
      <c r="AC1761" s="91">
        <f>Tab1SDataShiftSummary[[#This Row],[Summary1]]-Tab1SDataShiftSummary[[#This Row],[Summary0]]</f>
        <v>-401262.3719000034</v>
      </c>
      <c r="AD1761" s="91">
        <f>Tab1SDataShiftSummary[[#This Row],[Summary2]]-Tab1SDataShiftSummary[[#This Row],[Summary1]]</f>
        <v>-130224.91109999642</v>
      </c>
      <c r="AE1761" s="91">
        <f>Tab1SDataShiftSummary[[#This Row],[Summary3]]-Tab1SDataShiftSummary[[#This Row],[Summary2]]</f>
        <v>-213894.82499999739</v>
      </c>
      <c r="AF1761" s="91">
        <f>Tab1SDataShiftSummary[[#This Row],[Summary4]]-Tab1SDataShiftSummary[[#This Row],[Summary3]]</f>
        <v>-604808.97020000406</v>
      </c>
      <c r="AG1761" s="91">
        <f>Tab1SDataShiftSummary[[#This Row],[Summary5]]-Tab1SDataShiftSummary[[#This Row],[Summary4]]</f>
        <v>-175600.46493920311</v>
      </c>
      <c r="AH1761" s="91">
        <f>Tab1SDataShiftSummary[[#This Row],[Summary6]]-Tab1SDataShiftSummary[[#This Row],[Summary5]]</f>
        <v>-419063.40428538248</v>
      </c>
      <c r="AI1761" s="91">
        <f>Tab1SDataShiftSummary[[#This Row],[Summary7]]-Tab1SDataShiftSummary[[#This Row],[Summary6]]</f>
        <v>-213991.41446393728</v>
      </c>
      <c r="AJ1761" s="91">
        <f>Tab1SDataShiftSummary[[#This Row],[Summary8]]-Tab1SDataShiftSummary[[#This Row],[Summary7]]</f>
        <v>1063386.672841236</v>
      </c>
      <c r="AK1761" s="91">
        <f>Tab1SDataShiftSummary[[#This Row],[Summary9]]-Tab1SDataShiftSummary[[#This Row],[Summary8]]</f>
        <v>-147316.72260627523</v>
      </c>
      <c r="AL1761" s="91">
        <f>Tab1SDataShiftSummary[[#This Row],[Summary10]]-Tab1SDataShiftSummary[[#This Row],[Summary9]]</f>
        <v>248305.5840459615</v>
      </c>
      <c r="AM1761" s="91">
        <f>Tab1SDataShiftSummary[[#This Row],[Summary11]]-Tab1SDataShiftSummary[[#This Row],[Summary10]]</f>
        <v>59805.185044849291</v>
      </c>
      <c r="AN1761" s="91">
        <f>Tab1SDataShiftSummary[[#This Row],[Summary12]]-Tab1SDataShiftSummary[[#This Row],[Summary11]]</f>
        <v>82077.76604838483</v>
      </c>
      <c r="AO1761" s="91">
        <f>Tab1SDataShiftSummary[[#This Row],[Summary13]]-Tab1SDataShiftSummary[[#This Row],[Summary12]]</f>
        <v>-142251.56875725463</v>
      </c>
      <c r="AP1761" s="91">
        <f>Tab1SDataShiftSummary[[#This Row],[Summary14]]-Tab1SDataShiftSummary[[#This Row],[Summary13]]</f>
        <v>51110.180456057191</v>
      </c>
      <c r="AQ1761" s="91">
        <f>Tab1SDataShiftSummary[[#This Row],[Summary15]]-Tab1SDataShiftSummary[[#This Row],[Summary14]]</f>
        <v>-88961.170877501369</v>
      </c>
      <c r="AR1761" s="91">
        <f>Tab1SDataShiftSummary[[#This Row],[Summary16]]-Tab1SDataShiftSummary[[#This Row],[Summary15]]</f>
        <v>-43603.966265080497</v>
      </c>
      <c r="AS1761" s="91">
        <f>Tab1SDataShiftSummary[[#This Row],[Summary17]]-Tab1SDataShiftSummary[[#This Row],[Summary16]]</f>
        <v>-138198.24993342347</v>
      </c>
      <c r="AT1761" s="91">
        <f>Tab1SDataShiftSummary[[#This Row],[Summary18]]-Tab1SDataShiftSummary[[#This Row],[Summary17]]</f>
        <v>-63851.802157847211</v>
      </c>
      <c r="AU1761" s="91">
        <f>Tab1SDataShiftSummary[[#This Row],[Summary19]]-Tab1SDataShiftSummary[[#This Row],[Summary18]]</f>
        <v>20103.001742711291</v>
      </c>
      <c r="AV1761" s="1403">
        <f ca="1">Tab1SDataShiftSummary[[#This Row],[Summary20]]-Tab1SDataShiftSummary[[#This Row],[Summary19]]</f>
        <v>0</v>
      </c>
      <c r="AY1761" s="716" t="s">
        <v>974</v>
      </c>
    </row>
    <row r="1762" spans="1:58">
      <c r="A1762">
        <v>9</v>
      </c>
      <c r="B1762" s="715" t="s">
        <v>2279</v>
      </c>
      <c r="C1762" s="91">
        <f ca="1">Tab1SDataShiftSummary[[#This Row],[Summary20]]</f>
        <v>11344422.61894339</v>
      </c>
      <c r="E1762"/>
      <c r="F1762" s="720">
        <v>11360142.769090001</v>
      </c>
      <c r="G1762" s="720">
        <v>11206589.465989999</v>
      </c>
      <c r="H1762" s="720">
        <v>11141276.596090002</v>
      </c>
      <c r="I1762" s="720">
        <v>11295778.191090003</v>
      </c>
      <c r="J1762" s="720">
        <v>10855643.70009</v>
      </c>
      <c r="K1762" s="720">
        <v>10803834.942822231</v>
      </c>
      <c r="L1762" s="720">
        <v>10769941.255385092</v>
      </c>
      <c r="M1762" s="720">
        <v>10729732.455490433</v>
      </c>
      <c r="N1762" s="720">
        <v>11169356.873067435</v>
      </c>
      <c r="O1762" s="720">
        <v>11144453.126309432</v>
      </c>
      <c r="P1762" s="720">
        <v>11408971.599758035</v>
      </c>
      <c r="Q1762" s="720">
        <v>11370363.641936008</v>
      </c>
      <c r="R1762" s="720">
        <v>11354631.06326382</v>
      </c>
      <c r="S1762" s="720">
        <v>11415573.900191749</v>
      </c>
      <c r="T1762" s="720">
        <v>11293824.225934999</v>
      </c>
      <c r="U1762" s="720">
        <v>11064877.961086506</v>
      </c>
      <c r="V1762" s="720">
        <v>11108721.379757455</v>
      </c>
      <c r="W1762" s="720">
        <v>11294992.035017274</v>
      </c>
      <c r="X1762" s="720">
        <v>11419226.891989093</v>
      </c>
      <c r="Y1762" s="720">
        <v>11344422.61894339</v>
      </c>
      <c r="Z1762" s="720">
        <f t="shared" ca="1" si="136"/>
        <v>11344422.61894339</v>
      </c>
      <c r="AB1762" s="91">
        <f ca="1">Tab1SDataShiftSummary[[#This Row],[Summary0]]-Tab1SDataShiftSummary[[#This Row],[Summary20]]</f>
        <v>15720.150146611035</v>
      </c>
      <c r="AC1762" s="91">
        <f>Tab1SDataShiftSummary[[#This Row],[Summary1]]-Tab1SDataShiftSummary[[#This Row],[Summary0]]</f>
        <v>-153553.30310000107</v>
      </c>
      <c r="AD1762" s="91">
        <f>Tab1SDataShiftSummary[[#This Row],[Summary2]]-Tab1SDataShiftSummary[[#This Row],[Summary1]]</f>
        <v>-65312.869899997488</v>
      </c>
      <c r="AE1762" s="91">
        <f>Tab1SDataShiftSummary[[#This Row],[Summary3]]-Tab1SDataShiftSummary[[#This Row],[Summary2]]</f>
        <v>154501.59500000067</v>
      </c>
      <c r="AF1762" s="91">
        <f>Tab1SDataShiftSummary[[#This Row],[Summary4]]-Tab1SDataShiftSummary[[#This Row],[Summary3]]</f>
        <v>-440134.49100000225</v>
      </c>
      <c r="AG1762" s="91">
        <f>Tab1SDataShiftSummary[[#This Row],[Summary5]]-Tab1SDataShiftSummary[[#This Row],[Summary4]]</f>
        <v>-51808.757267769426</v>
      </c>
      <c r="AH1762" s="91">
        <f>Tab1SDataShiftSummary[[#This Row],[Summary6]]-Tab1SDataShiftSummary[[#This Row],[Summary5]]</f>
        <v>-33893.687437139452</v>
      </c>
      <c r="AI1762" s="91">
        <f>Tab1SDataShiftSummary[[#This Row],[Summary7]]-Tab1SDataShiftSummary[[#This Row],[Summary6]]</f>
        <v>-40208.799894658849</v>
      </c>
      <c r="AJ1762" s="91">
        <f>Tab1SDataShiftSummary[[#This Row],[Summary8]]-Tab1SDataShiftSummary[[#This Row],[Summary7]]</f>
        <v>439624.4175770022</v>
      </c>
      <c r="AK1762" s="91">
        <f>Tab1SDataShiftSummary[[#This Row],[Summary9]]-Tab1SDataShiftSummary[[#This Row],[Summary8]]</f>
        <v>-24903.746758002788</v>
      </c>
      <c r="AL1762" s="91">
        <f>Tab1SDataShiftSummary[[#This Row],[Summary10]]-Tab1SDataShiftSummary[[#This Row],[Summary9]]</f>
        <v>264518.47344860248</v>
      </c>
      <c r="AM1762" s="91">
        <f>Tab1SDataShiftSummary[[#This Row],[Summary11]]-Tab1SDataShiftSummary[[#This Row],[Summary10]]</f>
        <v>-38607.957822026685</v>
      </c>
      <c r="AN1762" s="91">
        <f>Tab1SDataShiftSummary[[#This Row],[Summary12]]-Tab1SDataShiftSummary[[#This Row],[Summary11]]</f>
        <v>-15732.578672187403</v>
      </c>
      <c r="AO1762" s="91">
        <f>Tab1SDataShiftSummary[[#This Row],[Summary13]]-Tab1SDataShiftSummary[[#This Row],[Summary12]]</f>
        <v>60942.83692792803</v>
      </c>
      <c r="AP1762" s="91">
        <f>Tab1SDataShiftSummary[[#This Row],[Summary14]]-Tab1SDataShiftSummary[[#This Row],[Summary13]]</f>
        <v>-121749.67425674945</v>
      </c>
      <c r="AQ1762" s="91">
        <f>Tab1SDataShiftSummary[[#This Row],[Summary15]]-Tab1SDataShiftSummary[[#This Row],[Summary14]]</f>
        <v>-228946.26484849304</v>
      </c>
      <c r="AR1762" s="91">
        <f>Tab1SDataShiftSummary[[#This Row],[Summary16]]-Tab1SDataShiftSummary[[#This Row],[Summary15]]</f>
        <v>43843.418670948595</v>
      </c>
      <c r="AS1762" s="91">
        <f>Tab1SDataShiftSummary[[#This Row],[Summary17]]-Tab1SDataShiftSummary[[#This Row],[Summary16]]</f>
        <v>186270.6552598197</v>
      </c>
      <c r="AT1762" s="91">
        <f>Tab1SDataShiftSummary[[#This Row],[Summary18]]-Tab1SDataShiftSummary[[#This Row],[Summary17]]</f>
        <v>124234.85697181895</v>
      </c>
      <c r="AU1762" s="91">
        <f>Tab1SDataShiftSummary[[#This Row],[Summary19]]-Tab1SDataShiftSummary[[#This Row],[Summary18]]</f>
        <v>-74804.273045703769</v>
      </c>
      <c r="AV1762" s="1403">
        <f ca="1">Tab1SDataShiftSummary[[#This Row],[Summary20]]-Tab1SDataShiftSummary[[#This Row],[Summary19]]</f>
        <v>0</v>
      </c>
      <c r="AY1762" s="715" t="s">
        <v>2279</v>
      </c>
    </row>
    <row r="1763" spans="1:58" ht="23" thickBot="1">
      <c r="A1763">
        <v>10</v>
      </c>
      <c r="B1763" s="715" t="s">
        <v>1892</v>
      </c>
      <c r="C1763"/>
      <c r="E1763"/>
      <c r="F1763" s="720">
        <v>-449152.32384262106</v>
      </c>
      <c r="G1763" s="720">
        <v>-450705.38548522105</v>
      </c>
      <c r="H1763" s="720">
        <v>-451938.96502566105</v>
      </c>
      <c r="I1763" s="720">
        <v>-453791.09933165181</v>
      </c>
      <c r="J1763" s="720">
        <v>-452896.39643185982</v>
      </c>
      <c r="K1763" s="720">
        <v>-452896.39643185982</v>
      </c>
      <c r="L1763" s="720">
        <v>-452139.54789326293</v>
      </c>
      <c r="M1763" s="720">
        <v>-452297.91398083093</v>
      </c>
      <c r="N1763" s="720">
        <v>-453876.83884107089</v>
      </c>
      <c r="O1763" s="720">
        <v>-454154.70710031094</v>
      </c>
      <c r="P1763" s="720">
        <v>-454272.56985831098</v>
      </c>
      <c r="Q1763" s="720">
        <v>-454272.56985831098</v>
      </c>
      <c r="R1763" s="720">
        <v>-455051.74109791091</v>
      </c>
      <c r="S1763" s="720">
        <v>-456885.82305411098</v>
      </c>
      <c r="T1763" s="720">
        <v>-457754.54066200415</v>
      </c>
      <c r="U1763" s="720">
        <v>-459392.21489240415</v>
      </c>
      <c r="V1763" s="720">
        <v>-460063.6886340442</v>
      </c>
      <c r="W1763" s="720">
        <v>-461346.61995536176</v>
      </c>
      <c r="X1763" s="720">
        <v>-461589.48930191528</v>
      </c>
      <c r="Y1763" s="720">
        <v>-461847.12769332208</v>
      </c>
      <c r="Z1763" s="720">
        <f t="shared" ca="1" si="136"/>
        <v>-461847.12769332208</v>
      </c>
      <c r="AB1763" s="91">
        <f ca="1">Tab1SDataShiftSummary[[#This Row],[Summary0]]-Tab1SDataShiftSummary[[#This Row],[Summary20]]</f>
        <v>12694.803850701021</v>
      </c>
      <c r="AC1763" s="91">
        <f>Tab1SDataShiftSummary[[#This Row],[Summary1]]-Tab1SDataShiftSummary[[#This Row],[Summary0]]</f>
        <v>-1553.0616425999906</v>
      </c>
      <c r="AD1763" s="91">
        <f>Tab1SDataShiftSummary[[#This Row],[Summary2]]-Tab1SDataShiftSummary[[#This Row],[Summary1]]</f>
        <v>-1233.5795404399978</v>
      </c>
      <c r="AE1763" s="91">
        <f>Tab1SDataShiftSummary[[#This Row],[Summary3]]-Tab1SDataShiftSummary[[#This Row],[Summary2]]</f>
        <v>-1852.1343059907667</v>
      </c>
      <c r="AF1763" s="91">
        <f>Tab1SDataShiftSummary[[#This Row],[Summary4]]-Tab1SDataShiftSummary[[#This Row],[Summary3]]</f>
        <v>894.70289979199879</v>
      </c>
      <c r="AG1763" s="91">
        <f>Tab1SDataShiftSummary[[#This Row],[Summary5]]-Tab1SDataShiftSummary[[#This Row],[Summary4]]</f>
        <v>0</v>
      </c>
      <c r="AH1763" s="91">
        <f>Tab1SDataShiftSummary[[#This Row],[Summary6]]-Tab1SDataShiftSummary[[#This Row],[Summary5]]</f>
        <v>756.84853859688155</v>
      </c>
      <c r="AI1763" s="91">
        <f>Tab1SDataShiftSummary[[#This Row],[Summary7]]-Tab1SDataShiftSummary[[#This Row],[Summary6]]</f>
        <v>-158.36608756799251</v>
      </c>
      <c r="AJ1763" s="91">
        <f>Tab1SDataShiftSummary[[#This Row],[Summary8]]-Tab1SDataShiftSummary[[#This Row],[Summary7]]</f>
        <v>-1578.9248602399603</v>
      </c>
      <c r="AK1763" s="91">
        <f>Tab1SDataShiftSummary[[#This Row],[Summary9]]-Tab1SDataShiftSummary[[#This Row],[Summary8]]</f>
        <v>-277.86825924005825</v>
      </c>
      <c r="AL1763" s="91">
        <f>Tab1SDataShiftSummary[[#This Row],[Summary10]]-Tab1SDataShiftSummary[[#This Row],[Summary9]]</f>
        <v>-117.86275800003204</v>
      </c>
      <c r="AM1763" s="91">
        <f>Tab1SDataShiftSummary[[#This Row],[Summary11]]-Tab1SDataShiftSummary[[#This Row],[Summary10]]</f>
        <v>0</v>
      </c>
      <c r="AN1763" s="91">
        <f>Tab1SDataShiftSummary[[#This Row],[Summary12]]-Tab1SDataShiftSummary[[#This Row],[Summary11]]</f>
        <v>-779.17123959993478</v>
      </c>
      <c r="AO1763" s="91">
        <f>Tab1SDataShiftSummary[[#This Row],[Summary13]]-Tab1SDataShiftSummary[[#This Row],[Summary12]]</f>
        <v>-1834.0819562000688</v>
      </c>
      <c r="AP1763" s="91">
        <f>Tab1SDataShiftSummary[[#This Row],[Summary14]]-Tab1SDataShiftSummary[[#This Row],[Summary13]]</f>
        <v>-868.71760789316613</v>
      </c>
      <c r="AQ1763" s="91">
        <f>Tab1SDataShiftSummary[[#This Row],[Summary15]]-Tab1SDataShiftSummary[[#This Row],[Summary14]]</f>
        <v>-1637.6742304000072</v>
      </c>
      <c r="AR1763" s="91">
        <f>Tab1SDataShiftSummary[[#This Row],[Summary16]]-Tab1SDataShiftSummary[[#This Row],[Summary15]]</f>
        <v>-671.47374164004577</v>
      </c>
      <c r="AS1763" s="91">
        <f>Tab1SDataShiftSummary[[#This Row],[Summary17]]-Tab1SDataShiftSummary[[#This Row],[Summary16]]</f>
        <v>-1282.9313213175628</v>
      </c>
      <c r="AT1763" s="91">
        <f>Tab1SDataShiftSummary[[#This Row],[Summary18]]-Tab1SDataShiftSummary[[#This Row],[Summary17]]</f>
        <v>-242.86934655351797</v>
      </c>
      <c r="AU1763" s="91">
        <f>Tab1SDataShiftSummary[[#This Row],[Summary19]]-Tab1SDataShiftSummary[[#This Row],[Summary18]]</f>
        <v>-257.6383914067992</v>
      </c>
      <c r="AV1763" s="1403">
        <f ca="1">Tab1SDataShiftSummary[[#This Row],[Summary20]]-Tab1SDataShiftSummary[[#This Row],[Summary19]]</f>
        <v>0</v>
      </c>
      <c r="AY1763" s="715" t="s">
        <v>1892</v>
      </c>
      <c r="BA1763" s="939" t="s">
        <v>2395</v>
      </c>
      <c r="BE1763" s="939" t="s">
        <v>2446</v>
      </c>
    </row>
    <row r="1764" spans="1:58" ht="23" thickBot="1">
      <c r="A1764">
        <v>11</v>
      </c>
      <c r="B1764" s="715" t="s">
        <v>1891</v>
      </c>
      <c r="C1764" t="s">
        <v>2281</v>
      </c>
      <c r="E1764"/>
      <c r="F1764" s="720">
        <v>2153946.9392597377</v>
      </c>
      <c r="G1764" s="720">
        <v>2723005.020259738</v>
      </c>
      <c r="H1764" s="720">
        <v>2963050.8096597493</v>
      </c>
      <c r="I1764" s="720">
        <v>3155421.0324017406</v>
      </c>
      <c r="J1764" s="720">
        <v>2827587.1575217247</v>
      </c>
      <c r="K1764" s="720">
        <v>2827587.1575217247</v>
      </c>
      <c r="L1764" s="720">
        <v>3118692.7232897282</v>
      </c>
      <c r="M1764" s="720">
        <v>3104367.6529697329</v>
      </c>
      <c r="N1764" s="720">
        <v>3231713.8565697223</v>
      </c>
      <c r="O1764" s="720">
        <v>3338586.2639697194</v>
      </c>
      <c r="P1764" s="720">
        <v>3383918.0939697325</v>
      </c>
      <c r="Q1764" s="720">
        <v>3383918.0939697325</v>
      </c>
      <c r="R1764" s="720">
        <v>3463428.379969731</v>
      </c>
      <c r="S1764" s="720">
        <v>4168844.5169697255</v>
      </c>
      <c r="T1764" s="720">
        <v>3901598.0300877392</v>
      </c>
      <c r="U1764" s="720">
        <v>3778921.1740877628</v>
      </c>
      <c r="V1764" s="720">
        <v>3766660.7786877602</v>
      </c>
      <c r="W1764" s="720">
        <v>3487682.6154989004</v>
      </c>
      <c r="X1764" s="720">
        <v>3395653.0066349059</v>
      </c>
      <c r="Y1764" s="720">
        <v>3494744.6956375092</v>
      </c>
      <c r="Z1764" s="720">
        <f ca="1">Z1760+Z1755</f>
        <v>3494744.6956375092</v>
      </c>
      <c r="AB1764" s="91">
        <f ca="1">Tab1SDataShiftSummary[[#This Row],[Summary0]]-Tab1SDataShiftSummary[[#This Row],[Summary20]]</f>
        <v>-1340797.7563777715</v>
      </c>
      <c r="AC1764" s="91">
        <f>Tab1SDataShiftSummary[[#This Row],[Summary1]]-Tab1SDataShiftSummary[[#This Row],[Summary0]]</f>
        <v>569058.08100000024</v>
      </c>
      <c r="AD1764" s="91">
        <f>Tab1SDataShiftSummary[[#This Row],[Summary2]]-Tab1SDataShiftSummary[[#This Row],[Summary1]]</f>
        <v>240045.7894000113</v>
      </c>
      <c r="AE1764" s="91">
        <f>Tab1SDataShiftSummary[[#This Row],[Summary3]]-Tab1SDataShiftSummary[[#This Row],[Summary2]]</f>
        <v>192370.22274199128</v>
      </c>
      <c r="AF1764" s="91">
        <f>Tab1SDataShiftSummary[[#This Row],[Summary4]]-Tab1SDataShiftSummary[[#This Row],[Summary3]]</f>
        <v>-327833.87488001585</v>
      </c>
      <c r="AG1764" s="91">
        <f>Tab1SDataShiftSummary[[#This Row],[Summary5]]-Tab1SDataShiftSummary[[#This Row],[Summary4]]</f>
        <v>0</v>
      </c>
      <c r="AH1764" s="91">
        <f>Tab1SDataShiftSummary[[#This Row],[Summary6]]-Tab1SDataShiftSummary[[#This Row],[Summary5]]</f>
        <v>291105.56576800346</v>
      </c>
      <c r="AI1764" s="91">
        <f>Tab1SDataShiftSummary[[#This Row],[Summary7]]-Tab1SDataShiftSummary[[#This Row],[Summary6]]</f>
        <v>-14325.070319995284</v>
      </c>
      <c r="AJ1764" s="91">
        <f>Tab1SDataShiftSummary[[#This Row],[Summary8]]-Tab1SDataShiftSummary[[#This Row],[Summary7]]</f>
        <v>127346.20359998941</v>
      </c>
      <c r="AK1764" s="91">
        <f>Tab1SDataShiftSummary[[#This Row],[Summary9]]-Tab1SDataShiftSummary[[#This Row],[Summary8]]</f>
        <v>106872.40739999712</v>
      </c>
      <c r="AL1764" s="91">
        <f>Tab1SDataShiftSummary[[#This Row],[Summary10]]-Tab1SDataShiftSummary[[#This Row],[Summary9]]</f>
        <v>45331.830000013113</v>
      </c>
      <c r="AM1764" s="91">
        <f>Tab1SDataShiftSummary[[#This Row],[Summary11]]-Tab1SDataShiftSummary[[#This Row],[Summary10]]</f>
        <v>0</v>
      </c>
      <c r="AN1764" s="91">
        <f>Tab1SDataShiftSummary[[#This Row],[Summary12]]-Tab1SDataShiftSummary[[#This Row],[Summary11]]</f>
        <v>79510.28599999845</v>
      </c>
      <c r="AO1764" s="91">
        <f>Tab1SDataShiftSummary[[#This Row],[Summary13]]-Tab1SDataShiftSummary[[#This Row],[Summary12]]</f>
        <v>705416.13699999452</v>
      </c>
      <c r="AP1764" s="91">
        <f>Tab1SDataShiftSummary[[#This Row],[Summary14]]-Tab1SDataShiftSummary[[#This Row],[Summary13]]</f>
        <v>-267246.48688198626</v>
      </c>
      <c r="AQ1764" s="91">
        <f>Tab1SDataShiftSummary[[#This Row],[Summary15]]-Tab1SDataShiftSummary[[#This Row],[Summary14]]</f>
        <v>-122676.8559999764</v>
      </c>
      <c r="AR1764" s="91">
        <f>Tab1SDataShiftSummary[[#This Row],[Summary16]]-Tab1SDataShiftSummary[[#This Row],[Summary15]]</f>
        <v>-12260.395400002599</v>
      </c>
      <c r="AS1764" s="91">
        <f>Tab1SDataShiftSummary[[#This Row],[Summary17]]-Tab1SDataShiftSummary[[#This Row],[Summary16]]</f>
        <v>-278978.16318885982</v>
      </c>
      <c r="AT1764" s="91">
        <f>Tab1SDataShiftSummary[[#This Row],[Summary18]]-Tab1SDataShiftSummary[[#This Row],[Summary17]]</f>
        <v>-92029.608863994479</v>
      </c>
      <c r="AU1764" s="91">
        <f>Tab1SDataShiftSummary[[#This Row],[Summary19]]-Tab1SDataShiftSummary[[#This Row],[Summary18]]</f>
        <v>99091.689002603292</v>
      </c>
      <c r="AV1764" s="1403">
        <f ca="1">Tab1SDataShiftSummary[[#This Row],[Summary20]]-Tab1SDataShiftSummary[[#This Row],[Summary19]]</f>
        <v>0</v>
      </c>
      <c r="AY1764" s="715" t="s">
        <v>1891</v>
      </c>
      <c r="BA1764" s="936">
        <f ca="1">V3</f>
        <v>45996</v>
      </c>
      <c r="BB1764" s="936">
        <f ca="1">W3</f>
        <v>45999</v>
      </c>
      <c r="BC1764" s="936">
        <f ca="1">X3</f>
        <v>46000</v>
      </c>
      <c r="BD1764" s="936">
        <f ca="1">Y3</f>
        <v>46001</v>
      </c>
      <c r="BE1764" s="937">
        <f ca="1">Z3</f>
        <v>46002</v>
      </c>
      <c r="BF1764" s="1017" t="s">
        <v>2471</v>
      </c>
    </row>
    <row r="1765" spans="1:58" ht="23" thickBot="1">
      <c r="A1765">
        <v>12</v>
      </c>
      <c r="B1765" s="1384" t="s">
        <v>2271</v>
      </c>
      <c r="C1765" t="s">
        <v>2280</v>
      </c>
      <c r="E1765"/>
      <c r="F1765" s="306">
        <v>0.95433568839583738</v>
      </c>
      <c r="G1765" s="306">
        <v>0.92137188391584224</v>
      </c>
      <c r="H1765" s="306">
        <v>0.90935069617636244</v>
      </c>
      <c r="I1765" s="306">
        <v>0.8734698580742184</v>
      </c>
      <c r="J1765" s="306">
        <v>0.80812499575189378</v>
      </c>
      <c r="K1765" s="306">
        <v>0.80034812945906753</v>
      </c>
      <c r="L1765" s="306">
        <v>0.7289809750578653</v>
      </c>
      <c r="M1765" s="306">
        <v>0.70814575043282257</v>
      </c>
      <c r="N1765" s="306">
        <v>0.81890617707164826</v>
      </c>
      <c r="O1765" s="306">
        <v>0.79759427849981812</v>
      </c>
      <c r="P1765" s="306">
        <v>0.81924188876820137</v>
      </c>
      <c r="Q1765" s="306">
        <v>0.82562768264828812</v>
      </c>
      <c r="R1765" s="306">
        <v>0.83293708265987643</v>
      </c>
      <c r="S1765" s="306">
        <v>0.77214643172430841</v>
      </c>
      <c r="T1765" s="306">
        <v>0.80176303951116024</v>
      </c>
      <c r="U1765" s="306">
        <v>0.81050121171736966</v>
      </c>
      <c r="V1765" s="306">
        <v>0.79789774932411339</v>
      </c>
      <c r="W1765" s="306">
        <v>0.79872538778909086</v>
      </c>
      <c r="X1765" s="306">
        <v>0.79380375565997474</v>
      </c>
      <c r="Y1765" s="306">
        <v>0.78644223073525921</v>
      </c>
      <c r="Z1765" s="306">
        <f ca="1">Z1757/ABS(Z1756)</f>
        <v>0.78644223073525921</v>
      </c>
      <c r="AB1765" s="306">
        <f ca="1">Tab1SDataShiftSummary[[#This Row],[Summary0]]-Tab1SDataShiftSummary[[#This Row],[Summary20]]</f>
        <v>0.16789345766057817</v>
      </c>
      <c r="AC1765" s="306">
        <f>Tab1SDataShiftSummary[[#This Row],[Summary1]]-Tab1SDataShiftSummary[[#This Row],[Summary0]]</f>
        <v>-3.296380447999514E-2</v>
      </c>
      <c r="AD1765" s="306">
        <f>Tab1SDataShiftSummary[[#This Row],[Summary2]]-Tab1SDataShiftSummary[[#This Row],[Summary1]]</f>
        <v>-1.2021187739479799E-2</v>
      </c>
      <c r="AE1765" s="306">
        <f>Tab1SDataShiftSummary[[#This Row],[Summary3]]-Tab1SDataShiftSummary[[#This Row],[Summary2]]</f>
        <v>-3.5880838102144041E-2</v>
      </c>
      <c r="AF1765" s="306">
        <f>Tab1SDataShiftSummary[[#This Row],[Summary4]]-Tab1SDataShiftSummary[[#This Row],[Summary3]]</f>
        <v>-6.5344862322324615E-2</v>
      </c>
      <c r="AG1765" s="306">
        <f>Tab1SDataShiftSummary[[#This Row],[Summary5]]-Tab1SDataShiftSummary[[#This Row],[Summary4]]</f>
        <v>-7.7768662928262566E-3</v>
      </c>
      <c r="AH1765" s="306">
        <f>Tab1SDataShiftSummary[[#This Row],[Summary6]]-Tab1SDataShiftSummary[[#This Row],[Summary5]]</f>
        <v>-7.1367154401202226E-2</v>
      </c>
      <c r="AI1765" s="306">
        <f>Tab1SDataShiftSummary[[#This Row],[Summary7]]-Tab1SDataShiftSummary[[#This Row],[Summary6]]</f>
        <v>-2.0835224625042725E-2</v>
      </c>
      <c r="AJ1765" s="306">
        <f>Tab1SDataShiftSummary[[#This Row],[Summary8]]-Tab1SDataShiftSummary[[#This Row],[Summary7]]</f>
        <v>0.11076042663882568</v>
      </c>
      <c r="AK1765" s="306">
        <f>Tab1SDataShiftSummary[[#This Row],[Summary9]]-Tab1SDataShiftSummary[[#This Row],[Summary8]]</f>
        <v>-2.1311898571830135E-2</v>
      </c>
      <c r="AL1765" s="306">
        <f>Tab1SDataShiftSummary[[#This Row],[Summary10]]-Tab1SDataShiftSummary[[#This Row],[Summary9]]</f>
        <v>2.1647610268383244E-2</v>
      </c>
      <c r="AM1765" s="306">
        <f>Tab1SDataShiftSummary[[#This Row],[Summary11]]-Tab1SDataShiftSummary[[#This Row],[Summary10]]</f>
        <v>6.3857938800867542E-3</v>
      </c>
      <c r="AN1765" s="306">
        <f>Tab1SDataShiftSummary[[#This Row],[Summary12]]-Tab1SDataShiftSummary[[#This Row],[Summary11]]</f>
        <v>7.3094000115883073E-3</v>
      </c>
      <c r="AO1765" s="306">
        <f>Tab1SDataShiftSummary[[#This Row],[Summary13]]-Tab1SDataShiftSummary[[#This Row],[Summary12]]</f>
        <v>-6.0790650935568014E-2</v>
      </c>
      <c r="AP1765" s="306">
        <f>Tab1SDataShiftSummary[[#This Row],[Summary14]]-Tab1SDataShiftSummary[[#This Row],[Summary13]]</f>
        <v>2.9616607786851823E-2</v>
      </c>
      <c r="AQ1765" s="306">
        <f>Tab1SDataShiftSummary[[#This Row],[Summary15]]-Tab1SDataShiftSummary[[#This Row],[Summary14]]</f>
        <v>8.7381722062094269E-3</v>
      </c>
      <c r="AR1765" s="306">
        <f>Tab1SDataShiftSummary[[#This Row],[Summary16]]-Tab1SDataShiftSummary[[#This Row],[Summary15]]</f>
        <v>-1.2603462393256271E-2</v>
      </c>
      <c r="AS1765" s="306">
        <f>Tab1SDataShiftSummary[[#This Row],[Summary17]]-Tab1SDataShiftSummary[[#This Row],[Summary16]]</f>
        <v>8.2763846497746485E-4</v>
      </c>
      <c r="AT1765" s="306">
        <f>Tab1SDataShiftSummary[[#This Row],[Summary18]]-Tab1SDataShiftSummary[[#This Row],[Summary17]]</f>
        <v>-4.9216321291161158E-3</v>
      </c>
      <c r="AU1765" s="306">
        <f>Tab1SDataShiftSummary[[#This Row],[Summary19]]-Tab1SDataShiftSummary[[#This Row],[Summary18]]</f>
        <v>-7.3615249247155345E-3</v>
      </c>
      <c r="AV1765" s="1404">
        <f ca="1">Tab1SDataShiftSummary[[#This Row],[Summary20]]-Tab1SDataShiftSummary[[#This Row],[Summary19]]</f>
        <v>0</v>
      </c>
      <c r="AX1765" s="599" t="s">
        <v>2468</v>
      </c>
      <c r="AY1765" s="715" t="s">
        <v>2271</v>
      </c>
      <c r="BA1765" s="1020" t="s">
        <v>2289</v>
      </c>
      <c r="BB1765" s="1020" t="s">
        <v>2289</v>
      </c>
      <c r="BC1765" s="1020" t="s">
        <v>2289</v>
      </c>
      <c r="BD1765" s="1020" t="s">
        <v>2289</v>
      </c>
      <c r="BE1765" s="1020" t="s">
        <v>2289</v>
      </c>
      <c r="BF1765" s="1018">
        <f ca="1">SUM(BF1766:BF1769)</f>
        <v>-262084.36</v>
      </c>
    </row>
    <row r="1766" spans="1:58">
      <c r="A1766">
        <v>13</v>
      </c>
      <c r="B1766" s="715" t="s">
        <v>1133</v>
      </c>
      <c r="C1766"/>
      <c r="E1766"/>
      <c r="F1766" s="720">
        <v>9564480.5600000005</v>
      </c>
      <c r="G1766" s="720">
        <v>9000538.870000001</v>
      </c>
      <c r="H1766" s="720">
        <v>8897641.1099999994</v>
      </c>
      <c r="I1766" s="720">
        <v>8534128.379999999</v>
      </c>
      <c r="J1766" s="720">
        <v>8865193.9299999997</v>
      </c>
      <c r="K1766" s="720">
        <v>9035082.7300000004</v>
      </c>
      <c r="L1766" s="720">
        <v>8770301.5199999996</v>
      </c>
      <c r="M1766" s="720">
        <v>8506154.129999999</v>
      </c>
      <c r="N1766" s="720">
        <v>8500929.5099999998</v>
      </c>
      <c r="O1766" s="720">
        <v>8375645.6200000001</v>
      </c>
      <c r="P1766" s="720">
        <v>8369161.5200000005</v>
      </c>
      <c r="Q1766" s="720">
        <v>8467845.3797580004</v>
      </c>
      <c r="R1766" s="720">
        <v>8323078.847599999</v>
      </c>
      <c r="S1766" s="720">
        <v>7724219.4055979997</v>
      </c>
      <c r="T1766" s="720">
        <v>7843975.0898679998</v>
      </c>
      <c r="U1766" s="720">
        <v>7828050.4029279994</v>
      </c>
      <c r="V1766" s="720">
        <v>7739338.503517</v>
      </c>
      <c r="W1766" s="720">
        <v>7743331.4433920011</v>
      </c>
      <c r="X1766" s="720">
        <v>7742198.9593769992</v>
      </c>
      <c r="Y1766" s="720">
        <v>7550599.3289219998</v>
      </c>
      <c r="Z1766" s="720">
        <f ca="1">Z1724+Z1745</f>
        <v>7550599.3289219998</v>
      </c>
      <c r="AB1766" s="91">
        <f ca="1">Tab1SDataShiftSummary[[#This Row],[Summary0]]-Tab1SDataShiftSummary[[#This Row],[Summary20]]</f>
        <v>2013881.2310780007</v>
      </c>
      <c r="AC1766" s="91">
        <f>Tab1SDataShiftSummary[[#This Row],[Summary1]]-Tab1SDataShiftSummary[[#This Row],[Summary0]]</f>
        <v>-563941.68999999948</v>
      </c>
      <c r="AD1766" s="91">
        <f>Tab1SDataShiftSummary[[#This Row],[Summary2]]-Tab1SDataShiftSummary[[#This Row],[Summary1]]</f>
        <v>-102897.76000000164</v>
      </c>
      <c r="AE1766" s="91">
        <f>Tab1SDataShiftSummary[[#This Row],[Summary3]]-Tab1SDataShiftSummary[[#This Row],[Summary2]]</f>
        <v>-363512.73000000045</v>
      </c>
      <c r="AF1766" s="91">
        <f>Tab1SDataShiftSummary[[#This Row],[Summary4]]-Tab1SDataShiftSummary[[#This Row],[Summary3]]</f>
        <v>331065.55000000075</v>
      </c>
      <c r="AG1766" s="91">
        <f>Tab1SDataShiftSummary[[#This Row],[Summary5]]-Tab1SDataShiftSummary[[#This Row],[Summary4]]</f>
        <v>169888.80000000075</v>
      </c>
      <c r="AH1766" s="91">
        <f>Tab1SDataShiftSummary[[#This Row],[Summary6]]-Tab1SDataShiftSummary[[#This Row],[Summary5]]</f>
        <v>-264781.21000000089</v>
      </c>
      <c r="AI1766" s="91">
        <f>Tab1SDataShiftSummary[[#This Row],[Summary7]]-Tab1SDataShiftSummary[[#This Row],[Summary6]]</f>
        <v>-264147.3900000006</v>
      </c>
      <c r="AJ1766" s="91">
        <f>Tab1SDataShiftSummary[[#This Row],[Summary8]]-Tab1SDataShiftSummary[[#This Row],[Summary7]]</f>
        <v>-5224.6199999991804</v>
      </c>
      <c r="AK1766" s="91">
        <f>Tab1SDataShiftSummary[[#This Row],[Summary9]]-Tab1SDataShiftSummary[[#This Row],[Summary8]]</f>
        <v>-125283.88999999966</v>
      </c>
      <c r="AL1766" s="91">
        <f>Tab1SDataShiftSummary[[#This Row],[Summary10]]-Tab1SDataShiftSummary[[#This Row],[Summary9]]</f>
        <v>-6484.0999999996275</v>
      </c>
      <c r="AM1766" s="91">
        <f>Tab1SDataShiftSummary[[#This Row],[Summary11]]-Tab1SDataShiftSummary[[#This Row],[Summary10]]</f>
        <v>98683.85975799989</v>
      </c>
      <c r="AN1766" s="91">
        <f>Tab1SDataShiftSummary[[#This Row],[Summary12]]-Tab1SDataShiftSummary[[#This Row],[Summary11]]</f>
        <v>-144766.53215800133</v>
      </c>
      <c r="AO1766" s="91">
        <f>Tab1SDataShiftSummary[[#This Row],[Summary13]]-Tab1SDataShiftSummary[[#This Row],[Summary12]]</f>
        <v>-598859.44200199936</v>
      </c>
      <c r="AP1766" s="91">
        <f>Tab1SDataShiftSummary[[#This Row],[Summary14]]-Tab1SDataShiftSummary[[#This Row],[Summary13]]</f>
        <v>119755.68427000009</v>
      </c>
      <c r="AQ1766" s="91">
        <f>Tab1SDataShiftSummary[[#This Row],[Summary15]]-Tab1SDataShiftSummary[[#This Row],[Summary14]]</f>
        <v>-15924.686940000392</v>
      </c>
      <c r="AR1766" s="91">
        <f>Tab1SDataShiftSummary[[#This Row],[Summary16]]-Tab1SDataShiftSummary[[#This Row],[Summary15]]</f>
        <v>-88711.89941099938</v>
      </c>
      <c r="AS1766" s="91">
        <f>Tab1SDataShiftSummary[[#This Row],[Summary17]]-Tab1SDataShiftSummary[[#This Row],[Summary16]]</f>
        <v>3992.9398750010878</v>
      </c>
      <c r="AT1766" s="91">
        <f>Tab1SDataShiftSummary[[#This Row],[Summary18]]-Tab1SDataShiftSummary[[#This Row],[Summary17]]</f>
        <v>-1132.4840150019154</v>
      </c>
      <c r="AU1766" s="91">
        <f>Tab1SDataShiftSummary[[#This Row],[Summary19]]-Tab1SDataShiftSummary[[#This Row],[Summary18]]</f>
        <v>-191599.63045499939</v>
      </c>
      <c r="AV1766" s="1403">
        <f ca="1">Tab1SDataShiftSummary[[#This Row],[Summary20]]-Tab1SDataShiftSummary[[#This Row],[Summary19]]</f>
        <v>0</v>
      </c>
      <c r="AW1766" s="1" t="s">
        <v>2264</v>
      </c>
      <c r="AX1766" s="1028">
        <f ca="1">AV1766+BE1766</f>
        <v>0</v>
      </c>
      <c r="AY1766" s="999" t="s">
        <v>1133</v>
      </c>
      <c r="BA1766" s="938" cm="1">
        <f t="array" aca="1" ref="BA1766" ca="1">SUMPRODUCT(
  (Entries!$A$554:$A$799 = BA$1764) *
  (Entries!$J$554:$J$799= Entries!$K33) *
  --(Entries!$E$554:$E$799)
)</f>
        <v>61720</v>
      </c>
      <c r="BB1766" s="938" cm="1">
        <f t="array" aca="1" ref="BB1766" ca="1">SUMPRODUCT(
  (Entries!$A$554:$A$799 = BB$1764) *
  (Entries!$J$554:$J$799= Entries!$K33) *
  --(Entries!$E$554:$E$799)
)</f>
        <v>64000</v>
      </c>
      <c r="BC1766" s="938" cm="1">
        <f t="array" aca="1" ref="BC1766" ca="1">SUMPRODUCT(
  (Entries!$A$554:$A$799 = BC$1764) *
  (Entries!$J$554:$J$799= Entries!$K33) *
  --(Entries!$E$554:$E$799)
)</f>
        <v>-155000</v>
      </c>
      <c r="BD1766" s="938" cm="1">
        <f t="array" aca="1" ref="BD1766" ca="1">SUMPRODUCT(
  (Entries!$A$554:$A$799 = BD$1764) *
  (Entries!$J$554:$J$799= Entries!$K33) *
  --(Entries!$E$554:$E$799)
)</f>
        <v>0</v>
      </c>
      <c r="BE1766" s="938" cm="1">
        <f t="array" aca="1" ref="BE1766" ca="1">SUMPRODUCT(
  (Entries!$A$603:$A$799 = BE$1764) *
  (Entries!$J$603:$J$799= Entries!$K33) *
  --(Entries!$E$603:$E$799)
)</f>
        <v>0</v>
      </c>
      <c r="BF1766" s="1019">
        <f ca="1">SUM(BA1766:BE1766)</f>
        <v>-29280</v>
      </c>
    </row>
    <row r="1767" spans="1:58">
      <c r="A1767">
        <v>14</v>
      </c>
      <c r="B1767" s="715" t="s">
        <v>1130</v>
      </c>
      <c r="C1767"/>
      <c r="E1767"/>
      <c r="F1767" s="720">
        <v>23788493.198000003</v>
      </c>
      <c r="G1767" s="720">
        <v>23307787.516100001</v>
      </c>
      <c r="H1767" s="720">
        <v>23055959.364999995</v>
      </c>
      <c r="I1767" s="720">
        <v>23037233.600000001</v>
      </c>
      <c r="J1767" s="720">
        <v>22478420.879799999</v>
      </c>
      <c r="K1767" s="720">
        <v>22258267.859399997</v>
      </c>
      <c r="L1767" s="720">
        <v>21791838.820699997</v>
      </c>
      <c r="M1767" s="720">
        <v>21837167.627599996</v>
      </c>
      <c r="N1767" s="720">
        <v>22773682.770199995</v>
      </c>
      <c r="O1767" s="720">
        <v>22684516.277999997</v>
      </c>
      <c r="P1767" s="720">
        <v>22894986.283399999</v>
      </c>
      <c r="Q1767" s="720">
        <v>22854276.208504897</v>
      </c>
      <c r="R1767" s="720">
        <v>23008614.24184455</v>
      </c>
      <c r="S1767" s="720">
        <v>22760082.270869363</v>
      </c>
      <c r="T1767" s="720">
        <v>22962729.174534045</v>
      </c>
      <c r="U1767" s="720">
        <v>23075906.472333778</v>
      </c>
      <c r="V1767" s="720">
        <v>23186035.358527929</v>
      </c>
      <c r="W1767" s="720">
        <v>23357923.261933502</v>
      </c>
      <c r="X1767" s="720">
        <v>23385827.390813701</v>
      </c>
      <c r="Y1767" s="720">
        <v>23487202.919358246</v>
      </c>
      <c r="Z1767" s="720">
        <f ca="1">Z1725+Z1746</f>
        <v>23487202.919358246</v>
      </c>
      <c r="AB1767" s="91">
        <f ca="1">Tab1SDataShiftSummary[[#This Row],[Summary0]]-Tab1SDataShiftSummary[[#This Row],[Summary20]]</f>
        <v>301290.27864175662</v>
      </c>
      <c r="AC1767" s="91">
        <f>Tab1SDataShiftSummary[[#This Row],[Summary1]]-Tab1SDataShiftSummary[[#This Row],[Summary0]]</f>
        <v>-480705.68190000206</v>
      </c>
      <c r="AD1767" s="91">
        <f>Tab1SDataShiftSummary[[#This Row],[Summary2]]-Tab1SDataShiftSummary[[#This Row],[Summary1]]</f>
        <v>-251828.15110000595</v>
      </c>
      <c r="AE1767" s="91">
        <f>Tab1SDataShiftSummary[[#This Row],[Summary3]]-Tab1SDataShiftSummary[[#This Row],[Summary2]]</f>
        <v>-18725.764999993145</v>
      </c>
      <c r="AF1767" s="91">
        <f>Tab1SDataShiftSummary[[#This Row],[Summary4]]-Tab1SDataShiftSummary[[#This Row],[Summary3]]</f>
        <v>-558812.72020000219</v>
      </c>
      <c r="AG1767" s="91">
        <f>Tab1SDataShiftSummary[[#This Row],[Summary5]]-Tab1SDataShiftSummary[[#This Row],[Summary4]]</f>
        <v>-220153.0204000026</v>
      </c>
      <c r="AH1767" s="91">
        <f>Tab1SDataShiftSummary[[#This Row],[Summary6]]-Tab1SDataShiftSummary[[#This Row],[Summary5]]</f>
        <v>-466429.03869999945</v>
      </c>
      <c r="AI1767" s="91">
        <f>Tab1SDataShiftSummary[[#This Row],[Summary7]]-Tab1SDataShiftSummary[[#This Row],[Summary6]]</f>
        <v>45328.806899998337</v>
      </c>
      <c r="AJ1767" s="91">
        <f>Tab1SDataShiftSummary[[#This Row],[Summary8]]-Tab1SDataShiftSummary[[#This Row],[Summary7]]</f>
        <v>936515.1425999999</v>
      </c>
      <c r="AK1767" s="91">
        <f>Tab1SDataShiftSummary[[#This Row],[Summary9]]-Tab1SDataShiftSummary[[#This Row],[Summary8]]</f>
        <v>-89166.492199998349</v>
      </c>
      <c r="AL1767" s="91">
        <f>Tab1SDataShiftSummary[[#This Row],[Summary10]]-Tab1SDataShiftSummary[[#This Row],[Summary9]]</f>
        <v>210470.005400002</v>
      </c>
      <c r="AM1767" s="91">
        <f>Tab1SDataShiftSummary[[#This Row],[Summary11]]-Tab1SDataShiftSummary[[#This Row],[Summary10]]</f>
        <v>-40710.074895102531</v>
      </c>
      <c r="AN1767" s="91">
        <f>Tab1SDataShiftSummary[[#This Row],[Summary12]]-Tab1SDataShiftSummary[[#This Row],[Summary11]]</f>
        <v>154338.03333965316</v>
      </c>
      <c r="AO1767" s="91">
        <f>Tab1SDataShiftSummary[[#This Row],[Summary13]]-Tab1SDataShiftSummary[[#This Row],[Summary12]]</f>
        <v>-248531.97097518668</v>
      </c>
      <c r="AP1767" s="91">
        <f>Tab1SDataShiftSummary[[#This Row],[Summary14]]-Tab1SDataShiftSummary[[#This Row],[Summary13]]</f>
        <v>202646.90366468206</v>
      </c>
      <c r="AQ1767" s="91">
        <f>Tab1SDataShiftSummary[[#This Row],[Summary15]]-Tab1SDataShiftSummary[[#This Row],[Summary14]]</f>
        <v>113177.29779973254</v>
      </c>
      <c r="AR1767" s="91">
        <f>Tab1SDataShiftSummary[[#This Row],[Summary16]]-Tab1SDataShiftSummary[[#This Row],[Summary15]]</f>
        <v>110128.88619415089</v>
      </c>
      <c r="AS1767" s="91">
        <f>Tab1SDataShiftSummary[[#This Row],[Summary17]]-Tab1SDataShiftSummary[[#This Row],[Summary16]]</f>
        <v>171887.90340557322</v>
      </c>
      <c r="AT1767" s="91">
        <f>Tab1SDataShiftSummary[[#This Row],[Summary18]]-Tab1SDataShiftSummary[[#This Row],[Summary17]]</f>
        <v>27904.128880199045</v>
      </c>
      <c r="AU1767" s="91">
        <f>Tab1SDataShiftSummary[[#This Row],[Summary19]]-Tab1SDataShiftSummary[[#This Row],[Summary18]]</f>
        <v>101375.52854454517</v>
      </c>
      <c r="AV1767" s="1403">
        <f ca="1">Tab1SDataShiftSummary[[#This Row],[Summary20]]-Tab1SDataShiftSummary[[#This Row],[Summary19]]</f>
        <v>0</v>
      </c>
      <c r="AW1767" s="1" t="s">
        <v>2264</v>
      </c>
      <c r="AX1767" s="1029">
        <f ca="1">AV1767+BE1767</f>
        <v>99350</v>
      </c>
      <c r="AY1767" s="1000" t="s">
        <v>1130</v>
      </c>
      <c r="BA1767" s="586" cm="1">
        <f t="array" aca="1" ref="BA1767" ca="1">SUMPRODUCT(
  (Entries!$A$554:$A$799 = BA$1764) *
  (Entries!$J$554:$J$799= Entries!$K34) *
  --(Entries!$E$554:$E$799)
)</f>
        <v>-134909</v>
      </c>
      <c r="BB1767" s="586" cm="1">
        <f t="array" aca="1" ref="BB1767" ca="1">SUMPRODUCT(
  (Entries!$A$554:$A$799 = BB$1764) *
  (Entries!$J$554:$J$799= Entries!$K34) *
  --(Entries!$E$554:$E$799)
)</f>
        <v>-197958</v>
      </c>
      <c r="BC1767" s="586" cm="1">
        <f t="array" aca="1" ref="BC1767" ca="1">SUMPRODUCT(
  (Entries!$A$554:$A$799 = BC$1764) *
  (Entries!$J$554:$J$799= Entries!$K34) *
  --(Entries!$E$554:$E$799)
)</f>
        <v>692.64</v>
      </c>
      <c r="BD1767" s="586" cm="1">
        <f t="array" aca="1" ref="BD1767" ca="1">SUMPRODUCT(
  (Entries!$A$554:$A$799 = BD$1764) *
  (Entries!$J$554:$J$799= Entries!$K34) *
  --(Entries!$E$554:$E$799)
)</f>
        <v>-92480</v>
      </c>
      <c r="BE1767" s="586" cm="1">
        <f t="array" aca="1" ref="BE1767" ca="1">SUMPRODUCT(
  (Entries!$A$603:$A$799 = BE$1764) *
  (Entries!$J$603:$J$799= Entries!$K34) *
  --(Entries!$E$603:$E$799)
)</f>
        <v>99350</v>
      </c>
      <c r="BF1767" s="1014">
        <f t="shared" ref="BF1767:BF1769" ca="1" si="137">SUM(BA1767:BE1767)</f>
        <v>-325304.36</v>
      </c>
    </row>
    <row r="1768" spans="1:58">
      <c r="A1768">
        <v>15</v>
      </c>
      <c r="B1768" s="715" t="s">
        <v>1431</v>
      </c>
      <c r="C1768"/>
      <c r="E1768"/>
      <c r="F1768" s="720">
        <v>1075190</v>
      </c>
      <c r="G1768" s="720">
        <v>1045960</v>
      </c>
      <c r="H1768" s="720">
        <v>910780</v>
      </c>
      <c r="I1768" s="720">
        <v>898900</v>
      </c>
      <c r="J1768" s="720">
        <v>875529</v>
      </c>
      <c r="K1768" s="720">
        <v>885230</v>
      </c>
      <c r="L1768" s="720">
        <v>892900</v>
      </c>
      <c r="M1768" s="720">
        <v>917170</v>
      </c>
      <c r="N1768" s="720">
        <v>912840</v>
      </c>
      <c r="O1768" s="720">
        <v>860360</v>
      </c>
      <c r="P1768" s="720">
        <v>857720</v>
      </c>
      <c r="Q1768" s="720">
        <v>859024.35499999998</v>
      </c>
      <c r="R1768" s="720">
        <v>847206.35000000009</v>
      </c>
      <c r="S1768" s="720">
        <v>856351.59100000001</v>
      </c>
      <c r="T1768" s="720">
        <v>849131.13899999997</v>
      </c>
      <c r="U1768" s="720">
        <v>845989.64400000009</v>
      </c>
      <c r="V1768" s="720">
        <v>851744.06499999994</v>
      </c>
      <c r="W1768" s="720">
        <v>845321.45299999998</v>
      </c>
      <c r="X1768" s="720">
        <v>855025.18200000003</v>
      </c>
      <c r="Y1768" s="720">
        <v>860600.08899999992</v>
      </c>
      <c r="Z1768" s="720">
        <f ca="1">Z1726+Z1747</f>
        <v>860600.08899999992</v>
      </c>
      <c r="AB1768" s="91">
        <f ca="1">Tab1SDataShiftSummary[[#This Row],[Summary0]]-Tab1SDataShiftSummary[[#This Row],[Summary20]]</f>
        <v>214589.91100000008</v>
      </c>
      <c r="AC1768" s="91">
        <f>Tab1SDataShiftSummary[[#This Row],[Summary1]]-Tab1SDataShiftSummary[[#This Row],[Summary0]]</f>
        <v>-29230</v>
      </c>
      <c r="AD1768" s="91">
        <f>Tab1SDataShiftSummary[[#This Row],[Summary2]]-Tab1SDataShiftSummary[[#This Row],[Summary1]]</f>
        <v>-135180</v>
      </c>
      <c r="AE1768" s="91">
        <f>Tab1SDataShiftSummary[[#This Row],[Summary3]]-Tab1SDataShiftSummary[[#This Row],[Summary2]]</f>
        <v>-11880</v>
      </c>
      <c r="AF1768" s="91">
        <f>Tab1SDataShiftSummary[[#This Row],[Summary4]]-Tab1SDataShiftSummary[[#This Row],[Summary3]]</f>
        <v>-23371</v>
      </c>
      <c r="AG1768" s="91">
        <f>Tab1SDataShiftSummary[[#This Row],[Summary5]]-Tab1SDataShiftSummary[[#This Row],[Summary4]]</f>
        <v>9701</v>
      </c>
      <c r="AH1768" s="91">
        <f>Tab1SDataShiftSummary[[#This Row],[Summary6]]-Tab1SDataShiftSummary[[#This Row],[Summary5]]</f>
        <v>7670</v>
      </c>
      <c r="AI1768" s="91">
        <f>Tab1SDataShiftSummary[[#This Row],[Summary7]]-Tab1SDataShiftSummary[[#This Row],[Summary6]]</f>
        <v>24270</v>
      </c>
      <c r="AJ1768" s="91">
        <f>Tab1SDataShiftSummary[[#This Row],[Summary8]]-Tab1SDataShiftSummary[[#This Row],[Summary7]]</f>
        <v>-4330</v>
      </c>
      <c r="AK1768" s="91">
        <f>Tab1SDataShiftSummary[[#This Row],[Summary9]]-Tab1SDataShiftSummary[[#This Row],[Summary8]]</f>
        <v>-52480</v>
      </c>
      <c r="AL1768" s="91">
        <f>Tab1SDataShiftSummary[[#This Row],[Summary10]]-Tab1SDataShiftSummary[[#This Row],[Summary9]]</f>
        <v>-2640</v>
      </c>
      <c r="AM1768" s="91">
        <f>Tab1SDataShiftSummary[[#This Row],[Summary11]]-Tab1SDataShiftSummary[[#This Row],[Summary10]]</f>
        <v>1304.3549999999814</v>
      </c>
      <c r="AN1768" s="91">
        <f>Tab1SDataShiftSummary[[#This Row],[Summary12]]-Tab1SDataShiftSummary[[#This Row],[Summary11]]</f>
        <v>-11818.004999999888</v>
      </c>
      <c r="AO1768" s="91">
        <f>Tab1SDataShiftSummary[[#This Row],[Summary13]]-Tab1SDataShiftSummary[[#This Row],[Summary12]]</f>
        <v>9145.2409999999218</v>
      </c>
      <c r="AP1768" s="91">
        <f>Tab1SDataShiftSummary[[#This Row],[Summary14]]-Tab1SDataShiftSummary[[#This Row],[Summary13]]</f>
        <v>-7220.4520000000484</v>
      </c>
      <c r="AQ1768" s="91">
        <f>Tab1SDataShiftSummary[[#This Row],[Summary15]]-Tab1SDataShiftSummary[[#This Row],[Summary14]]</f>
        <v>-3141.4949999998789</v>
      </c>
      <c r="AR1768" s="91">
        <f>Tab1SDataShiftSummary[[#This Row],[Summary16]]-Tab1SDataShiftSummary[[#This Row],[Summary15]]</f>
        <v>5754.4209999998566</v>
      </c>
      <c r="AS1768" s="91">
        <f>Tab1SDataShiftSummary[[#This Row],[Summary17]]-Tab1SDataShiftSummary[[#This Row],[Summary16]]</f>
        <v>-6422.6119999999646</v>
      </c>
      <c r="AT1768" s="91">
        <f>Tab1SDataShiftSummary[[#This Row],[Summary18]]-Tab1SDataShiftSummary[[#This Row],[Summary17]]</f>
        <v>9703.7290000000503</v>
      </c>
      <c r="AU1768" s="91">
        <f>Tab1SDataShiftSummary[[#This Row],[Summary19]]-Tab1SDataShiftSummary[[#This Row],[Summary18]]</f>
        <v>5574.9069999998901</v>
      </c>
      <c r="AV1768" s="1403">
        <f ca="1">Tab1SDataShiftSummary[[#This Row],[Summary20]]-Tab1SDataShiftSummary[[#This Row],[Summary19]]</f>
        <v>0</v>
      </c>
      <c r="AW1768" s="1" t="s">
        <v>2264</v>
      </c>
      <c r="AX1768" s="1029">
        <f ca="1">AV1768+BE1768</f>
        <v>0</v>
      </c>
      <c r="AY1768" s="1000" t="s">
        <v>1431</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4">
        <f t="shared" ca="1" si="137"/>
        <v>0</v>
      </c>
    </row>
    <row r="1769" spans="1:58" ht="23" thickBot="1">
      <c r="A1769">
        <v>16</v>
      </c>
      <c r="B1769" s="715" t="s">
        <v>1132</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361201</v>
      </c>
      <c r="Q1769" s="720">
        <v>1166122.9439999999</v>
      </c>
      <c r="R1769" s="720">
        <v>1169952.5759999999</v>
      </c>
      <c r="S1769" s="720">
        <v>1154634.048</v>
      </c>
      <c r="T1769" s="720">
        <v>1158463.68</v>
      </c>
      <c r="U1769" s="720">
        <v>1096830.54</v>
      </c>
      <c r="V1769" s="720">
        <v>1037590.9199999999</v>
      </c>
      <c r="W1769" s="720">
        <v>1008719.085</v>
      </c>
      <c r="X1769" s="720">
        <v>1000491.36</v>
      </c>
      <c r="Y1769" s="720">
        <v>1005427.995</v>
      </c>
      <c r="Z1769" s="720">
        <f ca="1">Z1727+Z1748</f>
        <v>1005427.995</v>
      </c>
      <c r="AB1769" s="91">
        <f ca="1">Tab1SDataShiftSummary[[#This Row],[Summary0]]-Tab1SDataShiftSummary[[#This Row],[Summary20]]</f>
        <v>-644226.995</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804921.9439999999</v>
      </c>
      <c r="AN1769" s="91">
        <f>Tab1SDataShiftSummary[[#This Row],[Summary12]]-Tab1SDataShiftSummary[[#This Row],[Summary11]]</f>
        <v>3829.6319999999832</v>
      </c>
      <c r="AO1769" s="91">
        <f>Tab1SDataShiftSummary[[#This Row],[Summary13]]-Tab1SDataShiftSummary[[#This Row],[Summary12]]</f>
        <v>-15318.527999999933</v>
      </c>
      <c r="AP1769" s="91">
        <f>Tab1SDataShiftSummary[[#This Row],[Summary14]]-Tab1SDataShiftSummary[[#This Row],[Summary13]]</f>
        <v>3829.6319999999832</v>
      </c>
      <c r="AQ1769" s="91">
        <f>Tab1SDataShiftSummary[[#This Row],[Summary15]]-Tab1SDataShiftSummary[[#This Row],[Summary14]]</f>
        <v>-61633.139999999898</v>
      </c>
      <c r="AR1769" s="91">
        <f>Tab1SDataShiftSummary[[#This Row],[Summary16]]-Tab1SDataShiftSummary[[#This Row],[Summary15]]</f>
        <v>-59239.620000000112</v>
      </c>
      <c r="AS1769" s="91">
        <f>Tab1SDataShiftSummary[[#This Row],[Summary17]]-Tab1SDataShiftSummary[[#This Row],[Summary16]]</f>
        <v>-28871.834999999963</v>
      </c>
      <c r="AT1769" s="91">
        <f>Tab1SDataShiftSummary[[#This Row],[Summary18]]-Tab1SDataShiftSummary[[#This Row],[Summary17]]</f>
        <v>-8227.7249999999767</v>
      </c>
      <c r="AU1769" s="91">
        <f>Tab1SDataShiftSummary[[#This Row],[Summary19]]-Tab1SDataShiftSummary[[#This Row],[Summary18]]</f>
        <v>4936.6350000000093</v>
      </c>
      <c r="AV1769" s="1403">
        <f ca="1">Tab1SDataShiftSummary[[#This Row],[Summary20]]-Tab1SDataShiftSummary[[#This Row],[Summary19]]</f>
        <v>0</v>
      </c>
      <c r="AW1769" s="1" t="s">
        <v>2264</v>
      </c>
      <c r="AX1769" s="1030">
        <f ca="1">AV1769+BE1769</f>
        <v>0</v>
      </c>
      <c r="AY1769" s="1001" t="s">
        <v>1132</v>
      </c>
      <c r="BA1769" s="935" cm="1">
        <f t="array" aca="1" ref="BA1769" ca="1">SUMPRODUCT(
  (Entries!$A$554:$A$799 = BA$1764) *
  (Entries!$J$554:$J$799= Entries!$K36) *
  --(Entries!$E$554:$E$799)
)</f>
        <v>61600</v>
      </c>
      <c r="BB1769" s="935" cm="1">
        <f t="array" aca="1" ref="BB1769" ca="1">SUMPRODUCT(
  (Entries!$A$554:$A$799 = BB$1764) *
  (Entries!$J$554:$J$799= Entries!$K36) *
  --(Entries!$E$554:$E$799)
)</f>
        <v>0</v>
      </c>
      <c r="BC1769" s="935" cm="1">
        <f t="array" aca="1" ref="BC1769" ca="1">SUMPRODUCT(
  (Entries!$A$554:$A$799 = BC$1764) *
  (Entries!$J$554:$J$799= Entries!$K36) *
  --(Entries!$E$554:$E$799)
)</f>
        <v>30900</v>
      </c>
      <c r="BD1769" s="935" cm="1">
        <f t="array" aca="1" ref="BD1769" ca="1">SUMPRODUCT(
  (Entries!$A$554:$A$799 = BD$1764) *
  (Entries!$J$554:$J$799= Entries!$K36) *
  --(Entries!$E$554:$E$799)
)</f>
        <v>0</v>
      </c>
      <c r="BE1769" s="935" cm="1">
        <f t="array" aca="1" ref="BE1769" ca="1">SUMPRODUCT(
  (Entries!$A$603:$A$799 = BE$1764) *
  (Entries!$J$603:$J$799= Entries!$K36) *
  --(Entries!$E$603:$E$799)
)</f>
        <v>0</v>
      </c>
      <c r="BF1769" s="1015">
        <f t="shared" ca="1" si="137"/>
        <v>92500</v>
      </c>
    </row>
    <row r="1770" spans="1:58" ht="23" thickBot="1">
      <c r="A1770">
        <v>17</v>
      </c>
      <c r="B1770" s="1384" t="s">
        <v>2268</v>
      </c>
      <c r="C1770"/>
      <c r="E1770"/>
      <c r="F1770" s="306">
        <v>1.2083592983511118</v>
      </c>
      <c r="G1770" s="306">
        <v>1.2533812357210199</v>
      </c>
      <c r="H1770" s="306">
        <v>1.2774693963268815</v>
      </c>
      <c r="I1770" s="306">
        <v>1.2661738862469447</v>
      </c>
      <c r="J1770" s="306">
        <v>1.1501189278102462</v>
      </c>
      <c r="K1770" s="306">
        <v>1.1254152649960198</v>
      </c>
      <c r="L1770" s="306">
        <v>1.085614424760218</v>
      </c>
      <c r="M1770" s="306">
        <v>1.063355971731468</v>
      </c>
      <c r="N1770" s="306">
        <v>1.1934105815106519</v>
      </c>
      <c r="O1770" s="306">
        <v>1.1863037408087245</v>
      </c>
      <c r="P1770" s="306">
        <v>1.2127480306187266</v>
      </c>
      <c r="Q1770" s="306">
        <v>1.2191172214347255</v>
      </c>
      <c r="R1770" s="306">
        <v>1.2384759162288244</v>
      </c>
      <c r="S1770" s="306">
        <v>1.2741846279470563</v>
      </c>
      <c r="T1770" s="306">
        <v>1.2702707790188494</v>
      </c>
      <c r="U1770" s="306">
        <v>1.2684215706409012</v>
      </c>
      <c r="V1770" s="306">
        <v>1.249424784554712</v>
      </c>
      <c r="W1770" s="306">
        <v>1.211835133680639</v>
      </c>
      <c r="X1770" s="306">
        <v>1.1929036989383006</v>
      </c>
      <c r="Y1770" s="306">
        <v>1.1968933314408186</v>
      </c>
      <c r="Z1770" s="306">
        <f ca="1">-Z1761/Z1756</f>
        <v>1.1968933314408186</v>
      </c>
      <c r="AB1770" s="306">
        <f ca="1">Tab1SDataShiftSummary[[#This Row],[Summary0]]-Tab1SDataShiftSummary[[#This Row],[Summary20]]</f>
        <v>1.1465966910293224E-2</v>
      </c>
      <c r="AC1770" s="306">
        <f>Tab1SDataShiftSummary[[#This Row],[Summary1]]-Tab1SDataShiftSummary[[#This Row],[Summary0]]</f>
        <v>4.5021937369908116E-2</v>
      </c>
      <c r="AD1770" s="306">
        <f>Tab1SDataShiftSummary[[#This Row],[Summary2]]-Tab1SDataShiftSummary[[#This Row],[Summary1]]</f>
        <v>2.4088160605861608E-2</v>
      </c>
      <c r="AE1770" s="306">
        <f>Tab1SDataShiftSummary[[#This Row],[Summary3]]-Tab1SDataShiftSummary[[#This Row],[Summary2]]</f>
        <v>-1.1295510079936788E-2</v>
      </c>
      <c r="AF1770" s="306">
        <f>Tab1SDataShiftSummary[[#This Row],[Summary4]]-Tab1SDataShiftSummary[[#This Row],[Summary3]]</f>
        <v>-0.11605495843669855</v>
      </c>
      <c r="AG1770" s="306">
        <f>Tab1SDataShiftSummary[[#This Row],[Summary5]]-Tab1SDataShiftSummary[[#This Row],[Summary4]]</f>
        <v>-2.4703662814226313E-2</v>
      </c>
      <c r="AH1770" s="306">
        <f>Tab1SDataShiftSummary[[#This Row],[Summary6]]-Tab1SDataShiftSummary[[#This Row],[Summary5]]</f>
        <v>-3.9800840235801882E-2</v>
      </c>
      <c r="AI1770" s="306">
        <f>Tab1SDataShiftSummary[[#This Row],[Summary7]]-Tab1SDataShiftSummary[[#This Row],[Summary6]]</f>
        <v>-2.2258453028749958E-2</v>
      </c>
      <c r="AJ1770" s="306">
        <f>Tab1SDataShiftSummary[[#This Row],[Summary8]]-Tab1SDataShiftSummary[[#This Row],[Summary7]]</f>
        <v>0.13005460977918393</v>
      </c>
      <c r="AK1770" s="306">
        <f>Tab1SDataShiftSummary[[#This Row],[Summary9]]-Tab1SDataShiftSummary[[#This Row],[Summary8]]</f>
        <v>-7.1068407019274638E-3</v>
      </c>
      <c r="AL1770" s="306">
        <f>Tab1SDataShiftSummary[[#This Row],[Summary10]]-Tab1SDataShiftSummary[[#This Row],[Summary9]]</f>
        <v>2.6444289810002131E-2</v>
      </c>
      <c r="AM1770" s="306">
        <f>Tab1SDataShiftSummary[[#This Row],[Summary11]]-Tab1SDataShiftSummary[[#This Row],[Summary10]]</f>
        <v>6.3691908159988486E-3</v>
      </c>
      <c r="AN1770" s="306">
        <f>Tab1SDataShiftSummary[[#This Row],[Summary12]]-Tab1SDataShiftSummary[[#This Row],[Summary11]]</f>
        <v>1.9358694794098907E-2</v>
      </c>
      <c r="AO1770" s="306">
        <f>Tab1SDataShiftSummary[[#This Row],[Summary13]]-Tab1SDataShiftSummary[[#This Row],[Summary12]]</f>
        <v>3.5708711718231978E-2</v>
      </c>
      <c r="AP1770" s="306">
        <f>Tab1SDataShiftSummary[[#This Row],[Summary14]]-Tab1SDataShiftSummary[[#This Row],[Summary13]]</f>
        <v>-3.9138489282068978E-3</v>
      </c>
      <c r="AQ1770" s="306">
        <f>Tab1SDataShiftSummary[[#This Row],[Summary15]]-Tab1SDataShiftSummary[[#This Row],[Summary14]]</f>
        <v>-1.8492083779482194E-3</v>
      </c>
      <c r="AR1770" s="306">
        <f>Tab1SDataShiftSummary[[#This Row],[Summary16]]-Tab1SDataShiftSummary[[#This Row],[Summary15]]</f>
        <v>-1.8996786086189266E-2</v>
      </c>
      <c r="AS1770" s="306">
        <f>Tab1SDataShiftSummary[[#This Row],[Summary17]]-Tab1SDataShiftSummary[[#This Row],[Summary16]]</f>
        <v>-3.7589650874072955E-2</v>
      </c>
      <c r="AT1770" s="306">
        <f>Tab1SDataShiftSummary[[#This Row],[Summary18]]-Tab1SDataShiftSummary[[#This Row],[Summary17]]</f>
        <v>-1.8931434742338382E-2</v>
      </c>
      <c r="AU1770" s="306">
        <f>Tab1SDataShiftSummary[[#This Row],[Summary19]]-Tab1SDataShiftSummary[[#This Row],[Summary18]]</f>
        <v>3.9896325025179369E-3</v>
      </c>
      <c r="AV1770" s="1404">
        <f ca="1">Tab1SDataShiftSummary[[#This Row],[Summary20]]-Tab1SDataShiftSummary[[#This Row],[Summary19]]</f>
        <v>0</v>
      </c>
      <c r="AX1770" s="1016">
        <f ca="1">SUM(AX1766:AX1769)</f>
        <v>99350</v>
      </c>
      <c r="AY1770" s="715" t="s">
        <v>2112</v>
      </c>
      <c r="BA1770" s="91">
        <f ca="1">SUM(BA1766:BA1769)</f>
        <v>-11589</v>
      </c>
      <c r="BB1770" s="91">
        <f t="shared" ref="BB1770:BE1770" ca="1" si="138">SUM(BB1766:BB1769)</f>
        <v>-133958</v>
      </c>
      <c r="BC1770" s="91">
        <f t="shared" ca="1" si="138"/>
        <v>-123407.35999999999</v>
      </c>
      <c r="BD1770" s="91">
        <f t="shared" ca="1" si="138"/>
        <v>-92480</v>
      </c>
      <c r="BE1770" s="91">
        <f t="shared" ca="1" si="138"/>
        <v>99350</v>
      </c>
    </row>
    <row r="1771" spans="1:58">
      <c r="A1771">
        <v>18</v>
      </c>
      <c r="B1771" s="1384" t="s">
        <v>2270</v>
      </c>
      <c r="C1771"/>
      <c r="E1771"/>
      <c r="F1771" s="306">
        <v>0.5385330502669321</v>
      </c>
      <c r="G1771" s="306">
        <v>0.53434205814482749</v>
      </c>
      <c r="H1771" s="306">
        <v>0.53428352225488729</v>
      </c>
      <c r="I1771" s="306">
        <v>0.52927462885021548</v>
      </c>
      <c r="J1771" s="306">
        <v>0.49437363480817187</v>
      </c>
      <c r="K1771" s="306">
        <v>0.48911435381515661</v>
      </c>
      <c r="L1771" s="306">
        <v>0.47650053757991445</v>
      </c>
      <c r="M1771" s="306">
        <v>0.46648586451466872</v>
      </c>
      <c r="N1771" s="306">
        <v>0.51775157762056301</v>
      </c>
      <c r="O1771" s="306">
        <v>0.51352634714680534</v>
      </c>
      <c r="P1771" s="306">
        <v>0.52600652952619609</v>
      </c>
      <c r="Q1771" s="306">
        <v>0.52875535517567995</v>
      </c>
      <c r="R1771" s="306">
        <v>0.53449073031434846</v>
      </c>
      <c r="S1771" s="306">
        <v>0.54564636270804368</v>
      </c>
      <c r="T1771" s="306">
        <v>0.54124130375180579</v>
      </c>
      <c r="U1771" s="306">
        <v>0.53402303323763645</v>
      </c>
      <c r="V1771" s="306">
        <v>0.53169421062834654</v>
      </c>
      <c r="W1771" s="306">
        <v>0.51852198283053674</v>
      </c>
      <c r="X1771" s="306">
        <v>0.51340614281908736</v>
      </c>
      <c r="Y1771" s="306">
        <v>0.51668046682715874</v>
      </c>
      <c r="Z1771" s="306">
        <f ca="1">ABS((Z1754+Z1759)/Z1759)</f>
        <v>0.51668046682715874</v>
      </c>
      <c r="AB1771" s="306">
        <f ca="1">Tab1SDataShiftSummary[[#This Row],[Summary0]]-Tab1SDataShiftSummary[[#This Row],[Summary20]]</f>
        <v>2.1852583439773365E-2</v>
      </c>
      <c r="AC1771" s="306">
        <f>Tab1SDataShiftSummary[[#This Row],[Summary1]]-Tab1SDataShiftSummary[[#This Row],[Summary0]]</f>
        <v>-4.1909921221046087E-3</v>
      </c>
      <c r="AD1771" s="306">
        <f>Tab1SDataShiftSummary[[#This Row],[Summary2]]-Tab1SDataShiftSummary[[#This Row],[Summary1]]</f>
        <v>-5.8535889940203312E-5</v>
      </c>
      <c r="AE1771" s="306">
        <f>Tab1SDataShiftSummary[[#This Row],[Summary3]]-Tab1SDataShiftSummary[[#This Row],[Summary2]]</f>
        <v>-5.0088934046718103E-3</v>
      </c>
      <c r="AF1771" s="306">
        <f>Tab1SDataShiftSummary[[#This Row],[Summary4]]-Tab1SDataShiftSummary[[#This Row],[Summary3]]</f>
        <v>-3.4900994042043609E-2</v>
      </c>
      <c r="AG1771" s="306">
        <f>Tab1SDataShiftSummary[[#This Row],[Summary5]]-Tab1SDataShiftSummary[[#This Row],[Summary4]]</f>
        <v>-5.2592809930152584E-3</v>
      </c>
      <c r="AH1771" s="306">
        <f>Tab1SDataShiftSummary[[#This Row],[Summary6]]-Tab1SDataShiftSummary[[#This Row],[Summary5]]</f>
        <v>-1.2613816235242159E-2</v>
      </c>
      <c r="AI1771" s="306">
        <f>Tab1SDataShiftSummary[[#This Row],[Summary7]]-Tab1SDataShiftSummary[[#This Row],[Summary6]]</f>
        <v>-1.0014673065245727E-2</v>
      </c>
      <c r="AJ1771" s="306">
        <f>Tab1SDataShiftSummary[[#This Row],[Summary8]]-Tab1SDataShiftSummary[[#This Row],[Summary7]]</f>
        <v>5.1265713105894284E-2</v>
      </c>
      <c r="AK1771" s="306">
        <f>Tab1SDataShiftSummary[[#This Row],[Summary9]]-Tab1SDataShiftSummary[[#This Row],[Summary8]]</f>
        <v>-4.2252304737576685E-3</v>
      </c>
      <c r="AL1771" s="306">
        <f>Tab1SDataShiftSummary[[#This Row],[Summary10]]-Tab1SDataShiftSummary[[#This Row],[Summary9]]</f>
        <v>1.2480182379390747E-2</v>
      </c>
      <c r="AM1771" s="306">
        <f>Tab1SDataShiftSummary[[#This Row],[Summary11]]-Tab1SDataShiftSummary[[#This Row],[Summary10]]</f>
        <v>2.7488256494838659E-3</v>
      </c>
      <c r="AN1771" s="306">
        <f>Tab1SDataShiftSummary[[#This Row],[Summary12]]-Tab1SDataShiftSummary[[#This Row],[Summary11]]</f>
        <v>5.7353751386685081E-3</v>
      </c>
      <c r="AO1771" s="306">
        <f>Tab1SDataShiftSummary[[#This Row],[Summary13]]-Tab1SDataShiftSummary[[#This Row],[Summary12]]</f>
        <v>1.1155632393695214E-2</v>
      </c>
      <c r="AP1771" s="306">
        <f>Tab1SDataShiftSummary[[#This Row],[Summary14]]-Tab1SDataShiftSummary[[#This Row],[Summary13]]</f>
        <v>-4.4050589562378839E-3</v>
      </c>
      <c r="AQ1771" s="306">
        <f>Tab1SDataShiftSummary[[#This Row],[Summary15]]-Tab1SDataShiftSummary[[#This Row],[Summary14]]</f>
        <v>-7.2182705141693448E-3</v>
      </c>
      <c r="AR1771" s="306">
        <f>Tab1SDataShiftSummary[[#This Row],[Summary16]]-Tab1SDataShiftSummary[[#This Row],[Summary15]]</f>
        <v>-2.3288226092899045E-3</v>
      </c>
      <c r="AS1771" s="306">
        <f>Tab1SDataShiftSummary[[#This Row],[Summary17]]-Tab1SDataShiftSummary[[#This Row],[Summary16]]</f>
        <v>-1.3172227797809799E-2</v>
      </c>
      <c r="AT1771" s="306">
        <f>Tab1SDataShiftSummary[[#This Row],[Summary18]]-Tab1SDataShiftSummary[[#This Row],[Summary17]]</f>
        <v>-5.1158400114493796E-3</v>
      </c>
      <c r="AU1771" s="306">
        <f>Tab1SDataShiftSummary[[#This Row],[Summary19]]-Tab1SDataShiftSummary[[#This Row],[Summary18]]</f>
        <v>3.274324008071372E-3</v>
      </c>
      <c r="AV1771" s="1404">
        <f ca="1">Tab1SDataShiftSummary[[#This Row],[Summary20]]-Tab1SDataShiftSummary[[#This Row],[Summary19]]</f>
        <v>0</v>
      </c>
      <c r="AY1771" s="715" t="s">
        <v>2268</v>
      </c>
    </row>
    <row r="1772" spans="1:58">
      <c r="A1772">
        <v>19</v>
      </c>
      <c r="B1772" s="1384" t="s">
        <v>2278</v>
      </c>
      <c r="C1772"/>
      <c r="E1772"/>
      <c r="F1772" s="720">
        <v>-25638065.948454715</v>
      </c>
      <c r="G1772" s="720">
        <v>-25067450.948454715</v>
      </c>
      <c r="H1772" s="720">
        <v>-24902171.948454715</v>
      </c>
      <c r="I1772" s="720">
        <v>-24729178.807454709</v>
      </c>
      <c r="J1772" s="720">
        <v>-25058932.982662715</v>
      </c>
      <c r="K1772" s="720">
        <v>-25124086.208417647</v>
      </c>
      <c r="L1772" s="720">
        <v>-24879025.64526685</v>
      </c>
      <c r="M1772" s="720">
        <v>-24879025.64526685</v>
      </c>
      <c r="N1772" s="720">
        <v>-24727922.173049647</v>
      </c>
      <c r="O1772" s="720">
        <v>-24660397.063049648</v>
      </c>
      <c r="P1772" s="720">
        <v>-24660397.063049648</v>
      </c>
      <c r="Q1772" s="720">
        <v>-24660397.063049648</v>
      </c>
      <c r="R1772" s="720">
        <v>-24579898.309049647</v>
      </c>
      <c r="S1772" s="720">
        <v>-24149994.014500447</v>
      </c>
      <c r="T1772" s="720">
        <v>-24417066.171382446</v>
      </c>
      <c r="U1772" s="720">
        <v>-24471613.474587243</v>
      </c>
      <c r="V1772" s="720">
        <v>-24483232.60598724</v>
      </c>
      <c r="W1772" s="720">
        <v>-24618889.508370902</v>
      </c>
      <c r="X1772" s="720">
        <v>-24711609.956370901</v>
      </c>
      <c r="Y1772" s="720">
        <v>-24612001.647373501</v>
      </c>
      <c r="Z1772" s="720">
        <f ca="1">Calc!BB103</f>
        <v>-24612001.647373501</v>
      </c>
      <c r="AB1772" s="858">
        <f ca="1">Tab1SDataShiftSummary[[#This Row],[Summary0]]-Tab1SDataShiftSummary[[#This Row],[Summary20]]</f>
        <v>-1026064.3010812141</v>
      </c>
      <c r="AC1772" s="859">
        <f>Tab1SDataShiftSummary[[#This Row],[Summary1]]-Tab1SDataShiftSummary[[#This Row],[Summary0]]</f>
        <v>570615</v>
      </c>
      <c r="AD1772" s="859">
        <f>Tab1SDataShiftSummary[[#This Row],[Summary2]]-Tab1SDataShiftSummary[[#This Row],[Summary1]]</f>
        <v>165279</v>
      </c>
      <c r="AE1772" s="859">
        <f>Tab1SDataShiftSummary[[#This Row],[Summary3]]-Tab1SDataShiftSummary[[#This Row],[Summary2]]</f>
        <v>172993.14100000635</v>
      </c>
      <c r="AF1772" s="859">
        <f>Tab1SDataShiftSummary[[#This Row],[Summary4]]-Tab1SDataShiftSummary[[#This Row],[Summary3]]</f>
        <v>-329754.17520800605</v>
      </c>
      <c r="AG1772" s="859">
        <f>Tab1SDataShiftSummary[[#This Row],[Summary5]]-Tab1SDataShiftSummary[[#This Row],[Summary4]]</f>
        <v>-65153.225754931569</v>
      </c>
      <c r="AH1772" s="859">
        <f>Tab1SDataShiftSummary[[#This Row],[Summary6]]-Tab1SDataShiftSummary[[#This Row],[Summary5]]</f>
        <v>245060.56315079704</v>
      </c>
      <c r="AI1772" s="859">
        <f>Tab1SDataShiftSummary[[#This Row],[Summary7]]-Tab1SDataShiftSummary[[#This Row],[Summary6]]</f>
        <v>0</v>
      </c>
      <c r="AJ1772" s="859">
        <f>Tab1SDataShiftSummary[[#This Row],[Summary8]]-Tab1SDataShiftSummary[[#This Row],[Summary7]]</f>
        <v>151103.47221720219</v>
      </c>
      <c r="AK1772" s="859">
        <f>Tab1SDataShiftSummary[[#This Row],[Summary9]]-Tab1SDataShiftSummary[[#This Row],[Summary8]]</f>
        <v>67525.109999999404</v>
      </c>
      <c r="AL1772" s="859">
        <f>Tab1SDataShiftSummary[[#This Row],[Summary10]]-Tab1SDataShiftSummary[[#This Row],[Summary9]]</f>
        <v>0</v>
      </c>
      <c r="AM1772" s="859">
        <f>Tab1SDataShiftSummary[[#This Row],[Summary11]]-Tab1SDataShiftSummary[[#This Row],[Summary10]]</f>
        <v>0</v>
      </c>
      <c r="AN1772" s="859">
        <f>Tab1SDataShiftSummary[[#This Row],[Summary12]]-Tab1SDataShiftSummary[[#This Row],[Summary11]]</f>
        <v>80498.754000000656</v>
      </c>
      <c r="AO1772" s="859">
        <f>Tab1SDataShiftSummary[[#This Row],[Summary13]]-Tab1SDataShiftSummary[[#This Row],[Summary12]]</f>
        <v>429904.29454920068</v>
      </c>
      <c r="AP1772" s="859">
        <f>Tab1SDataShiftSummary[[#This Row],[Summary14]]-Tab1SDataShiftSummary[[#This Row],[Summary13]]</f>
        <v>-267072.15688199922</v>
      </c>
      <c r="AQ1772" s="859">
        <f>Tab1SDataShiftSummary[[#This Row],[Summary15]]-Tab1SDataShiftSummary[[#This Row],[Summary14]]</f>
        <v>-54547.303204797208</v>
      </c>
      <c r="AR1772" s="859">
        <f>Tab1SDataShiftSummary[[#This Row],[Summary16]]-Tab1SDataShiftSummary[[#This Row],[Summary15]]</f>
        <v>-11619.131399996579</v>
      </c>
      <c r="AS1772" s="859">
        <f>Tab1SDataShiftSummary[[#This Row],[Summary17]]-Tab1SDataShiftSummary[[#This Row],[Summary16]]</f>
        <v>-135656.90238366276</v>
      </c>
      <c r="AT1772" s="859">
        <f>Tab1SDataShiftSummary[[#This Row],[Summary18]]-Tab1SDataShiftSummary[[#This Row],[Summary17]]</f>
        <v>-92720.447999998927</v>
      </c>
      <c r="AU1772" s="91">
        <f>Tab1SDataShiftSummary[[#This Row],[Summary19]]-Tab1SDataShiftSummary[[#This Row],[Summary18]]</f>
        <v>99608.308997400105</v>
      </c>
      <c r="AV1772" s="1403">
        <f ca="1">Tab1SDataShiftSummary[[#This Row],[Summary20]]-Tab1SDataShiftSummary[[#This Row],[Summary19]]</f>
        <v>0</v>
      </c>
      <c r="AY1772" s="715" t="s">
        <v>2278</v>
      </c>
    </row>
    <row r="1773" spans="1:58">
      <c r="A1773">
        <v>20</v>
      </c>
      <c r="B1773" s="715" t="s">
        <v>1829</v>
      </c>
      <c r="C1773"/>
      <c r="E1773"/>
      <c r="F1773" s="720">
        <v>2970153.4128</v>
      </c>
      <c r="G1773" s="720">
        <v>2970153.4128</v>
      </c>
      <c r="H1773" s="720">
        <v>3046155.4128</v>
      </c>
      <c r="I1773" s="720">
        <v>3067385.9418000006</v>
      </c>
      <c r="J1773" s="720">
        <v>3068409.3170080003</v>
      </c>
      <c r="K1773" s="720">
        <v>3076387.1812322205</v>
      </c>
      <c r="L1773" s="720">
        <v>3168477.2384666204</v>
      </c>
      <c r="M1773" s="720">
        <v>3154273.6047866205</v>
      </c>
      <c r="N1773" s="720">
        <v>3086386.3115522205</v>
      </c>
      <c r="O1773" s="720">
        <v>3126290.7941522207</v>
      </c>
      <c r="P1773" s="720">
        <v>3171858.9641522206</v>
      </c>
      <c r="Q1773" s="720">
        <v>3171858.9641522206</v>
      </c>
      <c r="R1773" s="720">
        <v>3171858.9641522206</v>
      </c>
      <c r="S1773" s="720">
        <v>3730238.1010538209</v>
      </c>
      <c r="T1773" s="720">
        <v>3730238.1010538209</v>
      </c>
      <c r="U1773" s="720">
        <v>3663430.700258621</v>
      </c>
      <c r="V1773" s="720">
        <v>3663430.700258621</v>
      </c>
      <c r="W1773" s="720">
        <v>3520668.4810586208</v>
      </c>
      <c r="X1773" s="720">
        <v>3521362.9219226209</v>
      </c>
      <c r="Y1773" s="720">
        <v>3521362.9219226209</v>
      </c>
      <c r="Z1773" s="720">
        <f ca="1">Z1731+Z1752</f>
        <v>3521362.9219226209</v>
      </c>
      <c r="AB1773" s="858">
        <f ca="1">Tab1SDataShiftSummary[[#This Row],[Summary0]]-Tab1SDataShiftSummary[[#This Row],[Summary20]]</f>
        <v>-551209.5091226208</v>
      </c>
      <c r="AC1773" s="859">
        <f>Tab1SDataShiftSummary[[#This Row],[Summary1]]-Tab1SDataShiftSummary[[#This Row],[Summary0]]</f>
        <v>0</v>
      </c>
      <c r="AD1773" s="859">
        <f>Tab1SDataShiftSummary[[#This Row],[Summary2]]-Tab1SDataShiftSummary[[#This Row],[Summary1]]</f>
        <v>76002</v>
      </c>
      <c r="AE1773" s="859">
        <f>Tab1SDataShiftSummary[[#This Row],[Summary3]]-Tab1SDataShiftSummary[[#This Row],[Summary2]]</f>
        <v>21230.529000000563</v>
      </c>
      <c r="AF1773" s="859">
        <f>Tab1SDataShiftSummary[[#This Row],[Summary4]]-Tab1SDataShiftSummary[[#This Row],[Summary3]]</f>
        <v>1023.3752079997212</v>
      </c>
      <c r="AG1773" s="859">
        <f>Tab1SDataShiftSummary[[#This Row],[Summary5]]-Tab1SDataShiftSummary[[#This Row],[Summary4]]</f>
        <v>7977.8642242201604</v>
      </c>
      <c r="AH1773" s="859">
        <f>Tab1SDataShiftSummary[[#This Row],[Summary6]]-Tab1SDataShiftSummary[[#This Row],[Summary5]]</f>
        <v>92090.057234399952</v>
      </c>
      <c r="AI1773" s="859">
        <f>Tab1SDataShiftSummary[[#This Row],[Summary7]]-Tab1SDataShiftSummary[[#This Row],[Summary6]]</f>
        <v>-14203.63367999997</v>
      </c>
      <c r="AJ1773" s="859">
        <f>Tab1SDataShiftSummary[[#This Row],[Summary8]]-Tab1SDataShiftSummary[[#This Row],[Summary7]]</f>
        <v>-67887.293234399986</v>
      </c>
      <c r="AK1773" s="859">
        <f>Tab1SDataShiftSummary[[#This Row],[Summary9]]-Tab1SDataShiftSummary[[#This Row],[Summary8]]</f>
        <v>39904.482600000221</v>
      </c>
      <c r="AL1773" s="859">
        <f>Tab1SDataShiftSummary[[#This Row],[Summary10]]-Tab1SDataShiftSummary[[#This Row],[Summary9]]</f>
        <v>45568.169999999925</v>
      </c>
      <c r="AM1773" s="859">
        <f>Tab1SDataShiftSummary[[#This Row],[Summary11]]-Tab1SDataShiftSummary[[#This Row],[Summary10]]</f>
        <v>0</v>
      </c>
      <c r="AN1773" s="859">
        <f>Tab1SDataShiftSummary[[#This Row],[Summary12]]-Tab1SDataShiftSummary[[#This Row],[Summary11]]</f>
        <v>0</v>
      </c>
      <c r="AO1773" s="859">
        <f>Tab1SDataShiftSummary[[#This Row],[Summary13]]-Tab1SDataShiftSummary[[#This Row],[Summary12]]</f>
        <v>558379.13690160029</v>
      </c>
      <c r="AP1773" s="859">
        <f>Tab1SDataShiftSummary[[#This Row],[Summary14]]-Tab1SDataShiftSummary[[#This Row],[Summary13]]</f>
        <v>0</v>
      </c>
      <c r="AQ1773" s="859">
        <f>Tab1SDataShiftSummary[[#This Row],[Summary15]]-Tab1SDataShiftSummary[[#This Row],[Summary14]]</f>
        <v>-66807.400795199908</v>
      </c>
      <c r="AR1773" s="859">
        <f>Tab1SDataShiftSummary[[#This Row],[Summary16]]-Tab1SDataShiftSummary[[#This Row],[Summary15]]</f>
        <v>0</v>
      </c>
      <c r="AS1773" s="859">
        <f>Tab1SDataShiftSummary[[#This Row],[Summary17]]-Tab1SDataShiftSummary[[#This Row],[Summary16]]</f>
        <v>-142762.21920000017</v>
      </c>
      <c r="AT1773" s="859">
        <f>Tab1SDataShiftSummary[[#This Row],[Summary18]]-Tab1SDataShiftSummary[[#This Row],[Summary17]]</f>
        <v>694.44086400000378</v>
      </c>
      <c r="AU1773" s="91">
        <f>Tab1SDataShiftSummary[[#This Row],[Summary19]]-Tab1SDataShiftSummary[[#This Row],[Summary18]]</f>
        <v>0</v>
      </c>
      <c r="AV1773" s="1403">
        <f ca="1">Tab1SDataShiftSummary[[#This Row],[Summary20]]-Tab1SDataShiftSummary[[#This Row],[Summary19]]</f>
        <v>0</v>
      </c>
      <c r="AY1773" s="715" t="s">
        <v>1829</v>
      </c>
    </row>
    <row r="1774" spans="1:58" ht="23" thickBot="1">
      <c r="A1774">
        <v>21</v>
      </c>
      <c r="B1774" s="1384" t="s">
        <v>2577</v>
      </c>
      <c r="C1774"/>
      <c r="E1774"/>
      <c r="F1774" s="897">
        <v>0.41383843590697977</v>
      </c>
      <c r="G1774" s="897">
        <v>0.47519716762134578</v>
      </c>
      <c r="H1774" s="897">
        <v>0.50708894663083248</v>
      </c>
      <c r="I1774" s="897">
        <v>0.53476602688998565</v>
      </c>
      <c r="J1774" s="897">
        <v>0.53445970862586856</v>
      </c>
      <c r="K1774" s="897">
        <v>0.54383962306809441</v>
      </c>
      <c r="L1774" s="897">
        <v>0.6023906517518649</v>
      </c>
      <c r="M1774" s="897">
        <v>0.6122094264799498</v>
      </c>
      <c r="N1774" s="897">
        <v>0.55979634049630822</v>
      </c>
      <c r="O1774" s="897">
        <v>0.58037646403159138</v>
      </c>
      <c r="P1774" s="897">
        <v>0.57570369888876061</v>
      </c>
      <c r="Q1774" s="897">
        <v>0.57269597604863565</v>
      </c>
      <c r="R1774" s="897">
        <v>0.57551528726795165</v>
      </c>
      <c r="S1774" s="897">
        <v>0.69369019901999496</v>
      </c>
      <c r="T1774" s="897">
        <v>0.66722604713748257</v>
      </c>
      <c r="U1774" s="897">
        <v>0.65576029652859102</v>
      </c>
      <c r="V1774" s="897">
        <v>0.65720501123011443</v>
      </c>
      <c r="W1774" s="897">
        <v>0.62757268894046347</v>
      </c>
      <c r="X1774" s="897">
        <v>0.62295582679492523</v>
      </c>
      <c r="Y1774" s="897">
        <v>0.63073820479651665</v>
      </c>
      <c r="Z1774" s="897">
        <f ca="1">(Z1764+Z1773)/Z1761</f>
        <v>0.63073820479651665</v>
      </c>
      <c r="AB1774" s="306">
        <f ca="1">Tab1SDataShiftSummary[[#This Row],[Summary20]]-Tab1SDataShiftSummary[[#This Row],[Summary0]]</f>
        <v>0.21689976888953688</v>
      </c>
      <c r="AC1774" s="306">
        <f>Tab1SDataShiftSummary[[#This Row],[Summary1]]-Tab1SDataShiftSummary[[#This Row],[Summary0]]</f>
        <v>6.135873171436601E-2</v>
      </c>
      <c r="AD1774" s="306">
        <f>Tab1SDataShiftSummary[[#This Row],[Summary2]]-Tab1SDataShiftSummary[[#This Row],[Summary1]]</f>
        <v>3.1891779009486698E-2</v>
      </c>
      <c r="AE1774" s="306">
        <f>Tab1SDataShiftSummary[[#This Row],[Summary3]]-Tab1SDataShiftSummary[[#This Row],[Summary2]]</f>
        <v>2.7677080259153164E-2</v>
      </c>
      <c r="AF1774" s="306">
        <f>Tab1SDataShiftSummary[[#This Row],[Summary4]]-Tab1SDataShiftSummary[[#This Row],[Summary3]]</f>
        <v>-3.0631826411708918E-4</v>
      </c>
      <c r="AG1774" s="306">
        <f>Tab1SDataShiftSummary[[#This Row],[Summary5]]-Tab1SDataShiftSummary[[#This Row],[Summary4]]</f>
        <v>9.3799144422258562E-3</v>
      </c>
      <c r="AH1774" s="306">
        <f>Tab1SDataShiftSummary[[#This Row],[Summary6]]-Tab1SDataShiftSummary[[#This Row],[Summary5]]</f>
        <v>5.855102868377049E-2</v>
      </c>
      <c r="AI1774" s="306">
        <f>Tab1SDataShiftSummary[[#This Row],[Summary7]]-Tab1SDataShiftSummary[[#This Row],[Summary6]]</f>
        <v>9.8187747280849003E-3</v>
      </c>
      <c r="AJ1774" s="306">
        <f>Tab1SDataShiftSummary[[#This Row],[Summary8]]-Tab1SDataShiftSummary[[#This Row],[Summary7]]</f>
        <v>-5.2413085983641583E-2</v>
      </c>
      <c r="AK1774" s="306">
        <f>Tab1SDataShiftSummary[[#This Row],[Summary9]]-Tab1SDataShiftSummary[[#This Row],[Summary8]]</f>
        <v>2.0580123535283157E-2</v>
      </c>
      <c r="AL1774" s="306">
        <f>Tab1SDataShiftSummary[[#This Row],[Summary10]]-Tab1SDataShiftSummary[[#This Row],[Summary9]]</f>
        <v>-4.6727651428307704E-3</v>
      </c>
      <c r="AM1774" s="306">
        <f>Tab1SDataShiftSummary[[#This Row],[Summary11]]-Tab1SDataShiftSummary[[#This Row],[Summary10]]</f>
        <v>-3.0077228401249601E-3</v>
      </c>
      <c r="AN1774" s="306">
        <f>Tab1SDataShiftSummary[[#This Row],[Summary12]]-Tab1SDataShiftSummary[[#This Row],[Summary11]]</f>
        <v>2.8193112193160008E-3</v>
      </c>
      <c r="AO1774" s="306">
        <f>Tab1SDataShiftSummary[[#This Row],[Summary13]]-Tab1SDataShiftSummary[[#This Row],[Summary12]]</f>
        <v>0.11817491175204331</v>
      </c>
      <c r="AP1774" s="306">
        <f>Tab1SDataShiftSummary[[#This Row],[Summary14]]-Tab1SDataShiftSummary[[#This Row],[Summary13]]</f>
        <v>-2.6464151882512388E-2</v>
      </c>
      <c r="AQ1774" s="306">
        <f>Tab1SDataShiftSummary[[#This Row],[Summary15]]-Tab1SDataShiftSummary[[#This Row],[Summary14]]</f>
        <v>-1.1465750608891545E-2</v>
      </c>
      <c r="AR1774" s="306">
        <f>Tab1SDataShiftSummary[[#This Row],[Summary16]]-Tab1SDataShiftSummary[[#This Row],[Summary15]]</f>
        <v>1.4447147015234085E-3</v>
      </c>
      <c r="AS1774" s="306">
        <f>Tab1SDataShiftSummary[[#This Row],[Summary17]]-Tab1SDataShiftSummary[[#This Row],[Summary16]]</f>
        <v>-2.9632322289650959E-2</v>
      </c>
      <c r="AT1774" s="306">
        <f>Tab1SDataShiftSummary[[#This Row],[Summary18]]-Tab1SDataShiftSummary[[#This Row],[Summary17]]</f>
        <v>-4.6168621455382475E-3</v>
      </c>
      <c r="AU1774" s="306">
        <f>Tab1SDataShiftSummary[[#This Row],[Summary19]]-Tab1SDataShiftSummary[[#This Row],[Summary18]]</f>
        <v>7.7823780015914279E-3</v>
      </c>
      <c r="AV1774" s="1404">
        <f ca="1">Tab1SDataShiftSummary[[#This Row],[Summary20]]-Tab1SDataShiftSummary[[#This Row],[Summary19]]</f>
        <v>0</v>
      </c>
      <c r="AY1774" s="715" t="s">
        <v>2577</v>
      </c>
    </row>
    <row r="1775" spans="1:58" ht="23" thickBot="1">
      <c r="B1775" s="715" t="s">
        <v>2622</v>
      </c>
      <c r="C1775"/>
      <c r="E1775"/>
      <c r="F1775" s="720">
        <v>38343917.1708</v>
      </c>
      <c r="G1775" s="720">
        <v>37372039.798900001</v>
      </c>
      <c r="H1775" s="720">
        <v>37076535.887799993</v>
      </c>
      <c r="I1775" s="720">
        <v>36689647.921800002</v>
      </c>
      <c r="J1775" s="720">
        <v>36414593.126808003</v>
      </c>
      <c r="K1775" s="720">
        <v>36391607.770632222</v>
      </c>
      <c r="L1775" s="720">
        <v>35771677.579166621</v>
      </c>
      <c r="M1775" s="720">
        <v>35557165.362386622</v>
      </c>
      <c r="N1775" s="720">
        <v>36425838.591752216</v>
      </c>
      <c r="O1775" s="720">
        <v>36210332.692152217</v>
      </c>
      <c r="P1775" s="720">
        <v>36459166.767552219</v>
      </c>
      <c r="Q1775" s="720">
        <v>36519127.851415113</v>
      </c>
      <c r="R1775" s="720">
        <v>36520710.979596779</v>
      </c>
      <c r="S1775" s="720">
        <v>36225525.416521177</v>
      </c>
      <c r="T1775" s="720">
        <v>36544537.184455857</v>
      </c>
      <c r="U1775" s="720">
        <v>36510207.759520397</v>
      </c>
      <c r="V1775" s="720">
        <v>36478139.54730355</v>
      </c>
      <c r="W1775" s="720">
        <v>36475963.724384114</v>
      </c>
      <c r="X1775" s="720">
        <v>36504905.814113326</v>
      </c>
      <c r="Y1775" s="720">
        <v>36425193.254202865</v>
      </c>
      <c r="Z1775" s="720">
        <f t="shared" ref="Z1775" ca="1" si="139">Z1754+Z1773</f>
        <v>36425193.254202865</v>
      </c>
      <c r="AA1775" s="826"/>
      <c r="AB1775" s="1382">
        <f ca="1">Tab1SDataShiftSummary[[#This Row],[Summary0]]-Tab1SDataShiftSummary[[#This Row],[Summary20]]</f>
        <v>1918723.9165971354</v>
      </c>
      <c r="AC1775" s="1383">
        <f>Tab1SDataShiftSummary[[#This Row],[Summary1]]-Tab1SDataShiftSummary[[#This Row],[Summary0]]</f>
        <v>-971877.37189999968</v>
      </c>
      <c r="AD1775" s="1383">
        <f>Tab1SDataShiftSummary[[#This Row],[Summary2]]-Tab1SDataShiftSummary[[#This Row],[Summary1]]</f>
        <v>-295503.91110000759</v>
      </c>
      <c r="AE1775" s="1383">
        <f>Tab1SDataShiftSummary[[#This Row],[Summary3]]-Tab1SDataShiftSummary[[#This Row],[Summary2]]</f>
        <v>-386887.9659999907</v>
      </c>
      <c r="AF1775" s="1383">
        <f>Tab1SDataShiftSummary[[#This Row],[Summary4]]-Tab1SDataShiftSummary[[#This Row],[Summary3]]</f>
        <v>-275054.79499199986</v>
      </c>
      <c r="AG1775" s="1383">
        <f>Tab1SDataShiftSummary[[#This Row],[Summary5]]-Tab1SDataShiftSummary[[#This Row],[Summary4]]</f>
        <v>-22985.356175780296</v>
      </c>
      <c r="AH1775" s="1383">
        <f>Tab1SDataShiftSummary[[#This Row],[Summary6]]-Tab1SDataShiftSummary[[#This Row],[Summary5]]</f>
        <v>-619930.19146560133</v>
      </c>
      <c r="AI1775" s="1383">
        <f>Tab1SDataShiftSummary[[#This Row],[Summary7]]-Tab1SDataShiftSummary[[#This Row],[Summary6]]</f>
        <v>-214512.21677999943</v>
      </c>
      <c r="AJ1775" s="1383">
        <f>Tab1SDataShiftSummary[[#This Row],[Summary8]]-Tab1SDataShiftSummary[[#This Row],[Summary7]]</f>
        <v>868673.22936559469</v>
      </c>
      <c r="AK1775" s="1383">
        <f>Tab1SDataShiftSummary[[#This Row],[Summary9]]-Tab1SDataShiftSummary[[#This Row],[Summary8]]</f>
        <v>-215505.89959999919</v>
      </c>
      <c r="AL1775" s="1383">
        <f>Tab1SDataShiftSummary[[#This Row],[Summary10]]-Tab1SDataShiftSummary[[#This Row],[Summary9]]</f>
        <v>248834.0754000023</v>
      </c>
      <c r="AM1775" s="1383">
        <f>Tab1SDataShiftSummary[[#This Row],[Summary11]]-Tab1SDataShiftSummary[[#This Row],[Summary10]]</f>
        <v>59961.083862893283</v>
      </c>
      <c r="AN1775" s="1383">
        <f>Tab1SDataShiftSummary[[#This Row],[Summary12]]-Tab1SDataShiftSummary[[#This Row],[Summary11]]</f>
        <v>1583.1281816661358</v>
      </c>
      <c r="AO1775" s="1383">
        <f>Tab1SDataShiftSummary[[#This Row],[Summary13]]-Tab1SDataShiftSummary[[#This Row],[Summary12]]</f>
        <v>-295185.56307560205</v>
      </c>
      <c r="AP1775" s="1383">
        <f>Tab1SDataShiftSummary[[#This Row],[Summary14]]-Tab1SDataShiftSummary[[#This Row],[Summary13]]</f>
        <v>319011.76793467999</v>
      </c>
      <c r="AQ1775" s="1383">
        <f>Tab1SDataShiftSummary[[#This Row],[Summary15]]-Tab1SDataShiftSummary[[#This Row],[Summary14]]</f>
        <v>-34329.424935460091</v>
      </c>
      <c r="AR1775" s="1383">
        <f>Tab1SDataShiftSummary[[#This Row],[Summary16]]-Tab1SDataShiftSummary[[#This Row],[Summary15]]</f>
        <v>-32068.212216846645</v>
      </c>
      <c r="AS1775" s="1383">
        <f>Tab1SDataShiftSummary[[#This Row],[Summary17]]-Tab1SDataShiftSummary[[#This Row],[Summary16]]</f>
        <v>-2175.8229194357991</v>
      </c>
      <c r="AT1775" s="1383">
        <f>Tab1SDataShiftSummary[[#This Row],[Summary18]]-Tab1SDataShiftSummary[[#This Row],[Summary17]]</f>
        <v>28942.089729212224</v>
      </c>
      <c r="AU1775" s="1381">
        <f>Tab1SDataShiftSummary[[#This Row],[Summary19]]-Tab1SDataShiftSummary[[#This Row],[Summary18]]</f>
        <v>-79712.559910461307</v>
      </c>
      <c r="AV1775" s="1408">
        <f ca="1">Tab1SDataShiftSummary[[#This Row],[Summary20]]-Tab1SDataShiftSummary[[#This Row],[Summary19]]</f>
        <v>0</v>
      </c>
      <c r="AY1775" s="1021" t="s">
        <v>2393</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2394</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1896</v>
      </c>
      <c r="Z1782" s="566">
        <v>-66277210.488141388</v>
      </c>
    </row>
    <row r="1783" spans="2:48">
      <c r="B1783"/>
      <c r="C1783"/>
      <c r="E1783"/>
      <c r="J1783"/>
      <c r="K1783"/>
      <c r="W1783" s="715" t="s">
        <v>1891</v>
      </c>
      <c r="X1783" t="s">
        <v>2281</v>
      </c>
      <c r="Z1783" s="91">
        <v>4009304.3444801271</v>
      </c>
    </row>
    <row r="1784" spans="2:48">
      <c r="B1784"/>
      <c r="C1784"/>
      <c r="E1784"/>
      <c r="J1784"/>
      <c r="K1784"/>
      <c r="Y1784" s="715" t="s">
        <v>2116</v>
      </c>
      <c r="Z1784" s="860">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2623</v>
      </c>
      <c r="G1800" t="s">
        <v>2624</v>
      </c>
      <c r="H1800" t="s">
        <v>2625</v>
      </c>
      <c r="I1800" t="s">
        <v>2626</v>
      </c>
      <c r="J1800" t="s">
        <v>2627</v>
      </c>
      <c r="K1800" t="s">
        <v>2628</v>
      </c>
      <c r="L1800" t="s">
        <v>2629</v>
      </c>
      <c r="M1800" t="s">
        <v>2630</v>
      </c>
      <c r="N1800" t="s">
        <v>2631</v>
      </c>
      <c r="O1800" t="s">
        <v>2632</v>
      </c>
      <c r="P1800" t="s">
        <v>2633</v>
      </c>
      <c r="Q1800" t="s">
        <v>2634</v>
      </c>
      <c r="R1800" t="s">
        <v>2635</v>
      </c>
      <c r="S1800" t="s">
        <v>2636</v>
      </c>
      <c r="T1800" t="s">
        <v>2637</v>
      </c>
      <c r="U1800" t="s">
        <v>2638</v>
      </c>
      <c r="V1800" t="s">
        <v>2639</v>
      </c>
      <c r="W1800" t="s">
        <v>2640</v>
      </c>
      <c r="X1800" t="s">
        <v>2641</v>
      </c>
      <c r="Y1800" t="s">
        <v>2642</v>
      </c>
      <c r="Z1800" t="s">
        <v>2643</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I1801">
        <v>276.43097</v>
      </c>
      <c r="J1801">
        <v>276.43097</v>
      </c>
      <c r="K1801">
        <v>276.43097</v>
      </c>
      <c r="L1801" s="89">
        <v>276.43097</v>
      </c>
      <c r="M1801" s="1">
        <v>276.43097</v>
      </c>
      <c r="N1801">
        <v>281.74804999999998</v>
      </c>
      <c r="O1801" s="80">
        <v>281.74804999999998</v>
      </c>
      <c r="P1801" s="80">
        <v>281.74804999999998</v>
      </c>
      <c r="Q1801">
        <v>281.74804999999998</v>
      </c>
      <c r="R1801" s="85">
        <v>281.74804999999998</v>
      </c>
      <c r="S1801">
        <v>281.74804999999998</v>
      </c>
      <c r="T1801">
        <v>281.74804999999998</v>
      </c>
      <c r="U1801">
        <v>281.74804999999998</v>
      </c>
      <c r="V1801">
        <v>283.57733000000002</v>
      </c>
      <c r="W1801" s="88">
        <v>283.57733000000002</v>
      </c>
      <c r="X1801" s="113">
        <v>283.57733000000002</v>
      </c>
      <c r="Y1801">
        <v>283.57733000000002</v>
      </c>
      <c r="Z1801">
        <f ca="1">_xlfn.XLOOKUP(A1801,TabCalc[Ticker],TabCalc[Y])</f>
        <v>283.57733000000002</v>
      </c>
    </row>
    <row r="1802" spans="1:26">
      <c r="A1802" s="86" t="str">
        <f t="shared" ref="A1802:A1865" ca="1" si="140">A6</f>
        <v>ADEA</v>
      </c>
      <c r="B1802" t="str" cm="1">
        <f t="array" aca="1" ref="B1802" ca="1">_xlfn.LET(_xlpm.Old1YT,Table46[[#This Row],[YTChg19]],         _xlpm.New1YT,Table46[[#This Row],[YTChg20]],                 _xlfn.IFS(                _xlpm.Old1YT=0,"", _xlpm.Old1YT&gt;_xlpm.New1YT,"DownGraded",              _xlpm.Old1YT=_xlpm.New1YT,"",               _xlpm.Old1YT&lt;_xlpm.New1YT,"UpGraded"))</f>
        <v/>
      </c>
      <c r="C1802"/>
      <c r="E1802"/>
      <c r="I1802">
        <v>20.66667</v>
      </c>
      <c r="J1802">
        <v>20.66667</v>
      </c>
      <c r="K1802">
        <v>20.66667</v>
      </c>
      <c r="L1802" s="89">
        <v>20.66667</v>
      </c>
      <c r="M1802" s="1">
        <v>20.66667</v>
      </c>
      <c r="N1802">
        <v>19.75</v>
      </c>
      <c r="O1802" s="80">
        <v>19.75</v>
      </c>
      <c r="P1802" s="80">
        <v>19.75</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0"/>
        <v>AET</v>
      </c>
      <c r="B1803" t="str" cm="1">
        <f t="array" aca="1" ref="B1803" ca="1">_xlfn.LET(_xlpm.Old1YT,Table46[[#This Row],[YTChg19]],         _xlpm.New1YT,Table46[[#This Row],[YTChg20]],                 _xlfn.IFS(                _xlpm.Old1YT=0,"", _xlpm.Old1YT&gt;_xlpm.New1YT,"DownGraded",              _xlpm.Old1YT=_xlpm.New1YT,"",               _xlpm.Old1YT&lt;_xlpm.New1YT,"UpGraded"))</f>
        <v/>
      </c>
      <c r="C1803"/>
      <c r="E1803"/>
      <c r="I1803">
        <v>96.66</v>
      </c>
      <c r="J1803">
        <v>96.66</v>
      </c>
      <c r="K1803">
        <v>96.66</v>
      </c>
      <c r="L1803" s="89">
        <v>96.66</v>
      </c>
      <c r="M1803" s="1">
        <v>96.66</v>
      </c>
      <c r="N1803">
        <v>95.26</v>
      </c>
      <c r="O1803" s="80">
        <v>95.26</v>
      </c>
      <c r="P1803" s="80">
        <v>95.26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0"/>
        <v>AMZN</v>
      </c>
      <c r="B1804" t="str" cm="1">
        <f t="array" aca="1" ref="B1804" ca="1">_xlfn.LET(_xlpm.Old1YT,Table46[[#This Row],[YTChg19]],         _xlpm.New1YT,Table46[[#This Row],[YTChg20]],                 _xlfn.IFS(                _xlpm.Old1YT=0,"", _xlpm.Old1YT&gt;_xlpm.New1YT,"DownGraded",              _xlpm.Old1YT=_xlpm.New1YT,"",               _xlpm.Old1YT&lt;_xlpm.New1YT,"UpGraded"))</f>
        <v/>
      </c>
      <c r="C1804"/>
      <c r="E1804"/>
      <c r="I1804">
        <v>288.42410000000001</v>
      </c>
      <c r="J1804">
        <v>288.42410000000001</v>
      </c>
      <c r="K1804">
        <v>288.42410000000001</v>
      </c>
      <c r="L1804" s="89">
        <v>288.42410000000001</v>
      </c>
      <c r="M1804" s="1">
        <v>288.42410000000001</v>
      </c>
      <c r="N1804">
        <v>294.64783</v>
      </c>
      <c r="O1804" s="80">
        <v>294.64783</v>
      </c>
      <c r="P1804" s="80">
        <v>294.64783</v>
      </c>
      <c r="Q1804">
        <v>294.64783</v>
      </c>
      <c r="R1804" s="85">
        <v>294.64783</v>
      </c>
      <c r="S1804">
        <v>294.64783</v>
      </c>
      <c r="T1804">
        <v>294.64783</v>
      </c>
      <c r="U1804">
        <v>294.64783</v>
      </c>
      <c r="V1804">
        <v>295.03167999999999</v>
      </c>
      <c r="W1804" s="88">
        <v>295.03167999999999</v>
      </c>
      <c r="X1804" s="113">
        <v>295.03167999999999</v>
      </c>
      <c r="Y1804">
        <v>295.03167999999999</v>
      </c>
      <c r="Z1804">
        <f ca="1">_xlfn.XLOOKUP(A1804,TabCalc[Ticker],TabCalc[Y])</f>
        <v>295.03167999999999</v>
      </c>
    </row>
    <row r="1805" spans="1:26">
      <c r="A1805" s="86" t="str">
        <f t="shared" ca="1" si="140"/>
        <v>ALDNE</v>
      </c>
      <c r="B1805" t="str" cm="1">
        <f t="array" aca="1" ref="B1805" ca="1">_xlfn.LET(_xlpm.Old1YT,Table46[[#This Row],[YTChg19]],         _xlpm.New1YT,Table46[[#This Row],[YTChg20]],                 _xlfn.IFS(                _xlpm.Old1YT=0,"", _xlpm.Old1YT&gt;_xlpm.New1YT,"DownGraded",              _xlpm.Old1YT=_xlpm.New1YT,"",               _xlpm.Old1YT&lt;_xlpm.New1YT,"UpGraded"))</f>
        <v/>
      </c>
      <c r="C1805"/>
      <c r="E1805"/>
      <c r="I1805">
        <v>1.5333300000000001</v>
      </c>
      <c r="J1805">
        <v>1.5333300000000001</v>
      </c>
      <c r="K1805">
        <v>1.5333300000000001</v>
      </c>
      <c r="L1805" s="89">
        <v>1.5333300000000001</v>
      </c>
      <c r="M1805" s="1">
        <v>1.5333300000000001</v>
      </c>
      <c r="N1805">
        <v>1.56667</v>
      </c>
      <c r="O1805" s="80">
        <v>1.56667</v>
      </c>
      <c r="P1805" s="80">
        <v>1.56667</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0"/>
        <v>ASML</v>
      </c>
      <c r="B1806" t="str" cm="1">
        <f t="array" aca="1" ref="B1806" ca="1">_xlfn.LET(_xlpm.Old1YT,Table46[[#This Row],[YTChg19]],         _xlpm.New1YT,Table46[[#This Row],[YTChg20]],                 _xlfn.IFS(                _xlpm.Old1YT=0,"", _xlpm.Old1YT&gt;_xlpm.New1YT,"DownGraded",              _xlpm.Old1YT=_xlpm.New1YT,"",               _xlpm.Old1YT&lt;_xlpm.New1YT,"UpGraded"))</f>
        <v/>
      </c>
      <c r="C1806"/>
      <c r="E1806"/>
      <c r="I1806">
        <v>941.90326000000005</v>
      </c>
      <c r="J1806">
        <v>941.90326000000005</v>
      </c>
      <c r="K1806">
        <v>941.90326000000005</v>
      </c>
      <c r="L1806" s="89">
        <v>941.90326000000005</v>
      </c>
      <c r="M1806" s="1">
        <v>941.90326000000005</v>
      </c>
      <c r="N1806">
        <v>953.67740000000003</v>
      </c>
      <c r="O1806" s="80">
        <v>953.67740000000003</v>
      </c>
      <c r="P1806" s="80">
        <v>953.67740000000003</v>
      </c>
      <c r="Q1806">
        <v>953.67740000000003</v>
      </c>
      <c r="R1806" s="85">
        <v>953.67740000000003</v>
      </c>
      <c r="S1806">
        <v>953.67740000000003</v>
      </c>
      <c r="T1806">
        <v>953.67740000000003</v>
      </c>
      <c r="U1806">
        <v>953.67740000000003</v>
      </c>
      <c r="V1806">
        <v>983.4194</v>
      </c>
      <c r="W1806" s="88">
        <v>983.4194</v>
      </c>
      <c r="X1806" s="113">
        <v>983.4194</v>
      </c>
      <c r="Y1806">
        <v>983.4194</v>
      </c>
      <c r="Z1806">
        <f ca="1">_xlfn.XLOOKUP(A1806,TabCalc[Ticker],TabCalc[Y])</f>
        <v>983.4194</v>
      </c>
    </row>
    <row r="1807" spans="1:26" hidden="1">
      <c r="A1807" s="86" t="str">
        <f t="shared" ca="1" si="140"/>
        <v>AVGO</v>
      </c>
      <c r="B1807" t="str" cm="1">
        <f t="array" aca="1" ref="B1807" ca="1">_xlfn.LET(_xlpm.Old1YT,Table46[[#This Row],[YTChg19]],         _xlpm.New1YT,Table46[[#This Row],[YTChg20]],                 _xlfn.IFS(                _xlpm.Old1YT=0,"", _xlpm.Old1YT&gt;_xlpm.New1YT,"DownGraded",              _xlpm.Old1YT=_xlpm.New1YT,"",               _xlpm.Old1YT&lt;_xlpm.New1YT,"UpGraded"))</f>
        <v/>
      </c>
      <c r="C1807"/>
      <c r="E1807"/>
      <c r="I1807">
        <v>392.38164999999998</v>
      </c>
      <c r="J1807">
        <v>392.38164999999998</v>
      </c>
      <c r="K1807">
        <v>392.38164999999998</v>
      </c>
      <c r="L1807" s="89">
        <v>392.38164999999998</v>
      </c>
      <c r="M1807" s="1">
        <v>392.38164999999998</v>
      </c>
      <c r="N1807">
        <v>401.27733999999998</v>
      </c>
      <c r="O1807" s="80">
        <v>401.27733999999998</v>
      </c>
      <c r="P1807" s="80">
        <v>401.27733999999998</v>
      </c>
      <c r="Q1807">
        <v>401.27733999999998</v>
      </c>
      <c r="R1807" s="85">
        <v>401.27733999999998</v>
      </c>
      <c r="S1807">
        <v>401.27733999999998</v>
      </c>
      <c r="T1807">
        <v>401.27733999999998</v>
      </c>
      <c r="U1807">
        <v>401.27733999999998</v>
      </c>
      <c r="V1807">
        <v>409.27733999999998</v>
      </c>
      <c r="W1807" s="88">
        <v>409.27733999999998</v>
      </c>
      <c r="X1807" s="113">
        <v>409.27733999999998</v>
      </c>
      <c r="Y1807">
        <v>409.27733999999998</v>
      </c>
      <c r="Z1807">
        <f ca="1">_xlfn.XLOOKUP(A1807,TabCalc[Ticker],TabCalc[Y])</f>
        <v>409.27733999999998</v>
      </c>
    </row>
    <row r="1808" spans="1:26" hidden="1">
      <c r="A1808" s="86" t="str">
        <f t="shared" ca="1" si="140"/>
        <v>AZN</v>
      </c>
      <c r="B1808" t="str" cm="1">
        <f t="array" aca="1" ref="B1808" ca="1">_xlfn.LET(_xlpm.Old1YT,Table46[[#This Row],[YTChg19]],         _xlpm.New1YT,Table46[[#This Row],[YTChg20]],                 _xlfn.IFS(                _xlpm.Old1YT=0,"", _xlpm.Old1YT&gt;_xlpm.New1YT,"DownGraded",              _xlpm.Old1YT=_xlpm.New1YT,"",               _xlpm.Old1YT&lt;_xlpm.New1YT,"UpGraded"))</f>
        <v/>
      </c>
      <c r="C1808"/>
      <c r="E1808"/>
      <c r="I1808">
        <v>93.25273</v>
      </c>
      <c r="J1808">
        <v>93.25273</v>
      </c>
      <c r="K1808">
        <v>93.25273</v>
      </c>
      <c r="L1808" s="89">
        <v>93.25273</v>
      </c>
      <c r="M1808" s="1">
        <v>93.25273</v>
      </c>
      <c r="N1808">
        <v>94.682730000000006</v>
      </c>
      <c r="O1808" s="80">
        <v>94.682730000000006</v>
      </c>
      <c r="P1808" s="80">
        <v>94.682730000000006</v>
      </c>
      <c r="Q1808">
        <v>94.682730000000006</v>
      </c>
      <c r="R1808" s="85">
        <v>94.682730000000006</v>
      </c>
      <c r="S1808">
        <v>94.682730000000006</v>
      </c>
      <c r="T1808">
        <v>94.682730000000006</v>
      </c>
      <c r="U1808">
        <v>94.682730000000006</v>
      </c>
      <c r="V1808">
        <v>96.864549999999994</v>
      </c>
      <c r="W1808" s="88">
        <v>96.864549999999994</v>
      </c>
      <c r="X1808" s="113">
        <v>96.864549999999994</v>
      </c>
      <c r="Y1808">
        <v>96.864549999999994</v>
      </c>
      <c r="Z1808">
        <f ca="1">_xlfn.XLOOKUP(A1808,TabCalc[Ticker],TabCalc[Y])</f>
        <v>96.864549999999994</v>
      </c>
    </row>
    <row r="1809" spans="1:26" hidden="1">
      <c r="A1809" s="86" t="str">
        <f t="shared" ca="1" si="140"/>
        <v>BLDP</v>
      </c>
      <c r="B1809" t="str" cm="1">
        <f t="array" aca="1" ref="B1809" ca="1">_xlfn.LET(_xlpm.Old1YT,Table46[[#This Row],[YTChg19]],         _xlpm.New1YT,Table46[[#This Row],[YTChg20]],                 _xlfn.IFS(                _xlpm.Old1YT=0,"", _xlpm.Old1YT&gt;_xlpm.New1YT,"DownGraded",              _xlpm.Old1YT=_xlpm.New1YT,"",               _xlpm.Old1YT&lt;_xlpm.New1YT,"UpGraded"))</f>
        <v/>
      </c>
      <c r="C1809"/>
      <c r="E1809"/>
      <c r="I1809">
        <v>2.75</v>
      </c>
      <c r="J1809">
        <v>2.75</v>
      </c>
      <c r="K1809">
        <v>2.75</v>
      </c>
      <c r="L1809" s="89">
        <v>2.75</v>
      </c>
      <c r="M1809" s="1">
        <v>2.75</v>
      </c>
      <c r="N1809">
        <v>2.9874999999999998</v>
      </c>
      <c r="O1809" s="80">
        <v>2.9874999999999998</v>
      </c>
      <c r="P1809" s="80">
        <v>2.9874999999999998</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0"/>
        <v>BMRA</v>
      </c>
      <c r="B1810" t="str" cm="1">
        <f t="array" aca="1" ref="B1810" ca="1">_xlfn.LET(_xlpm.Old1YT,Table46[[#This Row],[YTChg19]],         _xlpm.New1YT,Table46[[#This Row],[YTChg20]],                 _xlfn.IFS(                _xlpm.Old1YT=0,"", _xlpm.Old1YT&gt;_xlpm.New1YT,"DownGraded",              _xlpm.Old1YT=_xlpm.New1YT,"",               _xlpm.Old1YT&lt;_xlpm.New1YT,"UpGraded"))</f>
        <v/>
      </c>
      <c r="C1810"/>
      <c r="E1810"/>
      <c r="I1810">
        <v>0</v>
      </c>
      <c r="J1810">
        <v>0</v>
      </c>
      <c r="K1810">
        <v>0</v>
      </c>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0"/>
        <v>C</v>
      </c>
      <c r="B1811" t="str" cm="1">
        <f t="array" aca="1" ref="B1811" ca="1">_xlfn.LET(_xlpm.Old1YT,Table46[[#This Row],[YTChg19]],         _xlpm.New1YT,Table46[[#This Row],[YTChg20]],                 _xlfn.IFS(                _xlpm.Old1YT=0,"", _xlpm.Old1YT&gt;_xlpm.New1YT,"DownGraded",              _xlpm.Old1YT=_xlpm.New1YT,"",               _xlpm.Old1YT&lt;_xlpm.New1YT,"UpGraded"))</f>
        <v/>
      </c>
      <c r="C1811"/>
      <c r="E1811"/>
      <c r="I1811">
        <v>113.7619</v>
      </c>
      <c r="J1811">
        <v>113.7619</v>
      </c>
      <c r="K1811">
        <v>113.7619</v>
      </c>
      <c r="L1811" s="89">
        <v>113.7619</v>
      </c>
      <c r="M1811" s="1">
        <v>113.7619</v>
      </c>
      <c r="N1811">
        <v>114.33333</v>
      </c>
      <c r="O1811" s="80">
        <v>114.33333</v>
      </c>
      <c r="P1811" s="80">
        <v>114.33333</v>
      </c>
      <c r="Q1811">
        <v>114.33333</v>
      </c>
      <c r="R1811" s="85">
        <v>114.33333</v>
      </c>
      <c r="S1811">
        <v>114.33333</v>
      </c>
      <c r="T1811">
        <v>114.33333</v>
      </c>
      <c r="U1811">
        <v>114.33333</v>
      </c>
      <c r="V1811">
        <v>114.28570999999999</v>
      </c>
      <c r="W1811" s="88">
        <v>114.28570999999999</v>
      </c>
      <c r="X1811" s="113">
        <v>114.28570999999999</v>
      </c>
      <c r="Y1811">
        <v>114.28570999999999</v>
      </c>
      <c r="Z1811">
        <f ca="1">_xlfn.XLOOKUP(A1811,TabCalc[Ticker],TabCalc[Y])</f>
        <v>114.28570999999999</v>
      </c>
    </row>
    <row r="1812" spans="1:26" hidden="1">
      <c r="A1812" s="86" t="str">
        <f t="shared" ca="1" si="140"/>
        <v>CSCO</v>
      </c>
      <c r="B1812" t="str" cm="1">
        <f t="array" aca="1" ref="B1812" ca="1">_xlfn.LET(_xlpm.Old1YT,Table46[[#This Row],[YTChg19]],         _xlpm.New1YT,Table46[[#This Row],[YTChg20]],                 _xlfn.IFS(                _xlpm.Old1YT=0,"", _xlpm.Old1YT&gt;_xlpm.New1YT,"DownGraded",              _xlpm.Old1YT=_xlpm.New1YT,"",               _xlpm.Old1YT&lt;_xlpm.New1YT,"UpGraded"))</f>
        <v/>
      </c>
      <c r="C1812"/>
      <c r="E1812"/>
      <c r="I1812">
        <v>76.290949999999995</v>
      </c>
      <c r="J1812">
        <v>76.290949999999995</v>
      </c>
      <c r="K1812">
        <v>76.290949999999995</v>
      </c>
      <c r="L1812" s="89">
        <v>76.290949999999995</v>
      </c>
      <c r="M1812" s="1">
        <v>76.290949999999995</v>
      </c>
      <c r="N1812">
        <v>84.814760000000007</v>
      </c>
      <c r="O1812" s="80">
        <v>84.814760000000007</v>
      </c>
      <c r="P1812" s="80">
        <v>84.814760000000007</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0"/>
        <v>CVS</v>
      </c>
      <c r="B1813" t="str" cm="1">
        <f t="array" aca="1" ref="B1813" ca="1">_xlfn.LET(_xlpm.Old1YT,Table46[[#This Row],[YTChg19]],         _xlpm.New1YT,Table46[[#This Row],[YTChg20]],                 _xlfn.IFS(                _xlpm.Old1YT=0,"", _xlpm.Old1YT&gt;_xlpm.New1YT,"DownGraded",              _xlpm.Old1YT=_xlpm.New1YT,"",               _xlpm.Old1YT&lt;_xlpm.New1YT,"UpGraded"))</f>
        <v/>
      </c>
      <c r="C1813"/>
      <c r="I1813">
        <v>90.48</v>
      </c>
      <c r="J1813">
        <v>90.48</v>
      </c>
      <c r="K1813">
        <v>90.48</v>
      </c>
      <c r="L1813" s="89">
        <v>90.48</v>
      </c>
      <c r="M1813" s="1">
        <v>90.48</v>
      </c>
      <c r="N1813">
        <v>91.48</v>
      </c>
      <c r="O1813" s="80">
        <v>91.48</v>
      </c>
      <c r="P1813" s="80">
        <v>91.48</v>
      </c>
      <c r="Q1813">
        <v>91.48</v>
      </c>
      <c r="R1813" s="85">
        <v>91.48</v>
      </c>
      <c r="S1813">
        <v>91.48</v>
      </c>
      <c r="T1813">
        <v>91.48</v>
      </c>
      <c r="U1813">
        <v>91.48</v>
      </c>
      <c r="V1813">
        <v>91.84</v>
      </c>
      <c r="W1813" s="88">
        <v>91.84</v>
      </c>
      <c r="X1813" s="113">
        <v>91.84</v>
      </c>
      <c r="Y1813">
        <v>91.84</v>
      </c>
      <c r="Z1813">
        <f ca="1">_xlfn.XLOOKUP(A1813,TabCalc[Ticker],TabCalc[Y])</f>
        <v>91.84</v>
      </c>
    </row>
    <row r="1814" spans="1:26" hidden="1">
      <c r="A1814" s="86" t="str">
        <f t="shared" ca="1" si="140"/>
        <v>DDD</v>
      </c>
      <c r="B1814" t="str" cm="1">
        <f t="array" aca="1" ref="B1814" ca="1">_xlfn.LET(_xlpm.Old1YT,Table46[[#This Row],[YTChg19]],         _xlpm.New1YT,Table46[[#This Row],[YTChg20]],                 _xlfn.IFS(                _xlpm.Old1YT=0,"", _xlpm.Old1YT&gt;_xlpm.New1YT,"DownGraded",              _xlpm.Old1YT=_xlpm.New1YT,"",               _xlpm.Old1YT&lt;_xlpm.New1YT,"UpGraded"))</f>
        <v/>
      </c>
      <c r="C1814"/>
      <c r="I1814">
        <v>3.25</v>
      </c>
      <c r="J1814">
        <v>3.25</v>
      </c>
      <c r="K1814">
        <v>3.25</v>
      </c>
      <c r="L1814" s="89">
        <v>3.25</v>
      </c>
      <c r="M1814" s="1">
        <v>3.25</v>
      </c>
      <c r="N1814">
        <v>3.625</v>
      </c>
      <c r="O1814" s="80">
        <v>3.625</v>
      </c>
      <c r="P1814" s="80">
        <v>3.625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0"/>
        <v>DIS</v>
      </c>
      <c r="B1815" t="str" cm="1">
        <f t="array" aca="1" ref="B1815" ca="1">_xlfn.LET(_xlpm.Old1YT,Table46[[#This Row],[YTChg19]],         _xlpm.New1YT,Table46[[#This Row],[YTChg20]],                 _xlfn.IFS(                _xlpm.Old1YT=0,"", _xlpm.Old1YT&gt;_xlpm.New1YT,"DownGraded",              _xlpm.Old1YT=_xlpm.New1YT,"",               _xlpm.Old1YT&lt;_xlpm.New1YT,"UpGraded"))</f>
        <v/>
      </c>
      <c r="C1815"/>
      <c r="I1815">
        <v>134.07239999999999</v>
      </c>
      <c r="J1815">
        <v>134.07239999999999</v>
      </c>
      <c r="K1815">
        <v>134.07239999999999</v>
      </c>
      <c r="L1815" s="89">
        <v>134.07239999999999</v>
      </c>
      <c r="M1815" s="1">
        <v>134.07239999999999</v>
      </c>
      <c r="N1815">
        <v>132.50357</v>
      </c>
      <c r="O1815" s="80">
        <v>132.50357</v>
      </c>
      <c r="P1815" s="80">
        <v>132.50357</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0"/>
        <v>DSY</v>
      </c>
      <c r="B1816" t="str" cm="1">
        <f t="array" aca="1" ref="B1816" ca="1">_xlfn.LET(_xlpm.Old1YT,Table46[[#This Row],[YTChg19]],         _xlpm.New1YT,Table46[[#This Row],[YTChg20]],                 _xlfn.IFS(                _xlpm.Old1YT=0,"", _xlpm.Old1YT&gt;_xlpm.New1YT,"DownGraded",              _xlpm.Old1YT=_xlpm.New1YT,"",               _xlpm.Old1YT&lt;_xlpm.New1YT,"UpGraded"))</f>
        <v/>
      </c>
      <c r="C1816"/>
      <c r="I1816">
        <v>31.877780000000001</v>
      </c>
      <c r="J1816">
        <v>31.877780000000001</v>
      </c>
      <c r="K1816">
        <v>31.877780000000001</v>
      </c>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31.655560000000001</v>
      </c>
      <c r="W1816" s="88">
        <v>31.655560000000001</v>
      </c>
      <c r="X1816" s="113">
        <v>31.655560000000001</v>
      </c>
      <c r="Y1816">
        <v>31.655560000000001</v>
      </c>
      <c r="Z1816">
        <f ca="1">_xlfn.XLOOKUP(A1816,TabCalc[Ticker],TabCalc[Y])</f>
        <v>31.655560000000001</v>
      </c>
    </row>
    <row r="1817" spans="1:26" hidden="1">
      <c r="A1817" s="86" t="str">
        <f t="shared" ca="1" si="140"/>
        <v>DVA</v>
      </c>
      <c r="B1817" t="str" cm="1">
        <f t="array" aca="1" ref="B1817" ca="1">_xlfn.LET(_xlpm.Old1YT,Table46[[#This Row],[YTChg19]],         _xlpm.New1YT,Table46[[#This Row],[YTChg20]],                 _xlfn.IFS(                _xlpm.Old1YT=0,"", _xlpm.Old1YT&gt;_xlpm.New1YT,"DownGraded",              _xlpm.Old1YT=_xlpm.New1YT,"",               _xlpm.Old1YT&lt;_xlpm.New1YT,"UpGraded"))</f>
        <v/>
      </c>
      <c r="C1817"/>
      <c r="I1817">
        <v>147.125</v>
      </c>
      <c r="J1817">
        <v>147.125</v>
      </c>
      <c r="K1817">
        <v>147.125</v>
      </c>
      <c r="L1817" s="89">
        <v>147.125</v>
      </c>
      <c r="M1817" s="1">
        <v>147.125</v>
      </c>
      <c r="N1817">
        <v>144.5</v>
      </c>
      <c r="O1817" s="80">
        <v>144.5</v>
      </c>
      <c r="P1817" s="80">
        <v>144.5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0"/>
        <v>DXC</v>
      </c>
      <c r="B1818" t="str" cm="1">
        <f t="array" aca="1" ref="B1818" ca="1">_xlfn.LET(_xlpm.Old1YT,Table46[[#This Row],[YTChg19]],         _xlpm.New1YT,Table46[[#This Row],[YTChg20]],                 _xlfn.IFS(                _xlpm.Old1YT=0,"", _xlpm.Old1YT&gt;_xlpm.New1YT,"DownGraded",              _xlpm.Old1YT=_xlpm.New1YT,"",               _xlpm.Old1YT&lt;_xlpm.New1YT,"UpGraded"))</f>
        <v/>
      </c>
      <c r="C1818"/>
      <c r="I1818">
        <v>14.5</v>
      </c>
      <c r="J1818">
        <v>14.5</v>
      </c>
      <c r="K1818">
        <v>14.5</v>
      </c>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0"/>
        <v>EOAN</v>
      </c>
      <c r="B1819" t="str" cm="1">
        <f t="array" aca="1" ref="B1819" ca="1">_xlfn.LET(_xlpm.Old1YT,Table46[[#This Row],[YTChg19]],         _xlpm.New1YT,Table46[[#This Row],[YTChg20]],                 _xlfn.IFS(                _xlpm.Old1YT=0,"", _xlpm.Old1YT&gt;_xlpm.New1YT,"DownGraded",              _xlpm.Old1YT=_xlpm.New1YT,"",               _xlpm.Old1YT&lt;_xlpm.New1YT,"UpGraded"))</f>
        <v/>
      </c>
      <c r="C1819"/>
      <c r="I1819">
        <v>16.919589999999999</v>
      </c>
      <c r="J1819">
        <v>16.919589999999999</v>
      </c>
      <c r="K1819">
        <v>16.919589999999999</v>
      </c>
      <c r="L1819" s="89">
        <v>16.919589999999999</v>
      </c>
      <c r="M1819" s="1">
        <v>16.919589999999999</v>
      </c>
      <c r="N1819">
        <v>16.934180000000001</v>
      </c>
      <c r="O1819" s="80">
        <v>16.934180000000001</v>
      </c>
      <c r="P1819" s="80">
        <v>16.934180000000001</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0"/>
        <v>EPIX</v>
      </c>
      <c r="B1820" t="str" cm="1">
        <f t="array" aca="1" ref="B1820" ca="1">_xlfn.LET(_xlpm.Old1YT,Table46[[#This Row],[YTChg19]],         _xlpm.New1YT,Table46[[#This Row],[YTChg20]],                 _xlfn.IFS(                _xlpm.Old1YT=0,"", _xlpm.Old1YT&gt;_xlpm.New1YT,"DownGraded",              _xlpm.Old1YT=_xlpm.New1YT,"",               _xlpm.Old1YT&lt;_xlpm.New1YT,"UpGraded"))</f>
        <v/>
      </c>
      <c r="C1820"/>
      <c r="I1820">
        <v>0</v>
      </c>
      <c r="J1820">
        <v>0</v>
      </c>
      <c r="K1820">
        <v>0</v>
      </c>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0"/>
        <v>GM</v>
      </c>
      <c r="B1821" t="str" cm="1">
        <f t="array" aca="1" ref="B1821" ca="1">_xlfn.LET(_xlpm.Old1YT,Table46[[#This Row],[YTChg19]],         _xlpm.New1YT,Table46[[#This Row],[YTChg20]],                 _xlfn.IFS(                _xlpm.Old1YT=0,"", _xlpm.Old1YT&gt;_xlpm.New1YT,"DownGraded",              _xlpm.Old1YT=_xlpm.New1YT,"",               _xlpm.Old1YT&lt;_xlpm.New1YT,"UpGraded"))</f>
        <v/>
      </c>
      <c r="I1821">
        <v>73.153850000000006</v>
      </c>
      <c r="J1821">
        <v>73.153850000000006</v>
      </c>
      <c r="K1821">
        <v>73.153850000000006</v>
      </c>
      <c r="L1821" s="89">
        <v>73.153850000000006</v>
      </c>
      <c r="M1821" s="1">
        <v>73.153850000000006</v>
      </c>
      <c r="N1821">
        <v>74.153850000000006</v>
      </c>
      <c r="O1821" s="80">
        <v>74.153850000000006</v>
      </c>
      <c r="P1821" s="80">
        <v>74.153850000000006</v>
      </c>
      <c r="Q1821">
        <v>74.153850000000006</v>
      </c>
      <c r="R1821" s="85">
        <v>74.153850000000006</v>
      </c>
      <c r="S1821">
        <v>74.153850000000006</v>
      </c>
      <c r="T1821">
        <v>74.153850000000006</v>
      </c>
      <c r="U1821">
        <v>74.153850000000006</v>
      </c>
      <c r="V1821">
        <v>74.269229999999993</v>
      </c>
      <c r="W1821" s="88">
        <v>74.269229999999993</v>
      </c>
      <c r="X1821" s="113">
        <v>74.269229999999993</v>
      </c>
      <c r="Y1821">
        <v>74.269229999999993</v>
      </c>
      <c r="Z1821">
        <f ca="1">_xlfn.XLOOKUP(A1821,TabCalc[Ticker],TabCalc[Y])</f>
        <v>74.269229999999993</v>
      </c>
    </row>
    <row r="1822" spans="1:26" hidden="1">
      <c r="A1822" s="86" t="str">
        <f t="shared" ca="1" si="140"/>
        <v>HPE</v>
      </c>
      <c r="B1822" t="str" cm="1">
        <f t="array" aca="1" ref="B1822" ca="1">_xlfn.LET(_xlpm.Old1YT,Table46[[#This Row],[YTChg19]],         _xlpm.New1YT,Table46[[#This Row],[YTChg20]],                 _xlfn.IFS(                _xlpm.Old1YT=0,"", _xlpm.Old1YT&gt;_xlpm.New1YT,"DownGraded",              _xlpm.Old1YT=_xlpm.New1YT,"",               _xlpm.Old1YT&lt;_xlpm.New1YT,"UpGraded"))</f>
        <v/>
      </c>
      <c r="I1822">
        <v>26.51211</v>
      </c>
      <c r="J1822">
        <v>26.51211</v>
      </c>
      <c r="K1822">
        <v>26.51211</v>
      </c>
      <c r="L1822" s="89">
        <v>26.51211</v>
      </c>
      <c r="M1822" s="1">
        <v>26.51211</v>
      </c>
      <c r="N1822">
        <v>26.5</v>
      </c>
      <c r="O1822" s="80">
        <v>26.5</v>
      </c>
      <c r="P1822" s="80">
        <v>26.5</v>
      </c>
      <c r="Q1822">
        <v>26.5</v>
      </c>
      <c r="R1822" s="85">
        <v>26.5</v>
      </c>
      <c r="S1822">
        <v>26.5</v>
      </c>
      <c r="T1822">
        <v>26.5</v>
      </c>
      <c r="U1822">
        <v>26.5</v>
      </c>
      <c r="V1822">
        <v>26.38889</v>
      </c>
      <c r="W1822" s="88">
        <v>26.38889</v>
      </c>
      <c r="X1822" s="113">
        <v>26.38889</v>
      </c>
      <c r="Y1822">
        <v>26.38889</v>
      </c>
      <c r="Z1822">
        <f ca="1">_xlfn.XLOOKUP(A1822,TabCalc[Ticker],TabCalc[Y])</f>
        <v>26.38889</v>
      </c>
    </row>
    <row r="1823" spans="1:26" hidden="1">
      <c r="A1823" s="86" t="str">
        <f t="shared" ca="1" si="140"/>
        <v>HPQ</v>
      </c>
      <c r="B1823" t="str" cm="1">
        <f t="array" aca="1" ref="B1823" ca="1">_xlfn.LET(_xlpm.Old1YT,Table46[[#This Row],[YTChg19]],         _xlpm.New1YT,Table46[[#This Row],[YTChg20]],                 _xlfn.IFS(                _xlpm.Old1YT=0,"", _xlpm.Old1YT&gt;_xlpm.New1YT,"DownGraded",              _xlpm.Old1YT=_xlpm.New1YT,"",               _xlpm.Old1YT&lt;_xlpm.New1YT,"UpGraded"))</f>
        <v/>
      </c>
      <c r="I1823">
        <v>28.282499999999999</v>
      </c>
      <c r="J1823">
        <v>28.282499999999999</v>
      </c>
      <c r="K1823">
        <v>28.282499999999999</v>
      </c>
      <c r="L1823" s="89">
        <v>28.282499999999999</v>
      </c>
      <c r="M1823" s="1">
        <v>28.282499999999999</v>
      </c>
      <c r="N1823">
        <v>27.737500000000001</v>
      </c>
      <c r="O1823" s="80">
        <v>27.737500000000001</v>
      </c>
      <c r="P1823" s="80">
        <v>27.737500000000001</v>
      </c>
      <c r="Q1823">
        <v>27.737500000000001</v>
      </c>
      <c r="R1823" s="85">
        <v>27.737500000000001</v>
      </c>
      <c r="S1823">
        <v>27.737500000000001</v>
      </c>
      <c r="T1823">
        <v>27.737500000000001</v>
      </c>
      <c r="U1823">
        <v>27.737500000000001</v>
      </c>
      <c r="V1823">
        <v>25.881250000000001</v>
      </c>
      <c r="W1823" s="88">
        <v>25.881250000000001</v>
      </c>
      <c r="X1823" s="113">
        <v>25.881250000000001</v>
      </c>
      <c r="Y1823">
        <v>25.881250000000001</v>
      </c>
      <c r="Z1823">
        <f ca="1">_xlfn.XLOOKUP(A1823,TabCalc[Ticker],TabCalc[Y])</f>
        <v>25.881250000000001</v>
      </c>
    </row>
    <row r="1824" spans="1:26" hidden="1">
      <c r="A1824" s="86" t="str">
        <f t="shared" ca="1" si="140"/>
        <v>IAG</v>
      </c>
      <c r="B1824" t="str" cm="1">
        <f t="array" aca="1" ref="B1824" ca="1">_xlfn.LET(_xlpm.Old1YT,Table46[[#This Row],[YTChg19]],         _xlpm.New1YT,Table46[[#This Row],[YTChg20]],                 _xlfn.IFS(                _xlpm.Old1YT=0,"", _xlpm.Old1YT&gt;_xlpm.New1YT,"DownGraded",              _xlpm.Old1YT=_xlpm.New1YT,"",               _xlpm.Old1YT&lt;_xlpm.New1YT,"UpGraded"))</f>
        <v/>
      </c>
      <c r="I1824">
        <v>464.0942</v>
      </c>
      <c r="J1824">
        <v>464.0942</v>
      </c>
      <c r="K1824">
        <v>464.0942</v>
      </c>
      <c r="L1824" s="89">
        <v>464.0942</v>
      </c>
      <c r="M1824" s="1">
        <v>464.0942</v>
      </c>
      <c r="N1824">
        <v>463.65366</v>
      </c>
      <c r="O1824" s="80">
        <v>463.65366</v>
      </c>
      <c r="P1824" s="80">
        <v>463.65366</v>
      </c>
      <c r="Q1824">
        <v>463.65366</v>
      </c>
      <c r="R1824" s="85">
        <v>463.65366</v>
      </c>
      <c r="S1824">
        <v>463.65366</v>
      </c>
      <c r="T1824">
        <v>463.65366</v>
      </c>
      <c r="U1824">
        <v>463.65366</v>
      </c>
      <c r="V1824">
        <v>461.56952000000001</v>
      </c>
      <c r="W1824" s="88">
        <v>461.56952000000001</v>
      </c>
      <c r="X1824" s="113">
        <v>461.56952000000001</v>
      </c>
      <c r="Y1824">
        <v>461.56952000000001</v>
      </c>
      <c r="Z1824">
        <f ca="1">_xlfn.XLOOKUP(A1824,TabCalc[Ticker],TabCalc[Y])</f>
        <v>461.56952000000001</v>
      </c>
    </row>
    <row r="1825" spans="1:26" hidden="1">
      <c r="A1825" s="86" t="str">
        <f t="shared" ca="1" si="140"/>
        <v>KR</v>
      </c>
      <c r="B1825" t="str" cm="1">
        <f t="array" aca="1" ref="B1825" ca="1">_xlfn.LET(_xlpm.Old1YT,Table46[[#This Row],[YTChg19]],         _xlpm.New1YT,Table46[[#This Row],[YTChg20]],                 _xlfn.IFS(                _xlpm.Old1YT=0,"", _xlpm.Old1YT&gt;_xlpm.New1YT,"DownGraded",              _xlpm.Old1YT=_xlpm.New1YT,"",               _xlpm.Old1YT&lt;_xlpm.New1YT,"UpGraded"))</f>
        <v/>
      </c>
      <c r="I1825">
        <v>76.045450000000002</v>
      </c>
      <c r="J1825">
        <v>76.045450000000002</v>
      </c>
      <c r="K1825">
        <v>76.045450000000002</v>
      </c>
      <c r="L1825" s="89">
        <v>76.045450000000002</v>
      </c>
      <c r="M1825" s="1">
        <v>76.045450000000002</v>
      </c>
      <c r="N1825">
        <v>75.954549999999998</v>
      </c>
      <c r="O1825" s="80">
        <v>75.954549999999998</v>
      </c>
      <c r="P1825" s="80">
        <v>75.954549999999998</v>
      </c>
      <c r="Q1825">
        <v>75.954549999999998</v>
      </c>
      <c r="R1825" s="85">
        <v>75.954549999999998</v>
      </c>
      <c r="S1825">
        <v>75.954549999999998</v>
      </c>
      <c r="T1825">
        <v>75.954549999999998</v>
      </c>
      <c r="U1825">
        <v>75.954549999999998</v>
      </c>
      <c r="V1825">
        <v>74.363640000000004</v>
      </c>
      <c r="W1825" s="88">
        <v>74.363640000000004</v>
      </c>
      <c r="X1825" s="113">
        <v>74.363640000000004</v>
      </c>
      <c r="Y1825">
        <v>74.363640000000004</v>
      </c>
      <c r="Z1825">
        <f ca="1">_xlfn.XLOOKUP(A1825,TabCalc[Ticker],TabCalc[Y])</f>
        <v>74.363640000000004</v>
      </c>
    </row>
    <row r="1826" spans="1:26" hidden="1">
      <c r="A1826" s="86" t="str">
        <f t="shared" ca="1" si="140"/>
        <v>LNSR</v>
      </c>
      <c r="B1826" t="str" cm="1">
        <f t="array" aca="1" ref="B1826" ca="1">_xlfn.LET(_xlpm.Old1YT,Table46[[#This Row],[YTChg19]],         _xlpm.New1YT,Table46[[#This Row],[YTChg20]],                 _xlfn.IFS(                _xlpm.Old1YT=0,"", _xlpm.Old1YT&gt;_xlpm.New1YT,"DownGraded",              _xlpm.Old1YT=_xlpm.New1YT,"",               _xlpm.Old1YT&lt;_xlpm.New1YT,"UpGraded"))</f>
        <v/>
      </c>
      <c r="I1826">
        <v>15</v>
      </c>
      <c r="J1826" s="84">
        <v>15</v>
      </c>
      <c r="K1826" s="86">
        <v>15</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0"/>
        <v>LUMN</v>
      </c>
      <c r="B1827" t="str" cm="1">
        <f t="array" aca="1" ref="B1827" ca="1">_xlfn.LET(_xlpm.Old1YT,Table46[[#This Row],[YTChg19]],         _xlpm.New1YT,Table46[[#This Row],[YTChg20]],                 _xlfn.IFS(                _xlpm.Old1YT=0,"", _xlpm.Old1YT&gt;_xlpm.New1YT,"DownGraded",              _xlpm.Old1YT=_xlpm.New1YT,"",               _xlpm.Old1YT&lt;_xlpm.New1YT,"UpGraded"))</f>
        <v/>
      </c>
      <c r="I1827">
        <v>5.9580000000000002</v>
      </c>
      <c r="J1827" s="84">
        <v>5.9580000000000002</v>
      </c>
      <c r="K1827" s="86">
        <v>5.9580000000000002</v>
      </c>
      <c r="L1827" s="89">
        <v>5.9580000000000002</v>
      </c>
      <c r="M1827" s="1">
        <v>5.9580000000000002</v>
      </c>
      <c r="N1827">
        <v>7.2329999999999997</v>
      </c>
      <c r="O1827" s="80">
        <v>7.2329999999999997</v>
      </c>
      <c r="P1827" s="80">
        <v>7.2329999999999997</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0"/>
        <v>MRNA</v>
      </c>
      <c r="B1828" t="str" cm="1">
        <f t="array" aca="1" ref="B1828" ca="1">_xlfn.LET(_xlpm.Old1YT,Table46[[#This Row],[YTChg19]],         _xlpm.New1YT,Table46[[#This Row],[YTChg20]],                 _xlfn.IFS(                _xlpm.Old1YT=0,"", _xlpm.Old1YT&gt;_xlpm.New1YT,"DownGraded",              _xlpm.Old1YT=_xlpm.New1YT,"",               _xlpm.Old1YT&lt;_xlpm.New1YT,"UpGraded"))</f>
        <v/>
      </c>
      <c r="I1828">
        <v>40.299999999999997</v>
      </c>
      <c r="J1828" s="84">
        <v>40.299999999999997</v>
      </c>
      <c r="K1828" s="86">
        <v>40.299999999999997</v>
      </c>
      <c r="L1828" s="89">
        <v>40.299999999999997</v>
      </c>
      <c r="M1828" s="1">
        <v>40.299999999999997</v>
      </c>
      <c r="N1828">
        <v>37.31579</v>
      </c>
      <c r="O1828" s="80">
        <v>37.31579</v>
      </c>
      <c r="P1828" s="80">
        <v>37.31579</v>
      </c>
      <c r="Q1828">
        <v>37.31579</v>
      </c>
      <c r="R1828" s="85">
        <v>37.31579</v>
      </c>
      <c r="S1828">
        <v>37.31579</v>
      </c>
      <c r="T1828">
        <v>37.31579</v>
      </c>
      <c r="U1828">
        <v>37.31579</v>
      </c>
      <c r="V1828">
        <v>35.77778</v>
      </c>
      <c r="W1828" s="88">
        <v>35.77778</v>
      </c>
      <c r="X1828" s="113">
        <v>35.77778</v>
      </c>
      <c r="Y1828">
        <v>35.77778</v>
      </c>
      <c r="Z1828">
        <f ca="1">_xlfn.XLOOKUP(A1828,TabCalc[Ticker],TabCalc[Y])</f>
        <v>35.77778</v>
      </c>
    </row>
    <row r="1829" spans="1:26" hidden="1">
      <c r="A1829" s="86" t="str">
        <f t="shared" ca="1" si="140"/>
        <v>MSFT</v>
      </c>
      <c r="B1829" t="str" cm="1">
        <f t="array" aca="1" ref="B1829" ca="1">_xlfn.LET(_xlpm.Old1YT,Table46[[#This Row],[YTChg19]],         _xlpm.New1YT,Table46[[#This Row],[YTChg20]],                 _xlfn.IFS(                _xlpm.Old1YT=0,"", _xlpm.Old1YT&gt;_xlpm.New1YT,"DownGraded",              _xlpm.Old1YT=_xlpm.New1YT,"",               _xlpm.Old1YT&lt;_xlpm.New1YT,"UpGraded"))</f>
        <v/>
      </c>
      <c r="I1829">
        <v>626.22655999999995</v>
      </c>
      <c r="J1829" s="84">
        <v>626.22655999999995</v>
      </c>
      <c r="K1829" s="86">
        <v>626.22655999999995</v>
      </c>
      <c r="L1829" s="89">
        <v>626.22655999999995</v>
      </c>
      <c r="M1829" s="1">
        <v>626.22655999999995</v>
      </c>
      <c r="N1829">
        <v>625.40959999999995</v>
      </c>
      <c r="O1829" s="80">
        <v>625.40959999999995</v>
      </c>
      <c r="P1829" s="80">
        <v>625.40959999999995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0"/>
        <v>NEE</v>
      </c>
      <c r="B1830" t="str" cm="1">
        <f t="array" aca="1" ref="B1830" ca="1">_xlfn.LET(_xlpm.Old1YT,Table46[[#This Row],[YTChg19]],         _xlpm.New1YT,Table46[[#This Row],[YTChg20]],                 _xlfn.IFS(                _xlpm.Old1YT=0,"", _xlpm.Old1YT&gt;_xlpm.New1YT,"DownGraded",              _xlpm.Old1YT=_xlpm.New1YT,"",               _xlpm.Old1YT&lt;_xlpm.New1YT,"UpGraded"))</f>
        <v/>
      </c>
      <c r="I1830">
        <v>91</v>
      </c>
      <c r="J1830" s="84">
        <v>91</v>
      </c>
      <c r="K1830" s="86">
        <v>91</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0"/>
        <v>NEM</v>
      </c>
      <c r="B1831" t="str" cm="1">
        <f t="array" aca="1" ref="B1831" ca="1">_xlfn.LET(_xlpm.Old1YT,Table46[[#This Row],[YTChg19]],         _xlpm.New1YT,Table46[[#This Row],[YTChg20]],                 _xlfn.IFS(                _xlpm.Old1YT=0,"", _xlpm.Old1YT&gt;_xlpm.New1YT,"DownGraded",              _xlpm.Old1YT=_xlpm.New1YT,"",               _xlpm.Old1YT&lt;_xlpm.New1YT,"UpGraded"))</f>
        <v/>
      </c>
      <c r="I1831">
        <v>102.735</v>
      </c>
      <c r="J1831" s="84">
        <v>102.735</v>
      </c>
      <c r="K1831" s="86">
        <v>102.735</v>
      </c>
      <c r="L1831" s="89">
        <v>102.735</v>
      </c>
      <c r="M1831" s="1">
        <v>102.735</v>
      </c>
      <c r="N1831">
        <v>103.57</v>
      </c>
      <c r="O1831" s="80">
        <v>103.57</v>
      </c>
      <c r="P1831" s="80">
        <v>103.57</v>
      </c>
      <c r="Q1831">
        <v>103.57</v>
      </c>
      <c r="R1831" s="85">
        <v>103.57</v>
      </c>
      <c r="S1831">
        <v>103.57</v>
      </c>
      <c r="T1831">
        <v>103.57</v>
      </c>
      <c r="U1831">
        <v>103.57</v>
      </c>
      <c r="V1831">
        <v>104.779</v>
      </c>
      <c r="W1831" s="88">
        <v>104.779</v>
      </c>
      <c r="X1831" s="113">
        <v>104.779</v>
      </c>
      <c r="Y1831">
        <v>104.779</v>
      </c>
      <c r="Z1831">
        <f ca="1">_xlfn.XLOOKUP(A1831,TabCalc[Ticker],TabCalc[Y])</f>
        <v>104.779</v>
      </c>
    </row>
    <row r="1832" spans="1:26" hidden="1">
      <c r="A1832" s="86" t="str">
        <f t="shared" ca="1" si="140"/>
        <v>NFLX</v>
      </c>
      <c r="B1832" t="str" cm="1">
        <f t="array" aca="1" ref="B1832" ca="1">_xlfn.LET(_xlpm.Old1YT,Table46[[#This Row],[YTChg19]],         _xlpm.New1YT,Table46[[#This Row],[YTChg20]],                 _xlfn.IFS(                _xlpm.Old1YT=0,"", _xlpm.Old1YT&gt;_xlpm.New1YT,"DownGraded",              _xlpm.Old1YT=_xlpm.New1YT,"",               _xlpm.Old1YT&lt;_xlpm.New1YT,"UpGraded"))</f>
        <v/>
      </c>
      <c r="I1832">
        <v>1347.3231000000001</v>
      </c>
      <c r="J1832" s="84">
        <v>1347.3231000000001</v>
      </c>
      <c r="K1832" s="86">
        <v>1347.3231000000001</v>
      </c>
      <c r="L1832" s="89">
        <v>1347.3231000000001</v>
      </c>
      <c r="M1832" s="1">
        <v>1347.3231000000001</v>
      </c>
      <c r="N1832">
        <v>134.65277</v>
      </c>
      <c r="O1832" s="80">
        <v>134.65277</v>
      </c>
      <c r="P1832" s="80">
        <v>134.65277</v>
      </c>
      <c r="Q1832">
        <v>134.65277</v>
      </c>
      <c r="R1832" s="85">
        <v>134.65277</v>
      </c>
      <c r="S1832">
        <v>134.65277</v>
      </c>
      <c r="T1832">
        <v>134.65277</v>
      </c>
      <c r="U1832">
        <v>134.65277</v>
      </c>
      <c r="V1832">
        <v>133.41245000000001</v>
      </c>
      <c r="W1832" s="88">
        <v>133.41245000000001</v>
      </c>
      <c r="X1832" s="113">
        <v>133.41245000000001</v>
      </c>
      <c r="Y1832">
        <v>133.41245000000001</v>
      </c>
      <c r="Z1832">
        <f ca="1">_xlfn.XLOOKUP(A1832,TabCalc[Ticker],TabCalc[Y])</f>
        <v>133.41245000000001</v>
      </c>
    </row>
    <row r="1833" spans="1:26" hidden="1">
      <c r="A1833" s="86" t="str">
        <f t="shared" ca="1" si="140"/>
        <v>NOTE</v>
      </c>
      <c r="B1833" t="str" cm="1">
        <f t="array" aca="1" ref="B1833" ca="1">_xlfn.LET(_xlpm.Old1YT,Table46[[#This Row],[YTChg19]],         _xlpm.New1YT,Table46[[#This Row],[YTChg20]],                 _xlfn.IFS(                _xlpm.Old1YT=0,"", _xlpm.Old1YT&gt;_xlpm.New1YT,"DownGraded",              _xlpm.Old1YT=_xlpm.New1YT,"",               _xlpm.Old1YT&lt;_xlpm.New1YT,"UpGraded"))</f>
        <v/>
      </c>
      <c r="I1833">
        <v>31.501080000000002</v>
      </c>
      <c r="J1833" s="84">
        <v>31.501080000000002</v>
      </c>
      <c r="K1833" s="86">
        <v>31.501080000000002</v>
      </c>
      <c r="L1833" s="89">
        <v>31.501080000000002</v>
      </c>
      <c r="M1833" s="1">
        <v>31.501080000000002</v>
      </c>
      <c r="N1833">
        <v>19.250540000000001</v>
      </c>
      <c r="O1833" s="80">
        <v>19.250540000000001</v>
      </c>
      <c r="P1833" s="80">
        <v>19.250540000000001</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0"/>
        <v>PAAS</v>
      </c>
      <c r="B1834" t="str" cm="1">
        <f t="array" aca="1" ref="B1834" ca="1">_xlfn.LET(_xlpm.Old1YT,Table46[[#This Row],[YTChg19]],         _xlpm.New1YT,Table46[[#This Row],[YTChg20]],                 _xlfn.IFS(                _xlpm.Old1YT=0,"", _xlpm.Old1YT&gt;_xlpm.New1YT,"DownGraded",              _xlpm.Old1YT=_xlpm.New1YT,"",               _xlpm.Old1YT&lt;_xlpm.New1YT,"UpGraded"))</f>
        <v/>
      </c>
      <c r="I1834">
        <v>46.875</v>
      </c>
      <c r="J1834" s="84">
        <v>46.875</v>
      </c>
      <c r="K1834" s="86">
        <v>46.875</v>
      </c>
      <c r="L1834" s="89">
        <v>46.875</v>
      </c>
      <c r="M1834" s="1">
        <v>46.875</v>
      </c>
      <c r="N1834">
        <v>47.125</v>
      </c>
      <c r="O1834" s="80">
        <v>47.125</v>
      </c>
      <c r="P1834" s="80">
        <v>47.125</v>
      </c>
      <c r="Q1834">
        <v>47.125</v>
      </c>
      <c r="R1834" s="85">
        <v>47.125</v>
      </c>
      <c r="S1834">
        <v>47.125</v>
      </c>
      <c r="T1834">
        <v>47.125</v>
      </c>
      <c r="U1834">
        <v>47.125</v>
      </c>
      <c r="V1834">
        <v>47.75</v>
      </c>
      <c r="W1834" s="88">
        <v>47.75</v>
      </c>
      <c r="X1834" s="113">
        <v>47.75</v>
      </c>
      <c r="Y1834">
        <v>47.75</v>
      </c>
      <c r="Z1834">
        <f ca="1">_xlfn.XLOOKUP(A1834,TabCalc[Ticker],TabCalc[Y])</f>
        <v>47.75</v>
      </c>
    </row>
    <row r="1835" spans="1:26" hidden="1">
      <c r="A1835" s="86" t="str">
        <f t="shared" ca="1" si="140"/>
        <v>PROF</v>
      </c>
      <c r="B1835" t="str" cm="1">
        <f t="array" aca="1" ref="B1835" ca="1">_xlfn.LET(_xlpm.Old1YT,Table46[[#This Row],[YTChg19]],         _xlpm.New1YT,Table46[[#This Row],[YTChg20]],                 _xlfn.IFS(                _xlpm.Old1YT=0,"", _xlpm.Old1YT&gt;_xlpm.New1YT,"DownGraded",              _xlpm.Old1YT=_xlpm.New1YT,"",               _xlpm.Old1YT&lt;_xlpm.New1YT,"UpGraded"))</f>
        <v/>
      </c>
      <c r="I1835">
        <v>12.1</v>
      </c>
      <c r="J1835" s="84">
        <v>12.1</v>
      </c>
      <c r="K1835" s="86">
        <v>12.1</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0"/>
        <v>POET</v>
      </c>
      <c r="B1836" t="str" cm="1">
        <f t="array" aca="1" ref="B1836" ca="1">_xlfn.LET(_xlpm.Old1YT,Table46[[#This Row],[YTChg19]],         _xlpm.New1YT,Table46[[#This Row],[YTChg20]],                 _xlfn.IFS(                _xlpm.Old1YT=0,"", _xlpm.Old1YT&gt;_xlpm.New1YT,"DownGraded",              _xlpm.Old1YT=_xlpm.New1YT,"",               _xlpm.Old1YT&lt;_xlpm.New1YT,"UpGraded"))</f>
        <v/>
      </c>
      <c r="I1836">
        <v>6.6333299999999999</v>
      </c>
      <c r="J1836" s="84">
        <v>6.6333299999999999</v>
      </c>
      <c r="K1836" s="86">
        <v>6.6333299999999999</v>
      </c>
      <c r="L1836" s="89">
        <v>6.6333299999999999</v>
      </c>
      <c r="M1836" s="1">
        <v>6.6333299999999999</v>
      </c>
      <c r="N1836">
        <v>6.6</v>
      </c>
      <c r="O1836" s="80">
        <v>6.6</v>
      </c>
      <c r="P1836" s="80">
        <v>6.6</v>
      </c>
      <c r="Q1836">
        <v>6.6</v>
      </c>
      <c r="R1836" s="85">
        <v>6.6</v>
      </c>
      <c r="S1836">
        <v>6.6</v>
      </c>
      <c r="T1836">
        <v>6.6</v>
      </c>
      <c r="U1836">
        <v>6.6</v>
      </c>
      <c r="V1836">
        <v>6.9333299999999998</v>
      </c>
      <c r="W1836" s="88">
        <v>6.9333299999999998</v>
      </c>
      <c r="X1836" s="113">
        <v>6.9333299999999998</v>
      </c>
      <c r="Y1836">
        <v>6.9333299999999998</v>
      </c>
      <c r="Z1836">
        <f ca="1">_xlfn.XLOOKUP(A1836,TabCalc[Ticker],TabCalc[Y])</f>
        <v>6.9333299999999998</v>
      </c>
    </row>
    <row r="1837" spans="1:26" hidden="1">
      <c r="A1837" s="86" t="str">
        <f t="shared" ca="1" si="140"/>
        <v>PW</v>
      </c>
      <c r="B1837" t="str" cm="1">
        <f t="array" aca="1" ref="B1837" ca="1">_xlfn.LET(_xlpm.Old1YT,Table46[[#This Row],[YTChg19]],         _xlpm.New1YT,Table46[[#This Row],[YTChg20]],                 _xlfn.IFS(                _xlpm.Old1YT=0,"", _xlpm.Old1YT&gt;_xlpm.New1YT,"DownGraded",              _xlpm.Old1YT=_xlpm.New1YT,"",               _xlpm.Old1YT&lt;_xlpm.New1YT,"UpGraded"))</f>
        <v/>
      </c>
      <c r="I1837">
        <v>0</v>
      </c>
      <c r="J1837" s="84">
        <v>0</v>
      </c>
      <c r="K1837" s="86">
        <v>0</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0"/>
        <v>RIGL</v>
      </c>
      <c r="B1838" t="str" cm="1">
        <f t="array" aca="1" ref="B1838" ca="1">_xlfn.LET(_xlpm.Old1YT,Table46[[#This Row],[YTChg19]],         _xlpm.New1YT,Table46[[#This Row],[YTChg20]],                 _xlfn.IFS(                _xlpm.Old1YT=0,"", _xlpm.Old1YT&gt;_xlpm.New1YT,"DownGraded",              _xlpm.Old1YT=_xlpm.New1YT,"",               _xlpm.Old1YT&lt;_xlpm.New1YT,"UpGraded"))</f>
        <v/>
      </c>
      <c r="I1838">
        <v>38.333329999999997</v>
      </c>
      <c r="J1838" s="84">
        <v>38.333329999999997</v>
      </c>
      <c r="K1838" s="86">
        <v>38.333329999999997</v>
      </c>
      <c r="L1838" s="89">
        <v>38.333329999999997</v>
      </c>
      <c r="M1838" s="1">
        <v>38.333329999999997</v>
      </c>
      <c r="N1838">
        <v>49.6</v>
      </c>
      <c r="O1838" s="80">
        <v>49.6</v>
      </c>
      <c r="P1838" s="80">
        <v>49.6</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0"/>
        <v>RWE</v>
      </c>
      <c r="B1839" t="str" cm="1">
        <f t="array" aca="1" ref="B1839" ca="1">_xlfn.LET(_xlpm.Old1YT,Table46[[#This Row],[YTChg19]],         _xlpm.New1YT,Table46[[#This Row],[YTChg20]],                 _xlfn.IFS(                _xlpm.Old1YT=0,"", _xlpm.Old1YT&gt;_xlpm.New1YT,"DownGraded",              _xlpm.Old1YT=_xlpm.New1YT,"",               _xlpm.Old1YT&lt;_xlpm.New1YT,"UpGraded"))</f>
        <v/>
      </c>
      <c r="I1839">
        <v>44.747059999999998</v>
      </c>
      <c r="J1839" s="84">
        <v>44.747059999999998</v>
      </c>
      <c r="K1839" s="86">
        <v>44.747059999999998</v>
      </c>
      <c r="L1839" s="89">
        <v>44.747059999999998</v>
      </c>
      <c r="M1839" s="1">
        <v>44.747059999999998</v>
      </c>
      <c r="N1839">
        <v>47.235289999999999</v>
      </c>
      <c r="O1839" s="80">
        <v>47.235289999999999</v>
      </c>
      <c r="P1839" s="80">
        <v>47.235289999999999</v>
      </c>
      <c r="Q1839">
        <v>47.235289999999999</v>
      </c>
      <c r="R1839" s="85">
        <v>47.235289999999999</v>
      </c>
      <c r="S1839">
        <v>47.235289999999999</v>
      </c>
      <c r="T1839">
        <v>47.235289999999999</v>
      </c>
      <c r="U1839">
        <v>47.235289999999999</v>
      </c>
      <c r="V1839">
        <v>48.176470000000002</v>
      </c>
      <c r="W1839" s="88">
        <v>48.176470000000002</v>
      </c>
      <c r="X1839" s="113">
        <v>48.176470000000002</v>
      </c>
      <c r="Y1839">
        <v>48.176470000000002</v>
      </c>
      <c r="Z1839">
        <f ca="1">_xlfn.XLOOKUP(A1839,TabCalc[Ticker],TabCalc[Y])</f>
        <v>48.176470000000002</v>
      </c>
    </row>
    <row r="1840" spans="1:26" hidden="1">
      <c r="A1840" s="86" t="str">
        <f t="shared" ca="1" si="140"/>
        <v>SAP</v>
      </c>
      <c r="B1840" t="str" cm="1">
        <f t="array" aca="1" ref="B1840" ca="1">_xlfn.LET(_xlpm.Old1YT,Table46[[#This Row],[YTChg19]],         _xlpm.New1YT,Table46[[#This Row],[YTChg20]],                 _xlfn.IFS(                _xlpm.Old1YT=0,"", _xlpm.Old1YT&gt;_xlpm.New1YT,"DownGraded",              _xlpm.Old1YT=_xlpm.New1YT,"",               _xlpm.Old1YT&lt;_xlpm.New1YT,"UpGraded"))</f>
        <v/>
      </c>
      <c r="I1840">
        <v>288.66680000000002</v>
      </c>
      <c r="J1840" s="84">
        <v>288.66680000000002</v>
      </c>
      <c r="K1840" s="86">
        <v>288.66680000000002</v>
      </c>
      <c r="L1840" s="89">
        <v>288.66680000000002</v>
      </c>
      <c r="M1840" s="1">
        <v>288.66680000000002</v>
      </c>
      <c r="N1840">
        <v>287.58334000000002</v>
      </c>
      <c r="O1840" s="80">
        <v>287.58334000000002</v>
      </c>
      <c r="P1840" s="80">
        <v>287.58334000000002</v>
      </c>
      <c r="Q1840">
        <v>287.58334000000002</v>
      </c>
      <c r="R1840" s="85">
        <v>287.58334000000002</v>
      </c>
      <c r="S1840">
        <v>287.58334000000002</v>
      </c>
      <c r="T1840">
        <v>287.58334000000002</v>
      </c>
      <c r="U1840">
        <v>287.58334000000002</v>
      </c>
      <c r="V1840">
        <v>286.75</v>
      </c>
      <c r="W1840" s="88">
        <v>286.75</v>
      </c>
      <c r="X1840" s="113">
        <v>286.75</v>
      </c>
      <c r="Y1840">
        <v>286.75</v>
      </c>
      <c r="Z1840">
        <f ca="1">_xlfn.XLOOKUP(A1840,TabCalc[Ticker],TabCalc[Y])</f>
        <v>286.75</v>
      </c>
    </row>
    <row r="1841" spans="1:26" hidden="1">
      <c r="A1841" s="86" t="str">
        <f t="shared" ca="1" si="140"/>
        <v>SHECY</v>
      </c>
      <c r="B1841" t="str" cm="1">
        <f t="array" aca="1" ref="B1841" ca="1">_xlfn.LET(_xlpm.Old1YT,Table46[[#This Row],[YTChg19]],         _xlpm.New1YT,Table46[[#This Row],[YTChg20]],                 _xlfn.IFS(                _xlpm.Old1YT=0,"", _xlpm.Old1YT&gt;_xlpm.New1YT,"DownGraded",              _xlpm.Old1YT=_xlpm.New1YT,"",               _xlpm.Old1YT&lt;_xlpm.New1YT,"UpGraded"))</f>
        <v/>
      </c>
      <c r="I1841">
        <v>0</v>
      </c>
      <c r="J1841" s="84">
        <v>0</v>
      </c>
      <c r="K1841" s="86">
        <v>0</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0"/>
        <v>SSYS</v>
      </c>
      <c r="B1842" t="str" cm="1">
        <f t="array" aca="1" ref="B1842" ca="1">_xlfn.LET(_xlpm.Old1YT,Table46[[#This Row],[YTChg19]],         _xlpm.New1YT,Table46[[#This Row],[YTChg20]],                 _xlfn.IFS(                _xlpm.Old1YT=0,"", _xlpm.Old1YT&gt;_xlpm.New1YT,"DownGraded",              _xlpm.Old1YT=_xlpm.New1YT,"",               _xlpm.Old1YT&lt;_xlpm.New1YT,"UpGraded"))</f>
        <v/>
      </c>
      <c r="I1842">
        <v>13.33333</v>
      </c>
      <c r="J1842" s="84">
        <v>13.33333</v>
      </c>
      <c r="K1842" s="86">
        <v>13.33333</v>
      </c>
      <c r="L1842" s="89">
        <v>13.33333</v>
      </c>
      <c r="M1842" s="1">
        <v>13.33333</v>
      </c>
      <c r="N1842">
        <v>13.16667</v>
      </c>
      <c r="O1842" s="80">
        <v>13.16667</v>
      </c>
      <c r="P1842" s="80">
        <v>13.16667</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0"/>
        <v>TSLA</v>
      </c>
      <c r="B1843" t="str" cm="1">
        <f t="array" aca="1" ref="B1843" ca="1">_xlfn.LET(_xlpm.Old1YT,Table46[[#This Row],[YTChg19]],         _xlpm.New1YT,Table46[[#This Row],[YTChg20]],                 _xlfn.IFS(                _xlpm.Old1YT=0,"", _xlpm.Old1YT&gt;_xlpm.New1YT,"DownGraded",              _xlpm.Old1YT=_xlpm.New1YT,"",               _xlpm.Old1YT&lt;_xlpm.New1YT,"UpGraded"))</f>
        <v/>
      </c>
      <c r="I1843">
        <v>391.31805000000003</v>
      </c>
      <c r="J1843" s="84">
        <v>391.31805000000003</v>
      </c>
      <c r="K1843" s="86">
        <v>391.31805000000003</v>
      </c>
      <c r="L1843" s="89">
        <v>391.31805000000003</v>
      </c>
      <c r="M1843" s="1">
        <v>391.31805000000003</v>
      </c>
      <c r="N1843">
        <v>392.92779999999999</v>
      </c>
      <c r="O1843" s="80">
        <v>392.92779999999999</v>
      </c>
      <c r="P1843" s="80">
        <v>392.92779999999999</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0"/>
        <v>TSM</v>
      </c>
      <c r="B1844" t="str" cm="1">
        <f t="array" aca="1" ref="B1844" ca="1">_xlfn.LET(_xlpm.Old1YT,Table46[[#This Row],[YTChg19]],         _xlpm.New1YT,Table46[[#This Row],[YTChg20]],                 _xlfn.IFS(                _xlpm.Old1YT=0,"", _xlpm.Old1YT&gt;_xlpm.New1YT,"DownGraded",              _xlpm.Old1YT=_xlpm.New1YT,"",               _xlpm.Old1YT&lt;_xlpm.New1YT,"UpGraded"))</f>
        <v/>
      </c>
      <c r="I1844">
        <v>335.39688000000001</v>
      </c>
      <c r="J1844" s="84">
        <v>335.39688000000001</v>
      </c>
      <c r="K1844" s="86">
        <v>335.39688000000001</v>
      </c>
      <c r="L1844" s="89">
        <v>335.39688000000001</v>
      </c>
      <c r="M1844" s="1">
        <v>335.39688000000001</v>
      </c>
      <c r="N1844">
        <v>341.90667999999999</v>
      </c>
      <c r="O1844" s="80">
        <v>341.90667999999999</v>
      </c>
      <c r="P1844" s="80">
        <v>341.90667999999999</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0"/>
        <v>UN0</v>
      </c>
      <c r="B1845" t="str" cm="1">
        <f t="array" aca="1" ref="B1845" ca="1">_xlfn.LET(_xlpm.Old1YT,Table46[[#This Row],[YTChg19]],         _xlpm.New1YT,Table46[[#This Row],[YTChg20]],                 _xlfn.IFS(                _xlpm.Old1YT=0,"", _xlpm.Old1YT&gt;_xlpm.New1YT,"DownGraded",              _xlpm.Old1YT=_xlpm.New1YT,"",               _xlpm.Old1YT&lt;_xlpm.New1YT,"UpGraded"))</f>
        <v/>
      </c>
      <c r="I1845">
        <v>0</v>
      </c>
      <c r="J1845" s="84">
        <v>0</v>
      </c>
      <c r="K1845" s="86">
        <v>0</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0"/>
        <v>UNIT</v>
      </c>
      <c r="B1846" t="str" cm="1">
        <f t="array" aca="1" ref="B1846" ca="1">_xlfn.LET(_xlpm.Old1YT,Table46[[#This Row],[YTChg19]],         _xlpm.New1YT,Table46[[#This Row],[YTChg20]],                 _xlfn.IFS(                _xlpm.Old1YT=0,"", _xlpm.Old1YT&gt;_xlpm.New1YT,"DownGraded",              _xlpm.Old1YT=_xlpm.New1YT,"",               _xlpm.Old1YT&lt;_xlpm.New1YT,"UpGraded"))</f>
        <v/>
      </c>
      <c r="I1846">
        <v>7.4222200000000003</v>
      </c>
      <c r="J1846" s="84">
        <v>7.4222200000000003</v>
      </c>
      <c r="K1846" s="86">
        <v>7.4222200000000003</v>
      </c>
      <c r="L1846" s="89">
        <v>7.4222200000000003</v>
      </c>
      <c r="M1846" s="1">
        <v>7.4222200000000003</v>
      </c>
      <c r="N1846">
        <v>7.2</v>
      </c>
      <c r="O1846" s="80">
        <v>7.2</v>
      </c>
      <c r="P1846" s="80">
        <v>7.2</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0"/>
        <v>VLVLY</v>
      </c>
      <c r="B1847" t="str" cm="1">
        <f t="array" aca="1" ref="B1847" ca="1">_xlfn.LET(_xlpm.Old1YT,Table46[[#This Row],[YTChg19]],         _xlpm.New1YT,Table46[[#This Row],[YTChg20]],                 _xlfn.IFS(                _xlpm.Old1YT=0,"", _xlpm.Old1YT&gt;_xlpm.New1YT,"DownGraded",              _xlpm.Old1YT=_xlpm.New1YT,"",               _xlpm.Old1YT&lt;_xlpm.New1YT,"UpGraded"))</f>
        <v/>
      </c>
      <c r="I1847">
        <v>34</v>
      </c>
      <c r="J1847" s="84">
        <v>34</v>
      </c>
      <c r="K1847" s="86">
        <v>34</v>
      </c>
      <c r="L1847" s="89">
        <v>34</v>
      </c>
      <c r="M1847" s="1">
        <v>34</v>
      </c>
      <c r="N1847">
        <v>34</v>
      </c>
      <c r="O1847" s="80">
        <v>34</v>
      </c>
      <c r="P1847" s="80">
        <v>34</v>
      </c>
      <c r="Q1847">
        <v>34</v>
      </c>
      <c r="R1847" s="85">
        <v>34</v>
      </c>
      <c r="S1847">
        <v>34</v>
      </c>
      <c r="T1847">
        <v>34</v>
      </c>
      <c r="U1847">
        <v>34</v>
      </c>
      <c r="V1847">
        <v>35</v>
      </c>
      <c r="W1847" s="88">
        <v>35</v>
      </c>
      <c r="X1847" s="113">
        <v>35</v>
      </c>
      <c r="Y1847">
        <v>35</v>
      </c>
      <c r="Z1847">
        <f ca="1">_xlfn.XLOOKUP(A1847,TabCalc[Ticker],TabCalc[Y])</f>
        <v>35</v>
      </c>
    </row>
    <row r="1848" spans="1:26" hidden="1">
      <c r="A1848" s="86" t="str">
        <f t="shared" ca="1" si="140"/>
        <v>VONN</v>
      </c>
      <c r="B1848" t="str" cm="1">
        <f t="array" aca="1" ref="B1848" ca="1">_xlfn.LET(_xlpm.Old1YT,Table46[[#This Row],[YTChg19]],         _xlpm.New1YT,Table46[[#This Row],[YTChg20]],                 _xlfn.IFS(                _xlpm.Old1YT=0,"", _xlpm.Old1YT&gt;_xlpm.New1YT,"DownGraded",              _xlpm.Old1YT=_xlpm.New1YT,"",               _xlpm.Old1YT&lt;_xlpm.New1YT,"UpGraded"))</f>
        <v/>
      </c>
      <c r="I1848">
        <v>61.5</v>
      </c>
      <c r="J1848" s="84">
        <v>61.5</v>
      </c>
      <c r="K1848" s="86">
        <v>61.5</v>
      </c>
      <c r="L1848" s="89">
        <v>61.5</v>
      </c>
      <c r="M1848" s="1">
        <v>61.5</v>
      </c>
      <c r="N1848">
        <v>62.666670000000003</v>
      </c>
      <c r="O1848" s="80">
        <v>62.666670000000003</v>
      </c>
      <c r="P1848" s="80">
        <v>62.666670000000003</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0"/>
        <v>VTRS</v>
      </c>
      <c r="B1849" t="str" cm="1">
        <f t="array" aca="1" ref="B1849" ca="1">_xlfn.LET(_xlpm.Old1YT,Table46[[#This Row],[YTChg19]],         _xlpm.New1YT,Table46[[#This Row],[YTChg20]],                 _xlfn.IFS(                _xlpm.Old1YT=0,"", _xlpm.Old1YT&gt;_xlpm.New1YT,"DownGraded",              _xlpm.Old1YT=_xlpm.New1YT,"",               _xlpm.Old1YT&lt;_xlpm.New1YT,"UpGraded"))</f>
        <v/>
      </c>
      <c r="I1849">
        <v>12</v>
      </c>
      <c r="J1849" s="84">
        <v>12</v>
      </c>
      <c r="K1849" s="86">
        <v>12</v>
      </c>
      <c r="L1849" s="89">
        <v>12</v>
      </c>
      <c r="M1849" s="1">
        <v>12</v>
      </c>
      <c r="N1849">
        <v>12.125</v>
      </c>
      <c r="O1849" s="80">
        <v>12.125</v>
      </c>
      <c r="P1849" s="80">
        <v>12.125</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0"/>
        <v>WBA</v>
      </c>
      <c r="B1850" t="str" cm="1">
        <f t="array" aca="1" ref="B1850" ca="1">_xlfn.LET(_xlpm.Old1YT,Table46[[#This Row],[YTChg19]],         _xlpm.New1YT,Table46[[#This Row],[YTChg20]],                 _xlfn.IFS(                _xlpm.Old1YT=0,"", _xlpm.Old1YT&gt;_xlpm.New1YT,"DownGraded",              _xlpm.Old1YT=_xlpm.New1YT,"",               _xlpm.Old1YT&lt;_xlpm.New1YT,"UpGraded"))</f>
        <v/>
      </c>
      <c r="I1850">
        <v>0</v>
      </c>
      <c r="J1850" s="84">
        <v>0</v>
      </c>
      <c r="K1850" s="86">
        <v>0</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0"/>
        <v>XOM</v>
      </c>
      <c r="B1851" t="str" cm="1">
        <f t="array" aca="1" ref="B1851" ca="1">_xlfn.LET(_xlpm.Old1YT,Table46[[#This Row],[YTChg19]],         _xlpm.New1YT,Table46[[#This Row],[YTChg20]],                 _xlfn.IFS(                _xlpm.Old1YT=0,"", _xlpm.Old1YT&gt;_xlpm.New1YT,"DownGraded",              _xlpm.Old1YT=_xlpm.New1YT,"",               _xlpm.Old1YT&lt;_xlpm.New1YT,"UpGraded"))</f>
        <v/>
      </c>
      <c r="I1851">
        <v>126.88</v>
      </c>
      <c r="J1851" s="84">
        <v>126.88</v>
      </c>
      <c r="K1851" s="86">
        <v>126.88</v>
      </c>
      <c r="L1851" s="89">
        <v>126.88</v>
      </c>
      <c r="M1851" s="1">
        <v>126.88</v>
      </c>
      <c r="N1851">
        <v>128.72</v>
      </c>
      <c r="O1851" s="80">
        <v>128.72</v>
      </c>
      <c r="P1851" s="80">
        <v>128.72</v>
      </c>
      <c r="Q1851">
        <v>128.72</v>
      </c>
      <c r="R1851" s="85">
        <v>128.72</v>
      </c>
      <c r="S1851">
        <v>128.72</v>
      </c>
      <c r="T1851">
        <v>128.72</v>
      </c>
      <c r="U1851">
        <v>128.72</v>
      </c>
      <c r="V1851">
        <v>128.91999999999999</v>
      </c>
      <c r="W1851" s="88">
        <v>128.91999999999999</v>
      </c>
      <c r="X1851" s="113">
        <v>128.91999999999999</v>
      </c>
      <c r="Y1851">
        <v>128.91999999999999</v>
      </c>
      <c r="Z1851">
        <f ca="1">_xlfn.XLOOKUP(A1851,TabCalc[Ticker],TabCalc[Y])</f>
        <v>128.91999999999999</v>
      </c>
    </row>
    <row r="1852" spans="1:26" hidden="1">
      <c r="A1852" s="86" t="str">
        <f t="shared" ca="1" si="140"/>
        <v>XPER</v>
      </c>
      <c r="B1852" t="str" cm="1">
        <f t="array" aca="1" ref="B1852" ca="1">_xlfn.LET(_xlpm.Old1YT,Table46[[#This Row],[YTChg19]],         _xlpm.New1YT,Table46[[#This Row],[YTChg20]],                 _xlfn.IFS(                _xlpm.Old1YT=0,"", _xlpm.Old1YT&gt;_xlpm.New1YT,"DownGraded",              _xlpm.Old1YT=_xlpm.New1YT,"",               _xlpm.Old1YT&lt;_xlpm.New1YT,"UpGraded"))</f>
        <v/>
      </c>
      <c r="I1852">
        <v>11.4</v>
      </c>
      <c r="J1852" s="84">
        <v>11.4</v>
      </c>
      <c r="K1852" s="86">
        <v>11.4</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0"/>
        <v>MVEALDNE</v>
      </c>
      <c r="B1853" t="str" cm="1">
        <f t="array" aca="1" ref="B1853" ca="1">_xlfn.LET(_xlpm.Old1YT,Table46[[#This Row],[YTChg19]],         _xlpm.New1YT,Table46[[#This Row],[YTChg20]],                 _xlfn.IFS(                _xlpm.Old1YT=0,"", _xlpm.Old1YT&gt;_xlpm.New1YT,"DownGraded",              _xlpm.Old1YT=_xlpm.New1YT,"",               _xlpm.Old1YT&lt;_xlpm.New1YT,"UpGraded"))</f>
        <v/>
      </c>
      <c r="I1853">
        <v>1.5333300000000001</v>
      </c>
      <c r="J1853" s="84">
        <v>1.5333300000000001</v>
      </c>
      <c r="K1853" s="86">
        <v>1.5333300000000001</v>
      </c>
      <c r="L1853" s="89">
        <v>1.5333300000000001</v>
      </c>
      <c r="M1853" s="1">
        <v>1.5333300000000001</v>
      </c>
      <c r="N1853">
        <v>1.56667</v>
      </c>
      <c r="O1853" s="80">
        <v>1.56667</v>
      </c>
      <c r="P1853" s="80">
        <v>1.56667</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0"/>
        <v>MVEDDD</v>
      </c>
      <c r="B1854" t="str" cm="1">
        <f t="array" aca="1" ref="B1854" ca="1">_xlfn.LET(_xlpm.Old1YT,Table46[[#This Row],[YTChg19]],         _xlpm.New1YT,Table46[[#This Row],[YTChg20]],                 _xlfn.IFS(                _xlpm.Old1YT=0,"", _xlpm.Old1YT&gt;_xlpm.New1YT,"DownGraded",              _xlpm.Old1YT=_xlpm.New1YT,"",               _xlpm.Old1YT&lt;_xlpm.New1YT,"UpGraded"))</f>
        <v/>
      </c>
      <c r="I1854">
        <v>3.25</v>
      </c>
      <c r="J1854" s="84">
        <v>3.25</v>
      </c>
      <c r="K1854" s="86">
        <v>3.25</v>
      </c>
      <c r="L1854" s="89">
        <v>3.25</v>
      </c>
      <c r="M1854" s="1">
        <v>3.25</v>
      </c>
      <c r="N1854">
        <v>3.625</v>
      </c>
      <c r="O1854" s="80">
        <v>3.625</v>
      </c>
      <c r="P1854" s="80">
        <v>3.625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0"/>
        <v>MVEDSY</v>
      </c>
      <c r="B1855" t="str" cm="1">
        <f t="array" aca="1" ref="B1855" ca="1">_xlfn.LET(_xlpm.Old1YT,Table46[[#This Row],[YTChg19]],         _xlpm.New1YT,Table46[[#This Row],[YTChg20]],                 _xlfn.IFS(                _xlpm.Old1YT=0,"", _xlpm.Old1YT&gt;_xlpm.New1YT,"DownGraded",              _xlpm.Old1YT=_xlpm.New1YT,"",               _xlpm.Old1YT&lt;_xlpm.New1YT,"UpGraded"))</f>
        <v/>
      </c>
      <c r="I1855">
        <v>31.877780000000001</v>
      </c>
      <c r="J1855" s="84">
        <v>31.877780000000001</v>
      </c>
      <c r="K1855" s="86">
        <v>31.877780000000001</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31.655560000000001</v>
      </c>
      <c r="W1855" s="88">
        <v>31.655560000000001</v>
      </c>
      <c r="X1855" s="113">
        <v>31.655560000000001</v>
      </c>
      <c r="Y1855">
        <v>31.655560000000001</v>
      </c>
      <c r="Z1855">
        <f ca="1">_xlfn.XLOOKUP(A1855,TabCalc[Ticker],TabCalc[Y])</f>
        <v>31.655560000000001</v>
      </c>
    </row>
    <row r="1856" spans="1:26" hidden="1">
      <c r="A1856" s="86" t="str">
        <f t="shared" ca="1" si="140"/>
        <v>MVEEOAN</v>
      </c>
      <c r="B1856" t="str" cm="1">
        <f t="array" aca="1" ref="B1856" ca="1">_xlfn.LET(_xlpm.Old1YT,Table46[[#This Row],[YTChg19]],         _xlpm.New1YT,Table46[[#This Row],[YTChg20]],                 _xlfn.IFS(                _xlpm.Old1YT=0,"", _xlpm.Old1YT&gt;_xlpm.New1YT,"DownGraded",              _xlpm.Old1YT=_xlpm.New1YT,"",               _xlpm.Old1YT&lt;_xlpm.New1YT,"UpGraded"))</f>
        <v/>
      </c>
      <c r="I1856">
        <v>16.919589999999999</v>
      </c>
      <c r="J1856" s="84">
        <v>16.919589999999999</v>
      </c>
      <c r="K1856" s="86">
        <v>16.919589999999999</v>
      </c>
      <c r="L1856" s="89">
        <v>16.919589999999999</v>
      </c>
      <c r="M1856" s="1">
        <v>16.919589999999999</v>
      </c>
      <c r="N1856">
        <v>16.934180000000001</v>
      </c>
      <c r="O1856" s="80">
        <v>16.934180000000001</v>
      </c>
      <c r="P1856" s="80">
        <v>16.934180000000001</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0"/>
        <v>MVEENI</v>
      </c>
      <c r="B1857" t="str" cm="1">
        <f t="array" aca="1" ref="B1857" ca="1">_xlfn.LET(_xlpm.Old1YT,Table46[[#This Row],[YTChg19]],         _xlpm.New1YT,Table46[[#This Row],[YTChg20]],                 _xlfn.IFS(                _xlpm.Old1YT=0,"", _xlpm.Old1YT&gt;_xlpm.New1YT,"DownGraded",              _xlpm.Old1YT=_xlpm.New1YT,"",               _xlpm.Old1YT&lt;_xlpm.New1YT,"UpGraded"))</f>
        <v/>
      </c>
      <c r="I1857">
        <v>16.122730000000001</v>
      </c>
      <c r="J1857" s="84">
        <v>16.122730000000001</v>
      </c>
      <c r="K1857" s="86">
        <v>16.122730000000001</v>
      </c>
      <c r="L1857" s="89">
        <v>16.122730000000001</v>
      </c>
      <c r="M1857" s="1">
        <v>16.122730000000001</v>
      </c>
      <c r="N1857">
        <v>16.309090000000001</v>
      </c>
      <c r="O1857" s="80">
        <v>16.309090000000001</v>
      </c>
      <c r="P1857" s="80">
        <v>16.309090000000001</v>
      </c>
      <c r="Q1857">
        <v>16.309090000000001</v>
      </c>
      <c r="R1857" s="85">
        <v>16.309090000000001</v>
      </c>
      <c r="S1857">
        <v>16.309090000000001</v>
      </c>
      <c r="T1857">
        <v>16.309090000000001</v>
      </c>
      <c r="U1857">
        <v>16.309090000000001</v>
      </c>
      <c r="V1857">
        <v>16.399999999999999</v>
      </c>
      <c r="W1857" s="88">
        <v>16.399999999999999</v>
      </c>
      <c r="X1857" s="113">
        <v>16.399999999999999</v>
      </c>
      <c r="Y1857">
        <v>16.399999999999999</v>
      </c>
      <c r="Z1857">
        <f ca="1">_xlfn.XLOOKUP(A1857,TabCalc[Ticker],TabCalc[Y])</f>
        <v>16.399999999999999</v>
      </c>
    </row>
    <row r="1858" spans="1:26" hidden="1">
      <c r="A1858" s="86" t="str">
        <f t="shared" ca="1" si="140"/>
        <v>MVEEPIX</v>
      </c>
      <c r="B1858" t="str" cm="1">
        <f t="array" aca="1" ref="B1858" ca="1">_xlfn.LET(_xlpm.Old1YT,Table46[[#This Row],[YTChg19]],         _xlpm.New1YT,Table46[[#This Row],[YTChg20]],                 _xlfn.IFS(                _xlpm.Old1YT=0,"", _xlpm.Old1YT&gt;_xlpm.New1YT,"DownGraded",              _xlpm.Old1YT=_xlpm.New1YT,"",               _xlpm.Old1YT&lt;_xlpm.New1YT,"UpGraded"))</f>
        <v/>
      </c>
      <c r="I1858">
        <v>0</v>
      </c>
      <c r="J1858" s="84">
        <v>0</v>
      </c>
      <c r="K1858" s="86">
        <v>0</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0"/>
        <v>MVEGLE</v>
      </c>
      <c r="B1859" t="str" cm="1">
        <f t="array" aca="1" ref="B1859" ca="1">_xlfn.LET(_xlpm.Old1YT,Table46[[#This Row],[YTChg19]],         _xlpm.New1YT,Table46[[#This Row],[YTChg20]],                 _xlfn.IFS(                _xlpm.Old1YT=0,"", _xlpm.Old1YT&gt;_xlpm.New1YT,"DownGraded",              _xlpm.Old1YT=_xlpm.New1YT,"",               _xlpm.Old1YT&lt;_xlpm.New1YT,"UpGraded"))</f>
        <v/>
      </c>
      <c r="I1859">
        <v>64.686109999999999</v>
      </c>
      <c r="J1859" s="84">
        <v>64.686109999999999</v>
      </c>
      <c r="K1859" s="86">
        <v>64.686109999999999</v>
      </c>
      <c r="L1859" s="89">
        <v>64.686109999999999</v>
      </c>
      <c r="M1859" s="1">
        <v>64.686109999999999</v>
      </c>
      <c r="N1859">
        <v>65.352779999999996</v>
      </c>
      <c r="O1859" s="80">
        <v>65.352779999999996</v>
      </c>
      <c r="P1859" s="80">
        <v>65.352779999999996</v>
      </c>
      <c r="Q1859">
        <v>65.352779999999996</v>
      </c>
      <c r="R1859" s="85">
        <v>65.352779999999996</v>
      </c>
      <c r="S1859">
        <v>65.352779999999996</v>
      </c>
      <c r="T1859">
        <v>65.352779999999996</v>
      </c>
      <c r="U1859">
        <v>65.352779999999996</v>
      </c>
      <c r="V1859">
        <v>66.033330000000007</v>
      </c>
      <c r="W1859" s="88">
        <v>66.033330000000007</v>
      </c>
      <c r="X1859" s="113">
        <v>66.033330000000007</v>
      </c>
      <c r="Y1859">
        <v>66.033330000000007</v>
      </c>
      <c r="Z1859">
        <f ca="1">_xlfn.XLOOKUP(A1859,TabCalc[Ticker],TabCalc[Y])</f>
        <v>66.033330000000007</v>
      </c>
    </row>
    <row r="1860" spans="1:26" hidden="1">
      <c r="A1860" s="86" t="str">
        <f t="shared" ca="1" si="140"/>
        <v>MVEORA</v>
      </c>
      <c r="B1860" t="str" cm="1">
        <f t="array" aca="1" ref="B1860" ca="1">_xlfn.LET(_xlpm.Old1YT,Table46[[#This Row],[YTChg19]],         _xlpm.New1YT,Table46[[#This Row],[YTChg20]],                 _xlfn.IFS(                _xlpm.Old1YT=0,"", _xlpm.Old1YT&gt;_xlpm.New1YT,"DownGraded",              _xlpm.Old1YT=_xlpm.New1YT,"",               _xlpm.Old1YT&lt;_xlpm.New1YT,"UpGraded"))</f>
        <v/>
      </c>
      <c r="I1860">
        <v>15.32222</v>
      </c>
      <c r="J1860" s="84">
        <v>15.32222</v>
      </c>
      <c r="K1860" s="86">
        <v>15.32222</v>
      </c>
      <c r="L1860" s="89">
        <v>15.32222</v>
      </c>
      <c r="M1860" s="1">
        <v>15.32222</v>
      </c>
      <c r="N1860">
        <v>15.476470000000001</v>
      </c>
      <c r="O1860" s="80">
        <v>15.476470000000001</v>
      </c>
      <c r="P1860" s="80">
        <v>15.476470000000001</v>
      </c>
      <c r="Q1860">
        <v>15.476470000000001</v>
      </c>
      <c r="R1860" s="85">
        <v>15.476470000000001</v>
      </c>
      <c r="S1860">
        <v>15.476470000000001</v>
      </c>
      <c r="T1860">
        <v>15.476470000000001</v>
      </c>
      <c r="U1860">
        <v>15.476470000000001</v>
      </c>
      <c r="V1860">
        <v>15.56471</v>
      </c>
      <c r="W1860" s="88">
        <v>15.56471</v>
      </c>
      <c r="X1860" s="113">
        <v>15.56471</v>
      </c>
      <c r="Y1860">
        <v>15.56471</v>
      </c>
      <c r="Z1860">
        <f ca="1">_xlfn.XLOOKUP(A1860,TabCalc[Ticker],TabCalc[Y])</f>
        <v>15.56471</v>
      </c>
    </row>
    <row r="1861" spans="1:26" hidden="1">
      <c r="A1861" s="86" t="str">
        <f t="shared" ca="1" si="140"/>
        <v>MVERWE</v>
      </c>
      <c r="B1861" t="str" cm="1">
        <f t="array" aca="1" ref="B1861" ca="1">_xlfn.LET(_xlpm.Old1YT,Table46[[#This Row],[YTChg19]],         _xlpm.New1YT,Table46[[#This Row],[YTChg20]],                 _xlfn.IFS(                _xlpm.Old1YT=0,"", _xlpm.Old1YT&gt;_xlpm.New1YT,"DownGraded",              _xlpm.Old1YT=_xlpm.New1YT,"",               _xlpm.Old1YT&lt;_xlpm.New1YT,"UpGraded"))</f>
        <v/>
      </c>
      <c r="I1861">
        <v>44.747059999999998</v>
      </c>
      <c r="J1861" s="84">
        <v>44.747059999999998</v>
      </c>
      <c r="K1861" s="86">
        <v>44.747059999999998</v>
      </c>
      <c r="L1861" s="89">
        <v>44.747059999999998</v>
      </c>
      <c r="M1861" s="1">
        <v>44.747059999999998</v>
      </c>
      <c r="N1861">
        <v>47.235289999999999</v>
      </c>
      <c r="O1861" s="80">
        <v>47.235289999999999</v>
      </c>
      <c r="P1861" s="80">
        <v>47.235289999999999</v>
      </c>
      <c r="Q1861">
        <v>47.235289999999999</v>
      </c>
      <c r="R1861" s="85">
        <v>47.235289999999999</v>
      </c>
      <c r="S1861">
        <v>47.235289999999999</v>
      </c>
      <c r="T1861">
        <v>47.235289999999999</v>
      </c>
      <c r="U1861">
        <v>47.235289999999999</v>
      </c>
      <c r="V1861">
        <v>48.176470000000002</v>
      </c>
      <c r="W1861" s="88">
        <v>48.176470000000002</v>
      </c>
      <c r="X1861" s="113">
        <v>48.176470000000002</v>
      </c>
      <c r="Y1861">
        <v>48.176470000000002</v>
      </c>
      <c r="Z1861">
        <f ca="1">_xlfn.XLOOKUP(A1861,TabCalc[Ticker],TabCalc[Y])</f>
        <v>48.176470000000002</v>
      </c>
    </row>
    <row r="1862" spans="1:26" hidden="1">
      <c r="A1862" s="86" t="str">
        <f t="shared" ca="1" si="140"/>
        <v>MVESAP</v>
      </c>
      <c r="B1862" t="str" cm="1">
        <f t="array" aca="1" ref="B1862" ca="1">_xlfn.LET(_xlpm.Old1YT,Table46[[#This Row],[YTChg19]],         _xlpm.New1YT,Table46[[#This Row],[YTChg20]],                 _xlfn.IFS(                _xlpm.Old1YT=0,"", _xlpm.Old1YT&gt;_xlpm.New1YT,"DownGraded",              _xlpm.Old1YT=_xlpm.New1YT,"",               _xlpm.Old1YT&lt;_xlpm.New1YT,"UpGraded"))</f>
        <v/>
      </c>
      <c r="I1862">
        <v>288.66680000000002</v>
      </c>
      <c r="J1862" s="84">
        <v>288.66680000000002</v>
      </c>
      <c r="K1862" s="86">
        <v>288.66680000000002</v>
      </c>
      <c r="L1862" s="89">
        <v>288.66680000000002</v>
      </c>
      <c r="M1862" s="1">
        <v>288.66680000000002</v>
      </c>
      <c r="N1862">
        <v>287.58334000000002</v>
      </c>
      <c r="O1862" s="80">
        <v>287.58334000000002</v>
      </c>
      <c r="P1862" s="80">
        <v>287.58334000000002</v>
      </c>
      <c r="Q1862">
        <v>287.58334000000002</v>
      </c>
      <c r="R1862" s="85">
        <v>287.58334000000002</v>
      </c>
      <c r="S1862">
        <v>287.58334000000002</v>
      </c>
      <c r="T1862">
        <v>287.58334000000002</v>
      </c>
      <c r="U1862">
        <v>287.58334000000002</v>
      </c>
      <c r="V1862">
        <v>286.75</v>
      </c>
      <c r="W1862" s="88">
        <v>286.75</v>
      </c>
      <c r="X1862" s="113">
        <v>286.75</v>
      </c>
      <c r="Y1862">
        <v>286.75</v>
      </c>
      <c r="Z1862">
        <f ca="1">_xlfn.XLOOKUP(A1862,TabCalc[Ticker],TabCalc[Y])</f>
        <v>286.75</v>
      </c>
    </row>
    <row r="1863" spans="1:26" hidden="1">
      <c r="A1863" s="86" t="str">
        <f t="shared" ca="1" si="140"/>
        <v>MVEUN0</v>
      </c>
      <c r="B1863" t="str" cm="1">
        <f t="array" aca="1" ref="B1863" ca="1">_xlfn.LET(_xlpm.Old1YT,Table46[[#This Row],[YTChg19]],         _xlpm.New1YT,Table46[[#This Row],[YTChg20]],                 _xlfn.IFS(                _xlpm.Old1YT=0,"", _xlpm.Old1YT&gt;_xlpm.New1YT,"DownGraded",              _xlpm.Old1YT=_xlpm.New1YT,"",               _xlpm.Old1YT&lt;_xlpm.New1YT,"UpGraded"))</f>
        <v/>
      </c>
      <c r="I1863">
        <v>0</v>
      </c>
      <c r="J1863" s="84">
        <v>0</v>
      </c>
      <c r="K1863" s="86">
        <v>0</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0"/>
        <v>SAFAAPL</v>
      </c>
      <c r="B1864" t="str" cm="1">
        <f t="array" aca="1" ref="B1864" ca="1">_xlfn.LET(_xlpm.Old1YT,Table46[[#This Row],[YTChg19]],         _xlpm.New1YT,Table46[[#This Row],[YTChg20]],                 _xlfn.IFS(                _xlpm.Old1YT=0,"", _xlpm.Old1YT&gt;_xlpm.New1YT,"DownGraded",              _xlpm.Old1YT=_xlpm.New1YT,"",               _xlpm.Old1YT&lt;_xlpm.New1YT,"UpGraded"))</f>
        <v/>
      </c>
      <c r="I1864">
        <v>276.43097</v>
      </c>
      <c r="J1864" s="84">
        <v>276.43097</v>
      </c>
      <c r="K1864" s="86">
        <v>276.43097</v>
      </c>
      <c r="L1864" s="89">
        <v>276.43097</v>
      </c>
      <c r="M1864" s="1">
        <v>276.43097</v>
      </c>
      <c r="N1864">
        <v>281.74804999999998</v>
      </c>
      <c r="O1864" s="80">
        <v>281.74804999999998</v>
      </c>
      <c r="P1864" s="80">
        <v>281.74804999999998</v>
      </c>
      <c r="Q1864">
        <v>281.74804999999998</v>
      </c>
      <c r="R1864" s="85">
        <v>281.74804999999998</v>
      </c>
      <c r="S1864">
        <v>281.74804999999998</v>
      </c>
      <c r="T1864">
        <v>281.74804999999998</v>
      </c>
      <c r="U1864">
        <v>281.74804999999998</v>
      </c>
      <c r="V1864">
        <v>283.57733000000002</v>
      </c>
      <c r="W1864" s="88">
        <v>283.57733000000002</v>
      </c>
      <c r="X1864" s="113">
        <v>283.57733000000002</v>
      </c>
      <c r="Y1864">
        <v>283.57733000000002</v>
      </c>
      <c r="Z1864">
        <f ca="1">_xlfn.XLOOKUP(A1864,TabCalc[Ticker],TabCalc[Y])</f>
        <v>283.57733000000002</v>
      </c>
    </row>
    <row r="1865" spans="1:26" hidden="1">
      <c r="A1865" s="86" t="str">
        <f t="shared" ca="1" si="140"/>
        <v>SAFAMZN</v>
      </c>
      <c r="B1865" t="str" cm="1">
        <f t="array" aca="1" ref="B1865" ca="1">_xlfn.LET(_xlpm.Old1YT,Table46[[#This Row],[YTChg19]],         _xlpm.New1YT,Table46[[#This Row],[YTChg20]],                 _xlfn.IFS(                _xlpm.Old1YT=0,"", _xlpm.Old1YT&gt;_xlpm.New1YT,"DownGraded",              _xlpm.Old1YT=_xlpm.New1YT,"",               _xlpm.Old1YT&lt;_xlpm.New1YT,"UpGraded"))</f>
        <v/>
      </c>
      <c r="I1865">
        <v>288.42410000000001</v>
      </c>
      <c r="J1865" s="84">
        <v>288.42410000000001</v>
      </c>
      <c r="K1865" s="86">
        <v>288.42410000000001</v>
      </c>
      <c r="L1865" s="89">
        <v>288.42410000000001</v>
      </c>
      <c r="M1865" s="1">
        <v>288.42410000000001</v>
      </c>
      <c r="N1865">
        <v>294.64783</v>
      </c>
      <c r="O1865" s="80">
        <v>294.64783</v>
      </c>
      <c r="P1865" s="80">
        <v>294.64783</v>
      </c>
      <c r="Q1865">
        <v>294.64783</v>
      </c>
      <c r="R1865" s="85">
        <v>294.64783</v>
      </c>
      <c r="S1865">
        <v>294.64783</v>
      </c>
      <c r="T1865">
        <v>294.64783</v>
      </c>
      <c r="U1865">
        <v>294.64783</v>
      </c>
      <c r="V1865">
        <v>295.03167999999999</v>
      </c>
      <c r="W1865" s="88">
        <v>295.03167999999999</v>
      </c>
      <c r="X1865" s="113">
        <v>295.03167999999999</v>
      </c>
      <c r="Y1865">
        <v>295.03167999999999</v>
      </c>
      <c r="Z1865">
        <f ca="1">_xlfn.XLOOKUP(A1865,TabCalc[Ticker],TabCalc[Y])</f>
        <v>295.03167999999999</v>
      </c>
    </row>
    <row r="1866" spans="1:26" hidden="1">
      <c r="A1866" s="86" t="str">
        <f t="shared" ref="A1866:A1896" ca="1" si="141">A70</f>
        <v>SAFASML</v>
      </c>
      <c r="B1866" t="str" cm="1">
        <f t="array" aca="1" ref="B1866" ca="1">_xlfn.LET(_xlpm.Old1YT,Table46[[#This Row],[YTChg19]],         _xlpm.New1YT,Table46[[#This Row],[YTChg20]],                 _xlfn.IFS(                _xlpm.Old1YT=0,"", _xlpm.Old1YT&gt;_xlpm.New1YT,"DownGraded",              _xlpm.Old1YT=_xlpm.New1YT,"",               _xlpm.Old1YT&lt;_xlpm.New1YT,"UpGraded"))</f>
        <v/>
      </c>
      <c r="I1866">
        <v>941.90326000000005</v>
      </c>
      <c r="J1866" s="84">
        <v>941.90326000000005</v>
      </c>
      <c r="K1866" s="86">
        <v>941.90326000000005</v>
      </c>
      <c r="L1866" s="89">
        <v>941.90326000000005</v>
      </c>
      <c r="M1866" s="1">
        <v>941.90326000000005</v>
      </c>
      <c r="N1866">
        <v>953.67740000000003</v>
      </c>
      <c r="O1866" s="80">
        <v>953.67740000000003</v>
      </c>
      <c r="P1866" s="80">
        <v>953.67740000000003</v>
      </c>
      <c r="Q1866">
        <v>953.67740000000003</v>
      </c>
      <c r="R1866" s="85">
        <v>953.67740000000003</v>
      </c>
      <c r="S1866">
        <v>953.67740000000003</v>
      </c>
      <c r="T1866">
        <v>953.67740000000003</v>
      </c>
      <c r="U1866">
        <v>953.67740000000003</v>
      </c>
      <c r="V1866">
        <v>983.4194</v>
      </c>
      <c r="W1866" s="88">
        <v>983.4194</v>
      </c>
      <c r="X1866" s="113">
        <v>983.4194</v>
      </c>
      <c r="Y1866">
        <v>983.4194</v>
      </c>
      <c r="Z1866">
        <f ca="1">_xlfn.XLOOKUP(A1866,TabCalc[Ticker],TabCalc[Y])</f>
        <v>983.4194</v>
      </c>
    </row>
    <row r="1867" spans="1:26" hidden="1">
      <c r="A1867" s="86" t="str">
        <f t="shared" ca="1" si="141"/>
        <v>SAFDDD</v>
      </c>
      <c r="B1867" t="str" cm="1">
        <f t="array" aca="1" ref="B1867" ca="1">_xlfn.LET(_xlpm.Old1YT,Table46[[#This Row],[YTChg19]],         _xlpm.New1YT,Table46[[#This Row],[YTChg20]],                 _xlfn.IFS(                _xlpm.Old1YT=0,"", _xlpm.Old1YT&gt;_xlpm.New1YT,"DownGraded",              _xlpm.Old1YT=_xlpm.New1YT,"",               _xlpm.Old1YT&lt;_xlpm.New1YT,"UpGraded"))</f>
        <v/>
      </c>
      <c r="I1867">
        <v>3.25</v>
      </c>
      <c r="J1867" s="84">
        <v>3.25</v>
      </c>
      <c r="K1867" s="86">
        <v>3.25</v>
      </c>
      <c r="L1867" s="89">
        <v>3.25</v>
      </c>
      <c r="M1867" s="1">
        <v>3.25</v>
      </c>
      <c r="N1867">
        <v>3.625</v>
      </c>
      <c r="O1867" s="80">
        <v>3.625</v>
      </c>
      <c r="P1867" s="80">
        <v>3.625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1"/>
        <v>SAFDIS</v>
      </c>
      <c r="B1868" t="str" cm="1">
        <f t="array" aca="1" ref="B1868" ca="1">_xlfn.LET(_xlpm.Old1YT,Table46[[#This Row],[YTChg19]],         _xlpm.New1YT,Table46[[#This Row],[YTChg20]],                 _xlfn.IFS(                _xlpm.Old1YT=0,"", _xlpm.Old1YT&gt;_xlpm.New1YT,"DownGraded",              _xlpm.Old1YT=_xlpm.New1YT,"",               _xlpm.Old1YT&lt;_xlpm.New1YT,"UpGraded"))</f>
        <v/>
      </c>
      <c r="I1868">
        <v>134.07239999999999</v>
      </c>
      <c r="J1868" s="84">
        <v>134.07239999999999</v>
      </c>
      <c r="K1868" s="86">
        <v>134.07239999999999</v>
      </c>
      <c r="L1868" s="89">
        <v>134.07239999999999</v>
      </c>
      <c r="M1868" s="1">
        <v>134.07239999999999</v>
      </c>
      <c r="N1868">
        <v>132.50357</v>
      </c>
      <c r="O1868" s="80">
        <v>132.50357</v>
      </c>
      <c r="P1868" s="80">
        <v>132.50357</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1"/>
        <v>SAFGM</v>
      </c>
      <c r="B1869" t="str" cm="1">
        <f t="array" aca="1" ref="B1869" ca="1">_xlfn.LET(_xlpm.Old1YT,Table46[[#This Row],[YTChg19]],         _xlpm.New1YT,Table46[[#This Row],[YTChg20]],                 _xlfn.IFS(                _xlpm.Old1YT=0,"", _xlpm.Old1YT&gt;_xlpm.New1YT,"DownGraded",              _xlpm.Old1YT=_xlpm.New1YT,"",               _xlpm.Old1YT&lt;_xlpm.New1YT,"UpGraded"))</f>
        <v/>
      </c>
      <c r="I1869">
        <v>73.153850000000006</v>
      </c>
      <c r="J1869" s="84">
        <v>73.153850000000006</v>
      </c>
      <c r="K1869" s="86">
        <v>73.153850000000006</v>
      </c>
      <c r="L1869" s="89">
        <v>73.153850000000006</v>
      </c>
      <c r="M1869" s="1">
        <v>73.153850000000006</v>
      </c>
      <c r="N1869">
        <v>74.153850000000006</v>
      </c>
      <c r="O1869" s="80">
        <v>74.153850000000006</v>
      </c>
      <c r="P1869" s="80">
        <v>74.153850000000006</v>
      </c>
      <c r="Q1869">
        <v>74.153850000000006</v>
      </c>
      <c r="R1869" s="85">
        <v>74.153850000000006</v>
      </c>
      <c r="S1869">
        <v>74.153850000000006</v>
      </c>
      <c r="T1869">
        <v>74.153850000000006</v>
      </c>
      <c r="U1869">
        <v>74.153850000000006</v>
      </c>
      <c r="V1869">
        <v>74.269229999999993</v>
      </c>
      <c r="W1869" s="88">
        <v>74.269229999999993</v>
      </c>
      <c r="X1869" s="113">
        <v>74.269229999999993</v>
      </c>
      <c r="Y1869">
        <v>74.269229999999993</v>
      </c>
      <c r="Z1869">
        <f ca="1">_xlfn.XLOOKUP(A1869,TabCalc[Ticker],TabCalc[Y])</f>
        <v>74.269229999999993</v>
      </c>
    </row>
    <row r="1870" spans="1:26" hidden="1">
      <c r="A1870" s="86" t="str">
        <f t="shared" ca="1" si="141"/>
        <v>SAFIAG</v>
      </c>
      <c r="B1870" t="str" cm="1">
        <f t="array" aca="1" ref="B1870" ca="1">_xlfn.LET(_xlpm.Old1YT,Table46[[#This Row],[YTChg19]],         _xlpm.New1YT,Table46[[#This Row],[YTChg20]],                 _xlfn.IFS(                _xlpm.Old1YT=0,"", _xlpm.Old1YT&gt;_xlpm.New1YT,"DownGraded",              _xlpm.Old1YT=_xlpm.New1YT,"",               _xlpm.Old1YT&lt;_xlpm.New1YT,"UpGraded"))</f>
        <v/>
      </c>
      <c r="I1870">
        <v>464.0942</v>
      </c>
      <c r="J1870" s="84">
        <v>464.0942</v>
      </c>
      <c r="K1870" s="86">
        <v>464.0942</v>
      </c>
      <c r="L1870" s="89">
        <v>464.0942</v>
      </c>
      <c r="M1870" s="1">
        <v>464.0942</v>
      </c>
      <c r="N1870">
        <v>463.65366</v>
      </c>
      <c r="O1870" s="80">
        <v>463.65366</v>
      </c>
      <c r="P1870" s="80">
        <v>463.65366</v>
      </c>
      <c r="Q1870">
        <v>463.65366</v>
      </c>
      <c r="R1870" s="85">
        <v>463.65366</v>
      </c>
      <c r="S1870">
        <v>463.65366</v>
      </c>
      <c r="T1870">
        <v>463.65366</v>
      </c>
      <c r="U1870">
        <v>463.65366</v>
      </c>
      <c r="V1870">
        <v>461.56952000000001</v>
      </c>
      <c r="W1870" s="88">
        <v>461.56952000000001</v>
      </c>
      <c r="X1870" s="113">
        <v>461.56952000000001</v>
      </c>
      <c r="Y1870">
        <v>461.56952000000001</v>
      </c>
      <c r="Z1870">
        <f ca="1">_xlfn.XLOOKUP(A1870,TabCalc[Ticker],TabCalc[Y])</f>
        <v>461.56952000000001</v>
      </c>
    </row>
    <row r="1871" spans="1:26" hidden="1">
      <c r="A1871" s="86" t="str">
        <f t="shared" ca="1" si="141"/>
        <v>SAFMRNA</v>
      </c>
      <c r="B1871" t="str" cm="1">
        <f t="array" aca="1" ref="B1871" ca="1">_xlfn.LET(_xlpm.Old1YT,Table46[[#This Row],[YTChg19]],         _xlpm.New1YT,Table46[[#This Row],[YTChg20]],                 _xlfn.IFS(                _xlpm.Old1YT=0,"", _xlpm.Old1YT&gt;_xlpm.New1YT,"DownGraded",              _xlpm.Old1YT=_xlpm.New1YT,"",               _xlpm.Old1YT&lt;_xlpm.New1YT,"UpGraded"))</f>
        <v/>
      </c>
      <c r="I1871">
        <v>40.299999999999997</v>
      </c>
      <c r="J1871" s="84">
        <v>40.299999999999997</v>
      </c>
      <c r="K1871" s="86">
        <v>40.299999999999997</v>
      </c>
      <c r="L1871" s="89">
        <v>40.299999999999997</v>
      </c>
      <c r="M1871" s="1">
        <v>40.299999999999997</v>
      </c>
      <c r="N1871">
        <v>37.31579</v>
      </c>
      <c r="O1871" s="80">
        <v>37.31579</v>
      </c>
      <c r="P1871" s="80">
        <v>37.31579</v>
      </c>
      <c r="Q1871">
        <v>37.31579</v>
      </c>
      <c r="R1871" s="85">
        <v>37.31579</v>
      </c>
      <c r="S1871">
        <v>37.31579</v>
      </c>
      <c r="T1871">
        <v>37.31579</v>
      </c>
      <c r="U1871">
        <v>37.31579</v>
      </c>
      <c r="V1871">
        <v>35.77778</v>
      </c>
      <c r="W1871" s="88">
        <v>35.77778</v>
      </c>
      <c r="X1871" s="113">
        <v>35.77778</v>
      </c>
      <c r="Y1871">
        <v>35.77778</v>
      </c>
      <c r="Z1871">
        <f ca="1">_xlfn.XLOOKUP(A1871,TabCalc[Ticker],TabCalc[Y])</f>
        <v>35.77778</v>
      </c>
    </row>
    <row r="1872" spans="1:26" hidden="1">
      <c r="A1872" s="86" t="str">
        <f t="shared" ca="1" si="141"/>
        <v>BLNK</v>
      </c>
      <c r="B1872" t="str" cm="1">
        <f t="array" aca="1" ref="B1872" ca="1">_xlfn.LET(_xlpm.Old1YT,Table46[[#This Row],[YTChg19]],         _xlpm.New1YT,Table46[[#This Row],[YTChg20]],                 _xlfn.IFS(                _xlpm.Old1YT=0,"", _xlpm.Old1YT&gt;_xlpm.New1YT,"DownGraded",              _xlpm.Old1YT=_xlpm.New1YT,"",               _xlpm.Old1YT&lt;_xlpm.New1YT,"UpGraded"))</f>
        <v/>
      </c>
      <c r="I1872">
        <v>2.4</v>
      </c>
      <c r="J1872" s="84">
        <v>2.4</v>
      </c>
      <c r="K1872" s="86">
        <v>2.4</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1"/>
        <v>ENI</v>
      </c>
      <c r="B1873" t="str" cm="1">
        <f t="array" aca="1" ref="B1873" ca="1">_xlfn.LET(_xlpm.Old1YT,Table46[[#This Row],[YTChg19]],         _xlpm.New1YT,Table46[[#This Row],[YTChg20]],                 _xlfn.IFS(                _xlpm.Old1YT=0,"", _xlpm.Old1YT&gt;_xlpm.New1YT,"DownGraded",              _xlpm.Old1YT=_xlpm.New1YT,"",               _xlpm.Old1YT&lt;_xlpm.New1YT,"UpGraded"))</f>
        <v/>
      </c>
      <c r="I1873">
        <v>16.122730000000001</v>
      </c>
      <c r="J1873" s="84">
        <v>16.122730000000001</v>
      </c>
      <c r="K1873" s="86">
        <v>16.122730000000001</v>
      </c>
      <c r="L1873" s="89">
        <v>16.122730000000001</v>
      </c>
      <c r="M1873" s="1">
        <v>16.122730000000001</v>
      </c>
      <c r="N1873">
        <v>16.309090000000001</v>
      </c>
      <c r="O1873" s="80">
        <v>16.309090000000001</v>
      </c>
      <c r="P1873" s="80">
        <v>16.309090000000001</v>
      </c>
      <c r="Q1873">
        <v>16.309090000000001</v>
      </c>
      <c r="R1873" s="85">
        <v>16.309090000000001</v>
      </c>
      <c r="S1873">
        <v>16.309090000000001</v>
      </c>
      <c r="T1873">
        <v>16.309090000000001</v>
      </c>
      <c r="U1873">
        <v>16.309090000000001</v>
      </c>
      <c r="V1873">
        <v>16.399999999999999</v>
      </c>
      <c r="W1873" s="88">
        <v>16.399999999999999</v>
      </c>
      <c r="X1873" s="113">
        <v>16.399999999999999</v>
      </c>
      <c r="Y1873">
        <v>16.399999999999999</v>
      </c>
      <c r="Z1873">
        <f ca="1">_xlfn.XLOOKUP(A1873,TabCalc[Ticker],TabCalc[Y])</f>
        <v>16.399999999999999</v>
      </c>
    </row>
    <row r="1874" spans="1:26" hidden="1">
      <c r="A1874" s="86" t="str">
        <f t="shared" ca="1" si="141"/>
        <v>EZJ</v>
      </c>
      <c r="B1874" t="str" cm="1">
        <f t="array" aca="1" ref="B1874" ca="1">_xlfn.LET(_xlpm.Old1YT,Table46[[#This Row],[YTChg19]],         _xlpm.New1YT,Table46[[#This Row],[YTChg20]],                 _xlfn.IFS(                _xlpm.Old1YT=0,"", _xlpm.Old1YT&gt;_xlpm.New1YT,"DownGraded",              _xlpm.Old1YT=_xlpm.New1YT,"",               _xlpm.Old1YT&lt;_xlpm.New1YT,"UpGraded"))</f>
        <v/>
      </c>
      <c r="I1874">
        <v>626.25</v>
      </c>
      <c r="J1874" s="84">
        <v>626.25</v>
      </c>
      <c r="K1874" s="86">
        <v>626.25</v>
      </c>
      <c r="L1874" s="89">
        <v>626.25</v>
      </c>
      <c r="M1874" s="1">
        <v>626.25</v>
      </c>
      <c r="N1874">
        <v>630.25</v>
      </c>
      <c r="O1874" s="80">
        <v>630.25</v>
      </c>
      <c r="P1874" s="80">
        <v>630.25</v>
      </c>
      <c r="Q1874">
        <v>630.25</v>
      </c>
      <c r="R1874" s="85">
        <v>630.25</v>
      </c>
      <c r="S1874">
        <v>630.25</v>
      </c>
      <c r="T1874">
        <v>630.25</v>
      </c>
      <c r="U1874">
        <v>630.25</v>
      </c>
      <c r="V1874">
        <v>615.75</v>
      </c>
      <c r="W1874" s="88">
        <v>615.75</v>
      </c>
      <c r="X1874" s="113">
        <v>615.75</v>
      </c>
      <c r="Y1874">
        <v>615.75</v>
      </c>
      <c r="Z1874">
        <f ca="1">_xlfn.XLOOKUP(A1874,TabCalc[Ticker],TabCalc[Y])</f>
        <v>615.75</v>
      </c>
    </row>
    <row r="1875" spans="1:26" hidden="1">
      <c r="A1875" s="86" t="str">
        <f t="shared" ca="1" si="141"/>
        <v>F</v>
      </c>
      <c r="B1875" t="str" cm="1">
        <f t="array" aca="1" ref="B1875" ca="1">_xlfn.LET(_xlpm.Old1YT,Table46[[#This Row],[YTChg19]],         _xlpm.New1YT,Table46[[#This Row],[YTChg20]],                 _xlfn.IFS(                _xlpm.Old1YT=0,"", _xlpm.Old1YT&gt;_xlpm.New1YT,"DownGraded",              _xlpm.Old1YT=_xlpm.New1YT,"",               _xlpm.Old1YT&lt;_xlpm.New1YT,"UpGraded"))</f>
        <v/>
      </c>
      <c r="I1875">
        <v>12.265000000000001</v>
      </c>
      <c r="J1875" s="84">
        <v>12.265000000000001</v>
      </c>
      <c r="K1875" s="86">
        <v>12.265000000000001</v>
      </c>
      <c r="L1875" s="89">
        <v>12.265000000000001</v>
      </c>
      <c r="M1875" s="1">
        <v>12.265000000000001</v>
      </c>
      <c r="N1875">
        <v>12.515000000000001</v>
      </c>
      <c r="O1875" s="80">
        <v>12.515000000000001</v>
      </c>
      <c r="P1875" s="80">
        <v>12.515000000000001</v>
      </c>
      <c r="Q1875">
        <v>12.515000000000001</v>
      </c>
      <c r="R1875" s="85">
        <v>12.515000000000001</v>
      </c>
      <c r="S1875">
        <v>12.515000000000001</v>
      </c>
      <c r="T1875">
        <v>12.515000000000001</v>
      </c>
      <c r="U1875">
        <v>12.515000000000001</v>
      </c>
      <c r="V1875">
        <v>12.64</v>
      </c>
      <c r="W1875" s="88">
        <v>12.64</v>
      </c>
      <c r="X1875" s="113">
        <v>12.64</v>
      </c>
      <c r="Y1875">
        <v>12.64</v>
      </c>
      <c r="Z1875">
        <f ca="1">_xlfn.XLOOKUP(A1875,TabCalc[Ticker],TabCalc[Y])</f>
        <v>12.64</v>
      </c>
    </row>
    <row r="1876" spans="1:26" hidden="1">
      <c r="A1876" s="86" t="str">
        <f t="shared" ca="1" si="141"/>
        <v>GLE</v>
      </c>
      <c r="B1876" t="str" cm="1">
        <f t="array" aca="1" ref="B1876" ca="1">_xlfn.LET(_xlpm.Old1YT,Table46[[#This Row],[YTChg19]],         _xlpm.New1YT,Table46[[#This Row],[YTChg20]],                 _xlfn.IFS(                _xlpm.Old1YT=0,"", _xlpm.Old1YT&gt;_xlpm.New1YT,"DownGraded",              _xlpm.Old1YT=_xlpm.New1YT,"",               _xlpm.Old1YT&lt;_xlpm.New1YT,"UpGraded"))</f>
        <v/>
      </c>
      <c r="I1876">
        <v>64.686109999999999</v>
      </c>
      <c r="J1876" s="84">
        <v>64.686109999999999</v>
      </c>
      <c r="K1876" s="86">
        <v>64.686109999999999</v>
      </c>
      <c r="L1876" s="89">
        <v>64.686109999999999</v>
      </c>
      <c r="M1876" s="1">
        <v>64.686109999999999</v>
      </c>
      <c r="N1876">
        <v>65.352779999999996</v>
      </c>
      <c r="O1876" s="80">
        <v>65.352779999999996</v>
      </c>
      <c r="P1876" s="80">
        <v>65.352779999999996</v>
      </c>
      <c r="Q1876">
        <v>65.352779999999996</v>
      </c>
      <c r="R1876" s="85">
        <v>65.352779999999996</v>
      </c>
      <c r="S1876">
        <v>65.352779999999996</v>
      </c>
      <c r="T1876">
        <v>65.352779999999996</v>
      </c>
      <c r="U1876">
        <v>65.352779999999996</v>
      </c>
      <c r="V1876">
        <v>66.033330000000007</v>
      </c>
      <c r="W1876" s="88">
        <v>66.033330000000007</v>
      </c>
      <c r="X1876" s="113">
        <v>66.033330000000007</v>
      </c>
      <c r="Y1876">
        <v>66.033330000000007</v>
      </c>
      <c r="Z1876">
        <f ca="1">_xlfn.XLOOKUP(A1876,TabCalc[Ticker],TabCalc[Y])</f>
        <v>66.033330000000007</v>
      </c>
    </row>
    <row r="1877" spans="1:26" hidden="1">
      <c r="A1877" s="86" t="str">
        <f t="shared" ca="1" si="141"/>
        <v>GNRC</v>
      </c>
      <c r="B1877" t="str" cm="1">
        <f t="array" aca="1" ref="B1877" ca="1">_xlfn.LET(_xlpm.Old1YT,Table46[[#This Row],[YTChg19]],         _xlpm.New1YT,Table46[[#This Row],[YTChg20]],                 _xlfn.IFS(                _xlpm.Old1YT=0,"", _xlpm.Old1YT&gt;_xlpm.New1YT,"DownGraded",              _xlpm.Old1YT=_xlpm.New1YT,"",               _xlpm.Old1YT&lt;_xlpm.New1YT,"UpGraded"))</f>
        <v/>
      </c>
      <c r="I1877">
        <v>207.47059999999999</v>
      </c>
      <c r="J1877" s="84">
        <v>207.47059999999999</v>
      </c>
      <c r="K1877" s="86">
        <v>207.47059999999999</v>
      </c>
      <c r="L1877" s="89">
        <v>207.47059999999999</v>
      </c>
      <c r="M1877" s="1">
        <v>207.47059999999999</v>
      </c>
      <c r="N1877">
        <v>206</v>
      </c>
      <c r="O1877" s="80">
        <v>206</v>
      </c>
      <c r="P1877" s="80">
        <v>206</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1"/>
        <v>GS</v>
      </c>
      <c r="B1878" t="str" cm="1">
        <f t="array" aca="1" ref="B1878" ca="1">_xlfn.LET(_xlpm.Old1YT,Table46[[#This Row],[YTChg19]],         _xlpm.New1YT,Table46[[#This Row],[YTChg20]],                 _xlfn.IFS(                _xlpm.Old1YT=0,"", _xlpm.Old1YT&gt;_xlpm.New1YT,"DownGraded",              _xlpm.Old1YT=_xlpm.New1YT,"",               _xlpm.Old1YT&lt;_xlpm.New1YT,"UpGraded"))</f>
        <v/>
      </c>
      <c r="I1878">
        <v>801.84209999999996</v>
      </c>
      <c r="J1878" s="84">
        <v>801.84209999999996</v>
      </c>
      <c r="K1878" s="86">
        <v>801.84209999999996</v>
      </c>
      <c r="L1878" s="89">
        <v>801.84209999999996</v>
      </c>
      <c r="M1878" s="1">
        <v>801.84209999999996</v>
      </c>
      <c r="N1878">
        <v>802.52629999999999</v>
      </c>
      <c r="O1878" s="80">
        <v>802.52629999999999</v>
      </c>
      <c r="P1878" s="80">
        <v>802.52629999999999</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1"/>
        <v>LAZR</v>
      </c>
      <c r="B1879" t="str" cm="1">
        <f t="array" aca="1" ref="B1879" ca="1">_xlfn.LET(_xlpm.Old1YT,Table46[[#This Row],[YTChg19]],         _xlpm.New1YT,Table46[[#This Row],[YTChg20]],                 _xlfn.IFS(                _xlpm.Old1YT=0,"", _xlpm.Old1YT&gt;_xlpm.New1YT,"DownGraded",              _xlpm.Old1YT=_xlpm.New1YT,"",               _xlpm.Old1YT&lt;_xlpm.New1YT,"UpGraded"))</f>
        <v/>
      </c>
      <c r="I1879">
        <v>2.5</v>
      </c>
      <c r="J1879" s="84">
        <v>2.5</v>
      </c>
      <c r="K1879" s="86">
        <v>2.5</v>
      </c>
      <c r="L1879" s="89">
        <v>2.5</v>
      </c>
      <c r="M1879" s="1">
        <v>2.5</v>
      </c>
      <c r="N1879">
        <v>14.99999</v>
      </c>
      <c r="O1879" s="80">
        <v>14.99999</v>
      </c>
      <c r="P1879" s="80">
        <v>14.99999</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1"/>
        <v>LUV</v>
      </c>
      <c r="B1880" t="str" cm="1">
        <f t="array" aca="1" ref="B1880" ca="1">_xlfn.LET(_xlpm.Old1YT,Table46[[#This Row],[YTChg19]],         _xlpm.New1YT,Table46[[#This Row],[YTChg20]],                 _xlfn.IFS(                _xlpm.Old1YT=0,"", _xlpm.Old1YT&gt;_xlpm.New1YT,"DownGraded",              _xlpm.Old1YT=_xlpm.New1YT,"",               _xlpm.Old1YT&lt;_xlpm.New1YT,"UpGraded"))</f>
        <v/>
      </c>
      <c r="I1880">
        <v>34.073680000000003</v>
      </c>
      <c r="J1880" s="84">
        <v>34.073680000000003</v>
      </c>
      <c r="K1880" s="86">
        <v>34.073680000000003</v>
      </c>
      <c r="L1880" s="89">
        <v>34.073680000000003</v>
      </c>
      <c r="M1880" s="1">
        <v>34.073680000000003</v>
      </c>
      <c r="N1880">
        <v>34.231580000000001</v>
      </c>
      <c r="O1880" s="80">
        <v>34.231580000000001</v>
      </c>
      <c r="P1880" s="80">
        <v>34.231580000000001</v>
      </c>
      <c r="Q1880">
        <v>34.231580000000001</v>
      </c>
      <c r="R1880" s="85">
        <v>34.231580000000001</v>
      </c>
      <c r="S1880">
        <v>34.231580000000001</v>
      </c>
      <c r="T1880">
        <v>34.231580000000001</v>
      </c>
      <c r="U1880">
        <v>34.231580000000001</v>
      </c>
      <c r="V1880">
        <v>34.47</v>
      </c>
      <c r="W1880" s="88">
        <v>34.47</v>
      </c>
      <c r="X1880" s="113">
        <v>34.47</v>
      </c>
      <c r="Y1880">
        <v>34.47</v>
      </c>
      <c r="Z1880">
        <f ca="1">_xlfn.XLOOKUP(A1880,TabCalc[Ticker],TabCalc[Y])</f>
        <v>34.47</v>
      </c>
    </row>
    <row r="1881" spans="1:26" hidden="1">
      <c r="A1881" s="86" t="str">
        <f t="shared" ca="1" si="141"/>
        <v>MA</v>
      </c>
      <c r="B1881" t="str" cm="1">
        <f t="array" aca="1" ref="B1881" ca="1">_xlfn.LET(_xlpm.Old1YT,Table46[[#This Row],[YTChg19]],         _xlpm.New1YT,Table46[[#This Row],[YTChg20]],                 _xlfn.IFS(                _xlpm.Old1YT=0,"", _xlpm.Old1YT&gt;_xlpm.New1YT,"DownGraded",              _xlpm.Old1YT=_xlpm.New1YT,"",               _xlpm.Old1YT&lt;_xlpm.New1YT,"UpGraded"))</f>
        <v/>
      </c>
      <c r="I1881">
        <v>655.20569999999998</v>
      </c>
      <c r="J1881" s="84">
        <v>655.20569999999998</v>
      </c>
      <c r="K1881" s="86">
        <v>655.20569999999998</v>
      </c>
      <c r="L1881" s="89">
        <v>655.20569999999998</v>
      </c>
      <c r="M1881" s="1">
        <v>655.20569999999998</v>
      </c>
      <c r="N1881">
        <v>656.50554999999997</v>
      </c>
      <c r="O1881" s="80">
        <v>656.50554999999997</v>
      </c>
      <c r="P1881" s="80">
        <v>656.50554999999997</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1"/>
        <v>NVAX</v>
      </c>
      <c r="B1882" t="str" cm="1">
        <f t="array" aca="1" ref="B1882" ca="1">_xlfn.LET(_xlpm.Old1YT,Table46[[#This Row],[YTChg19]],         _xlpm.New1YT,Table46[[#This Row],[YTChg20]],                 _xlfn.IFS(                _xlpm.Old1YT=0,"", _xlpm.Old1YT&gt;_xlpm.New1YT,"DownGraded",              _xlpm.Old1YT=_xlpm.New1YT,"",               _xlpm.Old1YT&lt;_xlpm.New1YT,"UpGraded"))</f>
        <v/>
      </c>
      <c r="I1882">
        <v>12.612500000000001</v>
      </c>
      <c r="J1882" s="84">
        <v>12.612500000000001</v>
      </c>
      <c r="K1882" s="86">
        <v>12.612500000000001</v>
      </c>
      <c r="L1882" s="89">
        <v>12.612500000000001</v>
      </c>
      <c r="M1882" s="1">
        <v>12.612500000000001</v>
      </c>
      <c r="N1882">
        <v>12.66667</v>
      </c>
      <c r="O1882" s="80">
        <v>12.66667</v>
      </c>
      <c r="P1882" s="80">
        <v>12.66667</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1"/>
        <v>NVS</v>
      </c>
      <c r="B1883" t="str" cm="1">
        <f t="array" aca="1" ref="B1883" ca="1">_xlfn.LET(_xlpm.Old1YT,Table46[[#This Row],[YTChg19]],         _xlpm.New1YT,Table46[[#This Row],[YTChg20]],                 _xlfn.IFS(                _xlpm.Old1YT=0,"", _xlpm.Old1YT&gt;_xlpm.New1YT,"DownGraded",              _xlpm.Old1YT=_xlpm.New1YT,"",               _xlpm.Old1YT&lt;_xlpm.New1YT,"UpGraded"))</f>
        <v/>
      </c>
      <c r="I1883">
        <v>127.45399999999999</v>
      </c>
      <c r="J1883" s="84">
        <v>127.45399999999999</v>
      </c>
      <c r="K1883" s="86">
        <v>127.45399999999999</v>
      </c>
      <c r="L1883" s="89">
        <v>127.45399999999999</v>
      </c>
      <c r="M1883" s="1">
        <v>127.45399999999999</v>
      </c>
      <c r="N1883">
        <v>132.77109999999999</v>
      </c>
      <c r="O1883" s="80">
        <v>132.77109999999999</v>
      </c>
      <c r="P1883" s="80">
        <v>132.77109999999999</v>
      </c>
      <c r="Q1883">
        <v>132.77109999999999</v>
      </c>
      <c r="R1883" s="85">
        <v>132.77109999999999</v>
      </c>
      <c r="S1883">
        <v>132.77109999999999</v>
      </c>
      <c r="T1883">
        <v>132.77109999999999</v>
      </c>
      <c r="U1883">
        <v>132.77109999999999</v>
      </c>
      <c r="V1883">
        <v>134.88221999999999</v>
      </c>
      <c r="W1883" s="88">
        <v>134.88221999999999</v>
      </c>
      <c r="X1883" s="113">
        <v>134.88221999999999</v>
      </c>
      <c r="Y1883">
        <v>134.88221999999999</v>
      </c>
      <c r="Z1883">
        <f ca="1">_xlfn.XLOOKUP(A1883,TabCalc[Ticker],TabCalc[Y])</f>
        <v>134.88221999999999</v>
      </c>
    </row>
    <row r="1884" spans="1:26" hidden="1">
      <c r="A1884" s="86" t="str">
        <f t="shared" ca="1" si="141"/>
        <v>ORA</v>
      </c>
      <c r="B1884" t="str" cm="1">
        <f t="array" aca="1" ref="B1884" ca="1">_xlfn.LET(_xlpm.Old1YT,Table46[[#This Row],[YTChg19]],         _xlpm.New1YT,Table46[[#This Row],[YTChg20]],                 _xlfn.IFS(                _xlpm.Old1YT=0,"", _xlpm.Old1YT&gt;_xlpm.New1YT,"DownGraded",              _xlpm.Old1YT=_xlpm.New1YT,"",               _xlpm.Old1YT&lt;_xlpm.New1YT,"UpGraded"))</f>
        <v/>
      </c>
      <c r="I1884">
        <v>15.32222</v>
      </c>
      <c r="J1884" s="84">
        <v>15.32222</v>
      </c>
      <c r="K1884" s="86">
        <v>15.32222</v>
      </c>
      <c r="L1884" s="89">
        <v>15.32222</v>
      </c>
      <c r="M1884" s="1">
        <v>15.32222</v>
      </c>
      <c r="N1884">
        <v>15.476470000000001</v>
      </c>
      <c r="O1884" s="80">
        <v>15.476470000000001</v>
      </c>
      <c r="P1884" s="80">
        <v>15.476470000000001</v>
      </c>
      <c r="Q1884">
        <v>15.476470000000001</v>
      </c>
      <c r="R1884" s="85">
        <v>15.476470000000001</v>
      </c>
      <c r="S1884">
        <v>15.476470000000001</v>
      </c>
      <c r="T1884">
        <v>15.476470000000001</v>
      </c>
      <c r="U1884">
        <v>15.476470000000001</v>
      </c>
      <c r="V1884">
        <v>15.56471</v>
      </c>
      <c r="W1884" s="88">
        <v>15.56471</v>
      </c>
      <c r="X1884" s="113">
        <v>15.56471</v>
      </c>
      <c r="Y1884">
        <v>15.56471</v>
      </c>
      <c r="Z1884">
        <f ca="1">_xlfn.XLOOKUP(A1884,TabCalc[Ticker],TabCalc[Y])</f>
        <v>15.56471</v>
      </c>
    </row>
    <row r="1885" spans="1:26" hidden="1">
      <c r="A1885" s="86" t="str">
        <f t="shared" ca="1" si="141"/>
        <v>OXY</v>
      </c>
      <c r="B1885" t="str" cm="1">
        <f t="array" aca="1" ref="B1885" ca="1">_xlfn.LET(_xlpm.Old1YT,Table46[[#This Row],[YTChg19]],         _xlpm.New1YT,Table46[[#This Row],[YTChg20]],                 _xlfn.IFS(                _xlpm.Old1YT=0,"", _xlpm.Old1YT&gt;_xlpm.New1YT,"DownGraded",              _xlpm.Old1YT=_xlpm.New1YT,"",               _xlpm.Old1YT&lt;_xlpm.New1YT,"UpGraded"))</f>
        <v/>
      </c>
      <c r="I1885">
        <v>49.913040000000002</v>
      </c>
      <c r="J1885" s="84">
        <v>49.913040000000002</v>
      </c>
      <c r="K1885" s="86">
        <v>49.913040000000002</v>
      </c>
      <c r="L1885" s="89">
        <v>49.913040000000002</v>
      </c>
      <c r="M1885" s="1">
        <v>49.913040000000002</v>
      </c>
      <c r="N1885">
        <v>50.416670000000003</v>
      </c>
      <c r="O1885" s="80">
        <v>50.416670000000003</v>
      </c>
      <c r="P1885" s="80">
        <v>50.416670000000003</v>
      </c>
      <c r="Q1885">
        <v>50.416670000000003</v>
      </c>
      <c r="R1885" s="85">
        <v>50.416670000000003</v>
      </c>
      <c r="S1885">
        <v>50.416670000000003</v>
      </c>
      <c r="T1885">
        <v>50.416670000000003</v>
      </c>
      <c r="U1885">
        <v>50.416670000000003</v>
      </c>
      <c r="V1885">
        <v>50.375</v>
      </c>
      <c r="W1885" s="88">
        <v>50.375</v>
      </c>
      <c r="X1885" s="113">
        <v>50.375</v>
      </c>
      <c r="Y1885">
        <v>50.375</v>
      </c>
      <c r="Z1885">
        <f ca="1">_xlfn.XLOOKUP(A1885,TabCalc[Ticker],TabCalc[Y])</f>
        <v>50.375</v>
      </c>
    </row>
    <row r="1886" spans="1:26" hidden="1">
      <c r="A1886" s="86" t="str">
        <f t="shared" ca="1" si="141"/>
        <v>PFE</v>
      </c>
      <c r="B1886" t="str" cm="1">
        <f t="array" aca="1" ref="B1886" ca="1">_xlfn.LET(_xlpm.Old1YT,Table46[[#This Row],[YTChg19]],         _xlpm.New1YT,Table46[[#This Row],[YTChg20]],                 _xlfn.IFS(                _xlpm.Old1YT=0,"", _xlpm.Old1YT&gt;_xlpm.New1YT,"DownGraded",              _xlpm.Old1YT=_xlpm.New1YT,"",               _xlpm.Old1YT&lt;_xlpm.New1YT,"UpGraded"))</f>
        <v/>
      </c>
      <c r="I1886">
        <v>28.751899999999999</v>
      </c>
      <c r="J1886" s="84">
        <v>28.751899999999999</v>
      </c>
      <c r="K1886" s="86">
        <v>28.751899999999999</v>
      </c>
      <c r="L1886" s="89">
        <v>28.751899999999999</v>
      </c>
      <c r="M1886" s="1">
        <v>28.751899999999999</v>
      </c>
      <c r="N1886">
        <v>29.039580000000001</v>
      </c>
      <c r="O1886" s="80">
        <v>29.039580000000001</v>
      </c>
      <c r="P1886" s="80">
        <v>29.039580000000001</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1"/>
        <v>RIG</v>
      </c>
      <c r="B1887" t="str" cm="1">
        <f t="array" aca="1" ref="B1887" ca="1">_xlfn.LET(_xlpm.Old1YT,Table46[[#This Row],[YTChg19]],         _xlpm.New1YT,Table46[[#This Row],[YTChg20]],                 _xlfn.IFS(                _xlpm.Old1YT=0,"", _xlpm.Old1YT&gt;_xlpm.New1YT,"DownGraded",              _xlpm.Old1YT=_xlpm.New1YT,"",               _xlpm.Old1YT&lt;_xlpm.New1YT,"UpGraded"))</f>
        <v/>
      </c>
      <c r="I1887">
        <v>3.9538500000000001</v>
      </c>
      <c r="J1887" s="84">
        <v>3.9538500000000001</v>
      </c>
      <c r="K1887" s="86">
        <v>3.9538500000000001</v>
      </c>
      <c r="L1887" s="89">
        <v>3.9538500000000001</v>
      </c>
      <c r="M1887" s="1">
        <v>3.9538500000000001</v>
      </c>
      <c r="N1887">
        <v>4.1653799999999999</v>
      </c>
      <c r="O1887" s="80">
        <v>4.1653799999999999</v>
      </c>
      <c r="P1887" s="80">
        <v>4.1653799999999999</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1"/>
        <v>RRC</v>
      </c>
      <c r="B1888" t="str" cm="1">
        <f t="array" aca="1" ref="B1888" ca="1">_xlfn.LET(_xlpm.Old1YT,Table46[[#This Row],[YTChg19]],         _xlpm.New1YT,Table46[[#This Row],[YTChg20]],                 _xlfn.IFS(                _xlpm.Old1YT=0,"", _xlpm.Old1YT&gt;_xlpm.New1YT,"DownGraded",              _xlpm.Old1YT=_xlpm.New1YT,"",               _xlpm.Old1YT&lt;_xlpm.New1YT,"UpGraded"))</f>
        <v/>
      </c>
      <c r="I1888">
        <v>41.415419999999997</v>
      </c>
      <c r="J1888" s="84">
        <v>41.415419999999997</v>
      </c>
      <c r="K1888" s="86">
        <v>41.415419999999997</v>
      </c>
      <c r="L1888" s="89">
        <v>41.415419999999997</v>
      </c>
      <c r="M1888" s="1">
        <v>41.415419999999997</v>
      </c>
      <c r="N1888">
        <v>42.043480000000002</v>
      </c>
      <c r="O1888" s="80">
        <v>42.043480000000002</v>
      </c>
      <c r="P1888" s="80">
        <v>42.043480000000002</v>
      </c>
      <c r="Q1888">
        <v>42.043480000000002</v>
      </c>
      <c r="R1888" s="85">
        <v>42.043480000000002</v>
      </c>
      <c r="S1888">
        <v>42.043480000000002</v>
      </c>
      <c r="T1888">
        <v>42.043480000000002</v>
      </c>
      <c r="U1888">
        <v>42.043480000000002</v>
      </c>
      <c r="V1888">
        <v>42.130429999999997</v>
      </c>
      <c r="W1888" s="88">
        <v>42.130429999999997</v>
      </c>
      <c r="X1888" s="113">
        <v>42.130429999999997</v>
      </c>
      <c r="Y1888">
        <v>42.130429999999997</v>
      </c>
      <c r="Z1888">
        <f ca="1">_xlfn.XLOOKUP(A1888,TabCalc[Ticker],TabCalc[Y])</f>
        <v>42.130429999999997</v>
      </c>
    </row>
    <row r="1889" spans="1:26">
      <c r="A1889" s="86" t="str">
        <f t="shared" ca="1" si="141"/>
        <v>XYZ</v>
      </c>
      <c r="B1889" t="str" cm="1">
        <f t="array" aca="1" ref="B1889" ca="1">_xlfn.LET(_xlpm.Old1YT,Table46[[#This Row],[YTChg19]],         _xlpm.New1YT,Table46[[#This Row],[YTChg20]],                 _xlfn.IFS(                _xlpm.Old1YT=0,"", _xlpm.Old1YT&gt;_xlpm.New1YT,"DownGraded",              _xlpm.Old1YT=_xlpm.New1YT,"",               _xlpm.Old1YT&lt;_xlpm.New1YT,"UpGraded"))</f>
        <v/>
      </c>
      <c r="I1889">
        <v>88.505260000000007</v>
      </c>
      <c r="J1889" s="84">
        <v>88.505260000000007</v>
      </c>
      <c r="K1889" s="86">
        <v>88.505260000000007</v>
      </c>
      <c r="L1889" s="89">
        <v>88.505260000000007</v>
      </c>
      <c r="M1889" s="1">
        <v>88.505260000000007</v>
      </c>
      <c r="N1889">
        <v>84.005260000000007</v>
      </c>
      <c r="O1889" s="80">
        <v>84.005260000000007</v>
      </c>
      <c r="P1889" s="80">
        <v>84.005260000000007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1"/>
        <v>THC</v>
      </c>
      <c r="B1890" t="str" cm="1">
        <f t="array" aca="1" ref="B1890" ca="1">_xlfn.LET(_xlpm.Old1YT,Table46[[#This Row],[YTChg19]],         _xlpm.New1YT,Table46[[#This Row],[YTChg20]],                 _xlfn.IFS(                _xlpm.Old1YT=0,"", _xlpm.Old1YT&gt;_xlpm.New1YT,"DownGraded",              _xlpm.Old1YT=_xlpm.New1YT,"",               _xlpm.Old1YT&lt;_xlpm.New1YT,"UpGraded"))</f>
        <v/>
      </c>
      <c r="I1890">
        <v>229.61904999999999</v>
      </c>
      <c r="J1890" s="84">
        <v>229.61904999999999</v>
      </c>
      <c r="K1890" s="86">
        <v>229.61904999999999</v>
      </c>
      <c r="L1890" s="89">
        <v>229.61904999999999</v>
      </c>
      <c r="M1890" s="1">
        <v>229.61904999999999</v>
      </c>
      <c r="N1890">
        <v>233.42857000000001</v>
      </c>
      <c r="O1890" s="80">
        <v>233.42857000000001</v>
      </c>
      <c r="P1890" s="80">
        <v>233.42857000000001</v>
      </c>
      <c r="Q1890">
        <v>233.42857000000001</v>
      </c>
      <c r="R1890" s="85">
        <v>233.42857000000001</v>
      </c>
      <c r="S1890">
        <v>233.42857000000001</v>
      </c>
      <c r="T1890">
        <v>233.42857000000001</v>
      </c>
      <c r="U1890">
        <v>233.42857000000001</v>
      </c>
      <c r="V1890">
        <v>234.33332999999999</v>
      </c>
      <c r="W1890" s="88">
        <v>234.33332999999999</v>
      </c>
      <c r="X1890" s="113">
        <v>234.33332999999999</v>
      </c>
      <c r="Y1890">
        <v>234.33332999999999</v>
      </c>
      <c r="Z1890">
        <f ca="1">_xlfn.XLOOKUP(A1890,TabCalc[Ticker],TabCalc[Y])</f>
        <v>234.33332999999999</v>
      </c>
    </row>
    <row r="1891" spans="1:26">
      <c r="A1891" s="86" t="str">
        <f t="shared" ca="1" si="141"/>
        <v>X</v>
      </c>
      <c r="B1891" t="str" cm="1">
        <f t="array" aca="1" ref="B1891" ca="1">_xlfn.LET(_xlpm.Old1YT,Table46[[#This Row],[YTChg19]],         _xlpm.New1YT,Table46[[#This Row],[YTChg20]],                 _xlfn.IFS(                _xlpm.Old1YT=0,"", _xlpm.Old1YT&gt;_xlpm.New1YT,"DownGraded",              _xlpm.Old1YT=_xlpm.New1YT,"",               _xlpm.Old1YT&lt;_xlpm.New1YT,"UpGraded"))</f>
        <v/>
      </c>
      <c r="I1891">
        <v>0</v>
      </c>
      <c r="J1891" s="84">
        <v>0</v>
      </c>
      <c r="K1891" s="86">
        <v>0</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1"/>
        <v>LOCK</v>
      </c>
      <c r="B1892" t="str" cm="1">
        <f t="array" aca="1" ref="B1892" ca="1">_xlfn.LET(_xlpm.Old1YT,Table46[[#This Row],[YTChg19]],         _xlpm.New1YT,Table46[[#This Row],[YTChg20]],                 _xlfn.IFS(                _xlpm.Old1YT=0,"", _xlpm.Old1YT&gt;_xlpm.New1YT,"DownGraded",              _xlpm.Old1YT=_xlpm.New1YT,"",               _xlpm.Old1YT&lt;_xlpm.New1YT,"UpGraded"))</f>
        <v/>
      </c>
      <c r="I1892">
        <v>0</v>
      </c>
      <c r="J1892" s="84">
        <v>0</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1"/>
        <v>JBASML</v>
      </c>
      <c r="B1893" t="str" cm="1">
        <f t="array" aca="1" ref="B1893" ca="1">_xlfn.LET(_xlpm.Old1YT,Table46[[#This Row],[YTChg19]],         _xlpm.New1YT,Table46[[#This Row],[YTChg20]],                 _xlfn.IFS(                _xlpm.Old1YT=0,"", _xlpm.Old1YT&gt;_xlpm.New1YT,"DownGraded",              _xlpm.Old1YT=_xlpm.New1YT,"",               _xlpm.Old1YT&lt;_xlpm.New1YT,"UpGraded"))</f>
        <v/>
      </c>
      <c r="I1893">
        <v>941.90326000000005</v>
      </c>
      <c r="J1893" s="84">
        <v>941.90326000000005</v>
      </c>
      <c r="K1893" s="86">
        <v>941.90326000000005</v>
      </c>
      <c r="L1893" s="89">
        <v>941.90326000000005</v>
      </c>
      <c r="M1893" s="1">
        <v>941.90326000000005</v>
      </c>
      <c r="N1893">
        <v>953.67740000000003</v>
      </c>
      <c r="O1893" s="80">
        <v>953.67740000000003</v>
      </c>
      <c r="P1893" s="80">
        <v>953.67740000000003</v>
      </c>
      <c r="Q1893">
        <v>953.67740000000003</v>
      </c>
      <c r="R1893" s="85">
        <v>953.67740000000003</v>
      </c>
      <c r="S1893">
        <v>953.67740000000003</v>
      </c>
      <c r="T1893">
        <v>953.67740000000003</v>
      </c>
      <c r="U1893">
        <v>953.67740000000003</v>
      </c>
      <c r="V1893">
        <v>983.4194</v>
      </c>
      <c r="W1893" s="88">
        <v>983.4194</v>
      </c>
      <c r="X1893" s="113">
        <v>983.4194</v>
      </c>
      <c r="Y1893">
        <v>983.4194</v>
      </c>
      <c r="Z1893">
        <f ca="1">_xlfn.XLOOKUP(A1893,TabCalc[Ticker],TabCalc[Y])</f>
        <v>983.4194</v>
      </c>
    </row>
    <row r="1894" spans="1:26">
      <c r="A1894" s="86" t="str">
        <f t="shared" ca="1" si="141"/>
        <v>JBEOAN</v>
      </c>
      <c r="B1894" t="str" cm="1">
        <f t="array" aca="1" ref="B1894" ca="1">_xlfn.LET(_xlpm.Old1YT,Table46[[#This Row],[YTChg19]],         _xlpm.New1YT,Table46[[#This Row],[YTChg20]],                 _xlfn.IFS(                _xlpm.Old1YT=0,"", _xlpm.Old1YT&gt;_xlpm.New1YT,"DownGraded",              _xlpm.Old1YT=_xlpm.New1YT,"",               _xlpm.Old1YT&lt;_xlpm.New1YT,"UpGraded"))</f>
        <v/>
      </c>
      <c r="I1894">
        <v>16.919589999999999</v>
      </c>
      <c r="J1894" s="84">
        <v>16.919589999999999</v>
      </c>
      <c r="K1894" s="86">
        <v>16.919589999999999</v>
      </c>
      <c r="L1894" s="89">
        <v>16.919589999999999</v>
      </c>
      <c r="M1894" s="1">
        <v>16.919589999999999</v>
      </c>
      <c r="N1894">
        <v>16.934180000000001</v>
      </c>
      <c r="O1894" s="80">
        <v>16.934180000000001</v>
      </c>
      <c r="P1894" s="80">
        <v>16.934180000000001</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1"/>
        <v>0</v>
      </c>
    </row>
    <row r="1896" spans="1:26">
      <c r="A1896" s="86">
        <f t="shared" si="141"/>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59" priority="22" operator="lessThan">
      <formula>0</formula>
    </cfRule>
    <cfRule type="cellIs" dxfId="558" priority="23" operator="greaterThan">
      <formula>0</formula>
    </cfRule>
  </conditionalFormatting>
  <conditionalFormatting sqref="AC704:AC797">
    <cfRule type="top10" dxfId="557" priority="2147" rank="20"/>
    <cfRule type="top10" dxfId="556" priority="2148" rank="10"/>
    <cfRule type="top10" dxfId="555" priority="2149" bottom="1" rank="30"/>
    <cfRule type="top10" dxfId="554" priority="2150" bottom="1" rank="10"/>
  </conditionalFormatting>
  <conditionalFormatting sqref="AD704:AD797">
    <cfRule type="top10" dxfId="553" priority="2159" rank="20"/>
    <cfRule type="top10" dxfId="552" priority="2160" rank="10"/>
    <cfRule type="top10" dxfId="551" priority="2161" bottom="1" rank="30"/>
    <cfRule type="top10" dxfId="550" priority="2162" bottom="1" rank="10"/>
  </conditionalFormatting>
  <conditionalFormatting sqref="AE704:AE797">
    <cfRule type="top10" dxfId="549" priority="2171" rank="20"/>
    <cfRule type="top10" dxfId="548" priority="2172" rank="10"/>
    <cfRule type="top10" dxfId="547" priority="2173" bottom="1" rank="30"/>
    <cfRule type="top10" dxfId="546" priority="2174" bottom="1" rank="10"/>
  </conditionalFormatting>
  <conditionalFormatting sqref="AF704:AF797">
    <cfRule type="top10" dxfId="545" priority="2183" rank="20"/>
    <cfRule type="top10" dxfId="544" priority="2184" rank="10"/>
    <cfRule type="top10" dxfId="543" priority="2185" bottom="1" rank="30"/>
    <cfRule type="top10" dxfId="542" priority="2186" bottom="1" rank="10"/>
  </conditionalFormatting>
  <conditionalFormatting sqref="AG704:AG797">
    <cfRule type="top10" dxfId="541" priority="2195" rank="20"/>
    <cfRule type="top10" dxfId="540" priority="2196" rank="10"/>
    <cfRule type="top10" dxfId="539" priority="2197" bottom="1" rank="30"/>
    <cfRule type="top10" dxfId="538" priority="2198" bottom="1" rank="10"/>
  </conditionalFormatting>
  <conditionalFormatting sqref="AH704:AH797">
    <cfRule type="top10" dxfId="537" priority="2207" rank="20"/>
    <cfRule type="top10" dxfId="536" priority="2208" rank="10"/>
    <cfRule type="top10" dxfId="535" priority="2209" bottom="1" rank="30"/>
    <cfRule type="top10" dxfId="534" priority="2210" bottom="1" rank="10"/>
  </conditionalFormatting>
  <conditionalFormatting sqref="AI704:AI797">
    <cfRule type="top10" dxfId="533" priority="2219" rank="20"/>
    <cfRule type="top10" dxfId="532" priority="2220" rank="10"/>
    <cfRule type="top10" dxfId="531" priority="2221" bottom="1" rank="30"/>
    <cfRule type="top10" dxfId="530" priority="2222" bottom="1" rank="10"/>
  </conditionalFormatting>
  <conditionalFormatting sqref="AJ704:AJ797">
    <cfRule type="top10" dxfId="529" priority="2231" rank="20"/>
    <cfRule type="top10" dxfId="528" priority="2232" rank="10"/>
    <cfRule type="top10" dxfId="527" priority="2233" bottom="1" rank="30"/>
    <cfRule type="top10" dxfId="526" priority="2234" bottom="1" rank="10"/>
  </conditionalFormatting>
  <conditionalFormatting sqref="AK704:AK797">
    <cfRule type="top10" dxfId="525" priority="2327" rank="20"/>
    <cfRule type="top10" dxfId="524" priority="2328" rank="10"/>
    <cfRule type="top10" dxfId="523" priority="2329" bottom="1" rank="30"/>
    <cfRule type="top10" dxfId="522" priority="2330" bottom="1" rank="10"/>
  </conditionalFormatting>
  <conditionalFormatting sqref="AL704:AL797">
    <cfRule type="top10" dxfId="521" priority="2351" rank="20"/>
    <cfRule type="top10" dxfId="520" priority="2352" rank="10"/>
    <cfRule type="top10" dxfId="519" priority="2353" bottom="1" rank="30"/>
    <cfRule type="top10" dxfId="51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93" zoomScale="150" zoomScaleNormal="100" workbookViewId="0">
      <selection activeCell="D4" sqref="D4"/>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1646</v>
      </c>
      <c r="B1" s="529"/>
      <c r="C1" s="529"/>
      <c r="D1" s="529"/>
      <c r="E1" s="1150">
        <v>45994.710613425923</v>
      </c>
      <c r="F1" s="452"/>
      <c r="G1" s="452"/>
      <c r="H1" s="452"/>
      <c r="I1" s="887" t="s">
        <v>1718</v>
      </c>
      <c r="S1" s="444">
        <v>500</v>
      </c>
      <c r="T1" s="444">
        <v>285.51</v>
      </c>
    </row>
    <row r="2" spans="1:20" ht="23" thickBot="1">
      <c r="A2" s="445" t="s">
        <v>549</v>
      </c>
      <c r="B2" s="445" t="s">
        <v>545</v>
      </c>
      <c r="C2" s="445" t="s">
        <v>548</v>
      </c>
      <c r="D2" s="445" t="s">
        <v>139</v>
      </c>
      <c r="E2" s="1511" t="s">
        <v>659</v>
      </c>
      <c r="F2" s="914" t="s">
        <v>131</v>
      </c>
      <c r="H2" s="444" t="s">
        <v>1854</v>
      </c>
      <c r="I2" s="446" t="s">
        <v>1650</v>
      </c>
      <c r="S2" s="444">
        <v>300</v>
      </c>
      <c r="T2" s="444">
        <v>287.89</v>
      </c>
    </row>
    <row r="3" spans="1:20" ht="24" thickTop="1" thickBot="1">
      <c r="A3" s="1273"/>
      <c r="B3" s="1009"/>
      <c r="C3" s="449"/>
      <c r="D3" s="450"/>
      <c r="E3" s="451"/>
      <c r="F3" s="444" t="str">
        <f ca="1">_xlfn.XLOOKUP(B3,TabCalc[Ticker],TabCalc[M],"no Order")</f>
        <v>no Order</v>
      </c>
      <c r="H3" s="444" t="s">
        <v>928</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3"/>
      <c r="B4" s="1009"/>
      <c r="C4" s="460"/>
      <c r="D4" s="450"/>
      <c r="E4" s="451"/>
      <c r="F4" s="444" t="str">
        <f ca="1">_xlfn.XLOOKUP(B4,TabCalc[Ticker],TabCalc[M],"no Order")</f>
        <v>no Order</v>
      </c>
      <c r="H4" s="444" t="s">
        <v>929</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3"/>
      <c r="B5" s="1009"/>
      <c r="C5" s="449"/>
      <c r="D5" s="450"/>
      <c r="E5" s="451"/>
      <c r="F5" s="444" t="str">
        <f ca="1">_xlfn.XLOOKUP(B5,TabCalc[Ticker],TabCalc[M],"no Order")</f>
        <v>no Order</v>
      </c>
      <c r="H5" s="444" t="s">
        <v>2585</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3"/>
      <c r="B6" s="1009"/>
      <c r="C6" s="449"/>
      <c r="D6" s="450"/>
      <c r="E6" s="451"/>
      <c r="F6" s="444" t="str">
        <f ca="1">_xlfn.XLOOKUP(B6,TabCalc[Ticker],TabCalc[M],"no Order")</f>
        <v>no Order</v>
      </c>
      <c r="H6" s="444" t="s">
        <v>930</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3"/>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6">
        <f>T6/S6</f>
        <v>286.40249999999997</v>
      </c>
    </row>
    <row r="8" spans="1:20" ht="23" thickBot="1">
      <c r="A8" s="1273"/>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3"/>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3"/>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3"/>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3"/>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3"/>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3"/>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3"/>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3"/>
      <c r="B16" s="1274"/>
      <c r="C16" s="1275"/>
      <c r="D16" s="1276"/>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997</v>
      </c>
      <c r="B20" s="457"/>
      <c r="C20" s="457"/>
      <c r="D20" s="456" t="s">
        <v>1647</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4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1133</v>
      </c>
    </row>
    <row r="34" spans="1:18" ht="23" thickBot="1">
      <c r="A34" s="474" t="str">
        <f t="shared" si="0"/>
        <v/>
      </c>
      <c r="B34" s="20" t="str">
        <f t="shared" si="1"/>
        <v/>
      </c>
      <c r="C34" s="78" t="str">
        <f t="shared" si="2"/>
        <v/>
      </c>
      <c r="D34" s="475" t="str">
        <f t="shared" si="3"/>
        <v/>
      </c>
      <c r="E34" s="476">
        <f t="shared" si="4"/>
        <v>0</v>
      </c>
      <c r="F34" s="477">
        <f t="shared" si="5"/>
        <v>0</v>
      </c>
      <c r="H34" s="806">
        <f ca="1">H38-H42</f>
        <v>10609646.091000004</v>
      </c>
      <c r="I34" s="806">
        <f ca="1">I38-I42</f>
        <v>-10609646.091000002</v>
      </c>
      <c r="K34" s="978" t="s">
        <v>1130</v>
      </c>
    </row>
    <row r="35" spans="1:18">
      <c r="I35" s="807">
        <v>2.5999999999999999E-3</v>
      </c>
      <c r="K35" s="978" t="s">
        <v>1431</v>
      </c>
    </row>
    <row r="36" spans="1:18">
      <c r="I36" s="808" t="s">
        <v>1892</v>
      </c>
      <c r="K36" s="978" t="s">
        <v>1132</v>
      </c>
    </row>
    <row r="37" spans="1:18" ht="23" thickBot="1">
      <c r="H37" s="1444">
        <f ca="1">H38+I38</f>
        <v>-4377064.8130729944</v>
      </c>
      <c r="I37" s="806">
        <f ca="1">-(H38-I38)*I35</f>
        <v>-150569.6956973898</v>
      </c>
    </row>
    <row r="38" spans="1:18" ht="23" thickBot="1">
      <c r="G38" s="1444"/>
      <c r="H38" s="1509">
        <f ca="1">SUM(H43:H1000)</f>
        <v>26767178.304500006</v>
      </c>
      <c r="I38" s="1507">
        <f ca="1">SUM(I43:I1000)</f>
        <v>-31144243.117573</v>
      </c>
      <c r="J38" s="978" t="s">
        <v>1133</v>
      </c>
      <c r="K38" s="978" t="s">
        <v>1130</v>
      </c>
      <c r="L38" s="978" t="s">
        <v>1431</v>
      </c>
      <c r="M38" s="978" t="s">
        <v>1132</v>
      </c>
    </row>
    <row r="39" spans="1:18" ht="23" thickBot="1">
      <c r="G39" s="1005" t="s">
        <v>2307</v>
      </c>
      <c r="H39" s="1508" t="s">
        <v>2474</v>
      </c>
      <c r="J39" s="978" t="s">
        <v>1130</v>
      </c>
    </row>
    <row r="40" spans="1:18" ht="23" thickBot="1">
      <c r="F40" s="1505" t="s">
        <v>2901</v>
      </c>
      <c r="G40" s="892" t="s">
        <v>2290</v>
      </c>
      <c r="H40" s="1006">
        <f ca="1">H42+I42</f>
        <v>-4377064.8130729962</v>
      </c>
      <c r="J40" s="978" t="s">
        <v>1431</v>
      </c>
    </row>
    <row r="41" spans="1:18" ht="23" thickBot="1">
      <c r="B41" s="452"/>
      <c r="C41" s="452"/>
      <c r="D41" s="809">
        <f>A43</f>
        <v>45684</v>
      </c>
      <c r="E41" s="805">
        <f>MAX(A43:A1003)</f>
        <v>46002</v>
      </c>
      <c r="F41" s="806">
        <f ca="1">SUM(F43:F1000)</f>
        <v>-4377064.8130729999</v>
      </c>
      <c r="G41" s="893" t="s">
        <v>2306</v>
      </c>
      <c r="H41" s="1007" t="s">
        <v>2902</v>
      </c>
      <c r="I41" s="1008" t="s">
        <v>2903</v>
      </c>
      <c r="J41" s="978" t="s">
        <v>1132</v>
      </c>
    </row>
    <row r="42" spans="1:18" ht="23" thickBot="1">
      <c r="A42" s="459" t="s">
        <v>1645</v>
      </c>
      <c r="B42" s="1004" t="s">
        <v>545</v>
      </c>
      <c r="C42" s="1004" t="s">
        <v>548</v>
      </c>
      <c r="D42" s="1004" t="s">
        <v>139</v>
      </c>
      <c r="E42" s="1004" t="s">
        <v>998</v>
      </c>
      <c r="G42" s="1012">
        <f ca="1">SUMIF($F$43:F1000,"&lt;&gt;"&amp;0,F$43:F$1000)</f>
        <v>-4377064.8130729999</v>
      </c>
      <c r="H42" s="1506" cm="1">
        <f t="array" aca="1" ref="H42" ca="1">SUM(_xlfn._xlws.FILTER(F43:F1000,F43:F1000&gt;0))</f>
        <v>16157532.213500002</v>
      </c>
      <c r="I42" s="1507" cm="1">
        <f t="array" aca="1" ref="I42" ca="1">SUM(_xlfn._xlws.FILTER(F43:F1000,F43:F1000&lt;0))</f>
        <v>-20534597.026572999</v>
      </c>
      <c r="K42" s="978" t="s">
        <v>1133</v>
      </c>
      <c r="L42" s="978" t="s">
        <v>1130</v>
      </c>
      <c r="M42" s="978" t="s">
        <v>1431</v>
      </c>
      <c r="N42" s="978" t="s">
        <v>1132</v>
      </c>
      <c r="O42" s="444" t="s">
        <v>2305</v>
      </c>
      <c r="P42" s="444" t="s">
        <v>2819</v>
      </c>
      <c r="Q42" s="444" t="s">
        <v>2817</v>
      </c>
      <c r="R42" s="444" t="s">
        <v>2818</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44" cm="1">
        <f t="array" aca="1" ref="O43:O1000" ca="1">_xlfn.SCAN(0,F43:F1000,_xlfn.LAMBDA(_xlpm.ac,_xlpm.v,IF(_xlpm.v&lt;&gt;0,_xlpm.ac+_xlpm.v,0)))</f>
        <v>-64069.578000000001</v>
      </c>
      <c r="P43" s="1444" cm="1">
        <f t="array" aca="1" ref="P43:P1001" ca="1">_xlfn.SCAN(0,G42:G1000,_xlfn.LAMBDA(_xlpm.ac,_xlpm.v,IF(_xlpm.v&lt;&gt;0,_xlpm.ac+_xlpm.v,0)))</f>
        <v>-4377064.8130729999</v>
      </c>
      <c r="Q43" s="1444" cm="1">
        <f t="array" aca="1" ref="Q43:Q1000" ca="1">_xlfn.SCAN(0,H43:H1000,_xlfn.LAMBDA(_xlpm.ac,_xlpm.v,IF(_xlpm.v&lt;&gt;0,_xlpm.ac+_xlpm.v,0)))</f>
        <v>556728.522</v>
      </c>
      <c r="R43" s="144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44">
        <f ca="1"/>
        <v>0</v>
      </c>
      <c r="P44" s="1444">
        <f ca="1"/>
        <v>-4441134.3910729997</v>
      </c>
      <c r="Q44" s="1444">
        <f ca="1"/>
        <v>0</v>
      </c>
      <c r="R44" s="144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44">
        <f ca="1"/>
        <v>0</v>
      </c>
      <c r="P45" s="1444">
        <f ca="1"/>
        <v>0</v>
      </c>
      <c r="Q45" s="1444">
        <f ca="1"/>
        <v>0</v>
      </c>
      <c r="R45" s="144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44">
        <f ca="1"/>
        <v>0</v>
      </c>
      <c r="P46" s="1444">
        <f ca="1"/>
        <v>0</v>
      </c>
      <c r="Q46" s="1444">
        <f ca="1"/>
        <v>0</v>
      </c>
      <c r="R46" s="144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44">
        <f ca="1"/>
        <v>0</v>
      </c>
      <c r="P47" s="1444">
        <f ca="1"/>
        <v>0</v>
      </c>
      <c r="Q47" s="1444">
        <f ca="1"/>
        <v>0</v>
      </c>
      <c r="R47" s="144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44">
        <f ca="1"/>
        <v>0</v>
      </c>
      <c r="P48" s="1444">
        <f ca="1"/>
        <v>0</v>
      </c>
      <c r="Q48" s="1444">
        <f ca="1"/>
        <v>0</v>
      </c>
      <c r="R48" s="144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44">
        <f ca="1"/>
        <v>0</v>
      </c>
      <c r="P49" s="1444">
        <f ca="1"/>
        <v>0</v>
      </c>
      <c r="Q49" s="1444">
        <f ca="1"/>
        <v>0</v>
      </c>
      <c r="R49" s="144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44">
        <f ca="1"/>
        <v>0</v>
      </c>
      <c r="P50" s="1444">
        <f ca="1"/>
        <v>0</v>
      </c>
      <c r="Q50" s="1444">
        <f ca="1"/>
        <v>0</v>
      </c>
      <c r="R50" s="144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44">
        <f ca="1"/>
        <v>0</v>
      </c>
      <c r="P51" s="1444">
        <f ca="1"/>
        <v>0</v>
      </c>
      <c r="Q51" s="1444">
        <f ca="1"/>
        <v>0</v>
      </c>
      <c r="R51" s="144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44">
        <f ca="1"/>
        <v>0</v>
      </c>
      <c r="P52" s="1444">
        <f ca="1"/>
        <v>0</v>
      </c>
      <c r="Q52" s="1444">
        <f ca="1"/>
        <v>0</v>
      </c>
      <c r="R52" s="144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44">
        <f ca="1"/>
        <v>0</v>
      </c>
      <c r="P53" s="1444">
        <f ca="1"/>
        <v>0</v>
      </c>
      <c r="Q53" s="1444">
        <f ca="1"/>
        <v>0</v>
      </c>
      <c r="R53" s="144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44">
        <f ca="1"/>
        <v>0</v>
      </c>
      <c r="P54" s="1444">
        <f ca="1"/>
        <v>0</v>
      </c>
      <c r="Q54" s="1444">
        <f ca="1"/>
        <v>0</v>
      </c>
      <c r="R54" s="144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44">
        <f ca="1"/>
        <v>121666.84</v>
      </c>
      <c r="P55" s="1444">
        <f ca="1"/>
        <v>0</v>
      </c>
      <c r="Q55" s="1444">
        <f ca="1"/>
        <v>256960.69</v>
      </c>
      <c r="R55" s="144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44">
        <f ca="1"/>
        <v>0</v>
      </c>
      <c r="P56" s="1444">
        <f ca="1"/>
        <v>57597.261999999995</v>
      </c>
      <c r="Q56" s="1444">
        <f ca="1"/>
        <v>0</v>
      </c>
      <c r="R56" s="144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44">
        <f ca="1"/>
        <v>0</v>
      </c>
      <c r="P57" s="1444">
        <f ca="1"/>
        <v>0</v>
      </c>
      <c r="Q57" s="1444">
        <f ca="1"/>
        <v>0</v>
      </c>
      <c r="R57" s="144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44">
        <f ca="1"/>
        <v>0</v>
      </c>
      <c r="P58" s="1444">
        <f ca="1"/>
        <v>0</v>
      </c>
      <c r="Q58" s="1444">
        <f ca="1"/>
        <v>0</v>
      </c>
      <c r="R58" s="144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44">
        <f ca="1"/>
        <v>0</v>
      </c>
      <c r="P59" s="1444">
        <f ca="1"/>
        <v>0</v>
      </c>
      <c r="Q59" s="1444">
        <f ca="1"/>
        <v>0</v>
      </c>
      <c r="R59" s="144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44">
        <f ca="1"/>
        <v>0</v>
      </c>
      <c r="P60" s="1444">
        <f ca="1"/>
        <v>0</v>
      </c>
      <c r="Q60" s="1444">
        <f ca="1"/>
        <v>0</v>
      </c>
      <c r="R60" s="144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44">
        <f ca="1"/>
        <v>0</v>
      </c>
      <c r="P61" s="1444">
        <f ca="1"/>
        <v>0</v>
      </c>
      <c r="Q61" s="1444">
        <f ca="1"/>
        <v>0</v>
      </c>
      <c r="R61" s="144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44">
        <f ca="1"/>
        <v>408827.35000000003</v>
      </c>
      <c r="P62" s="1444">
        <f ca="1"/>
        <v>0</v>
      </c>
      <c r="Q62" s="1444">
        <f ca="1"/>
        <v>505636.2</v>
      </c>
      <c r="R62" s="144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44">
        <f ca="1"/>
        <v>0</v>
      </c>
      <c r="P63" s="1444">
        <f ca="1"/>
        <v>466424.61200000002</v>
      </c>
      <c r="Q63" s="1444">
        <f ca="1"/>
        <v>0</v>
      </c>
      <c r="R63" s="144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44">
        <f ca="1"/>
        <v>0</v>
      </c>
      <c r="P64" s="1444">
        <f ca="1"/>
        <v>0</v>
      </c>
      <c r="Q64" s="1444">
        <f ca="1"/>
        <v>0</v>
      </c>
      <c r="R64" s="144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44">
        <f ca="1"/>
        <v>0</v>
      </c>
      <c r="P65" s="1444">
        <f ca="1"/>
        <v>0</v>
      </c>
      <c r="Q65" s="1444">
        <f ca="1"/>
        <v>0</v>
      </c>
      <c r="R65" s="144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44">
        <f ca="1"/>
        <v>0</v>
      </c>
      <c r="P66" s="1444">
        <f ca="1"/>
        <v>0</v>
      </c>
      <c r="Q66" s="1444">
        <f ca="1"/>
        <v>0</v>
      </c>
      <c r="R66" s="144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44">
        <f ca="1"/>
        <v>0</v>
      </c>
      <c r="P67" s="1444">
        <f ca="1"/>
        <v>0</v>
      </c>
      <c r="Q67" s="1444">
        <f ca="1"/>
        <v>0</v>
      </c>
      <c r="R67" s="144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44">
        <f ca="1"/>
        <v>0</v>
      </c>
      <c r="P68" s="1444">
        <f ca="1"/>
        <v>0</v>
      </c>
      <c r="Q68" s="1444">
        <f ca="1"/>
        <v>0</v>
      </c>
      <c r="R68" s="144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44">
        <f ca="1"/>
        <v>0</v>
      </c>
      <c r="P69" s="1444">
        <f ca="1"/>
        <v>0</v>
      </c>
      <c r="Q69" s="1444">
        <f ca="1"/>
        <v>0</v>
      </c>
      <c r="R69" s="144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44">
        <f ca="1"/>
        <v>-84840</v>
      </c>
      <c r="P70" s="1444">
        <f ca="1"/>
        <v>0</v>
      </c>
      <c r="Q70" s="1444">
        <f ca="1"/>
        <v>0</v>
      </c>
      <c r="R70" s="144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44">
        <f ca="1"/>
        <v>-5895.8800000000047</v>
      </c>
      <c r="P71" s="1444">
        <f ca="1"/>
        <v>381584.61200000002</v>
      </c>
      <c r="Q71" s="1444">
        <f ca="1"/>
        <v>183640</v>
      </c>
      <c r="R71" s="144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44">
        <f ca="1"/>
        <v>0</v>
      </c>
      <c r="P72" s="1444">
        <f ca="1"/>
        <v>842113.34400000004</v>
      </c>
      <c r="Q72" s="1444">
        <f ca="1"/>
        <v>0</v>
      </c>
      <c r="R72" s="144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44">
        <f ca="1"/>
        <v>0</v>
      </c>
      <c r="P73" s="1444">
        <f ca="1"/>
        <v>0</v>
      </c>
      <c r="Q73" s="1444">
        <f ca="1"/>
        <v>0</v>
      </c>
      <c r="R73" s="144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44">
        <f ca="1"/>
        <v>0</v>
      </c>
      <c r="P74" s="1444">
        <f ca="1"/>
        <v>0</v>
      </c>
      <c r="Q74" s="1444">
        <f ca="1"/>
        <v>0</v>
      </c>
      <c r="R74" s="144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44">
        <f ca="1"/>
        <v>0</v>
      </c>
      <c r="P75" s="1444">
        <f ca="1"/>
        <v>0</v>
      </c>
      <c r="Q75" s="1444">
        <f ca="1"/>
        <v>0</v>
      </c>
      <c r="R75" s="144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44">
        <f ca="1"/>
        <v>170520</v>
      </c>
      <c r="P76" s="1444">
        <f ca="1"/>
        <v>0</v>
      </c>
      <c r="Q76" s="1444">
        <f ca="1"/>
        <v>239730</v>
      </c>
      <c r="R76" s="144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44">
        <f ca="1"/>
        <v>0</v>
      </c>
      <c r="P77" s="1444">
        <f ca="1"/>
        <v>631048.73200000008</v>
      </c>
      <c r="Q77" s="1444">
        <f ca="1"/>
        <v>0</v>
      </c>
      <c r="R77" s="144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44">
        <f ca="1"/>
        <v>0</v>
      </c>
      <c r="P78" s="1444">
        <f ca="1"/>
        <v>0</v>
      </c>
      <c r="Q78" s="1444">
        <f ca="1"/>
        <v>0</v>
      </c>
      <c r="R78" s="144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44">
        <f ca="1"/>
        <v>0</v>
      </c>
      <c r="P79" s="1444">
        <f ca="1"/>
        <v>0</v>
      </c>
      <c r="Q79" s="1444">
        <f ca="1"/>
        <v>0</v>
      </c>
      <c r="R79" s="144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44">
        <f ca="1"/>
        <v>0</v>
      </c>
      <c r="P80" s="1444">
        <f ca="1"/>
        <v>0</v>
      </c>
      <c r="Q80" s="1444">
        <f ca="1"/>
        <v>0</v>
      </c>
      <c r="R80" s="144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44">
        <f ca="1"/>
        <v>115626.432</v>
      </c>
      <c r="P81" s="1444">
        <f ca="1"/>
        <v>0</v>
      </c>
      <c r="Q81" s="1444">
        <f ca="1"/>
        <v>372004.13199999998</v>
      </c>
      <c r="R81" s="144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44">
        <f ca="1"/>
        <v>0</v>
      </c>
      <c r="P82" s="1444">
        <f ca="1"/>
        <v>746675.16400000011</v>
      </c>
      <c r="Q82" s="1444">
        <f ca="1"/>
        <v>0</v>
      </c>
      <c r="R82" s="144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44">
        <f ca="1"/>
        <v>0</v>
      </c>
      <c r="P83" s="1444">
        <f ca="1"/>
        <v>0</v>
      </c>
      <c r="Q83" s="1444">
        <f ca="1"/>
        <v>0</v>
      </c>
      <c r="R83" s="144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44">
        <f ca="1"/>
        <v>0</v>
      </c>
      <c r="P84" s="1444">
        <f ca="1"/>
        <v>0</v>
      </c>
      <c r="Q84" s="1444">
        <f ca="1"/>
        <v>0</v>
      </c>
      <c r="R84" s="144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44">
        <f ca="1"/>
        <v>0</v>
      </c>
      <c r="P85" s="1444">
        <f ca="1"/>
        <v>0</v>
      </c>
      <c r="Q85" s="1444">
        <f ca="1"/>
        <v>0</v>
      </c>
      <c r="R85" s="144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44">
        <f ca="1"/>
        <v>0</v>
      </c>
      <c r="P86" s="1444">
        <f ca="1"/>
        <v>0</v>
      </c>
      <c r="Q86" s="1444">
        <f ca="1"/>
        <v>0</v>
      </c>
      <c r="R86" s="144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44">
        <f ca="1"/>
        <v>0</v>
      </c>
      <c r="P87" s="1444">
        <f ca="1"/>
        <v>0</v>
      </c>
      <c r="Q87" s="1444">
        <f ca="1"/>
        <v>0</v>
      </c>
      <c r="R87" s="144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44">
        <f ca="1"/>
        <v>0</v>
      </c>
      <c r="P88" s="1444">
        <f ca="1"/>
        <v>0</v>
      </c>
      <c r="Q88" s="1444">
        <f ca="1"/>
        <v>0</v>
      </c>
      <c r="R88" s="144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44">
        <f ca="1"/>
        <v>0</v>
      </c>
      <c r="P89" s="1444">
        <f ca="1"/>
        <v>0</v>
      </c>
      <c r="Q89" s="1444">
        <f ca="1"/>
        <v>0</v>
      </c>
      <c r="R89" s="144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44">
        <f ca="1"/>
        <v>0</v>
      </c>
      <c r="P90" s="1444">
        <f ca="1"/>
        <v>0</v>
      </c>
      <c r="Q90" s="1444">
        <f ca="1"/>
        <v>0</v>
      </c>
      <c r="R90" s="144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44">
        <f ca="1"/>
        <v>-163864.0001</v>
      </c>
      <c r="P91" s="1444">
        <f ca="1"/>
        <v>0</v>
      </c>
      <c r="Q91" s="1444">
        <f ca="1"/>
        <v>178688.69990000001</v>
      </c>
      <c r="R91" s="144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44">
        <f ca="1"/>
        <v>0</v>
      </c>
      <c r="P92" s="1444">
        <f ca="1"/>
        <v>582811.16390000004</v>
      </c>
      <c r="Q92" s="1444">
        <f ca="1"/>
        <v>0</v>
      </c>
      <c r="R92" s="144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44">
        <f ca="1"/>
        <v>0</v>
      </c>
      <c r="P93" s="1444">
        <f ca="1"/>
        <v>0</v>
      </c>
      <c r="Q93" s="1444">
        <f ca="1"/>
        <v>0</v>
      </c>
      <c r="R93" s="144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44">
        <f ca="1"/>
        <v>0</v>
      </c>
      <c r="P94" s="1444">
        <f ca="1"/>
        <v>0</v>
      </c>
      <c r="Q94" s="1444">
        <f ca="1"/>
        <v>0</v>
      </c>
      <c r="R94" s="144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44">
        <f ca="1"/>
        <v>0</v>
      </c>
      <c r="P95" s="1444">
        <f ca="1"/>
        <v>0</v>
      </c>
      <c r="Q95" s="1444">
        <f ca="1"/>
        <v>0</v>
      </c>
      <c r="R95" s="144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44">
        <f ca="1"/>
        <v>0</v>
      </c>
      <c r="P96" s="1444">
        <f ca="1"/>
        <v>0</v>
      </c>
      <c r="Q96" s="1444">
        <f ca="1"/>
        <v>0</v>
      </c>
      <c r="R96" s="144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44">
        <f ca="1"/>
        <v>0</v>
      </c>
      <c r="P97" s="1444">
        <f ca="1"/>
        <v>0</v>
      </c>
      <c r="Q97" s="1444">
        <f ca="1"/>
        <v>0</v>
      </c>
      <c r="R97" s="144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44">
        <f ca="1"/>
        <v>0</v>
      </c>
      <c r="P98" s="1444">
        <f ca="1"/>
        <v>0</v>
      </c>
      <c r="Q98" s="1444">
        <f ca="1"/>
        <v>0</v>
      </c>
      <c r="R98" s="144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44">
        <f ca="1"/>
        <v>0</v>
      </c>
      <c r="P99" s="1444">
        <f ca="1"/>
        <v>0</v>
      </c>
      <c r="Q99" s="1444">
        <f ca="1"/>
        <v>0</v>
      </c>
      <c r="R99" s="144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44">
        <f ca="1"/>
        <v>0</v>
      </c>
      <c r="P100" s="1444">
        <f ca="1"/>
        <v>0</v>
      </c>
      <c r="Q100" s="1444">
        <f ca="1"/>
        <v>0</v>
      </c>
      <c r="R100" s="144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44">
        <f ca="1"/>
        <v>0</v>
      </c>
      <c r="P101" s="1444">
        <f ca="1"/>
        <v>0</v>
      </c>
      <c r="Q101" s="1444">
        <f ca="1"/>
        <v>0</v>
      </c>
      <c r="R101" s="144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44">
        <f ca="1"/>
        <v>248687.5</v>
      </c>
      <c r="P102" s="1444">
        <f ca="1"/>
        <v>0</v>
      </c>
      <c r="Q102" s="1444">
        <f ca="1"/>
        <v>273187.5</v>
      </c>
      <c r="R102" s="144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44">
        <f ca="1"/>
        <v>0</v>
      </c>
      <c r="P103" s="1444">
        <f ca="1"/>
        <v>831498.66390000004</v>
      </c>
      <c r="Q103" s="1444">
        <f ca="1"/>
        <v>0</v>
      </c>
      <c r="R103" s="144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44">
        <f ca="1"/>
        <v>0</v>
      </c>
      <c r="P104" s="1444">
        <f ca="1"/>
        <v>0</v>
      </c>
      <c r="Q104" s="1444">
        <f ca="1"/>
        <v>0</v>
      </c>
      <c r="R104" s="144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44">
        <f ca="1"/>
        <v>0</v>
      </c>
      <c r="P105" s="1444">
        <f ca="1"/>
        <v>0</v>
      </c>
      <c r="Q105" s="1444">
        <f ca="1"/>
        <v>0</v>
      </c>
      <c r="R105" s="144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44">
        <f ca="1"/>
        <v>0</v>
      </c>
      <c r="P106" s="1444">
        <f ca="1"/>
        <v>0</v>
      </c>
      <c r="Q106" s="1444">
        <f ca="1"/>
        <v>0</v>
      </c>
      <c r="R106" s="144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44">
        <f ca="1"/>
        <v>-58222.5</v>
      </c>
      <c r="P107" s="1444">
        <f ca="1"/>
        <v>0</v>
      </c>
      <c r="Q107" s="1444">
        <f ca="1"/>
        <v>0</v>
      </c>
      <c r="R107" s="144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44">
        <f ca="1"/>
        <v>-76322.5</v>
      </c>
      <c r="P108" s="1444">
        <f ca="1"/>
        <v>773276.16390000004</v>
      </c>
      <c r="Q108" s="1444">
        <f ca="1"/>
        <v>16600</v>
      </c>
      <c r="R108" s="144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44">
        <f ca="1"/>
        <v>0</v>
      </c>
      <c r="P109" s="1444">
        <f ca="1"/>
        <v>1528452.3278000001</v>
      </c>
      <c r="Q109" s="1444">
        <f ca="1"/>
        <v>0</v>
      </c>
      <c r="R109" s="144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44">
        <f ca="1"/>
        <v>144579.5</v>
      </c>
      <c r="P110" s="1444">
        <f ca="1"/>
        <v>0</v>
      </c>
      <c r="Q110" s="1444">
        <f ca="1"/>
        <v>346414.3</v>
      </c>
      <c r="R110" s="144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44">
        <f ca="1"/>
        <v>0</v>
      </c>
      <c r="P111" s="1444">
        <f ca="1"/>
        <v>899755.66390000004</v>
      </c>
      <c r="Q111" s="1444">
        <f ca="1"/>
        <v>0</v>
      </c>
      <c r="R111" s="144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44">
        <f ca="1"/>
        <v>0</v>
      </c>
      <c r="P112" s="1444">
        <f ca="1"/>
        <v>0</v>
      </c>
      <c r="Q112" s="1444">
        <f ca="1"/>
        <v>0</v>
      </c>
      <c r="R112" s="144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44">
        <f ca="1"/>
        <v>0</v>
      </c>
      <c r="P113" s="1444">
        <f ca="1"/>
        <v>0</v>
      </c>
      <c r="Q113" s="1444">
        <f ca="1"/>
        <v>0</v>
      </c>
      <c r="R113" s="144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44">
        <f ca="1"/>
        <v>0</v>
      </c>
      <c r="P114" s="1444">
        <f ca="1"/>
        <v>0</v>
      </c>
      <c r="Q114" s="1444">
        <f ca="1"/>
        <v>0</v>
      </c>
      <c r="R114" s="144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44">
        <f ca="1"/>
        <v>0</v>
      </c>
      <c r="P115" s="1444">
        <f ca="1"/>
        <v>0</v>
      </c>
      <c r="Q115" s="1444">
        <f ca="1"/>
        <v>0</v>
      </c>
      <c r="R115" s="144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44">
        <f ca="1"/>
        <v>0</v>
      </c>
      <c r="P116" s="1444">
        <f ca="1"/>
        <v>0</v>
      </c>
      <c r="Q116" s="1444">
        <f ca="1"/>
        <v>0</v>
      </c>
      <c r="R116" s="144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44">
        <f ca="1"/>
        <v>0</v>
      </c>
      <c r="P117" s="1444">
        <f ca="1"/>
        <v>0</v>
      </c>
      <c r="Q117" s="1444">
        <f ca="1"/>
        <v>0</v>
      </c>
      <c r="R117" s="144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44">
        <f ca="1"/>
        <v>0</v>
      </c>
      <c r="P118" s="1444">
        <f ca="1"/>
        <v>0</v>
      </c>
      <c r="Q118" s="1444">
        <f ca="1"/>
        <v>0</v>
      </c>
      <c r="R118" s="144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44">
        <f ca="1"/>
        <v>0</v>
      </c>
      <c r="P119" s="1444">
        <f ca="1"/>
        <v>0</v>
      </c>
      <c r="Q119" s="1444">
        <f ca="1"/>
        <v>0</v>
      </c>
      <c r="R119" s="144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44">
        <f ca="1"/>
        <v>310489.75</v>
      </c>
      <c r="P120" s="1444">
        <f ca="1"/>
        <v>0</v>
      </c>
      <c r="Q120" s="1444">
        <f ca="1"/>
        <v>533342</v>
      </c>
      <c r="R120" s="144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44">
        <f ca="1"/>
        <v>0</v>
      </c>
      <c r="P121" s="1444">
        <f ca="1"/>
        <v>1210245.4139</v>
      </c>
      <c r="Q121" s="1444">
        <f ca="1"/>
        <v>0</v>
      </c>
      <c r="R121" s="144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44">
        <f ca="1"/>
        <v>0</v>
      </c>
      <c r="P122" s="1444">
        <f ca="1"/>
        <v>0</v>
      </c>
      <c r="Q122" s="1444">
        <f ca="1"/>
        <v>0</v>
      </c>
      <c r="R122" s="144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44">
        <f ca="1"/>
        <v>0</v>
      </c>
      <c r="P123" s="1444">
        <f ca="1"/>
        <v>0</v>
      </c>
      <c r="Q123" s="1444">
        <f ca="1"/>
        <v>0</v>
      </c>
      <c r="R123" s="144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44">
        <f ca="1"/>
        <v>0</v>
      </c>
      <c r="P124" s="1444">
        <f ca="1"/>
        <v>0</v>
      </c>
      <c r="Q124" s="1444">
        <f ca="1"/>
        <v>0</v>
      </c>
      <c r="R124" s="144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44">
        <f ca="1"/>
        <v>0</v>
      </c>
      <c r="P125" s="1444">
        <f ca="1"/>
        <v>0</v>
      </c>
      <c r="Q125" s="1444">
        <f ca="1"/>
        <v>0</v>
      </c>
      <c r="R125" s="144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44">
        <f ca="1"/>
        <v>0</v>
      </c>
      <c r="P126" s="1444">
        <f ca="1"/>
        <v>0</v>
      </c>
      <c r="Q126" s="1444">
        <f ca="1"/>
        <v>0</v>
      </c>
      <c r="R126" s="144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44">
        <f ca="1"/>
        <v>0</v>
      </c>
      <c r="P127" s="1444">
        <f ca="1"/>
        <v>0</v>
      </c>
      <c r="Q127" s="1444">
        <f ca="1"/>
        <v>0</v>
      </c>
      <c r="R127" s="144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44">
        <f ca="1"/>
        <v>0</v>
      </c>
      <c r="P128" s="1444">
        <f ca="1"/>
        <v>0</v>
      </c>
      <c r="Q128" s="1444">
        <f ca="1"/>
        <v>0</v>
      </c>
      <c r="R128" s="144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44">
        <f ca="1"/>
        <v>0</v>
      </c>
      <c r="P129" s="1444">
        <f ca="1"/>
        <v>0</v>
      </c>
      <c r="Q129" s="1444">
        <f ca="1"/>
        <v>0</v>
      </c>
      <c r="R129" s="144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44">
        <f ca="1"/>
        <v>0</v>
      </c>
      <c r="P130" s="1444">
        <f ca="1"/>
        <v>0</v>
      </c>
      <c r="Q130" s="1444">
        <f ca="1"/>
        <v>0</v>
      </c>
      <c r="R130" s="144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44">
        <f ca="1"/>
        <v>-118176.95999999999</v>
      </c>
      <c r="P131" s="1444">
        <f ca="1"/>
        <v>0</v>
      </c>
      <c r="Q131" s="1444">
        <f ca="1"/>
        <v>206539.84</v>
      </c>
      <c r="R131" s="144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44">
        <f ca="1"/>
        <v>0</v>
      </c>
      <c r="P132" s="1444">
        <f ca="1"/>
        <v>1092068.4539000001</v>
      </c>
      <c r="Q132" s="1444">
        <f ca="1"/>
        <v>0</v>
      </c>
      <c r="R132" s="144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44">
        <f ca="1"/>
        <v>0</v>
      </c>
      <c r="P133" s="1444">
        <f ca="1"/>
        <v>0</v>
      </c>
      <c r="Q133" s="1444">
        <f ca="1"/>
        <v>0</v>
      </c>
      <c r="R133" s="144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44">
        <f ca="1"/>
        <v>0</v>
      </c>
      <c r="P134" s="1444">
        <f ca="1"/>
        <v>0</v>
      </c>
      <c r="Q134" s="1444">
        <f ca="1"/>
        <v>0</v>
      </c>
      <c r="R134" s="144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44">
        <f ca="1"/>
        <v>0</v>
      </c>
      <c r="P135" s="1444">
        <f ca="1"/>
        <v>0</v>
      </c>
      <c r="Q135" s="1444">
        <f ca="1"/>
        <v>0</v>
      </c>
      <c r="R135" s="144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44">
        <f ca="1"/>
        <v>0</v>
      </c>
      <c r="P136" s="1444">
        <f ca="1"/>
        <v>0</v>
      </c>
      <c r="Q136" s="1444">
        <f ca="1"/>
        <v>0</v>
      </c>
      <c r="R136" s="144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44">
        <f ca="1"/>
        <v>0</v>
      </c>
      <c r="P137" s="1444">
        <f ca="1"/>
        <v>0</v>
      </c>
      <c r="Q137" s="1444">
        <f ca="1"/>
        <v>0</v>
      </c>
      <c r="R137" s="144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44">
        <f ca="1"/>
        <v>0</v>
      </c>
      <c r="P138" s="1444">
        <f ca="1"/>
        <v>0</v>
      </c>
      <c r="Q138" s="1444">
        <f ca="1"/>
        <v>0</v>
      </c>
      <c r="R138" s="144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44">
        <f ca="1"/>
        <v>0</v>
      </c>
      <c r="P139" s="1444">
        <f ca="1"/>
        <v>0</v>
      </c>
      <c r="Q139" s="1444">
        <f ca="1"/>
        <v>0</v>
      </c>
      <c r="R139" s="144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44">
        <f ca="1"/>
        <v>0</v>
      </c>
      <c r="P140" s="1444">
        <f ca="1"/>
        <v>0</v>
      </c>
      <c r="Q140" s="1444">
        <f ca="1"/>
        <v>0</v>
      </c>
      <c r="R140" s="144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44">
        <f ca="1"/>
        <v>-33700</v>
      </c>
      <c r="P141" s="1444">
        <f ca="1"/>
        <v>0</v>
      </c>
      <c r="Q141" s="1444">
        <f ca="1"/>
        <v>0</v>
      </c>
      <c r="R141" s="144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44">
        <f ca="1"/>
        <v>-360478.51</v>
      </c>
      <c r="P142" s="1444">
        <f ca="1"/>
        <v>1058368.4539000001</v>
      </c>
      <c r="Q142" s="1444">
        <f ca="1"/>
        <v>126420</v>
      </c>
      <c r="R142" s="144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44">
        <f ca="1"/>
        <v>0</v>
      </c>
      <c r="P143" s="1444">
        <f ca="1"/>
        <v>1789958.3978000002</v>
      </c>
      <c r="Q143" s="1444">
        <f ca="1"/>
        <v>0</v>
      </c>
      <c r="R143" s="144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44">
        <f ca="1"/>
        <v>0</v>
      </c>
      <c r="P144" s="1444">
        <f ca="1"/>
        <v>0</v>
      </c>
      <c r="Q144" s="1444">
        <f ca="1"/>
        <v>0</v>
      </c>
      <c r="R144" s="144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44">
        <f ca="1"/>
        <v>0</v>
      </c>
      <c r="P145" s="1444">
        <f ca="1"/>
        <v>0</v>
      </c>
      <c r="Q145" s="1444">
        <f ca="1"/>
        <v>0</v>
      </c>
      <c r="R145" s="144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44">
        <f ca="1"/>
        <v>0</v>
      </c>
      <c r="P146" s="1444">
        <f ca="1"/>
        <v>0</v>
      </c>
      <c r="Q146" s="1444">
        <f ca="1"/>
        <v>0</v>
      </c>
      <c r="R146" s="144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44">
        <f ca="1"/>
        <v>0</v>
      </c>
      <c r="P147" s="1444">
        <f ca="1"/>
        <v>0</v>
      </c>
      <c r="Q147" s="1444">
        <f ca="1"/>
        <v>0</v>
      </c>
      <c r="R147" s="144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44">
        <f ca="1"/>
        <v>0</v>
      </c>
      <c r="P148" s="1444">
        <f ca="1"/>
        <v>0</v>
      </c>
      <c r="Q148" s="1444">
        <f ca="1"/>
        <v>0</v>
      </c>
      <c r="R148" s="144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44">
        <f ca="1"/>
        <v>0</v>
      </c>
      <c r="P149" s="1444">
        <f ca="1"/>
        <v>0</v>
      </c>
      <c r="Q149" s="1444">
        <f ca="1"/>
        <v>0</v>
      </c>
      <c r="R149" s="144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44">
        <f ca="1"/>
        <v>0</v>
      </c>
      <c r="P150" s="1444">
        <f ca="1"/>
        <v>0</v>
      </c>
      <c r="Q150" s="1444">
        <f ca="1"/>
        <v>0</v>
      </c>
      <c r="R150" s="144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44">
        <f ca="1"/>
        <v>0</v>
      </c>
      <c r="P151" s="1444">
        <f ca="1"/>
        <v>0</v>
      </c>
      <c r="Q151" s="1444">
        <f ca="1"/>
        <v>0</v>
      </c>
      <c r="R151" s="144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44">
        <f ca="1"/>
        <v>0</v>
      </c>
      <c r="P152" s="1444">
        <f ca="1"/>
        <v>0</v>
      </c>
      <c r="Q152" s="1444">
        <f ca="1"/>
        <v>0</v>
      </c>
      <c r="R152" s="144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44">
        <f ca="1"/>
        <v>0</v>
      </c>
      <c r="P153" s="1444">
        <f ca="1"/>
        <v>0</v>
      </c>
      <c r="Q153" s="1444">
        <f ca="1"/>
        <v>0</v>
      </c>
      <c r="R153" s="144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44">
        <f ca="1"/>
        <v>-77950.62</v>
      </c>
      <c r="P154" s="1444">
        <f ca="1"/>
        <v>0</v>
      </c>
      <c r="Q154" s="1444">
        <f ca="1"/>
        <v>293444.38</v>
      </c>
      <c r="R154" s="144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44">
        <f ca="1"/>
        <v>0</v>
      </c>
      <c r="P155" s="1444">
        <f ca="1"/>
        <v>653639.32390000008</v>
      </c>
      <c r="Q155" s="1444">
        <f ca="1"/>
        <v>0</v>
      </c>
      <c r="R155" s="144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44">
        <f ca="1"/>
        <v>0</v>
      </c>
      <c r="P156" s="1444">
        <f ca="1"/>
        <v>0</v>
      </c>
      <c r="Q156" s="1444">
        <f ca="1"/>
        <v>0</v>
      </c>
      <c r="R156" s="144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44">
        <f ca="1"/>
        <v>0</v>
      </c>
      <c r="P157" s="1444">
        <f ca="1"/>
        <v>0</v>
      </c>
      <c r="Q157" s="1444">
        <f ca="1"/>
        <v>0</v>
      </c>
      <c r="R157" s="144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44">
        <f ca="1"/>
        <v>0</v>
      </c>
      <c r="P158" s="1444">
        <f ca="1"/>
        <v>0</v>
      </c>
      <c r="Q158" s="1444">
        <f ca="1"/>
        <v>0</v>
      </c>
      <c r="R158" s="144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44">
        <f ca="1"/>
        <v>0</v>
      </c>
      <c r="P159" s="1444">
        <f ca="1"/>
        <v>0</v>
      </c>
      <c r="Q159" s="1444">
        <f ca="1"/>
        <v>0</v>
      </c>
      <c r="R159" s="144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44">
        <f ca="1"/>
        <v>0</v>
      </c>
      <c r="P160" s="1444">
        <f ca="1"/>
        <v>0</v>
      </c>
      <c r="Q160" s="1444">
        <f ca="1"/>
        <v>0</v>
      </c>
      <c r="R160" s="144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44">
        <f ca="1"/>
        <v>0</v>
      </c>
      <c r="P161" s="1444">
        <f ca="1"/>
        <v>0</v>
      </c>
      <c r="Q161" s="1444">
        <f ca="1"/>
        <v>0</v>
      </c>
      <c r="R161" s="144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44">
        <f ca="1"/>
        <v>0</v>
      </c>
      <c r="P162" s="1444">
        <f ca="1"/>
        <v>0</v>
      </c>
      <c r="Q162" s="1444">
        <f ca="1"/>
        <v>0</v>
      </c>
      <c r="R162" s="144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44">
        <f ca="1"/>
        <v>0</v>
      </c>
      <c r="P163" s="1444">
        <f ca="1"/>
        <v>0</v>
      </c>
      <c r="Q163" s="1444">
        <f ca="1"/>
        <v>0</v>
      </c>
      <c r="R163" s="144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44">
        <f ca="1"/>
        <v>61566.292000000001</v>
      </c>
      <c r="P164" s="1444">
        <f ca="1"/>
        <v>0</v>
      </c>
      <c r="Q164" s="1444">
        <f ca="1"/>
        <v>70096</v>
      </c>
      <c r="R164" s="144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44">
        <f ca="1"/>
        <v>0</v>
      </c>
      <c r="P165" s="1444">
        <f ca="1"/>
        <v>715205.61590000009</v>
      </c>
      <c r="Q165" s="1444">
        <f ca="1"/>
        <v>0</v>
      </c>
      <c r="R165" s="144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44">
        <f ca="1"/>
        <v>-141324.100274</v>
      </c>
      <c r="P166" s="1444">
        <f ca="1"/>
        <v>0</v>
      </c>
      <c r="Q166" s="1444">
        <f ca="1"/>
        <v>106193.93</v>
      </c>
      <c r="R166" s="144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44">
        <f ca="1"/>
        <v>0</v>
      </c>
      <c r="P167" s="1444">
        <f ca="1"/>
        <v>573881.51562600012</v>
      </c>
      <c r="Q167" s="1444">
        <f ca="1"/>
        <v>0</v>
      </c>
      <c r="R167" s="144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44">
        <f ca="1"/>
        <v>0</v>
      </c>
      <c r="P168" s="1444">
        <f ca="1"/>
        <v>0</v>
      </c>
      <c r="Q168" s="1444">
        <f ca="1"/>
        <v>0</v>
      </c>
      <c r="R168" s="144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44">
        <f ca="1"/>
        <v>0</v>
      </c>
      <c r="P169" s="1444">
        <f ca="1"/>
        <v>0</v>
      </c>
      <c r="Q169" s="1444">
        <f ca="1"/>
        <v>0</v>
      </c>
      <c r="R169" s="144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44">
        <f ca="1"/>
        <v>0</v>
      </c>
      <c r="P170" s="1444">
        <f ca="1"/>
        <v>0</v>
      </c>
      <c r="Q170" s="1444">
        <f ca="1"/>
        <v>0</v>
      </c>
      <c r="R170" s="144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44">
        <f ca="1"/>
        <v>0</v>
      </c>
      <c r="P171" s="1444">
        <f ca="1"/>
        <v>0</v>
      </c>
      <c r="Q171" s="1444">
        <f ca="1"/>
        <v>0</v>
      </c>
      <c r="R171" s="144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44">
        <f ca="1"/>
        <v>360547.32499999995</v>
      </c>
      <c r="P172" s="1444">
        <f ca="1"/>
        <v>0</v>
      </c>
      <c r="Q172" s="1444">
        <f ca="1"/>
        <v>551832.32499999995</v>
      </c>
      <c r="R172" s="144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44">
        <f ca="1"/>
        <v>0</v>
      </c>
      <c r="P173" s="1444">
        <f ca="1"/>
        <v>934428.84062600008</v>
      </c>
      <c r="Q173" s="1444">
        <f ca="1"/>
        <v>0</v>
      </c>
      <c r="R173" s="144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44">
        <f ca="1"/>
        <v>0</v>
      </c>
      <c r="P174" s="1444">
        <f ca="1"/>
        <v>0</v>
      </c>
      <c r="Q174" s="1444">
        <f ca="1"/>
        <v>0</v>
      </c>
      <c r="R174" s="144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44">
        <f ca="1"/>
        <v>0</v>
      </c>
      <c r="P175" s="1444">
        <f ca="1"/>
        <v>0</v>
      </c>
      <c r="Q175" s="1444">
        <f ca="1"/>
        <v>0</v>
      </c>
      <c r="R175" s="144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44">
        <f ca="1"/>
        <v>0</v>
      </c>
      <c r="P176" s="1444">
        <f ca="1"/>
        <v>0</v>
      </c>
      <c r="Q176" s="1444">
        <f ca="1"/>
        <v>0</v>
      </c>
      <c r="R176" s="144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44">
        <f ca="1"/>
        <v>0</v>
      </c>
      <c r="P177" s="1444">
        <f ca="1"/>
        <v>0</v>
      </c>
      <c r="Q177" s="1444">
        <f ca="1"/>
        <v>0</v>
      </c>
      <c r="R177" s="144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44">
        <f ca="1"/>
        <v>0</v>
      </c>
      <c r="P178" s="1444">
        <f ca="1"/>
        <v>0</v>
      </c>
      <c r="Q178" s="1444">
        <f ca="1"/>
        <v>0</v>
      </c>
      <c r="R178" s="144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44">
        <f ca="1"/>
        <v>-937150.96999199991</v>
      </c>
      <c r="P179" s="1444">
        <f ca="1"/>
        <v>0</v>
      </c>
      <c r="Q179" s="1444">
        <f ca="1"/>
        <v>284248.55000000005</v>
      </c>
      <c r="R179" s="144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44">
        <f ca="1"/>
        <v>0</v>
      </c>
      <c r="P180" s="1444">
        <f ca="1"/>
        <v>-2722.1293659998337</v>
      </c>
      <c r="Q180" s="1444">
        <f ca="1"/>
        <v>0</v>
      </c>
      <c r="R180" s="144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44">
        <f ca="1"/>
        <v>0</v>
      </c>
      <c r="P181" s="1444">
        <f ca="1"/>
        <v>0</v>
      </c>
      <c r="Q181" s="1444">
        <f ca="1"/>
        <v>0</v>
      </c>
      <c r="R181" s="144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44">
        <f ca="1"/>
        <v>0</v>
      </c>
      <c r="P182" s="1444">
        <f ca="1"/>
        <v>0</v>
      </c>
      <c r="Q182" s="1444">
        <f ca="1"/>
        <v>0</v>
      </c>
      <c r="R182" s="144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44">
        <f ca="1"/>
        <v>0</v>
      </c>
      <c r="P183" s="1444">
        <f ca="1"/>
        <v>0</v>
      </c>
      <c r="Q183" s="1444">
        <f ca="1"/>
        <v>0</v>
      </c>
      <c r="R183" s="144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44">
        <f ca="1"/>
        <v>0</v>
      </c>
      <c r="P184" s="1444">
        <f ca="1"/>
        <v>0</v>
      </c>
      <c r="Q184" s="1444">
        <f ca="1"/>
        <v>0</v>
      </c>
      <c r="R184" s="144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44">
        <f ca="1"/>
        <v>181614.23199999999</v>
      </c>
      <c r="P185" s="1444">
        <f ca="1"/>
        <v>0</v>
      </c>
      <c r="Q185" s="1444">
        <f ca="1"/>
        <v>308616.23199999996</v>
      </c>
      <c r="R185" s="144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44">
        <f ca="1"/>
        <v>0</v>
      </c>
      <c r="P186" s="1444">
        <f ca="1"/>
        <v>178892.10263400016</v>
      </c>
      <c r="Q186" s="1444">
        <f ca="1"/>
        <v>0</v>
      </c>
      <c r="R186" s="144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44">
        <f ca="1"/>
        <v>0</v>
      </c>
      <c r="P187" s="1444">
        <f ca="1"/>
        <v>0</v>
      </c>
      <c r="Q187" s="1444">
        <f ca="1"/>
        <v>0</v>
      </c>
      <c r="R187" s="144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44">
        <f ca="1"/>
        <v>0</v>
      </c>
      <c r="P188" s="1444">
        <f ca="1"/>
        <v>0</v>
      </c>
      <c r="Q188" s="1444">
        <f ca="1"/>
        <v>0</v>
      </c>
      <c r="R188" s="144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44">
        <f ca="1"/>
        <v>0</v>
      </c>
      <c r="P189" s="1444">
        <f ca="1"/>
        <v>0</v>
      </c>
      <c r="Q189" s="1444">
        <f ca="1"/>
        <v>0</v>
      </c>
      <c r="R189" s="144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44">
        <f ca="1"/>
        <v>0</v>
      </c>
      <c r="P190" s="1444">
        <f ca="1"/>
        <v>0</v>
      </c>
      <c r="Q190" s="1444">
        <f ca="1"/>
        <v>0</v>
      </c>
      <c r="R190" s="144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44">
        <f ca="1"/>
        <v>246702.07050000003</v>
      </c>
      <c r="P191" s="1444">
        <f ca="1"/>
        <v>0</v>
      </c>
      <c r="Q191" s="1444">
        <f ca="1"/>
        <v>246702.07050000003</v>
      </c>
      <c r="R191" s="144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44">
        <f ca="1"/>
        <v>0</v>
      </c>
      <c r="P192" s="1444">
        <f ca="1"/>
        <v>425594.17313400016</v>
      </c>
      <c r="Q192" s="1444">
        <f ca="1"/>
        <v>0</v>
      </c>
      <c r="R192" s="144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44">
        <f ca="1"/>
        <v>0</v>
      </c>
      <c r="P193" s="1444">
        <f ca="1"/>
        <v>0</v>
      </c>
      <c r="Q193" s="1444">
        <f ca="1"/>
        <v>0</v>
      </c>
      <c r="R193" s="144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44">
        <f ca="1"/>
        <v>0</v>
      </c>
      <c r="P194" s="1444">
        <f ca="1"/>
        <v>0</v>
      </c>
      <c r="Q194" s="1444">
        <f ca="1"/>
        <v>0</v>
      </c>
      <c r="R194" s="144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44">
        <f ca="1"/>
        <v>-41258.44</v>
      </c>
      <c r="P195" s="1444">
        <f ca="1"/>
        <v>0</v>
      </c>
      <c r="Q195" s="1444">
        <f ca="1"/>
        <v>99472.950000000012</v>
      </c>
      <c r="R195" s="144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44">
        <f ca="1"/>
        <v>0</v>
      </c>
      <c r="P196" s="1444">
        <f ca="1"/>
        <v>384335.73313400015</v>
      </c>
      <c r="Q196" s="1444">
        <f ca="1"/>
        <v>0</v>
      </c>
      <c r="R196" s="144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44">
        <f ca="1"/>
        <v>0</v>
      </c>
      <c r="P197" s="1444">
        <f ca="1"/>
        <v>0</v>
      </c>
      <c r="Q197" s="1444">
        <f ca="1"/>
        <v>0</v>
      </c>
      <c r="R197" s="144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44">
        <f ca="1"/>
        <v>0</v>
      </c>
      <c r="P198" s="1444">
        <f ca="1"/>
        <v>0</v>
      </c>
      <c r="Q198" s="1444">
        <f ca="1"/>
        <v>0</v>
      </c>
      <c r="R198" s="144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44">
        <f ca="1"/>
        <v>0</v>
      </c>
      <c r="P199" s="1444">
        <f ca="1"/>
        <v>0</v>
      </c>
      <c r="Q199" s="1444">
        <f ca="1"/>
        <v>0</v>
      </c>
      <c r="R199" s="144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44">
        <f ca="1"/>
        <v>186431.2</v>
      </c>
      <c r="P200" s="1444">
        <f ca="1"/>
        <v>0</v>
      </c>
      <c r="Q200" s="1444">
        <f ca="1"/>
        <v>350821.2</v>
      </c>
      <c r="R200" s="144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44">
        <f ca="1"/>
        <v>0</v>
      </c>
      <c r="P201" s="1444">
        <f ca="1"/>
        <v>570766.93313400017</v>
      </c>
      <c r="Q201" s="1444">
        <f ca="1"/>
        <v>0</v>
      </c>
      <c r="R201" s="144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44">
        <f ca="1"/>
        <v>0</v>
      </c>
      <c r="P202" s="1444">
        <f ca="1"/>
        <v>0</v>
      </c>
      <c r="Q202" s="1444">
        <f ca="1"/>
        <v>0</v>
      </c>
      <c r="R202" s="1444">
        <f ca="1"/>
        <v>0</v>
      </c>
    </row>
    <row r="203" spans="1:18" hidden="1">
      <c r="A203" s="461">
        <v>45719</v>
      </c>
      <c r="B203" s="444" t="s">
        <v>1087</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44">
        <f ca="1"/>
        <v>0</v>
      </c>
      <c r="P203" s="1444">
        <f ca="1"/>
        <v>0</v>
      </c>
      <c r="Q203" s="1444">
        <f ca="1"/>
        <v>0</v>
      </c>
      <c r="R203" s="144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44">
        <f ca="1"/>
        <v>0</v>
      </c>
      <c r="P204" s="1444">
        <f ca="1"/>
        <v>0</v>
      </c>
      <c r="Q204" s="1444">
        <f ca="1"/>
        <v>0</v>
      </c>
      <c r="R204" s="144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44">
        <f ca="1"/>
        <v>0</v>
      </c>
      <c r="P205" s="1444">
        <f ca="1"/>
        <v>0</v>
      </c>
      <c r="Q205" s="1444">
        <f ca="1"/>
        <v>0</v>
      </c>
      <c r="R205" s="144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44">
        <f ca="1"/>
        <v>0</v>
      </c>
      <c r="P206" s="1444">
        <f ca="1"/>
        <v>0</v>
      </c>
      <c r="Q206" s="1444">
        <f ca="1"/>
        <v>0</v>
      </c>
      <c r="R206" s="144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44">
        <f ca="1"/>
        <v>0</v>
      </c>
      <c r="P207" s="1444">
        <f ca="1"/>
        <v>0</v>
      </c>
      <c r="Q207" s="1444">
        <f ca="1"/>
        <v>0</v>
      </c>
      <c r="R207" s="144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44">
        <f ca="1"/>
        <v>-62136</v>
      </c>
      <c r="P208" s="1444">
        <f ca="1"/>
        <v>0</v>
      </c>
      <c r="Q208" s="1444">
        <f ca="1"/>
        <v>0</v>
      </c>
      <c r="R208" s="144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44">
        <f ca="1"/>
        <v>-93656</v>
      </c>
      <c r="P209" s="1444">
        <f ca="1"/>
        <v>508630.93313400017</v>
      </c>
      <c r="Q209" s="1444">
        <f ca="1"/>
        <v>0</v>
      </c>
      <c r="R209" s="144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44">
        <f ca="1"/>
        <v>-398051.5</v>
      </c>
      <c r="P210" s="1444">
        <f ca="1"/>
        <v>985741.86626800033</v>
      </c>
      <c r="Q210" s="1444">
        <f ca="1"/>
        <v>59233.5</v>
      </c>
      <c r="R210" s="144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44">
        <f ca="1"/>
        <v>0</v>
      </c>
      <c r="P211" s="1444">
        <f ca="1"/>
        <v>1158457.2994020004</v>
      </c>
      <c r="Q211" s="1444">
        <f ca="1"/>
        <v>0</v>
      </c>
      <c r="R211" s="144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44">
        <f ca="1"/>
        <v>0</v>
      </c>
      <c r="P212" s="1444">
        <f ca="1"/>
        <v>0</v>
      </c>
      <c r="Q212" s="1444">
        <f ca="1"/>
        <v>0</v>
      </c>
      <c r="R212" s="144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44">
        <f ca="1"/>
        <v>0</v>
      </c>
      <c r="P213" s="1444">
        <f ca="1"/>
        <v>0</v>
      </c>
      <c r="Q213" s="1444">
        <f ca="1"/>
        <v>0</v>
      </c>
      <c r="R213" s="144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44">
        <f ca="1"/>
        <v>0</v>
      </c>
      <c r="P214" s="1444">
        <f ca="1"/>
        <v>0</v>
      </c>
      <c r="Q214" s="1444">
        <f ca="1"/>
        <v>0</v>
      </c>
      <c r="R214" s="144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44">
        <f ca="1"/>
        <v>-4764.0779999999941</v>
      </c>
      <c r="P215" s="1444">
        <f ca="1"/>
        <v>0</v>
      </c>
      <c r="Q215" s="1444">
        <f ca="1"/>
        <v>237449</v>
      </c>
      <c r="R215" s="144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44">
        <f ca="1"/>
        <v>0</v>
      </c>
      <c r="P216" s="1444">
        <f ca="1"/>
        <v>167951.35513400019</v>
      </c>
      <c r="Q216" s="1444">
        <f ca="1"/>
        <v>0</v>
      </c>
      <c r="R216" s="144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44">
        <f ca="1"/>
        <v>0</v>
      </c>
      <c r="P217" s="1444">
        <f ca="1"/>
        <v>0</v>
      </c>
      <c r="Q217" s="1444">
        <f ca="1"/>
        <v>0</v>
      </c>
      <c r="R217" s="144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44">
        <f ca="1"/>
        <v>0</v>
      </c>
      <c r="P218" s="1444">
        <f ca="1"/>
        <v>0</v>
      </c>
      <c r="Q218" s="1444">
        <f ca="1"/>
        <v>0</v>
      </c>
      <c r="R218" s="144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44">
        <f ca="1"/>
        <v>0</v>
      </c>
      <c r="P219" s="1444">
        <f ca="1"/>
        <v>0</v>
      </c>
      <c r="Q219" s="1444">
        <f ca="1"/>
        <v>0</v>
      </c>
      <c r="R219" s="144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44">
        <f ca="1"/>
        <v>0</v>
      </c>
      <c r="P220" s="1444">
        <f ca="1"/>
        <v>0</v>
      </c>
      <c r="Q220" s="1444">
        <f ca="1"/>
        <v>0</v>
      </c>
      <c r="R220" s="144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44">
        <f ca="1"/>
        <v>0</v>
      </c>
      <c r="P221" s="1444">
        <f ca="1"/>
        <v>0</v>
      </c>
      <c r="Q221" s="1444">
        <f ca="1"/>
        <v>0</v>
      </c>
      <c r="R221" s="144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44">
        <f ca="1"/>
        <v>0</v>
      </c>
      <c r="P222" s="1444">
        <f ca="1"/>
        <v>0</v>
      </c>
      <c r="Q222" s="1444">
        <f ca="1"/>
        <v>0</v>
      </c>
      <c r="R222" s="144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44">
        <f ca="1"/>
        <v>-22542.5</v>
      </c>
      <c r="P223" s="1444">
        <f ca="1"/>
        <v>0</v>
      </c>
      <c r="Q223" s="1444">
        <f ca="1"/>
        <v>91980</v>
      </c>
      <c r="R223" s="144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44">
        <f ca="1"/>
        <v>0</v>
      </c>
      <c r="P224" s="1444">
        <f ca="1"/>
        <v>145408.85513400019</v>
      </c>
      <c r="Q224" s="1444">
        <f ca="1"/>
        <v>0</v>
      </c>
      <c r="R224" s="144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44">
        <f ca="1"/>
        <v>0</v>
      </c>
      <c r="P225" s="1444">
        <f ca="1"/>
        <v>0</v>
      </c>
      <c r="Q225" s="1444">
        <f ca="1"/>
        <v>0</v>
      </c>
      <c r="R225" s="144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44">
        <f ca="1"/>
        <v>-52730</v>
      </c>
      <c r="P226" s="1444">
        <f ca="1"/>
        <v>0</v>
      </c>
      <c r="Q226" s="1444">
        <f ca="1"/>
        <v>0</v>
      </c>
      <c r="R226" s="144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44">
        <f ca="1"/>
        <v>0</v>
      </c>
      <c r="P227" s="1444">
        <f ca="1"/>
        <v>92678.855134000187</v>
      </c>
      <c r="Q227" s="1444">
        <f ca="1"/>
        <v>0</v>
      </c>
      <c r="R227" s="144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44">
        <f ca="1"/>
        <v>322582</v>
      </c>
      <c r="P228" s="1444">
        <f ca="1"/>
        <v>0</v>
      </c>
      <c r="Q228" s="1444">
        <f ca="1"/>
        <v>322582</v>
      </c>
      <c r="R228" s="144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44">
        <f ca="1"/>
        <v>0</v>
      </c>
      <c r="P229" s="1444">
        <f ca="1"/>
        <v>415260.85513400019</v>
      </c>
      <c r="Q229" s="1444">
        <f ca="1"/>
        <v>0</v>
      </c>
      <c r="R229" s="144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44">
        <f ca="1"/>
        <v>0</v>
      </c>
      <c r="P230" s="1444">
        <f ca="1"/>
        <v>0</v>
      </c>
      <c r="Q230" s="1444">
        <f ca="1"/>
        <v>0</v>
      </c>
      <c r="R230" s="144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44">
        <f ca="1"/>
        <v>-260330.36</v>
      </c>
      <c r="P231" s="1444">
        <f ca="1"/>
        <v>0</v>
      </c>
      <c r="Q231" s="1444">
        <f ca="1"/>
        <v>0</v>
      </c>
      <c r="R231" s="1444">
        <f ca="1"/>
        <v>-260330.36</v>
      </c>
    </row>
    <row r="232" spans="1:18" hidden="1">
      <c r="A232" s="461">
        <v>45736</v>
      </c>
      <c r="B232" s="444" t="s">
        <v>1681</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44">
        <f ca="1"/>
        <v>0</v>
      </c>
      <c r="P232" s="1444">
        <f ca="1"/>
        <v>154930.4951340002</v>
      </c>
      <c r="Q232" s="1444">
        <f ca="1"/>
        <v>0</v>
      </c>
      <c r="R232" s="144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44">
        <f ca="1"/>
        <v>43035</v>
      </c>
      <c r="P233" s="1444">
        <f ca="1"/>
        <v>0</v>
      </c>
      <c r="Q233" s="1444">
        <f ca="1"/>
        <v>43035</v>
      </c>
      <c r="R233" s="144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44">
        <f ca="1"/>
        <v>0</v>
      </c>
      <c r="P234" s="1444">
        <f ca="1"/>
        <v>197965.4951340002</v>
      </c>
      <c r="Q234" s="1444">
        <f ca="1"/>
        <v>0</v>
      </c>
      <c r="R234" s="144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44">
        <f ca="1"/>
        <v>-518276.568807</v>
      </c>
      <c r="P235" s="1444">
        <f ca="1"/>
        <v>0</v>
      </c>
      <c r="Q235" s="1444">
        <f ca="1"/>
        <v>0</v>
      </c>
      <c r="R235" s="144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44">
        <f ca="1"/>
        <v>0</v>
      </c>
      <c r="P236" s="1444">
        <f ca="1"/>
        <v>-320311.0736729998</v>
      </c>
      <c r="Q236" s="1444">
        <f ca="1"/>
        <v>0</v>
      </c>
      <c r="R236" s="144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44">
        <f ca="1"/>
        <v>0</v>
      </c>
      <c r="P237" s="1444">
        <f ca="1"/>
        <v>0</v>
      </c>
      <c r="Q237" s="1444">
        <f ca="1"/>
        <v>0</v>
      </c>
      <c r="R237" s="144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44">
        <f ca="1"/>
        <v>32075</v>
      </c>
      <c r="P238" s="1444">
        <f ca="1"/>
        <v>0</v>
      </c>
      <c r="Q238" s="1444">
        <f ca="1"/>
        <v>32075</v>
      </c>
      <c r="R238" s="144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44">
        <f ca="1"/>
        <v>0</v>
      </c>
      <c r="P239" s="1444">
        <f ca="1"/>
        <v>-288236.0736729998</v>
      </c>
      <c r="Q239" s="1444">
        <f ca="1"/>
        <v>0</v>
      </c>
      <c r="R239" s="144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44">
        <f ca="1"/>
        <v>-33075</v>
      </c>
      <c r="P240" s="1444">
        <f ca="1"/>
        <v>0</v>
      </c>
      <c r="Q240" s="1444">
        <f ca="1"/>
        <v>0</v>
      </c>
      <c r="R240" s="144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44">
        <f ca="1"/>
        <v>-227265</v>
      </c>
      <c r="P241" s="1444">
        <f ca="1"/>
        <v>-321311.0736729998</v>
      </c>
      <c r="Q241" s="1444">
        <f ca="1"/>
        <v>0</v>
      </c>
      <c r="R241" s="144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44">
        <f ca="1"/>
        <v>-248173.75</v>
      </c>
      <c r="P242" s="1444">
        <f ca="1"/>
        <v>-836812.14734599961</v>
      </c>
      <c r="Q242" s="1444">
        <f ca="1"/>
        <v>106150.82999999999</v>
      </c>
      <c r="R242" s="144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44">
        <f ca="1"/>
        <v>0</v>
      </c>
      <c r="P243" s="1444">
        <f ca="1"/>
        <v>-1373221.9710189993</v>
      </c>
      <c r="Q243" s="1444">
        <f ca="1"/>
        <v>0</v>
      </c>
      <c r="R243" s="144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44">
        <f ca="1"/>
        <v>0</v>
      </c>
      <c r="P244" s="1444">
        <f ca="1"/>
        <v>0</v>
      </c>
      <c r="Q244" s="1444">
        <f ca="1"/>
        <v>0</v>
      </c>
      <c r="R244" s="144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44">
        <f ca="1"/>
        <v>0</v>
      </c>
      <c r="P245" s="1444">
        <f ca="1"/>
        <v>0</v>
      </c>
      <c r="Q245" s="1444">
        <f ca="1"/>
        <v>0</v>
      </c>
      <c r="R245" s="144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44">
        <f ca="1"/>
        <v>0</v>
      </c>
      <c r="P246" s="1444">
        <f ca="1"/>
        <v>0</v>
      </c>
      <c r="Q246" s="1444">
        <f ca="1"/>
        <v>0</v>
      </c>
      <c r="R246" s="144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44">
        <f ca="1"/>
        <v>109715.4005</v>
      </c>
      <c r="P247" s="1444">
        <f ca="1"/>
        <v>0</v>
      </c>
      <c r="Q247" s="1444">
        <f ca="1"/>
        <v>109715.4005</v>
      </c>
      <c r="R247" s="144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44">
        <f ca="1"/>
        <v>0</v>
      </c>
      <c r="P248" s="1444">
        <f ca="1"/>
        <v>-426694.42317299987</v>
      </c>
      <c r="Q248" s="1444">
        <f ca="1"/>
        <v>0</v>
      </c>
      <c r="R248" s="144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44">
        <f ca="1"/>
        <v>-154345.20000000001</v>
      </c>
      <c r="P249" s="1444">
        <f ca="1"/>
        <v>0</v>
      </c>
      <c r="Q249" s="1444">
        <f ca="1"/>
        <v>52140</v>
      </c>
      <c r="R249" s="144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44">
        <f ca="1"/>
        <v>0</v>
      </c>
      <c r="P250" s="1444">
        <f ca="1"/>
        <v>-581039.62317299983</v>
      </c>
      <c r="Q250" s="1444">
        <f ca="1"/>
        <v>0</v>
      </c>
      <c r="R250" s="144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44">
        <f ca="1"/>
        <v>0</v>
      </c>
      <c r="P251" s="1444">
        <f ca="1"/>
        <v>0</v>
      </c>
      <c r="Q251" s="1444">
        <f ca="1"/>
        <v>0</v>
      </c>
      <c r="R251" s="144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44">
        <f ca="1"/>
        <v>0</v>
      </c>
      <c r="P252" s="1444">
        <f ca="1"/>
        <v>0</v>
      </c>
      <c r="Q252" s="1444">
        <f ca="1"/>
        <v>0</v>
      </c>
      <c r="R252" s="144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44">
        <f ca="1"/>
        <v>0</v>
      </c>
      <c r="P253" s="1444">
        <f ca="1"/>
        <v>0</v>
      </c>
      <c r="Q253" s="1444">
        <f ca="1"/>
        <v>0</v>
      </c>
      <c r="R253" s="144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44">
        <f ca="1"/>
        <v>-131590</v>
      </c>
      <c r="P254" s="1444">
        <f ca="1"/>
        <v>0</v>
      </c>
      <c r="Q254" s="1444">
        <f ca="1"/>
        <v>60050</v>
      </c>
      <c r="R254" s="144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44">
        <f ca="1"/>
        <v>0</v>
      </c>
      <c r="P255" s="1444">
        <f ca="1"/>
        <v>-712629.62317299983</v>
      </c>
      <c r="Q255" s="1444">
        <f ca="1"/>
        <v>0</v>
      </c>
      <c r="R255" s="144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44">
        <f ca="1"/>
        <v>-341340</v>
      </c>
      <c r="P256" s="1444">
        <f ca="1"/>
        <v>0</v>
      </c>
      <c r="Q256" s="1444">
        <f ca="1"/>
        <v>0</v>
      </c>
      <c r="R256" s="144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44">
        <f ca="1"/>
        <v>-564140</v>
      </c>
      <c r="P257" s="1444">
        <f ca="1"/>
        <v>-1053969.6231729998</v>
      </c>
      <c r="Q257" s="1444">
        <f ca="1"/>
        <v>0</v>
      </c>
      <c r="R257" s="144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44">
        <f ca="1"/>
        <v>-575090</v>
      </c>
      <c r="P258" s="1444">
        <f ca="1"/>
        <v>-2330739.2463459997</v>
      </c>
      <c r="Q258" s="1444">
        <f ca="1"/>
        <v>0</v>
      </c>
      <c r="R258" s="144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44">
        <f ca="1"/>
        <v>-818657.5</v>
      </c>
      <c r="P259" s="1444">
        <f ca="1"/>
        <v>-3618458.8695189995</v>
      </c>
      <c r="Q259" s="1444">
        <f ca="1"/>
        <v>0</v>
      </c>
      <c r="R259" s="144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44">
        <f ca="1"/>
        <v>0</v>
      </c>
      <c r="P260" s="1444">
        <f ca="1"/>
        <v>-5149745.9926919993</v>
      </c>
      <c r="Q260" s="1444">
        <f ca="1"/>
        <v>0</v>
      </c>
      <c r="R260" s="144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44">
        <f ca="1"/>
        <v>499130</v>
      </c>
      <c r="P261" s="1444">
        <f ca="1"/>
        <v>0</v>
      </c>
      <c r="Q261" s="1444">
        <f ca="1"/>
        <v>499130</v>
      </c>
      <c r="R261" s="144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44">
        <f ca="1"/>
        <v>0</v>
      </c>
      <c r="P262" s="1444">
        <f ca="1"/>
        <v>-1032157.1231729998</v>
      </c>
      <c r="Q262" s="1444">
        <f ca="1"/>
        <v>0</v>
      </c>
      <c r="R262" s="144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44">
        <f ca="1"/>
        <v>0</v>
      </c>
      <c r="P263" s="1444">
        <f ca="1"/>
        <v>0</v>
      </c>
      <c r="Q263" s="1444">
        <f ca="1"/>
        <v>0</v>
      </c>
      <c r="R263" s="144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44">
        <f ca="1"/>
        <v>0</v>
      </c>
      <c r="P264" s="1444">
        <f ca="1"/>
        <v>0</v>
      </c>
      <c r="Q264" s="1444">
        <f ca="1"/>
        <v>0</v>
      </c>
      <c r="R264" s="144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44">
        <f ca="1"/>
        <v>-48974.399999999994</v>
      </c>
      <c r="P265" s="1444">
        <f ca="1"/>
        <v>0</v>
      </c>
      <c r="Q265" s="1444">
        <f ca="1"/>
        <v>52300</v>
      </c>
      <c r="R265" s="144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44">
        <f ca="1"/>
        <v>0</v>
      </c>
      <c r="P266" s="1444">
        <f ca="1"/>
        <v>-1081131.5231729997</v>
      </c>
      <c r="Q266" s="1444">
        <f ca="1"/>
        <v>0</v>
      </c>
      <c r="R266" s="144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44">
        <f ca="1"/>
        <v>-34710</v>
      </c>
      <c r="P267" s="1444">
        <f ca="1"/>
        <v>0</v>
      </c>
      <c r="Q267" s="1444">
        <f ca="1"/>
        <v>0</v>
      </c>
      <c r="R267" s="144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44">
        <f ca="1"/>
        <v>-597079.5</v>
      </c>
      <c r="P268" s="1444">
        <f ca="1"/>
        <v>-1115841.5231729997</v>
      </c>
      <c r="Q268" s="1444">
        <f ca="1"/>
        <v>0</v>
      </c>
      <c r="R268" s="144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44">
        <f ca="1"/>
        <v>-717839.5</v>
      </c>
      <c r="P269" s="1444">
        <f ca="1"/>
        <v>-2794052.5463459995</v>
      </c>
      <c r="Q269" s="1444">
        <f ca="1"/>
        <v>0</v>
      </c>
      <c r="R269" s="144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44">
        <f ca="1"/>
        <v>-1140539.56</v>
      </c>
      <c r="P270" s="1444">
        <f ca="1"/>
        <v>-4593023.5695189992</v>
      </c>
      <c r="Q270" s="1444">
        <f ca="1"/>
        <v>0</v>
      </c>
      <c r="R270" s="144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44">
        <f ca="1"/>
        <v>0</v>
      </c>
      <c r="P271" s="1444">
        <f ca="1"/>
        <v>-6814694.6526919995</v>
      </c>
      <c r="Q271" s="1444">
        <f ca="1"/>
        <v>0</v>
      </c>
      <c r="R271" s="144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44">
        <f ca="1"/>
        <v>0</v>
      </c>
      <c r="P272" s="1444">
        <f ca="1"/>
        <v>0</v>
      </c>
      <c r="Q272" s="1444">
        <f ca="1"/>
        <v>0</v>
      </c>
      <c r="R272" s="144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44">
        <f ca="1"/>
        <v>0</v>
      </c>
      <c r="P273" s="1444">
        <f ca="1"/>
        <v>0</v>
      </c>
      <c r="Q273" s="1444">
        <f ca="1"/>
        <v>0</v>
      </c>
      <c r="R273" s="144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44">
        <f ca="1"/>
        <v>-463659.5</v>
      </c>
      <c r="P274" s="1444">
        <f ca="1"/>
        <v>0</v>
      </c>
      <c r="Q274" s="1444">
        <f ca="1"/>
        <v>0</v>
      </c>
      <c r="R274" s="144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44">
        <f ca="1"/>
        <v>0</v>
      </c>
      <c r="P275" s="1444">
        <f ca="1"/>
        <v>-2685330.5831729998</v>
      </c>
      <c r="Q275" s="1444">
        <f ca="1"/>
        <v>0</v>
      </c>
      <c r="R275" s="144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44">
        <f ca="1"/>
        <v>0</v>
      </c>
      <c r="P276" s="1444">
        <f ca="1"/>
        <v>0</v>
      </c>
      <c r="Q276" s="1444">
        <f ca="1"/>
        <v>0</v>
      </c>
      <c r="R276" s="144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44">
        <f ca="1"/>
        <v>0</v>
      </c>
      <c r="P277" s="1444">
        <f ca="1"/>
        <v>0</v>
      </c>
      <c r="Q277" s="1444">
        <f ca="1"/>
        <v>0</v>
      </c>
      <c r="R277" s="144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44">
        <f ca="1"/>
        <v>-70880</v>
      </c>
      <c r="P278" s="1444">
        <f ca="1"/>
        <v>0</v>
      </c>
      <c r="Q278" s="1444">
        <f ca="1"/>
        <v>0</v>
      </c>
      <c r="R278" s="144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44">
        <f ca="1"/>
        <v>-466780.00000000006</v>
      </c>
      <c r="P279" s="1444">
        <f ca="1"/>
        <v>-2756210.5831729998</v>
      </c>
      <c r="Q279" s="1444">
        <f ca="1"/>
        <v>0</v>
      </c>
      <c r="R279" s="144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44">
        <f ca="1"/>
        <v>0</v>
      </c>
      <c r="P280" s="1444">
        <f ca="1"/>
        <v>-5908321.1663459996</v>
      </c>
      <c r="Q280" s="1444">
        <f ca="1"/>
        <v>0</v>
      </c>
      <c r="R280" s="144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44">
        <f ca="1"/>
        <v>201572</v>
      </c>
      <c r="P281" s="1444">
        <f ca="1"/>
        <v>0</v>
      </c>
      <c r="Q281" s="1444">
        <f ca="1"/>
        <v>226752</v>
      </c>
      <c r="R281" s="144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44">
        <f ca="1"/>
        <v>0</v>
      </c>
      <c r="P282" s="1444">
        <f ca="1"/>
        <v>-2950538.5831729998</v>
      </c>
      <c r="Q282" s="1444">
        <f ca="1"/>
        <v>0</v>
      </c>
      <c r="R282" s="144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44">
        <f ca="1"/>
        <v>40039.56</v>
      </c>
      <c r="P283" s="1444">
        <f ca="1"/>
        <v>0</v>
      </c>
      <c r="Q283" s="1444">
        <f ca="1"/>
        <v>40039.56</v>
      </c>
      <c r="R283" s="144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44">
        <f ca="1"/>
        <v>343479.8725</v>
      </c>
      <c r="P284" s="1444">
        <f ca="1"/>
        <v>-2910499.0231729997</v>
      </c>
      <c r="Q284" s="1444">
        <f ca="1"/>
        <v>606369.87250000006</v>
      </c>
      <c r="R284" s="144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44">
        <f ca="1"/>
        <v>0</v>
      </c>
      <c r="P285" s="1444">
        <f ca="1"/>
        <v>-5517557.7338459995</v>
      </c>
      <c r="Q285" s="1444">
        <f ca="1"/>
        <v>0</v>
      </c>
      <c r="R285" s="144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44">
        <f ca="1"/>
        <v>0</v>
      </c>
      <c r="P286" s="1444">
        <f ca="1"/>
        <v>0</v>
      </c>
      <c r="Q286" s="1444">
        <f ca="1"/>
        <v>0</v>
      </c>
      <c r="R286" s="144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44">
        <f ca="1"/>
        <v>0</v>
      </c>
      <c r="P287" s="1444">
        <f ca="1"/>
        <v>0</v>
      </c>
      <c r="Q287" s="1444">
        <f ca="1"/>
        <v>0</v>
      </c>
      <c r="R287" s="144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44">
        <f ca="1"/>
        <v>0</v>
      </c>
      <c r="P288" s="1444">
        <f ca="1"/>
        <v>0</v>
      </c>
      <c r="Q288" s="1444">
        <f ca="1"/>
        <v>0</v>
      </c>
      <c r="R288" s="144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44">
        <f ca="1"/>
        <v>0</v>
      </c>
      <c r="P289" s="1444">
        <f ca="1"/>
        <v>0</v>
      </c>
      <c r="Q289" s="1444">
        <f ca="1"/>
        <v>0</v>
      </c>
      <c r="R289" s="144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44">
        <f ca="1"/>
        <v>0</v>
      </c>
      <c r="P290" s="1444">
        <f ca="1"/>
        <v>0</v>
      </c>
      <c r="Q290" s="1444">
        <f ca="1"/>
        <v>0</v>
      </c>
      <c r="R290" s="144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44">
        <f ca="1"/>
        <v>0</v>
      </c>
      <c r="P291" s="1444">
        <f ca="1"/>
        <v>0</v>
      </c>
      <c r="Q291" s="1444">
        <f ca="1"/>
        <v>0</v>
      </c>
      <c r="R291" s="144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44">
        <f ca="1"/>
        <v>0</v>
      </c>
      <c r="P292" s="1444">
        <f ca="1"/>
        <v>0</v>
      </c>
      <c r="Q292" s="1444">
        <f ca="1"/>
        <v>0</v>
      </c>
      <c r="R292" s="144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44">
        <f ca="1"/>
        <v>0</v>
      </c>
      <c r="P293" s="1444">
        <f ca="1"/>
        <v>0</v>
      </c>
      <c r="Q293" s="1444">
        <f ca="1"/>
        <v>0</v>
      </c>
      <c r="R293" s="144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44">
        <f ca="1"/>
        <v>0</v>
      </c>
      <c r="P294" s="1444">
        <f ca="1"/>
        <v>0</v>
      </c>
      <c r="Q294" s="1444">
        <f ca="1"/>
        <v>0</v>
      </c>
      <c r="R294" s="1444">
        <f ca="1"/>
        <v>0</v>
      </c>
    </row>
    <row r="295" spans="1:18" hidden="1">
      <c r="A295" s="447">
        <v>45786</v>
      </c>
      <c r="B295" s="460" t="s">
        <v>1776</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44">
        <f ca="1"/>
        <v>-7824.3</v>
      </c>
      <c r="P295" s="1444">
        <f ca="1"/>
        <v>0</v>
      </c>
      <c r="Q295" s="1444">
        <f ca="1"/>
        <v>0</v>
      </c>
      <c r="R295" s="144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44">
        <f ca="1"/>
        <v>-130494.3</v>
      </c>
      <c r="P296" s="1444">
        <f ca="1"/>
        <v>-2614883.0106729995</v>
      </c>
      <c r="Q296" s="1444">
        <f ca="1"/>
        <v>47470</v>
      </c>
      <c r="R296" s="144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44">
        <f ca="1"/>
        <v>0</v>
      </c>
      <c r="P297" s="1444">
        <f ca="1"/>
        <v>-5352436.0213459991</v>
      </c>
      <c r="Q297" s="1444">
        <f ca="1"/>
        <v>0</v>
      </c>
      <c r="R297" s="144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44">
        <f ca="1"/>
        <v>0</v>
      </c>
      <c r="P298" s="1444">
        <f ca="1"/>
        <v>0</v>
      </c>
      <c r="Q298" s="1444">
        <f ca="1"/>
        <v>0</v>
      </c>
      <c r="R298" s="1444">
        <f ca="1"/>
        <v>0</v>
      </c>
    </row>
    <row r="299" spans="1:18" hidden="1">
      <c r="A299" s="447">
        <v>45790</v>
      </c>
      <c r="B299" s="460" t="s">
        <v>1777</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44">
        <f ca="1"/>
        <v>-176524</v>
      </c>
      <c r="P299" s="1444">
        <f ca="1"/>
        <v>0</v>
      </c>
      <c r="Q299" s="1444">
        <f ca="1"/>
        <v>0</v>
      </c>
      <c r="R299" s="144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44">
        <f ca="1"/>
        <v>0</v>
      </c>
      <c r="P300" s="1444">
        <f ca="1"/>
        <v>-2914077.0106729995</v>
      </c>
      <c r="Q300" s="1444">
        <f ca="1"/>
        <v>0</v>
      </c>
      <c r="R300" s="144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44">
        <f ca="1"/>
        <v>0</v>
      </c>
      <c r="P301" s="1444">
        <f ca="1"/>
        <v>0</v>
      </c>
      <c r="Q301" s="1444">
        <f ca="1"/>
        <v>0</v>
      </c>
      <c r="R301" s="144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44">
        <f ca="1"/>
        <v>0</v>
      </c>
      <c r="P302" s="1444">
        <f ca="1"/>
        <v>0</v>
      </c>
      <c r="Q302" s="1444">
        <f ca="1"/>
        <v>0</v>
      </c>
      <c r="R302" s="144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44">
        <f ca="1"/>
        <v>0</v>
      </c>
      <c r="P303" s="1444">
        <f ca="1"/>
        <v>0</v>
      </c>
      <c r="Q303" s="1444">
        <f ca="1"/>
        <v>0</v>
      </c>
      <c r="R303" s="144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44">
        <f ca="1"/>
        <v>155430</v>
      </c>
      <c r="P304" s="1444">
        <f ca="1"/>
        <v>0</v>
      </c>
      <c r="Q304" s="1444">
        <f ca="1"/>
        <v>155430</v>
      </c>
      <c r="R304" s="144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44">
        <f ca="1"/>
        <v>0</v>
      </c>
      <c r="P305" s="1444">
        <f ca="1"/>
        <v>-2758647.0106729995</v>
      </c>
      <c r="Q305" s="1444">
        <f ca="1"/>
        <v>0</v>
      </c>
      <c r="R305" s="1444">
        <f ca="1"/>
        <v>0</v>
      </c>
    </row>
    <row r="306" spans="1:18" hidden="1">
      <c r="A306" s="447">
        <v>45793</v>
      </c>
      <c r="B306" s="460" t="s">
        <v>1804</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44">
        <f ca="1"/>
        <v>97956</v>
      </c>
      <c r="P306" s="1444">
        <f ca="1"/>
        <v>0</v>
      </c>
      <c r="Q306" s="1444">
        <f ca="1"/>
        <v>97956</v>
      </c>
      <c r="R306" s="1444">
        <f ca="1"/>
        <v>0</v>
      </c>
    </row>
    <row r="307" spans="1:18" hidden="1">
      <c r="A307" s="583" t="s">
        <v>1826</v>
      </c>
      <c r="B307" s="460" t="s">
        <v>1827</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44">
        <f ca="1"/>
        <v>-279286.5</v>
      </c>
      <c r="P307" s="1444">
        <f ca="1"/>
        <v>-2660691.0106729995</v>
      </c>
      <c r="Q307" s="1444">
        <f ca="1"/>
        <v>131541</v>
      </c>
      <c r="R307" s="1444">
        <f ca="1"/>
        <v>-410827.5</v>
      </c>
    </row>
    <row r="308" spans="1:18" hidden="1">
      <c r="A308" s="583" t="s">
        <v>1826</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44">
        <f ca="1"/>
        <v>0</v>
      </c>
      <c r="P308" s="1444">
        <f ca="1"/>
        <v>-5698624.5213459991</v>
      </c>
      <c r="Q308" s="1444">
        <f ca="1"/>
        <v>0</v>
      </c>
      <c r="R308" s="1444">
        <f ca="1"/>
        <v>0</v>
      </c>
    </row>
    <row r="309" spans="1:18" hidden="1">
      <c r="A309" s="583" t="s">
        <v>1826</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44">
        <f ca="1"/>
        <v>0</v>
      </c>
      <c r="P309" s="1444">
        <f ca="1"/>
        <v>0</v>
      </c>
      <c r="Q309" s="1444">
        <f ca="1"/>
        <v>0</v>
      </c>
      <c r="R309" s="144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44">
        <f ca="1"/>
        <v>1075210.3</v>
      </c>
      <c r="P310" s="1444">
        <f ca="1"/>
        <v>0</v>
      </c>
      <c r="Q310" s="1444">
        <f ca="1"/>
        <v>1075210.3</v>
      </c>
      <c r="R310" s="144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44">
        <f ca="1"/>
        <v>0</v>
      </c>
      <c r="P311" s="1444">
        <f ca="1"/>
        <v>-1962723.2106729995</v>
      </c>
      <c r="Q311" s="1444">
        <f ca="1"/>
        <v>0</v>
      </c>
      <c r="R311" s="144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44">
        <f ca="1"/>
        <v>0</v>
      </c>
      <c r="P312" s="1444">
        <f ca="1"/>
        <v>0</v>
      </c>
      <c r="Q312" s="1444">
        <f ca="1"/>
        <v>0</v>
      </c>
      <c r="R312" s="144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44">
        <f ca="1"/>
        <v>0</v>
      </c>
      <c r="P313" s="1444">
        <f ca="1"/>
        <v>0</v>
      </c>
      <c r="Q313" s="1444">
        <f ca="1"/>
        <v>0</v>
      </c>
      <c r="R313" s="144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44">
        <f ca="1"/>
        <v>0</v>
      </c>
      <c r="P314" s="1444">
        <f ca="1"/>
        <v>0</v>
      </c>
      <c r="Q314" s="1444">
        <f ca="1"/>
        <v>0</v>
      </c>
      <c r="R314" s="144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44">
        <f ca="1"/>
        <v>0</v>
      </c>
      <c r="P315" s="1444">
        <f ca="1"/>
        <v>0</v>
      </c>
      <c r="Q315" s="1444">
        <f ca="1"/>
        <v>0</v>
      </c>
      <c r="R315" s="144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44">
        <f ca="1"/>
        <v>0</v>
      </c>
      <c r="P316" s="1444">
        <f ca="1"/>
        <v>0</v>
      </c>
      <c r="Q316" s="1444">
        <f ca="1"/>
        <v>0</v>
      </c>
      <c r="R316" s="144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44">
        <f ca="1"/>
        <v>0</v>
      </c>
      <c r="P317" s="1444">
        <f ca="1"/>
        <v>0</v>
      </c>
      <c r="Q317" s="1444">
        <f ca="1"/>
        <v>0</v>
      </c>
      <c r="R317" s="144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44">
        <f ca="1"/>
        <v>0</v>
      </c>
      <c r="P318" s="1444">
        <f ca="1"/>
        <v>0</v>
      </c>
      <c r="Q318" s="1444">
        <f ca="1"/>
        <v>0</v>
      </c>
      <c r="R318" s="144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44">
        <f ca="1"/>
        <v>0</v>
      </c>
      <c r="P319" s="1444">
        <f ca="1"/>
        <v>0</v>
      </c>
      <c r="Q319" s="1444">
        <f ca="1"/>
        <v>0</v>
      </c>
      <c r="R319" s="144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44">
        <f ca="1"/>
        <v>0</v>
      </c>
      <c r="P320" s="1444">
        <f ca="1"/>
        <v>0</v>
      </c>
      <c r="Q320" s="1444">
        <f ca="1"/>
        <v>0</v>
      </c>
      <c r="R320" s="144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44">
        <f ca="1"/>
        <v>0</v>
      </c>
      <c r="P321" s="1444">
        <f ca="1"/>
        <v>0</v>
      </c>
      <c r="Q321" s="1444">
        <f ca="1"/>
        <v>0</v>
      </c>
      <c r="R321" s="144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44">
        <f ca="1"/>
        <v>0</v>
      </c>
      <c r="P322" s="1444">
        <f ca="1"/>
        <v>0</v>
      </c>
      <c r="Q322" s="1444">
        <f ca="1"/>
        <v>0</v>
      </c>
      <c r="R322" s="144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44">
        <f ca="1"/>
        <v>0</v>
      </c>
      <c r="P323" s="1444">
        <f ca="1"/>
        <v>0</v>
      </c>
      <c r="Q323" s="1444">
        <f ca="1"/>
        <v>0</v>
      </c>
      <c r="R323" s="144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44">
        <f ca="1"/>
        <v>0</v>
      </c>
      <c r="P324" s="1444">
        <f ca="1"/>
        <v>0</v>
      </c>
      <c r="Q324" s="1444">
        <f ca="1"/>
        <v>0</v>
      </c>
      <c r="R324" s="144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44">
        <f ca="1"/>
        <v>0</v>
      </c>
      <c r="P325" s="1444">
        <f ca="1"/>
        <v>0</v>
      </c>
      <c r="Q325" s="1444">
        <f ca="1"/>
        <v>0</v>
      </c>
      <c r="R325" s="144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44">
        <f ca="1"/>
        <v>39900</v>
      </c>
      <c r="P326" s="1444">
        <f ca="1"/>
        <v>0</v>
      </c>
      <c r="Q326" s="1444">
        <f ca="1"/>
        <v>39900</v>
      </c>
      <c r="R326" s="144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44">
        <f ca="1"/>
        <v>-111572.96100000001</v>
      </c>
      <c r="P327" s="1444">
        <f ca="1"/>
        <v>-1922823.2106729995</v>
      </c>
      <c r="Q327" s="1444">
        <f ca="1"/>
        <v>284318.03899999999</v>
      </c>
      <c r="R327" s="144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44">
        <f ca="1"/>
        <v>0</v>
      </c>
      <c r="P328" s="1444">
        <f ca="1"/>
        <v>-3997119.3823459987</v>
      </c>
      <c r="Q328" s="1444">
        <f ca="1"/>
        <v>0</v>
      </c>
      <c r="R328" s="144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44">
        <f ca="1"/>
        <v>0</v>
      </c>
      <c r="P329" s="1444">
        <f ca="1"/>
        <v>0</v>
      </c>
      <c r="Q329" s="1444">
        <f ca="1"/>
        <v>0</v>
      </c>
      <c r="R329" s="144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44">
        <f ca="1"/>
        <v>0</v>
      </c>
      <c r="P330" s="1444">
        <f ca="1"/>
        <v>0</v>
      </c>
      <c r="Q330" s="1444">
        <f ca="1"/>
        <v>0</v>
      </c>
      <c r="R330" s="144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44">
        <f ca="1"/>
        <v>0</v>
      </c>
      <c r="P331" s="1444">
        <f ca="1"/>
        <v>0</v>
      </c>
      <c r="Q331" s="1444">
        <f ca="1"/>
        <v>0</v>
      </c>
      <c r="R331" s="144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44">
        <f ca="1"/>
        <v>0</v>
      </c>
      <c r="P332" s="1444">
        <f ca="1"/>
        <v>0</v>
      </c>
      <c r="Q332" s="1444">
        <f ca="1"/>
        <v>0</v>
      </c>
      <c r="R332" s="144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44">
        <f ca="1"/>
        <v>0</v>
      </c>
      <c r="P333" s="1444">
        <f ca="1"/>
        <v>0</v>
      </c>
      <c r="Q333" s="1444">
        <f ca="1"/>
        <v>0</v>
      </c>
      <c r="R333" s="144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44">
        <f ca="1"/>
        <v>0</v>
      </c>
      <c r="P334" s="1444">
        <f ca="1"/>
        <v>0</v>
      </c>
      <c r="Q334" s="1444">
        <f ca="1"/>
        <v>0</v>
      </c>
      <c r="R334" s="1444">
        <f ca="1"/>
        <v>0</v>
      </c>
    </row>
    <row r="335" spans="1:18" hidden="1">
      <c r="A335" s="447">
        <v>45800</v>
      </c>
      <c r="B335" s="460" t="s">
        <v>1777</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44">
        <f ca="1"/>
        <v>0</v>
      </c>
      <c r="P335" s="1444">
        <f ca="1"/>
        <v>0</v>
      </c>
      <c r="Q335" s="1444">
        <f ca="1"/>
        <v>0</v>
      </c>
      <c r="R335" s="144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44">
        <f ca="1"/>
        <v>133560</v>
      </c>
      <c r="P336" s="1444">
        <f ca="1"/>
        <v>0</v>
      </c>
      <c r="Q336" s="1444">
        <f ca="1"/>
        <v>133560</v>
      </c>
      <c r="R336" s="144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44">
        <f ca="1"/>
        <v>271372.25</v>
      </c>
      <c r="P337" s="1444">
        <f ca="1"/>
        <v>-1940736.1716729994</v>
      </c>
      <c r="Q337" s="1444">
        <f ca="1"/>
        <v>295792.25</v>
      </c>
      <c r="R337" s="144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44">
        <f ca="1"/>
        <v>0</v>
      </c>
      <c r="P338" s="1444">
        <f ca="1"/>
        <v>-3743660.0933459988</v>
      </c>
      <c r="Q338" s="1444">
        <f ca="1"/>
        <v>0</v>
      </c>
      <c r="R338" s="144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44">
        <f ca="1"/>
        <v>0</v>
      </c>
      <c r="P339" s="1444">
        <f ca="1"/>
        <v>0</v>
      </c>
      <c r="Q339" s="1444">
        <f ca="1"/>
        <v>0</v>
      </c>
      <c r="R339" s="144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44">
        <f ca="1"/>
        <v>-1289260.112</v>
      </c>
      <c r="P340" s="1444">
        <f ca="1"/>
        <v>0</v>
      </c>
      <c r="Q340" s="1444">
        <f ca="1"/>
        <v>0</v>
      </c>
      <c r="R340" s="144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44">
        <f ca="1"/>
        <v>0</v>
      </c>
      <c r="P341" s="1444">
        <f ca="1"/>
        <v>-3092184.0336729996</v>
      </c>
      <c r="Q341" s="1444">
        <f ca="1"/>
        <v>0</v>
      </c>
      <c r="R341" s="144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44">
        <f ca="1"/>
        <v>0</v>
      </c>
      <c r="P342" s="1444">
        <f ca="1"/>
        <v>0</v>
      </c>
      <c r="Q342" s="1444">
        <f ca="1"/>
        <v>0</v>
      </c>
      <c r="R342" s="144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44">
        <f ca="1"/>
        <v>0</v>
      </c>
      <c r="P343" s="1444">
        <f ca="1"/>
        <v>0</v>
      </c>
      <c r="Q343" s="1444">
        <f ca="1"/>
        <v>0</v>
      </c>
      <c r="R343" s="144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44">
        <f ca="1"/>
        <v>0</v>
      </c>
      <c r="P344" s="1444">
        <f ca="1"/>
        <v>0</v>
      </c>
      <c r="Q344" s="1444">
        <f ca="1"/>
        <v>0</v>
      </c>
      <c r="R344" s="144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44">
        <f ca="1"/>
        <v>0</v>
      </c>
      <c r="P345" s="1444">
        <f ca="1"/>
        <v>0</v>
      </c>
      <c r="Q345" s="1444">
        <f ca="1"/>
        <v>0</v>
      </c>
      <c r="R345" s="144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44">
        <f ca="1"/>
        <v>0</v>
      </c>
      <c r="P346" s="1444">
        <f ca="1"/>
        <v>0</v>
      </c>
      <c r="Q346" s="1444">
        <f ca="1"/>
        <v>0</v>
      </c>
      <c r="R346" s="144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44">
        <f ca="1"/>
        <v>0</v>
      </c>
      <c r="P347" s="1444">
        <f ca="1"/>
        <v>0</v>
      </c>
      <c r="Q347" s="1444">
        <f ca="1"/>
        <v>0</v>
      </c>
      <c r="R347" s="144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44">
        <f ca="1"/>
        <v>944492.64</v>
      </c>
      <c r="P348" s="1444">
        <f ca="1"/>
        <v>0</v>
      </c>
      <c r="Q348" s="1444">
        <f ca="1"/>
        <v>995732.64</v>
      </c>
      <c r="R348" s="144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44">
        <f ca="1"/>
        <v>0</v>
      </c>
      <c r="P349" s="1444">
        <f ca="1"/>
        <v>-2147691.3936729995</v>
      </c>
      <c r="Q349" s="1444">
        <f ca="1"/>
        <v>0</v>
      </c>
      <c r="R349" s="144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44">
        <f ca="1"/>
        <v>0</v>
      </c>
      <c r="P350" s="1444">
        <f ca="1"/>
        <v>0</v>
      </c>
      <c r="Q350" s="1444">
        <f ca="1"/>
        <v>0</v>
      </c>
      <c r="R350" s="144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44">
        <f ca="1"/>
        <v>0</v>
      </c>
      <c r="P351" s="1444">
        <f ca="1"/>
        <v>0</v>
      </c>
      <c r="Q351" s="1444">
        <f ca="1"/>
        <v>0</v>
      </c>
      <c r="R351" s="144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44">
        <f ca="1"/>
        <v>0</v>
      </c>
      <c r="P352" s="1444">
        <f ca="1"/>
        <v>0</v>
      </c>
      <c r="Q352" s="1444">
        <f ca="1"/>
        <v>0</v>
      </c>
      <c r="R352" s="144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44">
        <f ca="1"/>
        <v>0</v>
      </c>
      <c r="P353" s="1444">
        <f ca="1"/>
        <v>0</v>
      </c>
      <c r="Q353" s="1444">
        <f ca="1"/>
        <v>0</v>
      </c>
      <c r="R353" s="144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44">
        <f ca="1"/>
        <v>136575</v>
      </c>
      <c r="P354" s="1444">
        <f ca="1"/>
        <v>0</v>
      </c>
      <c r="Q354" s="1444">
        <f ca="1"/>
        <v>136575</v>
      </c>
      <c r="R354" s="144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44">
        <f ca="1"/>
        <v>-134417</v>
      </c>
      <c r="P355" s="1444">
        <f ca="1"/>
        <v>-2011116.3936729995</v>
      </c>
      <c r="Q355" s="1444">
        <f ca="1"/>
        <v>0</v>
      </c>
      <c r="R355" s="144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44">
        <f ca="1"/>
        <v>0</v>
      </c>
      <c r="P356" s="1444">
        <f ca="1"/>
        <v>-4293224.7873459989</v>
      </c>
      <c r="Q356" s="1444">
        <f ca="1"/>
        <v>0</v>
      </c>
      <c r="R356" s="144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44">
        <f ca="1"/>
        <v>0</v>
      </c>
      <c r="P357" s="1444">
        <f ca="1"/>
        <v>0</v>
      </c>
      <c r="Q357" s="1444">
        <f ca="1"/>
        <v>0</v>
      </c>
      <c r="R357" s="144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44">
        <f ca="1"/>
        <v>-136995</v>
      </c>
      <c r="P358" s="1444">
        <f ca="1"/>
        <v>0</v>
      </c>
      <c r="Q358" s="1444">
        <f ca="1"/>
        <v>0</v>
      </c>
      <c r="R358" s="144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44">
        <f ca="1"/>
        <v>0</v>
      </c>
      <c r="P359" s="1444">
        <f ca="1"/>
        <v>-2419103.3936729995</v>
      </c>
      <c r="Q359" s="1444">
        <f ca="1"/>
        <v>0</v>
      </c>
      <c r="R359" s="144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44">
        <f ca="1"/>
        <v>244104</v>
      </c>
      <c r="P360" s="1444">
        <f ca="1"/>
        <v>0</v>
      </c>
      <c r="Q360" s="1444">
        <f ca="1"/>
        <v>244104</v>
      </c>
      <c r="R360" s="144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44">
        <f ca="1"/>
        <v>9011.7171000000089</v>
      </c>
      <c r="P361" s="1444">
        <f ca="1"/>
        <v>-2174999.3936729995</v>
      </c>
      <c r="Q361" s="1444">
        <f ca="1"/>
        <v>249576.0171</v>
      </c>
      <c r="R361" s="144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44">
        <f ca="1"/>
        <v>0</v>
      </c>
      <c r="P362" s="1444">
        <f ca="1"/>
        <v>-4585091.0702459989</v>
      </c>
      <c r="Q362" s="1444">
        <f ca="1"/>
        <v>0</v>
      </c>
      <c r="R362" s="144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44">
        <f ca="1"/>
        <v>0</v>
      </c>
      <c r="P363" s="1444">
        <f ca="1"/>
        <v>0</v>
      </c>
      <c r="Q363" s="1444">
        <f ca="1"/>
        <v>0</v>
      </c>
      <c r="R363" s="144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44">
        <f ca="1"/>
        <v>0</v>
      </c>
      <c r="P364" s="1444">
        <f ca="1"/>
        <v>0</v>
      </c>
      <c r="Q364" s="1444">
        <f ca="1"/>
        <v>0</v>
      </c>
      <c r="R364" s="144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44">
        <f ca="1"/>
        <v>0</v>
      </c>
      <c r="P365" s="1444">
        <f ca="1"/>
        <v>0</v>
      </c>
      <c r="Q365" s="1444">
        <f ca="1"/>
        <v>0</v>
      </c>
      <c r="R365" s="144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44">
        <f ca="1"/>
        <v>0</v>
      </c>
      <c r="P366" s="1444">
        <f ca="1"/>
        <v>0</v>
      </c>
      <c r="Q366" s="1444">
        <f ca="1"/>
        <v>0</v>
      </c>
      <c r="R366" s="144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44">
        <f ca="1"/>
        <v>-15475</v>
      </c>
      <c r="P367" s="1444">
        <f ca="1"/>
        <v>0</v>
      </c>
      <c r="Q367" s="1444">
        <f ca="1"/>
        <v>0</v>
      </c>
      <c r="R367" s="144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44">
        <f ca="1"/>
        <v>-51931</v>
      </c>
      <c r="P368" s="1444">
        <f ca="1"/>
        <v>-2425566.6765729995</v>
      </c>
      <c r="Q368" s="1444">
        <f ca="1"/>
        <v>0</v>
      </c>
      <c r="R368" s="144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44">
        <f ca="1"/>
        <v>-202109</v>
      </c>
      <c r="P369" s="1444">
        <f ca="1"/>
        <v>-4887589.3531459989</v>
      </c>
      <c r="Q369" s="1444">
        <f ca="1"/>
        <v>129182</v>
      </c>
      <c r="R369" s="144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44">
        <f ca="1"/>
        <v>0</v>
      </c>
      <c r="P370" s="1444">
        <f ca="1"/>
        <v>-7499790.0297189988</v>
      </c>
      <c r="Q370" s="1444">
        <f ca="1"/>
        <v>0</v>
      </c>
      <c r="R370" s="144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44">
        <f ca="1"/>
        <v>0</v>
      </c>
      <c r="P371" s="1444">
        <f ca="1"/>
        <v>0</v>
      </c>
      <c r="Q371" s="1444">
        <f ca="1"/>
        <v>0</v>
      </c>
      <c r="R371" s="144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44">
        <f ca="1"/>
        <v>0</v>
      </c>
      <c r="P372" s="1444">
        <f ca="1"/>
        <v>0</v>
      </c>
      <c r="Q372" s="1444">
        <f ca="1"/>
        <v>0</v>
      </c>
      <c r="R372" s="144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44">
        <f ca="1"/>
        <v>-500500</v>
      </c>
      <c r="P373" s="1444">
        <f ca="1"/>
        <v>0</v>
      </c>
      <c r="Q373" s="1444">
        <f ca="1"/>
        <v>0</v>
      </c>
      <c r="R373" s="144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44">
        <f ca="1"/>
        <v>0</v>
      </c>
      <c r="P374" s="1444">
        <f ca="1"/>
        <v>-3112700.6765729995</v>
      </c>
      <c r="Q374" s="1444">
        <f ca="1"/>
        <v>0</v>
      </c>
      <c r="R374" s="144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44">
        <f ca="1"/>
        <v>-166700</v>
      </c>
      <c r="P375" s="1444">
        <f ca="1"/>
        <v>0</v>
      </c>
      <c r="Q375" s="1444">
        <f ca="1"/>
        <v>0</v>
      </c>
      <c r="R375" s="144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44">
        <f ca="1"/>
        <v>0</v>
      </c>
      <c r="P376" s="1444">
        <f ca="1"/>
        <v>-3279400.6765729995</v>
      </c>
      <c r="Q376" s="1444">
        <f ca="1"/>
        <v>0</v>
      </c>
      <c r="R376" s="144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44">
        <f ca="1"/>
        <v>374863.25</v>
      </c>
      <c r="P377" s="1444">
        <f ca="1"/>
        <v>0</v>
      </c>
      <c r="Q377" s="1444">
        <f ca="1"/>
        <v>610413.25</v>
      </c>
      <c r="R377" s="144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44">
        <f ca="1"/>
        <v>0</v>
      </c>
      <c r="P378" s="1444">
        <f ca="1"/>
        <v>-2904537.4265729995</v>
      </c>
      <c r="Q378" s="1444">
        <f ca="1"/>
        <v>0</v>
      </c>
      <c r="R378" s="144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44">
        <f ca="1"/>
        <v>0</v>
      </c>
      <c r="P379" s="1444">
        <f ca="1"/>
        <v>0</v>
      </c>
      <c r="Q379" s="1444">
        <f ca="1"/>
        <v>0</v>
      </c>
      <c r="R379" s="144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44">
        <f ca="1"/>
        <v>0</v>
      </c>
      <c r="P380" s="1444">
        <f ca="1"/>
        <v>0</v>
      </c>
      <c r="Q380" s="1444">
        <f ca="1"/>
        <v>0</v>
      </c>
      <c r="R380" s="144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44">
        <f ca="1"/>
        <v>0</v>
      </c>
      <c r="P381" s="1444">
        <f ca="1"/>
        <v>0</v>
      </c>
      <c r="Q381" s="1444">
        <f ca="1"/>
        <v>0</v>
      </c>
      <c r="R381" s="1444">
        <f ca="1"/>
        <v>0</v>
      </c>
    </row>
    <row r="382" spans="1:18" hidden="1">
      <c r="A382" s="447">
        <v>45833</v>
      </c>
      <c r="B382" s="460" t="s">
        <v>1087</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44">
        <f ca="1"/>
        <v>0</v>
      </c>
      <c r="P382" s="1444">
        <f ca="1"/>
        <v>0</v>
      </c>
      <c r="Q382" s="1444">
        <f ca="1"/>
        <v>0</v>
      </c>
      <c r="R382" s="144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44">
        <f ca="1"/>
        <v>0</v>
      </c>
      <c r="P383" s="1444">
        <f ca="1"/>
        <v>0</v>
      </c>
      <c r="Q383" s="1444">
        <f ca="1"/>
        <v>0</v>
      </c>
      <c r="R383" s="144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44">
        <f ca="1"/>
        <v>0</v>
      </c>
      <c r="P384" s="1444">
        <f ca="1"/>
        <v>0</v>
      </c>
      <c r="Q384" s="1444">
        <f ca="1"/>
        <v>0</v>
      </c>
      <c r="R384" s="144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44">
        <f ca="1"/>
        <v>0</v>
      </c>
      <c r="P385" s="1444">
        <f ca="1"/>
        <v>0</v>
      </c>
      <c r="Q385" s="1444">
        <f ca="1"/>
        <v>0</v>
      </c>
      <c r="R385" s="144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44">
        <f ca="1"/>
        <v>0</v>
      </c>
      <c r="P386" s="1444">
        <f ca="1"/>
        <v>0</v>
      </c>
      <c r="Q386" s="1444">
        <f ca="1"/>
        <v>0</v>
      </c>
      <c r="R386" s="144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44">
        <f ca="1"/>
        <v>0</v>
      </c>
      <c r="P387" s="1444">
        <f ca="1"/>
        <v>0</v>
      </c>
      <c r="Q387" s="1444">
        <f ca="1"/>
        <v>0</v>
      </c>
      <c r="R387" s="144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44">
        <f ca="1"/>
        <v>0</v>
      </c>
      <c r="P388" s="1444">
        <f ca="1"/>
        <v>0</v>
      </c>
      <c r="Q388" s="1444">
        <f ca="1"/>
        <v>0</v>
      </c>
      <c r="R388" s="144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44">
        <f ca="1"/>
        <v>0</v>
      </c>
      <c r="P389" s="1444">
        <f ca="1"/>
        <v>0</v>
      </c>
      <c r="Q389" s="1444">
        <f ca="1"/>
        <v>0</v>
      </c>
      <c r="R389" s="144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44">
        <f ca="1"/>
        <v>160005</v>
      </c>
      <c r="P390" s="1444">
        <f ca="1"/>
        <v>0</v>
      </c>
      <c r="Q390" s="1444">
        <f ca="1"/>
        <v>245815</v>
      </c>
      <c r="R390" s="144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44">
        <f ca="1"/>
        <v>0</v>
      </c>
      <c r="P391" s="1444">
        <f ca="1"/>
        <v>-2744532.4265729995</v>
      </c>
      <c r="Q391" s="1444">
        <f ca="1"/>
        <v>0</v>
      </c>
      <c r="R391" s="144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44">
        <f ca="1"/>
        <v>0</v>
      </c>
      <c r="P392" s="1444">
        <f ca="1"/>
        <v>0</v>
      </c>
      <c r="Q392" s="1444">
        <f ca="1"/>
        <v>0</v>
      </c>
      <c r="R392" s="144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44">
        <f ca="1"/>
        <v>0</v>
      </c>
      <c r="P393" s="1444">
        <f ca="1"/>
        <v>0</v>
      </c>
      <c r="Q393" s="1444">
        <f ca="1"/>
        <v>0</v>
      </c>
      <c r="R393" s="144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44">
        <f ca="1"/>
        <v>0</v>
      </c>
      <c r="P394" s="1444">
        <f ca="1"/>
        <v>0</v>
      </c>
      <c r="Q394" s="1444">
        <f ca="1"/>
        <v>0</v>
      </c>
      <c r="R394" s="144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44">
        <f ca="1"/>
        <v>-27530</v>
      </c>
      <c r="P395" s="1444">
        <f ca="1"/>
        <v>0</v>
      </c>
      <c r="Q395" s="1444">
        <f ca="1"/>
        <v>0</v>
      </c>
      <c r="R395" s="144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44">
        <f ca="1"/>
        <v>13510</v>
      </c>
      <c r="P396" s="1444">
        <f ca="1"/>
        <v>-2772062.4265729995</v>
      </c>
      <c r="Q396" s="1444">
        <f ca="1"/>
        <v>41040</v>
      </c>
      <c r="R396" s="144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44">
        <f ca="1"/>
        <v>13796.834000000001</v>
      </c>
      <c r="P397" s="1444">
        <f ca="1"/>
        <v>-5503084.8531459989</v>
      </c>
      <c r="Q397" s="1444">
        <f ca="1"/>
        <v>41326.834000000003</v>
      </c>
      <c r="R397" s="144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44">
        <f ca="1"/>
        <v>82956.834000000003</v>
      </c>
      <c r="P398" s="1444">
        <f ca="1"/>
        <v>-8233820.4457189981</v>
      </c>
      <c r="Q398" s="1444">
        <f ca="1"/>
        <v>110486.834</v>
      </c>
      <c r="R398" s="144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44">
        <f ca="1"/>
        <v>123536.93400000001</v>
      </c>
      <c r="P399" s="1444">
        <f ca="1"/>
        <v>-10895396.038291998</v>
      </c>
      <c r="Q399" s="1444">
        <f ca="1"/>
        <v>151066.93400000001</v>
      </c>
      <c r="R399" s="144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44">
        <f ca="1"/>
        <v>144956.93400000001</v>
      </c>
      <c r="P400" s="1444">
        <f ca="1"/>
        <v>-13516391.530864999</v>
      </c>
      <c r="Q400" s="1444">
        <f ca="1"/>
        <v>224906.93400000001</v>
      </c>
      <c r="R400" s="144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44">
        <f ca="1"/>
        <v>0</v>
      </c>
      <c r="P401" s="1444">
        <f ca="1"/>
        <v>-16115967.023437999</v>
      </c>
      <c r="Q401" s="1444">
        <f ca="1"/>
        <v>0</v>
      </c>
      <c r="R401" s="144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44">
        <f ca="1"/>
        <v>24371.400000000009</v>
      </c>
      <c r="P402" s="1444">
        <f ca="1"/>
        <v>0</v>
      </c>
      <c r="Q402" s="1444">
        <f ca="1"/>
        <v>80341.400000000009</v>
      </c>
      <c r="R402" s="144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44">
        <f ca="1"/>
        <v>0</v>
      </c>
      <c r="P403" s="1444">
        <f ca="1"/>
        <v>-2575204.0925729997</v>
      </c>
      <c r="Q403" s="1444">
        <f ca="1"/>
        <v>0</v>
      </c>
      <c r="R403" s="144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44">
        <f ca="1"/>
        <v>965.02499999999998</v>
      </c>
      <c r="P404" s="1444">
        <f ca="1"/>
        <v>0</v>
      </c>
      <c r="Q404" s="1444">
        <f ca="1"/>
        <v>965.02499999999998</v>
      </c>
      <c r="R404" s="144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44">
        <f ca="1"/>
        <v>335689.9</v>
      </c>
      <c r="P405" s="1444">
        <f ca="1"/>
        <v>-2574239.0675729997</v>
      </c>
      <c r="Q405" s="1444">
        <f ca="1"/>
        <v>390658.5</v>
      </c>
      <c r="R405" s="1444">
        <f ca="1"/>
        <v>-54968.600000000006</v>
      </c>
    </row>
    <row r="406" spans="1:18" hidden="1">
      <c r="A406" s="447">
        <v>45855</v>
      </c>
      <c r="B406" s="460" t="s">
        <v>1087</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44">
        <f ca="1"/>
        <v>0</v>
      </c>
      <c r="P406" s="1444">
        <f ca="1"/>
        <v>-4813753.2601459995</v>
      </c>
      <c r="Q406" s="1444">
        <f ca="1"/>
        <v>0</v>
      </c>
      <c r="R406" s="144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44">
        <f ca="1"/>
        <v>0</v>
      </c>
      <c r="P407" s="1444">
        <f ca="1"/>
        <v>0</v>
      </c>
      <c r="Q407" s="1444">
        <f ca="1"/>
        <v>0</v>
      </c>
      <c r="R407" s="144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44">
        <f ca="1"/>
        <v>0</v>
      </c>
      <c r="P408" s="1444">
        <f ca="1"/>
        <v>0</v>
      </c>
      <c r="Q408" s="1444">
        <f ca="1"/>
        <v>0</v>
      </c>
      <c r="R408" s="144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44">
        <f ca="1"/>
        <v>0</v>
      </c>
      <c r="P409" s="1444">
        <f ca="1"/>
        <v>0</v>
      </c>
      <c r="Q409" s="1444">
        <f ca="1"/>
        <v>0</v>
      </c>
      <c r="R409" s="144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44">
        <f ca="1"/>
        <v>0</v>
      </c>
      <c r="P410" s="1444">
        <f ca="1"/>
        <v>0</v>
      </c>
      <c r="Q410" s="1444">
        <f ca="1"/>
        <v>0</v>
      </c>
      <c r="R410" s="144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44">
        <f ca="1"/>
        <v>0</v>
      </c>
      <c r="P411" s="1444">
        <f ca="1"/>
        <v>0</v>
      </c>
      <c r="Q411" s="1444">
        <f ca="1"/>
        <v>0</v>
      </c>
      <c r="R411" s="144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44">
        <f ca="1"/>
        <v>0</v>
      </c>
      <c r="P412" s="1444">
        <f ca="1"/>
        <v>0</v>
      </c>
      <c r="Q412" s="1444">
        <f ca="1"/>
        <v>0</v>
      </c>
      <c r="R412" s="144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44">
        <f ca="1"/>
        <v>-811179.82000000007</v>
      </c>
      <c r="P413" s="1444">
        <f ca="1"/>
        <v>0</v>
      </c>
      <c r="Q413" s="1444">
        <f ca="1"/>
        <v>0</v>
      </c>
      <c r="R413" s="144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44">
        <f ca="1"/>
        <v>0</v>
      </c>
      <c r="P414" s="1444">
        <f ca="1"/>
        <v>-3050694.012573</v>
      </c>
      <c r="Q414" s="1444">
        <f ca="1"/>
        <v>0</v>
      </c>
      <c r="R414" s="144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44">
        <f ca="1"/>
        <v>0</v>
      </c>
      <c r="P415" s="1444">
        <f ca="1"/>
        <v>0</v>
      </c>
      <c r="Q415" s="1444">
        <f ca="1"/>
        <v>0</v>
      </c>
      <c r="R415" s="144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44">
        <f ca="1"/>
        <v>0</v>
      </c>
      <c r="P416" s="1444">
        <f ca="1"/>
        <v>0</v>
      </c>
      <c r="Q416" s="1444">
        <f ca="1"/>
        <v>0</v>
      </c>
      <c r="R416" s="144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44">
        <f ca="1"/>
        <v>0</v>
      </c>
      <c r="P417" s="1444">
        <f ca="1"/>
        <v>0</v>
      </c>
      <c r="Q417" s="1444">
        <f ca="1"/>
        <v>0</v>
      </c>
      <c r="R417" s="144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44">
        <f ca="1"/>
        <v>0</v>
      </c>
      <c r="P418" s="1444">
        <f ca="1"/>
        <v>0</v>
      </c>
      <c r="Q418" s="1444">
        <f ca="1"/>
        <v>0</v>
      </c>
      <c r="R418" s="144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44">
        <f ca="1"/>
        <v>-196609.1</v>
      </c>
      <c r="P419" s="1444">
        <f ca="1"/>
        <v>0</v>
      </c>
      <c r="Q419" s="1444">
        <f ca="1"/>
        <v>0</v>
      </c>
      <c r="R419" s="144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44">
        <f ca="1"/>
        <v>0</v>
      </c>
      <c r="P420" s="1444">
        <f ca="1"/>
        <v>-3247303.1125730001</v>
      </c>
      <c r="Q420" s="1444">
        <f ca="1"/>
        <v>0</v>
      </c>
      <c r="R420" s="144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44">
        <f ca="1"/>
        <v>-180765</v>
      </c>
      <c r="P421" s="1444">
        <f ca="1"/>
        <v>0</v>
      </c>
      <c r="Q421" s="1444">
        <f ca="1"/>
        <v>0</v>
      </c>
      <c r="R421" s="144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44">
        <f ca="1"/>
        <v>-574050</v>
      </c>
      <c r="P422" s="1444">
        <f ca="1"/>
        <v>-3428068.1125730001</v>
      </c>
      <c r="Q422" s="1444">
        <f ca="1"/>
        <v>0</v>
      </c>
      <c r="R422" s="144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44">
        <f ca="1"/>
        <v>0</v>
      </c>
      <c r="P423" s="1444">
        <f ca="1"/>
        <v>-7249421.2251460003</v>
      </c>
      <c r="Q423" s="1444">
        <f ca="1"/>
        <v>0</v>
      </c>
      <c r="R423" s="144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44">
        <f ca="1"/>
        <v>0</v>
      </c>
      <c r="P424" s="1444">
        <f ca="1"/>
        <v>0</v>
      </c>
      <c r="Q424" s="1444">
        <f ca="1"/>
        <v>0</v>
      </c>
      <c r="R424" s="144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44">
        <f ca="1"/>
        <v>-231614.27</v>
      </c>
      <c r="P425" s="1444">
        <f ca="1"/>
        <v>0</v>
      </c>
      <c r="Q425" s="1444">
        <f ca="1"/>
        <v>134685.73000000001</v>
      </c>
      <c r="R425" s="144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44">
        <f ca="1"/>
        <v>0</v>
      </c>
      <c r="P426" s="1444">
        <f ca="1"/>
        <v>-4052967.3825730002</v>
      </c>
      <c r="Q426" s="1444">
        <f ca="1"/>
        <v>0</v>
      </c>
      <c r="R426" s="144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44">
        <f ca="1"/>
        <v>0</v>
      </c>
      <c r="P427" s="1444">
        <f ca="1"/>
        <v>0</v>
      </c>
      <c r="Q427" s="1444">
        <f ca="1"/>
        <v>0</v>
      </c>
      <c r="R427" s="144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44">
        <f ca="1"/>
        <v>111396</v>
      </c>
      <c r="P428" s="1444">
        <f ca="1"/>
        <v>0</v>
      </c>
      <c r="Q428" s="1444">
        <f ca="1"/>
        <v>263576</v>
      </c>
      <c r="R428" s="144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44">
        <f ca="1"/>
        <v>0</v>
      </c>
      <c r="P429" s="1444">
        <f ca="1"/>
        <v>-3941571.3825730002</v>
      </c>
      <c r="Q429" s="1444">
        <f ca="1"/>
        <v>0</v>
      </c>
      <c r="R429" s="144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44">
        <f ca="1"/>
        <v>0</v>
      </c>
      <c r="P430" s="1444">
        <f ca="1"/>
        <v>0</v>
      </c>
      <c r="Q430" s="1444">
        <f ca="1"/>
        <v>0</v>
      </c>
      <c r="R430" s="144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44">
        <f ca="1"/>
        <v>0</v>
      </c>
      <c r="P431" s="1444">
        <f ca="1"/>
        <v>0</v>
      </c>
      <c r="Q431" s="1444">
        <f ca="1"/>
        <v>0</v>
      </c>
      <c r="R431" s="144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44">
        <f ca="1"/>
        <v>-76000</v>
      </c>
      <c r="P432" s="1444">
        <f ca="1"/>
        <v>0</v>
      </c>
      <c r="Q432" s="1444">
        <f ca="1"/>
        <v>0</v>
      </c>
      <c r="R432" s="144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44">
        <f ca="1"/>
        <v>-470920</v>
      </c>
      <c r="P433" s="1444">
        <f ca="1"/>
        <v>-4017571.3825730002</v>
      </c>
      <c r="Q433" s="1444">
        <f ca="1"/>
        <v>59280</v>
      </c>
      <c r="R433" s="144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44">
        <f ca="1"/>
        <v>0</v>
      </c>
      <c r="P434" s="1444">
        <f ca="1"/>
        <v>-8430062.7651460003</v>
      </c>
      <c r="Q434" s="1444">
        <f ca="1"/>
        <v>0</v>
      </c>
      <c r="R434" s="144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44">
        <f ca="1"/>
        <v>0</v>
      </c>
      <c r="P435" s="1444">
        <f ca="1"/>
        <v>0</v>
      </c>
      <c r="Q435" s="1444">
        <f ca="1"/>
        <v>0</v>
      </c>
      <c r="R435" s="144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44">
        <f ca="1"/>
        <v>-665290</v>
      </c>
      <c r="P436" s="1444">
        <f ca="1"/>
        <v>0</v>
      </c>
      <c r="Q436" s="1444">
        <f ca="1"/>
        <v>0</v>
      </c>
      <c r="R436" s="144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44">
        <f ca="1"/>
        <v>0</v>
      </c>
      <c r="P437" s="1444">
        <f ca="1"/>
        <v>-5077781.3825730002</v>
      </c>
      <c r="Q437" s="1444">
        <f ca="1"/>
        <v>0</v>
      </c>
      <c r="R437" s="144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44">
        <f ca="1"/>
        <v>-417850</v>
      </c>
      <c r="P438" s="1444">
        <f ca="1"/>
        <v>0</v>
      </c>
      <c r="Q438" s="1444">
        <f ca="1"/>
        <v>0</v>
      </c>
      <c r="R438" s="144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44">
        <f ca="1"/>
        <v>0</v>
      </c>
      <c r="P439" s="1444">
        <f ca="1"/>
        <v>-5495631.3825730002</v>
      </c>
      <c r="Q439" s="1444">
        <f ca="1"/>
        <v>0</v>
      </c>
      <c r="R439" s="144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44">
        <f ca="1"/>
        <v>82550.000000000015</v>
      </c>
      <c r="P440" s="1444">
        <f ca="1"/>
        <v>0</v>
      </c>
      <c r="Q440" s="1444">
        <f ca="1"/>
        <v>82550.000000000015</v>
      </c>
      <c r="R440" s="144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44">
        <f ca="1"/>
        <v>145950</v>
      </c>
      <c r="P441" s="1444">
        <f ca="1"/>
        <v>-5413081.3825730002</v>
      </c>
      <c r="Q441" s="1444">
        <f ca="1"/>
        <v>145950</v>
      </c>
      <c r="R441" s="144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44">
        <f ca="1"/>
        <v>29957.450000000012</v>
      </c>
      <c r="P442" s="1444">
        <f ca="1"/>
        <v>-10762762.765146</v>
      </c>
      <c r="Q442" s="1444">
        <f ca="1"/>
        <v>0</v>
      </c>
      <c r="R442" s="144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44">
        <f ca="1"/>
        <v>66047.450000000012</v>
      </c>
      <c r="P443" s="1444">
        <f ca="1"/>
        <v>-16228436.697719</v>
      </c>
      <c r="Q443" s="1444">
        <f ca="1"/>
        <v>74240</v>
      </c>
      <c r="R443" s="144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44">
        <f ca="1"/>
        <v>0</v>
      </c>
      <c r="P444" s="1444">
        <f ca="1"/>
        <v>-21658020.630291998</v>
      </c>
      <c r="Q444" s="1444">
        <f ca="1"/>
        <v>0</v>
      </c>
      <c r="R444" s="144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44">
        <f ca="1"/>
        <v>-53280</v>
      </c>
      <c r="P445" s="1444">
        <f ca="1"/>
        <v>0</v>
      </c>
      <c r="Q445" s="1444">
        <f ca="1"/>
        <v>0</v>
      </c>
      <c r="R445" s="144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44">
        <f ca="1"/>
        <v>-213919.1</v>
      </c>
      <c r="P446" s="1444">
        <f ca="1"/>
        <v>-5482863.932573</v>
      </c>
      <c r="Q446" s="1444">
        <f ca="1"/>
        <v>0</v>
      </c>
      <c r="R446" s="144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44">
        <f ca="1"/>
        <v>0</v>
      </c>
      <c r="P447" s="1444">
        <f ca="1"/>
        <v>-11126366.965146</v>
      </c>
      <c r="Q447" s="1444">
        <f ca="1"/>
        <v>0</v>
      </c>
      <c r="R447" s="144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44">
        <f ca="1"/>
        <v>677730</v>
      </c>
      <c r="P448" s="1444">
        <f ca="1"/>
        <v>0</v>
      </c>
      <c r="Q448" s="1444">
        <f ca="1"/>
        <v>677730</v>
      </c>
      <c r="R448" s="144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44">
        <f ca="1"/>
        <v>0</v>
      </c>
      <c r="P449" s="1444">
        <f ca="1"/>
        <v>-4965773.0325729996</v>
      </c>
      <c r="Q449" s="1444">
        <f ca="1"/>
        <v>0</v>
      </c>
      <c r="R449" s="144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44">
        <f ca="1"/>
        <v>0</v>
      </c>
      <c r="P450" s="1444">
        <f ca="1"/>
        <v>0</v>
      </c>
      <c r="Q450" s="1444">
        <f ca="1"/>
        <v>0</v>
      </c>
      <c r="R450" s="144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44">
        <f ca="1"/>
        <v>0</v>
      </c>
      <c r="P451" s="1444">
        <f ca="1"/>
        <v>0</v>
      </c>
      <c r="Q451" s="1444">
        <f ca="1"/>
        <v>0</v>
      </c>
      <c r="R451" s="144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44">
        <f ca="1"/>
        <v>808100</v>
      </c>
      <c r="P452" s="1444">
        <f ca="1"/>
        <v>0</v>
      </c>
      <c r="Q452" s="1444">
        <f ca="1"/>
        <v>808100</v>
      </c>
      <c r="R452" s="144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44">
        <f ca="1"/>
        <v>0</v>
      </c>
      <c r="P453" s="1444">
        <f ca="1"/>
        <v>-4157673.0325729996</v>
      </c>
      <c r="Q453" s="1444">
        <f ca="1"/>
        <v>0</v>
      </c>
      <c r="R453" s="144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44">
        <f ca="1"/>
        <v>0</v>
      </c>
      <c r="P454" s="1444">
        <f ca="1"/>
        <v>0</v>
      </c>
      <c r="Q454" s="1444">
        <f ca="1"/>
        <v>0</v>
      </c>
      <c r="R454" s="144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44">
        <f ca="1"/>
        <v>0</v>
      </c>
      <c r="P455" s="1444">
        <f ca="1"/>
        <v>0</v>
      </c>
      <c r="Q455" s="1444">
        <f ca="1"/>
        <v>0</v>
      </c>
      <c r="R455" s="144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44">
        <f ca="1"/>
        <v>0</v>
      </c>
      <c r="P456" s="1444">
        <f ca="1"/>
        <v>0</v>
      </c>
      <c r="Q456" s="1444">
        <f ca="1"/>
        <v>0</v>
      </c>
      <c r="R456" s="144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44">
        <f ca="1"/>
        <v>384380</v>
      </c>
      <c r="P457" s="1444">
        <f ca="1"/>
        <v>0</v>
      </c>
      <c r="Q457" s="1444">
        <f ca="1"/>
        <v>384380</v>
      </c>
      <c r="R457" s="144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44">
        <f ca="1"/>
        <v>0</v>
      </c>
      <c r="P458" s="1444">
        <f ca="1"/>
        <v>-3773293.0325729996</v>
      </c>
      <c r="Q458" s="1444">
        <f ca="1"/>
        <v>0</v>
      </c>
      <c r="R458" s="144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44">
        <f ca="1"/>
        <v>0</v>
      </c>
      <c r="P459" s="1444">
        <f ca="1"/>
        <v>0</v>
      </c>
      <c r="Q459" s="1444">
        <f ca="1"/>
        <v>0</v>
      </c>
      <c r="R459" s="144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44">
        <f ca="1"/>
        <v>0</v>
      </c>
      <c r="P460" s="1444">
        <f ca="1"/>
        <v>0</v>
      </c>
      <c r="Q460" s="1444">
        <f ca="1"/>
        <v>0</v>
      </c>
      <c r="R460" s="144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44">
        <f ca="1"/>
        <v>261732</v>
      </c>
      <c r="P461" s="1444">
        <f ca="1"/>
        <v>0</v>
      </c>
      <c r="Q461" s="1444">
        <f ca="1"/>
        <v>288732</v>
      </c>
      <c r="R461" s="144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44">
        <f ca="1"/>
        <v>0</v>
      </c>
      <c r="P462" s="1444">
        <f ca="1"/>
        <v>-3511561.0325729996</v>
      </c>
      <c r="Q462" s="1444">
        <f ca="1"/>
        <v>0</v>
      </c>
      <c r="R462" s="144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44">
        <f ca="1"/>
        <v>0</v>
      </c>
      <c r="P463" s="1444">
        <f ca="1"/>
        <v>0</v>
      </c>
      <c r="Q463" s="1444">
        <f ca="1"/>
        <v>0</v>
      </c>
      <c r="R463" s="144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44">
        <f ca="1"/>
        <v>69720</v>
      </c>
      <c r="P464" s="1444">
        <f ca="1"/>
        <v>0</v>
      </c>
      <c r="Q464" s="1444">
        <f ca="1"/>
        <v>69720</v>
      </c>
      <c r="R464" s="144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44">
        <f ca="1"/>
        <v>239460</v>
      </c>
      <c r="P465" s="1444">
        <f ca="1"/>
        <v>-3441841.0325729996</v>
      </c>
      <c r="Q465" s="1444">
        <f ca="1"/>
        <v>239460</v>
      </c>
      <c r="R465" s="144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44">
        <f ca="1"/>
        <v>0</v>
      </c>
      <c r="P466" s="1444">
        <f ca="1"/>
        <v>-6713942.0651459992</v>
      </c>
      <c r="Q466" s="1444">
        <f ca="1"/>
        <v>0</v>
      </c>
      <c r="R466" s="144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44">
        <f ca="1"/>
        <v>0</v>
      </c>
      <c r="P467" s="1444">
        <f ca="1"/>
        <v>0</v>
      </c>
      <c r="Q467" s="1444">
        <f ca="1"/>
        <v>0</v>
      </c>
      <c r="R467" s="144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44">
        <f ca="1"/>
        <v>130866</v>
      </c>
      <c r="P468" s="1444">
        <f ca="1"/>
        <v>0</v>
      </c>
      <c r="Q468" s="1444">
        <f ca="1"/>
        <v>144366</v>
      </c>
      <c r="R468" s="144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44">
        <f ca="1"/>
        <v>0</v>
      </c>
      <c r="P469" s="1444">
        <f ca="1"/>
        <v>-3141235.0325729996</v>
      </c>
      <c r="Q469" s="1444">
        <f ca="1"/>
        <v>0</v>
      </c>
      <c r="R469" s="144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44">
        <f ca="1"/>
        <v>0</v>
      </c>
      <c r="P470" s="1444">
        <f ca="1"/>
        <v>0</v>
      </c>
      <c r="Q470" s="1444">
        <f ca="1"/>
        <v>0</v>
      </c>
      <c r="R470" s="144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44">
        <f ca="1"/>
        <v>34860</v>
      </c>
      <c r="P471" s="1444">
        <f ca="1"/>
        <v>0</v>
      </c>
      <c r="Q471" s="1444">
        <f ca="1"/>
        <v>34860</v>
      </c>
      <c r="R471" s="144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44">
        <f ca="1"/>
        <v>29241.199999999997</v>
      </c>
      <c r="P472" s="1444">
        <f ca="1"/>
        <v>-3106375.0325729996</v>
      </c>
      <c r="Q472" s="1444">
        <f ca="1"/>
        <v>73580</v>
      </c>
      <c r="R472" s="144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44">
        <f ca="1"/>
        <v>0</v>
      </c>
      <c r="P473" s="1444">
        <f ca="1"/>
        <v>-6218368.865145999</v>
      </c>
      <c r="Q473" s="1444">
        <f ca="1"/>
        <v>0</v>
      </c>
      <c r="R473" s="144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44">
        <f ca="1"/>
        <v>-507190</v>
      </c>
      <c r="P474" s="1444">
        <f ca="1"/>
        <v>0</v>
      </c>
      <c r="Q474" s="1444">
        <f ca="1"/>
        <v>0</v>
      </c>
      <c r="R474" s="144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44">
        <f ca="1"/>
        <v>0</v>
      </c>
      <c r="P475" s="1444">
        <f ca="1"/>
        <v>-3619183.8325729994</v>
      </c>
      <c r="Q475" s="1444">
        <f ca="1"/>
        <v>0</v>
      </c>
      <c r="R475" s="144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44">
        <f ca="1"/>
        <v>0</v>
      </c>
      <c r="P476" s="1444">
        <f ca="1"/>
        <v>0</v>
      </c>
      <c r="Q476" s="1444">
        <f ca="1"/>
        <v>0</v>
      </c>
      <c r="R476" s="144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44">
        <f ca="1"/>
        <v>0</v>
      </c>
      <c r="P477" s="1444">
        <f ca="1"/>
        <v>0</v>
      </c>
      <c r="Q477" s="1444">
        <f ca="1"/>
        <v>0</v>
      </c>
      <c r="R477" s="144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44">
        <f ca="1"/>
        <v>62418</v>
      </c>
      <c r="P478" s="1444">
        <f ca="1"/>
        <v>0</v>
      </c>
      <c r="Q478" s="1444">
        <f ca="1"/>
        <v>62418</v>
      </c>
      <c r="R478" s="144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44">
        <f ca="1"/>
        <v>98068.800000000003</v>
      </c>
      <c r="P479" s="1444">
        <f ca="1"/>
        <v>-3556765.8325729994</v>
      </c>
      <c r="Q479" s="1444">
        <f ca="1"/>
        <v>98068.800000000003</v>
      </c>
      <c r="R479" s="144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44">
        <f ca="1"/>
        <v>231508.8</v>
      </c>
      <c r="P480" s="1444">
        <f ca="1"/>
        <v>-7077880.865145999</v>
      </c>
      <c r="Q480" s="1444">
        <f ca="1"/>
        <v>231508.8</v>
      </c>
      <c r="R480" s="144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44">
        <f ca="1"/>
        <v>280078.8</v>
      </c>
      <c r="P481" s="1444">
        <f ca="1"/>
        <v>-10465555.897719</v>
      </c>
      <c r="Q481" s="1444">
        <f ca="1"/>
        <v>280078.8</v>
      </c>
      <c r="R481" s="144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44">
        <f ca="1"/>
        <v>-64570.347000000009</v>
      </c>
      <c r="P482" s="1444">
        <f ca="1"/>
        <v>-13804660.930291999</v>
      </c>
      <c r="Q482" s="1444">
        <f ca="1"/>
        <v>312149.42499999999</v>
      </c>
      <c r="R482" s="144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44">
        <f ca="1"/>
        <v>0</v>
      </c>
      <c r="P483" s="1444">
        <f ca="1"/>
        <v>-17488415.109864999</v>
      </c>
      <c r="Q483" s="1444">
        <f ca="1"/>
        <v>0</v>
      </c>
      <c r="R483" s="144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44">
        <f ca="1"/>
        <v>0</v>
      </c>
      <c r="P484" s="1444">
        <f ca="1"/>
        <v>0</v>
      </c>
      <c r="Q484" s="1444">
        <f ca="1"/>
        <v>0</v>
      </c>
      <c r="R484" s="144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44">
        <f ca="1"/>
        <v>0</v>
      </c>
      <c r="P485" s="1444">
        <f ca="1"/>
        <v>0</v>
      </c>
      <c r="Q485" s="1444">
        <f ca="1"/>
        <v>0</v>
      </c>
      <c r="R485" s="144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44">
        <f ca="1"/>
        <v>138168</v>
      </c>
      <c r="P486" s="1444">
        <f ca="1"/>
        <v>0</v>
      </c>
      <c r="Q486" s="1444">
        <f ca="1"/>
        <v>138168</v>
      </c>
      <c r="R486" s="144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44">
        <f ca="1"/>
        <v>0</v>
      </c>
      <c r="P487" s="1444">
        <f ca="1"/>
        <v>-3545586.1795729995</v>
      </c>
      <c r="Q487" s="1444">
        <f ca="1"/>
        <v>0</v>
      </c>
      <c r="R487" s="144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44">
        <f ca="1"/>
        <v>216757.5</v>
      </c>
      <c r="P488" s="1444">
        <f ca="1"/>
        <v>0</v>
      </c>
      <c r="Q488" s="1444">
        <f ca="1"/>
        <v>216757.5</v>
      </c>
      <c r="R488" s="144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44">
        <f ca="1"/>
        <v>0</v>
      </c>
      <c r="P489" s="1444">
        <f ca="1"/>
        <v>-3328828.6795729995</v>
      </c>
      <c r="Q489" s="1444">
        <f ca="1"/>
        <v>0</v>
      </c>
      <c r="R489" s="144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44">
        <f ca="1"/>
        <v>224336</v>
      </c>
      <c r="P490" s="1444">
        <f ca="1"/>
        <v>0</v>
      </c>
      <c r="Q490" s="1444">
        <f ca="1"/>
        <v>336170</v>
      </c>
      <c r="R490" s="144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44">
        <f ca="1"/>
        <v>0</v>
      </c>
      <c r="P491" s="1444">
        <f ca="1"/>
        <v>-3104492.6795729995</v>
      </c>
      <c r="Q491" s="1444">
        <f ca="1"/>
        <v>0</v>
      </c>
      <c r="R491" s="144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44">
        <f ca="1"/>
        <v>0</v>
      </c>
      <c r="P492" s="1444">
        <f ca="1"/>
        <v>0</v>
      </c>
      <c r="Q492" s="1444">
        <f ca="1"/>
        <v>0</v>
      </c>
      <c r="R492" s="144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44">
        <f ca="1"/>
        <v>0</v>
      </c>
      <c r="P493" s="1444">
        <f ca="1"/>
        <v>0</v>
      </c>
      <c r="Q493" s="1444">
        <f ca="1"/>
        <v>0</v>
      </c>
      <c r="R493" s="144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44">
        <f ca="1"/>
        <v>90770</v>
      </c>
      <c r="P494" s="1444">
        <f ca="1"/>
        <v>0</v>
      </c>
      <c r="Q494" s="1444">
        <f ca="1"/>
        <v>90770</v>
      </c>
      <c r="R494" s="144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44">
        <f ca="1"/>
        <v>0</v>
      </c>
      <c r="P495" s="1444">
        <f ca="1"/>
        <v>-3013722.6795729995</v>
      </c>
      <c r="Q495" s="1444">
        <f ca="1"/>
        <v>0</v>
      </c>
      <c r="R495" s="144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44">
        <f ca="1"/>
        <v>0</v>
      </c>
      <c r="P496" s="1444">
        <f ca="1"/>
        <v>0</v>
      </c>
      <c r="Q496" s="1444">
        <f ca="1"/>
        <v>0</v>
      </c>
      <c r="R496" s="144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44">
        <f ca="1"/>
        <v>-60100</v>
      </c>
      <c r="P497" s="1444">
        <f ca="1"/>
        <v>0</v>
      </c>
      <c r="Q497" s="1444">
        <f ca="1"/>
        <v>0</v>
      </c>
      <c r="R497" s="144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44">
        <f ca="1"/>
        <v>285730</v>
      </c>
      <c r="P498" s="1444">
        <f ca="1"/>
        <v>-3073822.6795729995</v>
      </c>
      <c r="Q498" s="1444">
        <f ca="1"/>
        <v>345830</v>
      </c>
      <c r="R498" s="144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44">
        <f ca="1"/>
        <v>0</v>
      </c>
      <c r="P499" s="1444">
        <f ca="1"/>
        <v>-5801815.359145999</v>
      </c>
      <c r="Q499" s="1444">
        <f ca="1"/>
        <v>0</v>
      </c>
      <c r="R499" s="144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44">
        <f ca="1"/>
        <v>-433371.815</v>
      </c>
      <c r="P500" s="1444">
        <f ca="1"/>
        <v>0</v>
      </c>
      <c r="Q500" s="1444">
        <f ca="1"/>
        <v>228443.685</v>
      </c>
      <c r="R500" s="144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44">
        <f ca="1"/>
        <v>0</v>
      </c>
      <c r="P501" s="1444">
        <f ca="1"/>
        <v>-3161364.4945729994</v>
      </c>
      <c r="Q501" s="1444">
        <f ca="1"/>
        <v>0</v>
      </c>
      <c r="R501" s="144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44">
        <f ca="1"/>
        <v>0</v>
      </c>
      <c r="P502" s="1444">
        <f ca="1"/>
        <v>0</v>
      </c>
      <c r="Q502" s="1444">
        <f ca="1"/>
        <v>0</v>
      </c>
      <c r="R502" s="144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44">
        <f ca="1"/>
        <v>0</v>
      </c>
      <c r="P503" s="1444">
        <f ca="1"/>
        <v>0</v>
      </c>
      <c r="Q503" s="1444">
        <f ca="1"/>
        <v>0</v>
      </c>
      <c r="R503" s="144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44">
        <f ca="1"/>
        <v>0</v>
      </c>
      <c r="P504" s="1444">
        <f ca="1"/>
        <v>0</v>
      </c>
      <c r="Q504" s="1444">
        <f ca="1"/>
        <v>0</v>
      </c>
      <c r="R504" s="1444">
        <f ca="1"/>
        <v>0</v>
      </c>
    </row>
    <row r="505" spans="1:18" hidden="1">
      <c r="A505" s="447">
        <v>45919</v>
      </c>
      <c r="B505" s="460" t="s">
        <v>665</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44">
        <f ca="1"/>
        <v>0</v>
      </c>
      <c r="P505" s="1444">
        <f ca="1"/>
        <v>0</v>
      </c>
      <c r="Q505" s="1444">
        <f ca="1"/>
        <v>0</v>
      </c>
      <c r="R505" s="144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44">
        <f ca="1"/>
        <v>0</v>
      </c>
      <c r="P506" s="1444">
        <f ca="1"/>
        <v>0</v>
      </c>
      <c r="Q506" s="1444">
        <f ca="1"/>
        <v>0</v>
      </c>
      <c r="R506" s="144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44">
        <f ca="1"/>
        <v>0</v>
      </c>
      <c r="P507" s="1444">
        <f ca="1"/>
        <v>0</v>
      </c>
      <c r="Q507" s="1444">
        <f ca="1"/>
        <v>0</v>
      </c>
      <c r="R507" s="144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44">
        <f ca="1"/>
        <v>0</v>
      </c>
      <c r="P508" s="1444">
        <f ca="1"/>
        <v>0</v>
      </c>
      <c r="Q508" s="1444">
        <f ca="1"/>
        <v>0</v>
      </c>
      <c r="R508" s="144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44">
        <f ca="1"/>
        <v>54340</v>
      </c>
      <c r="P509" s="1444">
        <f ca="1"/>
        <v>0</v>
      </c>
      <c r="Q509" s="1444">
        <f ca="1"/>
        <v>98280</v>
      </c>
      <c r="R509" s="144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44">
        <f ca="1"/>
        <v>0</v>
      </c>
      <c r="P510" s="1444">
        <f ca="1"/>
        <v>-3107024.4945729994</v>
      </c>
      <c r="Q510" s="1444">
        <f ca="1"/>
        <v>0</v>
      </c>
      <c r="R510" s="144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44">
        <f ca="1"/>
        <v>0</v>
      </c>
      <c r="P511" s="1444">
        <f ca="1"/>
        <v>0</v>
      </c>
      <c r="Q511" s="1444">
        <f ca="1"/>
        <v>0</v>
      </c>
      <c r="R511" s="144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44">
        <f ca="1"/>
        <v>138184</v>
      </c>
      <c r="P512" s="1444">
        <f ca="1"/>
        <v>0</v>
      </c>
      <c r="Q512" s="1444">
        <f ca="1"/>
        <v>171524</v>
      </c>
      <c r="R512" s="144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44">
        <f ca="1"/>
        <v>0</v>
      </c>
      <c r="P513" s="1444">
        <f ca="1"/>
        <v>-2968840.4945729994</v>
      </c>
      <c r="Q513" s="1444">
        <f ca="1"/>
        <v>0</v>
      </c>
      <c r="R513" s="144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44">
        <f ca="1"/>
        <v>0</v>
      </c>
      <c r="P514" s="1444">
        <f ca="1"/>
        <v>0</v>
      </c>
      <c r="Q514" s="1444">
        <f ca="1"/>
        <v>0</v>
      </c>
      <c r="R514" s="144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44">
        <f ca="1"/>
        <v>0</v>
      </c>
      <c r="P515" s="1444">
        <f ca="1"/>
        <v>0</v>
      </c>
      <c r="Q515" s="1444">
        <f ca="1"/>
        <v>0</v>
      </c>
      <c r="R515" s="144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44">
        <f ca="1"/>
        <v>87501</v>
      </c>
      <c r="P516" s="1444">
        <f ca="1"/>
        <v>0</v>
      </c>
      <c r="Q516" s="1444">
        <f ca="1"/>
        <v>164850</v>
      </c>
      <c r="R516" s="144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44">
        <f ca="1"/>
        <v>0</v>
      </c>
      <c r="P517" s="1444">
        <f ca="1"/>
        <v>-2881339.4945729994</v>
      </c>
      <c r="Q517" s="1444">
        <f ca="1"/>
        <v>0</v>
      </c>
      <c r="R517" s="144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44">
        <f ca="1"/>
        <v>0</v>
      </c>
      <c r="P518" s="1444">
        <f ca="1"/>
        <v>0</v>
      </c>
      <c r="Q518" s="1444">
        <f ca="1"/>
        <v>0</v>
      </c>
      <c r="R518" s="144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44">
        <f ca="1"/>
        <v>716.56499999999505</v>
      </c>
      <c r="P519" s="1444">
        <f ca="1"/>
        <v>0</v>
      </c>
      <c r="Q519" s="1444">
        <f ca="1"/>
        <v>327396.565</v>
      </c>
      <c r="R519" s="144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44">
        <f ca="1"/>
        <v>0</v>
      </c>
      <c r="P520" s="1444">
        <f ca="1"/>
        <v>-2880622.9295729995</v>
      </c>
      <c r="Q520" s="1444">
        <f ca="1"/>
        <v>0</v>
      </c>
      <c r="R520" s="144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44">
        <f ca="1"/>
        <v>0</v>
      </c>
      <c r="P521" s="1444">
        <f ca="1"/>
        <v>0</v>
      </c>
      <c r="Q521" s="1444">
        <f ca="1"/>
        <v>0</v>
      </c>
      <c r="R521" s="144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44">
        <f ca="1"/>
        <v>0</v>
      </c>
      <c r="P522" s="1444">
        <f ca="1"/>
        <v>0</v>
      </c>
      <c r="Q522" s="1444">
        <f ca="1"/>
        <v>0</v>
      </c>
      <c r="R522" s="144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44">
        <f ca="1"/>
        <v>0</v>
      </c>
      <c r="P523" s="1444">
        <f ca="1"/>
        <v>0</v>
      </c>
      <c r="Q523" s="1444">
        <f ca="1"/>
        <v>0</v>
      </c>
      <c r="R523" s="144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44">
        <f ca="1"/>
        <v>0</v>
      </c>
      <c r="P524" s="1444">
        <f ca="1"/>
        <v>0</v>
      </c>
      <c r="Q524" s="1444">
        <f ca="1"/>
        <v>0</v>
      </c>
      <c r="R524" s="144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44">
        <f ca="1"/>
        <v>0</v>
      </c>
      <c r="P525" s="1444">
        <f ca="1"/>
        <v>0</v>
      </c>
      <c r="Q525" s="1444">
        <f ca="1"/>
        <v>0</v>
      </c>
      <c r="R525" s="144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44">
        <f ca="1"/>
        <v>19473.509999999995</v>
      </c>
      <c r="P526" s="1444">
        <f ca="1"/>
        <v>0</v>
      </c>
      <c r="Q526" s="1444">
        <f ca="1"/>
        <v>179011</v>
      </c>
      <c r="R526" s="144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44">
        <f ca="1"/>
        <v>0</v>
      </c>
      <c r="P527" s="1444">
        <f ca="1"/>
        <v>-2861149.4195729997</v>
      </c>
      <c r="Q527" s="1444">
        <f ca="1"/>
        <v>0</v>
      </c>
      <c r="R527" s="144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44">
        <f ca="1"/>
        <v>0</v>
      </c>
      <c r="P528" s="1444">
        <f ca="1"/>
        <v>0</v>
      </c>
      <c r="Q528" s="1444">
        <f ca="1"/>
        <v>0</v>
      </c>
      <c r="R528" s="144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44">
        <f ca="1"/>
        <v>0</v>
      </c>
      <c r="P529" s="1444">
        <f ca="1"/>
        <v>0</v>
      </c>
      <c r="Q529" s="1444">
        <f ca="1"/>
        <v>0</v>
      </c>
      <c r="R529" s="144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44">
        <f ca="1"/>
        <v>0</v>
      </c>
      <c r="P530" s="1444">
        <f ca="1"/>
        <v>0</v>
      </c>
      <c r="Q530" s="1444">
        <f ca="1"/>
        <v>0</v>
      </c>
      <c r="R530" s="1444">
        <f ca="1"/>
        <v>0</v>
      </c>
    </row>
    <row r="531" spans="1:18" hidden="1">
      <c r="A531" s="447">
        <v>45929</v>
      </c>
      <c r="B531" s="460" t="s">
        <v>2499</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44">
        <f ca="1"/>
        <v>415462.25</v>
      </c>
      <c r="P531" s="1444">
        <f ca="1"/>
        <v>0</v>
      </c>
      <c r="Q531" s="1444">
        <f ca="1"/>
        <v>415462.25</v>
      </c>
      <c r="R531" s="144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44">
        <f ca="1"/>
        <v>0</v>
      </c>
      <c r="P532" s="1444">
        <f ca="1"/>
        <v>-2445687.1695729997</v>
      </c>
      <c r="Q532" s="1444">
        <f ca="1"/>
        <v>0</v>
      </c>
      <c r="R532" s="144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44">
        <f ca="1"/>
        <v>0</v>
      </c>
      <c r="P533" s="1444">
        <f ca="1"/>
        <v>0</v>
      </c>
      <c r="Q533" s="1444">
        <f ca="1"/>
        <v>0</v>
      </c>
      <c r="R533" s="144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44">
        <f ca="1"/>
        <v>0</v>
      </c>
      <c r="P534" s="1444">
        <f ca="1"/>
        <v>0</v>
      </c>
      <c r="Q534" s="1444">
        <f ca="1"/>
        <v>0</v>
      </c>
      <c r="R534" s="144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44">
        <f ca="1"/>
        <v>19856</v>
      </c>
      <c r="P535" s="1444">
        <f ca="1"/>
        <v>0</v>
      </c>
      <c r="Q535" s="1444">
        <f ca="1"/>
        <v>19856</v>
      </c>
      <c r="R535" s="144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44">
        <f ca="1"/>
        <v>79801</v>
      </c>
      <c r="P536" s="1444">
        <f ca="1"/>
        <v>-2425831.1695729997</v>
      </c>
      <c r="Q536" s="1444">
        <f ca="1"/>
        <v>195976</v>
      </c>
      <c r="R536" s="144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44">
        <f ca="1"/>
        <v>0</v>
      </c>
      <c r="P537" s="1444">
        <f ca="1"/>
        <v>-4791717.3391459994</v>
      </c>
      <c r="Q537" s="1444">
        <f ca="1"/>
        <v>0</v>
      </c>
      <c r="R537" s="144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44">
        <f ca="1"/>
        <v>98660</v>
      </c>
      <c r="P538" s="1444">
        <f ca="1"/>
        <v>0</v>
      </c>
      <c r="Q538" s="1444">
        <f ca="1"/>
        <v>98660</v>
      </c>
      <c r="R538" s="144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44">
        <f ca="1"/>
        <v>0</v>
      </c>
      <c r="P539" s="1444">
        <f ca="1"/>
        <v>-2267226.1695729997</v>
      </c>
      <c r="Q539" s="1444">
        <f ca="1"/>
        <v>0</v>
      </c>
      <c r="R539" s="144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44">
        <f ca="1"/>
        <v>49406.600000000006</v>
      </c>
      <c r="P540" s="1444">
        <f ca="1"/>
        <v>0</v>
      </c>
      <c r="Q540" s="1444">
        <f ca="1"/>
        <v>341624</v>
      </c>
      <c r="R540" s="144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44">
        <f ca="1"/>
        <v>0</v>
      </c>
      <c r="P541" s="1444">
        <f ca="1"/>
        <v>-2217819.5695729996</v>
      </c>
      <c r="Q541" s="1444">
        <f ca="1"/>
        <v>0</v>
      </c>
      <c r="R541" s="144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44">
        <f ca="1"/>
        <v>0</v>
      </c>
      <c r="P542" s="1444">
        <f ca="1"/>
        <v>0</v>
      </c>
      <c r="Q542" s="1444">
        <f ca="1"/>
        <v>0</v>
      </c>
      <c r="R542" s="144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44">
        <f ca="1"/>
        <v>0</v>
      </c>
      <c r="P543" s="1444">
        <f ca="1"/>
        <v>0</v>
      </c>
      <c r="Q543" s="1444">
        <f ca="1"/>
        <v>0</v>
      </c>
      <c r="R543" s="144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44">
        <f ca="1"/>
        <v>0</v>
      </c>
      <c r="P544" s="1444">
        <f ca="1"/>
        <v>0</v>
      </c>
      <c r="Q544" s="1444">
        <f ca="1"/>
        <v>0</v>
      </c>
      <c r="R544" s="1444">
        <f ca="1"/>
        <v>0</v>
      </c>
    </row>
    <row r="545" spans="1:18" hidden="1">
      <c r="A545" s="447">
        <v>45936</v>
      </c>
      <c r="B545" s="460" t="s">
        <v>2525</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44">
        <f ca="1"/>
        <v>0</v>
      </c>
      <c r="P545" s="1444">
        <f ca="1"/>
        <v>0</v>
      </c>
      <c r="Q545" s="1444">
        <f ca="1"/>
        <v>0</v>
      </c>
      <c r="R545" s="1444">
        <f ca="1"/>
        <v>0</v>
      </c>
    </row>
    <row r="546" spans="1:18" hidden="1">
      <c r="A546" s="447">
        <v>45936</v>
      </c>
      <c r="B546" s="460" t="s">
        <v>2526</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44">
        <f ca="1"/>
        <v>0</v>
      </c>
      <c r="P546" s="1444">
        <f ca="1"/>
        <v>0</v>
      </c>
      <c r="Q546" s="1444">
        <f ca="1"/>
        <v>0</v>
      </c>
      <c r="R546" s="1444">
        <f ca="1"/>
        <v>0</v>
      </c>
    </row>
    <row r="547" spans="1:18" hidden="1">
      <c r="A547" s="447">
        <v>45936</v>
      </c>
      <c r="B547" s="460" t="s">
        <v>2528</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44">
        <f ca="1"/>
        <v>0</v>
      </c>
      <c r="P547" s="1444">
        <f ca="1"/>
        <v>0</v>
      </c>
      <c r="Q547" s="1444">
        <f ca="1"/>
        <v>0</v>
      </c>
      <c r="R547" s="1444">
        <f ca="1"/>
        <v>0</v>
      </c>
    </row>
    <row r="548" spans="1:18" hidden="1">
      <c r="A548" s="447">
        <v>45936</v>
      </c>
      <c r="B548" s="460" t="s">
        <v>2530</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44">
        <f ca="1"/>
        <v>0</v>
      </c>
      <c r="P548" s="1444">
        <f ca="1"/>
        <v>0</v>
      </c>
      <c r="Q548" s="1444">
        <f ca="1"/>
        <v>0</v>
      </c>
      <c r="R548" s="1444">
        <f ca="1"/>
        <v>0</v>
      </c>
    </row>
    <row r="549" spans="1:18" hidden="1">
      <c r="A549" s="461">
        <v>45937</v>
      </c>
      <c r="B549" s="444" t="s">
        <v>1087</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44">
        <f ca="1"/>
        <v>372128</v>
      </c>
      <c r="P549" s="1444">
        <f ca="1"/>
        <v>0</v>
      </c>
      <c r="Q549" s="1444">
        <f ca="1"/>
        <v>372128</v>
      </c>
      <c r="R549" s="144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44">
        <f ca="1"/>
        <v>0</v>
      </c>
      <c r="P550" s="1444">
        <f ca="1"/>
        <v>-1845691.5695729996</v>
      </c>
      <c r="Q550" s="1444">
        <f ca="1"/>
        <v>0</v>
      </c>
      <c r="R550" s="144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44">
        <f ca="1"/>
        <v>0</v>
      </c>
      <c r="P551" s="1444">
        <f ca="1"/>
        <v>0</v>
      </c>
      <c r="Q551" s="1444">
        <f ca="1"/>
        <v>0</v>
      </c>
      <c r="R551" s="144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44">
        <f ca="1"/>
        <v>0</v>
      </c>
      <c r="P552" s="1444">
        <f ca="1"/>
        <v>0</v>
      </c>
      <c r="Q552" s="1444">
        <f ca="1"/>
        <v>0</v>
      </c>
      <c r="R552" s="144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44">
        <f ca="1"/>
        <v>0</v>
      </c>
      <c r="P553" s="1444">
        <f ca="1"/>
        <v>0</v>
      </c>
      <c r="Q553" s="1444">
        <f ca="1"/>
        <v>0</v>
      </c>
      <c r="R553" s="144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44">
        <f ca="1"/>
        <v>-16692</v>
      </c>
      <c r="P554" s="1444">
        <f ca="1"/>
        <v>0</v>
      </c>
      <c r="Q554" s="1444">
        <f ca="1"/>
        <v>151940</v>
      </c>
      <c r="R554" s="144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44">
        <f ca="1"/>
        <v>0</v>
      </c>
      <c r="P555" s="1444">
        <f ca="1"/>
        <v>-1862383.5695729996</v>
      </c>
      <c r="Q555" s="1444">
        <f ca="1"/>
        <v>0</v>
      </c>
      <c r="R555" s="144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44">
        <f ca="1"/>
        <v>0</v>
      </c>
      <c r="P556" s="1444">
        <f ca="1"/>
        <v>0</v>
      </c>
      <c r="Q556" s="1444">
        <f ca="1"/>
        <v>0</v>
      </c>
      <c r="R556" s="144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44">
        <f ca="1"/>
        <v>0</v>
      </c>
      <c r="P557" s="1444">
        <f ca="1"/>
        <v>0</v>
      </c>
      <c r="Q557" s="1444">
        <f ca="1"/>
        <v>0</v>
      </c>
      <c r="R557" s="144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44">
        <f ca="1"/>
        <v>0</v>
      </c>
      <c r="P558" s="1444">
        <f ca="1"/>
        <v>0</v>
      </c>
      <c r="Q558" s="1444">
        <f ca="1"/>
        <v>0</v>
      </c>
      <c r="R558" s="1444">
        <f ca="1"/>
        <v>0</v>
      </c>
    </row>
    <row r="559" spans="1:18" hidden="1">
      <c r="A559" s="447">
        <v>45938</v>
      </c>
      <c r="B559" s="447" t="s">
        <v>1087</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44">
        <f ca="1"/>
        <v>0</v>
      </c>
      <c r="P559" s="1444">
        <f ca="1"/>
        <v>0</v>
      </c>
      <c r="Q559" s="1444">
        <f ca="1"/>
        <v>0</v>
      </c>
      <c r="R559" s="144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44">
        <f ca="1"/>
        <v>180047.40000000002</v>
      </c>
      <c r="P560" s="1444">
        <f ca="1"/>
        <v>0</v>
      </c>
      <c r="Q560" s="1444">
        <f ca="1"/>
        <v>382743.4</v>
      </c>
      <c r="R560" s="144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44">
        <f ca="1"/>
        <v>0</v>
      </c>
      <c r="P561" s="1444">
        <f ca="1"/>
        <v>-1682336.1695729997</v>
      </c>
      <c r="Q561" s="1444">
        <f ca="1"/>
        <v>0</v>
      </c>
      <c r="R561" s="144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44">
        <f ca="1"/>
        <v>0</v>
      </c>
      <c r="P562" s="1444">
        <f ca="1"/>
        <v>0</v>
      </c>
      <c r="Q562" s="1444">
        <f ca="1"/>
        <v>0</v>
      </c>
      <c r="R562" s="144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44">
        <f ca="1"/>
        <v>0</v>
      </c>
      <c r="P563" s="1444">
        <f ca="1"/>
        <v>0</v>
      </c>
      <c r="Q563" s="1444">
        <f ca="1"/>
        <v>0</v>
      </c>
      <c r="R563" s="144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44">
        <f ca="1"/>
        <v>0</v>
      </c>
      <c r="P564" s="1444">
        <f ca="1"/>
        <v>0</v>
      </c>
      <c r="Q564" s="1444">
        <f ca="1"/>
        <v>0</v>
      </c>
      <c r="R564" s="144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44">
        <f ca="1"/>
        <v>0</v>
      </c>
      <c r="P565" s="1444">
        <f ca="1"/>
        <v>0</v>
      </c>
      <c r="Q565" s="1444">
        <f ca="1"/>
        <v>0</v>
      </c>
      <c r="R565" s="144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44">
        <f ca="1"/>
        <v>0</v>
      </c>
      <c r="P566" s="1444">
        <f ca="1"/>
        <v>0</v>
      </c>
      <c r="Q566" s="1444">
        <f ca="1"/>
        <v>0</v>
      </c>
      <c r="R566" s="144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44">
        <f ca="1"/>
        <v>0</v>
      </c>
      <c r="P567" s="1444">
        <f ca="1"/>
        <v>0</v>
      </c>
      <c r="Q567" s="1444">
        <f ca="1"/>
        <v>0</v>
      </c>
      <c r="R567" s="144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44">
        <f ca="1"/>
        <v>0</v>
      </c>
      <c r="P568" s="1444">
        <f ca="1"/>
        <v>0</v>
      </c>
      <c r="Q568" s="1444">
        <f ca="1"/>
        <v>0</v>
      </c>
      <c r="R568" s="144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44">
        <f ca="1"/>
        <v>0</v>
      </c>
      <c r="P569" s="1444">
        <f ca="1"/>
        <v>0</v>
      </c>
      <c r="Q569" s="1444">
        <f ca="1"/>
        <v>0</v>
      </c>
      <c r="R569" s="144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44">
        <f ca="1"/>
        <v>0</v>
      </c>
      <c r="P570" s="1444">
        <f ca="1"/>
        <v>0</v>
      </c>
      <c r="Q570" s="1444">
        <f ca="1"/>
        <v>0</v>
      </c>
      <c r="R570" s="144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44">
        <f ca="1"/>
        <v>-272301.7</v>
      </c>
      <c r="P571" s="1444">
        <f ca="1"/>
        <v>0</v>
      </c>
      <c r="Q571" s="1444">
        <f ca="1"/>
        <v>67660.600000000006</v>
      </c>
      <c r="R571" s="144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44">
        <f ca="1"/>
        <v>0</v>
      </c>
      <c r="P572" s="1444">
        <f ca="1"/>
        <v>-1954637.8695729997</v>
      </c>
      <c r="Q572" s="1444">
        <f ca="1"/>
        <v>0</v>
      </c>
      <c r="R572" s="144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44">
        <f ca="1"/>
        <v>-4560</v>
      </c>
      <c r="P573" s="1444">
        <f ca="1"/>
        <v>0</v>
      </c>
      <c r="Q573" s="1444">
        <f ca="1"/>
        <v>0</v>
      </c>
      <c r="R573" s="144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44">
        <f ca="1"/>
        <v>-319841.69999999995</v>
      </c>
      <c r="P574" s="1444">
        <f ca="1"/>
        <v>-1959197.8695729997</v>
      </c>
      <c r="Q574" s="1444">
        <f ca="1"/>
        <v>20100.599999999999</v>
      </c>
      <c r="R574" s="144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44">
        <f ca="1"/>
        <v>0</v>
      </c>
      <c r="P575" s="1444">
        <f ca="1"/>
        <v>-4233677.439145999</v>
      </c>
      <c r="Q575" s="1444">
        <f ca="1"/>
        <v>0</v>
      </c>
      <c r="R575" s="144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44">
        <f ca="1"/>
        <v>0</v>
      </c>
      <c r="P576" s="1444">
        <f ca="1"/>
        <v>0</v>
      </c>
      <c r="Q576" s="1444">
        <f ca="1"/>
        <v>0</v>
      </c>
      <c r="R576" s="144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44">
        <f ca="1"/>
        <v>0</v>
      </c>
      <c r="P577" s="1444">
        <f ca="1"/>
        <v>0</v>
      </c>
      <c r="Q577" s="1444">
        <f ca="1"/>
        <v>0</v>
      </c>
      <c r="R577" s="144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44">
        <f ca="1"/>
        <v>-126693.795</v>
      </c>
      <c r="P578" s="1444">
        <f ca="1"/>
        <v>0</v>
      </c>
      <c r="Q578" s="1444">
        <f ca="1"/>
        <v>84.704999999999998</v>
      </c>
      <c r="R578" s="144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44">
        <f ca="1"/>
        <v>0</v>
      </c>
      <c r="P579" s="1444">
        <f ca="1"/>
        <v>-2401173.3645729995</v>
      </c>
      <c r="Q579" s="1444">
        <f ca="1"/>
        <v>0</v>
      </c>
      <c r="R579" s="144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44">
        <f ca="1"/>
        <v>0</v>
      </c>
      <c r="P580" s="1444">
        <f ca="1"/>
        <v>0</v>
      </c>
      <c r="Q580" s="1444">
        <f ca="1"/>
        <v>0</v>
      </c>
      <c r="R580" s="144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44">
        <f ca="1"/>
        <v>29259.360000000001</v>
      </c>
      <c r="P581" s="1444">
        <f ca="1"/>
        <v>0</v>
      </c>
      <c r="Q581" s="1444">
        <f ca="1"/>
        <v>29259.360000000001</v>
      </c>
      <c r="R581" s="144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44">
        <f ca="1"/>
        <v>0</v>
      </c>
      <c r="P582" s="1444">
        <f ca="1"/>
        <v>-2371914.0045729997</v>
      </c>
      <c r="Q582" s="1444">
        <f ca="1"/>
        <v>0</v>
      </c>
      <c r="R582" s="144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44">
        <f ca="1"/>
        <v>150366.46000000002</v>
      </c>
      <c r="P583" s="1444">
        <f ca="1"/>
        <v>0</v>
      </c>
      <c r="Q583" s="1444">
        <f ca="1"/>
        <v>150366.46000000002</v>
      </c>
      <c r="R583" s="144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44">
        <f ca="1"/>
        <v>0</v>
      </c>
      <c r="P584" s="1444">
        <f ca="1"/>
        <v>-2221547.5445729997</v>
      </c>
      <c r="Q584" s="1444">
        <f ca="1"/>
        <v>0</v>
      </c>
      <c r="R584" s="144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44">
        <f ca="1"/>
        <v>0</v>
      </c>
      <c r="P585" s="1444">
        <f ca="1"/>
        <v>0</v>
      </c>
      <c r="Q585" s="1444">
        <f ca="1"/>
        <v>0</v>
      </c>
      <c r="R585" s="144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44">
        <f ca="1"/>
        <v>0</v>
      </c>
      <c r="P586" s="1444">
        <f ca="1"/>
        <v>0</v>
      </c>
      <c r="Q586" s="1444">
        <f ca="1"/>
        <v>0</v>
      </c>
      <c r="R586" s="144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44">
        <f ca="1"/>
        <v>0</v>
      </c>
      <c r="P587" s="1444">
        <f ca="1"/>
        <v>0</v>
      </c>
      <c r="Q587" s="1444">
        <f ca="1"/>
        <v>0</v>
      </c>
      <c r="R587" s="144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44">
        <f ca="1"/>
        <v>-42706.000000000015</v>
      </c>
      <c r="P588" s="1444">
        <f ca="1"/>
        <v>0</v>
      </c>
      <c r="Q588" s="1444">
        <f ca="1"/>
        <v>162590</v>
      </c>
      <c r="R588" s="144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44">
        <f ca="1"/>
        <v>0</v>
      </c>
      <c r="P589" s="1444">
        <f ca="1"/>
        <v>-2264253.5445729997</v>
      </c>
      <c r="Q589" s="1444">
        <f ca="1"/>
        <v>0</v>
      </c>
      <c r="R589" s="144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44">
        <f ca="1"/>
        <v>0</v>
      </c>
      <c r="P590" s="1444">
        <f ca="1"/>
        <v>0</v>
      </c>
      <c r="Q590" s="1444">
        <f ca="1"/>
        <v>0</v>
      </c>
      <c r="R590" s="144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44">
        <f ca="1"/>
        <v>0</v>
      </c>
      <c r="P591" s="1444">
        <f ca="1"/>
        <v>0</v>
      </c>
      <c r="Q591" s="1444">
        <f ca="1"/>
        <v>0</v>
      </c>
      <c r="R591" s="144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44">
        <f ca="1"/>
        <v>0</v>
      </c>
      <c r="P592" s="1444">
        <f ca="1"/>
        <v>0</v>
      </c>
      <c r="Q592" s="1444">
        <f ca="1"/>
        <v>0</v>
      </c>
      <c r="R592" s="144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44">
        <f ca="1"/>
        <v>0</v>
      </c>
      <c r="P593" s="1444">
        <f ca="1"/>
        <v>0</v>
      </c>
      <c r="Q593" s="1444">
        <f ca="1"/>
        <v>0</v>
      </c>
      <c r="R593" s="144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44">
        <f ca="1"/>
        <v>121550.1</v>
      </c>
      <c r="P594" s="1444">
        <f ca="1"/>
        <v>0</v>
      </c>
      <c r="Q594" s="1444">
        <f ca="1"/>
        <v>234460.1</v>
      </c>
      <c r="R594" s="144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44">
        <f ca="1"/>
        <v>0</v>
      </c>
      <c r="P595" s="1444">
        <f ca="1"/>
        <v>-2142703.4445729996</v>
      </c>
      <c r="Q595" s="1444">
        <f ca="1"/>
        <v>0</v>
      </c>
      <c r="R595" s="144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44">
        <f ca="1"/>
        <v>0</v>
      </c>
      <c r="P596" s="1444">
        <f ca="1"/>
        <v>0</v>
      </c>
      <c r="Q596" s="1444">
        <f ca="1"/>
        <v>0</v>
      </c>
      <c r="R596" s="144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44">
        <f ca="1"/>
        <v>0</v>
      </c>
      <c r="P597" s="1444">
        <f ca="1"/>
        <v>0</v>
      </c>
      <c r="Q597" s="1444">
        <f ca="1"/>
        <v>0</v>
      </c>
      <c r="R597" s="144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44">
        <f ca="1"/>
        <v>120468.79999999999</v>
      </c>
      <c r="P598" s="1444">
        <f ca="1"/>
        <v>0</v>
      </c>
      <c r="Q598" s="1444">
        <f ca="1"/>
        <v>253636</v>
      </c>
      <c r="R598" s="144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44">
        <f ca="1"/>
        <v>0</v>
      </c>
      <c r="P599" s="1444">
        <f ca="1"/>
        <v>-2022234.6445729996</v>
      </c>
      <c r="Q599" s="1444">
        <f ca="1"/>
        <v>0</v>
      </c>
      <c r="R599" s="144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44">
        <f ca="1"/>
        <v>0</v>
      </c>
      <c r="P600" s="1444">
        <f ca="1"/>
        <v>0</v>
      </c>
      <c r="Q600" s="1444">
        <f ca="1"/>
        <v>0</v>
      </c>
      <c r="R600" s="144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44">
        <f ca="1"/>
        <v>0</v>
      </c>
      <c r="P601" s="1444">
        <f ca="1"/>
        <v>0</v>
      </c>
      <c r="Q601" s="1444">
        <f ca="1"/>
        <v>0</v>
      </c>
      <c r="R601" s="144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44">
        <f ca="1"/>
        <v>0</v>
      </c>
      <c r="P602" s="1444">
        <f ca="1"/>
        <v>0</v>
      </c>
      <c r="Q602" s="1444">
        <f ca="1"/>
        <v>0</v>
      </c>
      <c r="R602" s="144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44">
        <f ca="1"/>
        <v>76055</v>
      </c>
      <c r="P603" s="1444">
        <f ca="1"/>
        <v>0</v>
      </c>
      <c r="Q603" s="1444">
        <f ca="1"/>
        <v>302455</v>
      </c>
      <c r="R603" s="144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44">
        <f ca="1"/>
        <v>0</v>
      </c>
      <c r="P604" s="1444">
        <f ca="1"/>
        <v>-1946179.6445729996</v>
      </c>
      <c r="Q604" s="1444">
        <f ca="1"/>
        <v>0</v>
      </c>
      <c r="R604" s="144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44">
        <f ca="1"/>
        <v>0</v>
      </c>
      <c r="P605" s="1444">
        <f ca="1"/>
        <v>0</v>
      </c>
      <c r="Q605" s="1444">
        <f ca="1"/>
        <v>0</v>
      </c>
      <c r="R605" s="144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44">
        <f ca="1"/>
        <v>0</v>
      </c>
      <c r="P606" s="1444">
        <f ca="1"/>
        <v>0</v>
      </c>
      <c r="Q606" s="1444">
        <f ca="1"/>
        <v>0</v>
      </c>
      <c r="R606" s="144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44">
        <f ca="1"/>
        <v>0</v>
      </c>
      <c r="P607" s="1444">
        <f ca="1"/>
        <v>0</v>
      </c>
      <c r="Q607" s="1444">
        <f ca="1"/>
        <v>0</v>
      </c>
      <c r="R607" s="144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44">
        <f ca="1"/>
        <v>-1646915</v>
      </c>
      <c r="P608" s="1444">
        <f ca="1"/>
        <v>0</v>
      </c>
      <c r="Q608" s="1444">
        <f ca="1"/>
        <v>89840</v>
      </c>
      <c r="R608" s="144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44">
        <f ca="1"/>
        <v>0</v>
      </c>
      <c r="P609" s="1444">
        <f ca="1"/>
        <v>-3593094.6445729993</v>
      </c>
      <c r="Q609" s="1444">
        <f ca="1"/>
        <v>0</v>
      </c>
      <c r="R609" s="144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44">
        <f ca="1"/>
        <v>0</v>
      </c>
      <c r="P610" s="1444">
        <f ca="1"/>
        <v>0</v>
      </c>
      <c r="Q610" s="1444">
        <f ca="1"/>
        <v>0</v>
      </c>
      <c r="R610" s="144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44">
        <f ca="1"/>
        <v>0</v>
      </c>
      <c r="P611" s="1444">
        <f ca="1"/>
        <v>0</v>
      </c>
      <c r="Q611" s="1444">
        <f ca="1"/>
        <v>0</v>
      </c>
      <c r="R611" s="144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44">
        <f ca="1"/>
        <v>0</v>
      </c>
      <c r="P612" s="1444">
        <f ca="1"/>
        <v>0</v>
      </c>
      <c r="Q612" s="1444">
        <f ca="1"/>
        <v>0</v>
      </c>
      <c r="R612" s="144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44">
        <f ca="1"/>
        <v>-511279</v>
      </c>
      <c r="P613" s="1444">
        <f ca="1"/>
        <v>0</v>
      </c>
      <c r="Q613" s="1444">
        <f ca="1"/>
        <v>40501</v>
      </c>
      <c r="R613" s="144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44">
        <f ca="1"/>
        <v>0</v>
      </c>
      <c r="P614" s="1444">
        <f ca="1"/>
        <v>-4104373.6445729993</v>
      </c>
      <c r="Q614" s="1444">
        <f ca="1"/>
        <v>0</v>
      </c>
      <c r="R614" s="144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44">
        <f ca="1"/>
        <v>-611723.34</v>
      </c>
      <c r="P615" s="1444">
        <f ca="1"/>
        <v>0</v>
      </c>
      <c r="Q615" s="1444">
        <f ca="1"/>
        <v>170715</v>
      </c>
      <c r="R615" s="144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44">
        <f ca="1"/>
        <v>0</v>
      </c>
      <c r="P616" s="1444">
        <f ca="1"/>
        <v>-4716096.9845729992</v>
      </c>
      <c r="Q616" s="1444">
        <f ca="1"/>
        <v>0</v>
      </c>
      <c r="R616" s="144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44">
        <f ca="1"/>
        <v>0</v>
      </c>
      <c r="P617" s="1444">
        <f ca="1"/>
        <v>0</v>
      </c>
      <c r="Q617" s="1444">
        <f ca="1"/>
        <v>0</v>
      </c>
      <c r="R617" s="144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44">
        <f ca="1"/>
        <v>0</v>
      </c>
      <c r="P618" s="1444">
        <f ca="1"/>
        <v>0</v>
      </c>
      <c r="Q618" s="1444">
        <f ca="1"/>
        <v>0</v>
      </c>
      <c r="R618" s="144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44">
        <f ca="1"/>
        <v>0</v>
      </c>
      <c r="P619" s="1444">
        <f ca="1"/>
        <v>0</v>
      </c>
      <c r="Q619" s="1444">
        <f ca="1"/>
        <v>0</v>
      </c>
      <c r="R619" s="144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44">
        <f ca="1"/>
        <v>133317.20000000001</v>
      </c>
      <c r="P620" s="1444">
        <f ca="1"/>
        <v>0</v>
      </c>
      <c r="Q620" s="1444">
        <f ca="1"/>
        <v>133317.20000000001</v>
      </c>
      <c r="R620" s="144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44">
        <f ca="1"/>
        <v>0</v>
      </c>
      <c r="P621" s="1444">
        <f ca="1"/>
        <v>-4582779.784572999</v>
      </c>
      <c r="Q621" s="1444">
        <f ca="1"/>
        <v>0</v>
      </c>
      <c r="R621" s="144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44">
        <f ca="1"/>
        <v>0</v>
      </c>
      <c r="P622" s="1444">
        <f ca="1"/>
        <v>0</v>
      </c>
      <c r="Q622" s="1444">
        <f ca="1"/>
        <v>0</v>
      </c>
      <c r="R622" s="144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44">
        <f ca="1"/>
        <v>-36183</v>
      </c>
      <c r="P623" s="1444">
        <f ca="1"/>
        <v>0</v>
      </c>
      <c r="Q623" s="1444">
        <f ca="1"/>
        <v>43416</v>
      </c>
      <c r="R623" s="144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44">
        <f ca="1"/>
        <v>0</v>
      </c>
      <c r="P624" s="1444">
        <f ca="1"/>
        <v>-4618962.784572999</v>
      </c>
      <c r="Q624" s="1444">
        <f ca="1"/>
        <v>0</v>
      </c>
      <c r="R624" s="144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44">
        <f ca="1"/>
        <v>-61478.899999999994</v>
      </c>
      <c r="P625" s="1444">
        <f ca="1"/>
        <v>0</v>
      </c>
      <c r="Q625" s="1444">
        <f ca="1"/>
        <v>20527.5</v>
      </c>
      <c r="R625" s="144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44">
        <f ca="1"/>
        <v>0</v>
      </c>
      <c r="P626" s="1444">
        <f ca="1"/>
        <v>-4680441.6845729994</v>
      </c>
      <c r="Q626" s="1444">
        <f ca="1"/>
        <v>0</v>
      </c>
      <c r="R626" s="144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44">
        <f ca="1"/>
        <v>0</v>
      </c>
      <c r="P627" s="1444">
        <f ca="1"/>
        <v>0</v>
      </c>
      <c r="Q627" s="1444">
        <f ca="1"/>
        <v>0</v>
      </c>
      <c r="R627" s="144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44">
        <f ca="1"/>
        <v>-80880</v>
      </c>
      <c r="P628" s="1444">
        <f ca="1"/>
        <v>0</v>
      </c>
      <c r="Q628" s="1444">
        <f ca="1"/>
        <v>0</v>
      </c>
      <c r="R628" s="144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44">
        <f ca="1"/>
        <v>-58744.2</v>
      </c>
      <c r="P629" s="1444">
        <f ca="1"/>
        <v>-4761321.6845729994</v>
      </c>
      <c r="Q629" s="1444">
        <f ca="1"/>
        <v>102015.8</v>
      </c>
      <c r="R629" s="144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44">
        <f ca="1"/>
        <v>0</v>
      </c>
      <c r="P630" s="1444">
        <f ca="1"/>
        <v>-9500507.5691459998</v>
      </c>
      <c r="Q630" s="1444">
        <f ca="1"/>
        <v>0</v>
      </c>
      <c r="R630" s="144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44">
        <f ca="1"/>
        <v>0</v>
      </c>
      <c r="P631" s="1444">
        <f ca="1"/>
        <v>0</v>
      </c>
      <c r="Q631" s="1444">
        <f ca="1"/>
        <v>0</v>
      </c>
      <c r="R631" s="144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44">
        <f ca="1"/>
        <v>139466.13</v>
      </c>
      <c r="P632" s="1444">
        <f ca="1"/>
        <v>0</v>
      </c>
      <c r="Q632" s="1444">
        <f ca="1"/>
        <v>139466.13</v>
      </c>
      <c r="R632" s="144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44">
        <f ca="1"/>
        <v>0</v>
      </c>
      <c r="P633" s="1444">
        <f ca="1"/>
        <v>-4599719.7545729997</v>
      </c>
      <c r="Q633" s="1444">
        <f ca="1"/>
        <v>0</v>
      </c>
      <c r="R633" s="144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44">
        <f ca="1"/>
        <v>-299131</v>
      </c>
      <c r="P634" s="1444">
        <f ca="1"/>
        <v>0</v>
      </c>
      <c r="Q634" s="1444">
        <f ca="1"/>
        <v>214320</v>
      </c>
      <c r="R634" s="144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44">
        <f ca="1"/>
        <v>0</v>
      </c>
      <c r="P635" s="1444">
        <f ca="1"/>
        <v>-4898850.7545729997</v>
      </c>
      <c r="Q635" s="1444">
        <f ca="1"/>
        <v>0</v>
      </c>
      <c r="R635" s="144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44">
        <f ca="1"/>
        <v>0</v>
      </c>
      <c r="P636" s="1444">
        <f ca="1"/>
        <v>0</v>
      </c>
      <c r="Q636" s="1444">
        <f ca="1"/>
        <v>0</v>
      </c>
      <c r="R636" s="144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44">
        <f ca="1"/>
        <v>0</v>
      </c>
      <c r="P637" s="1444">
        <f ca="1"/>
        <v>0</v>
      </c>
      <c r="Q637" s="1444">
        <f ca="1"/>
        <v>0</v>
      </c>
      <c r="R637" s="144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44">
        <f ca="1"/>
        <v>0</v>
      </c>
      <c r="P638" s="1444">
        <f ca="1"/>
        <v>0</v>
      </c>
      <c r="Q638" s="1444">
        <f ca="1"/>
        <v>0</v>
      </c>
      <c r="R638" s="144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44">
        <f ca="1"/>
        <v>0</v>
      </c>
      <c r="P639" s="1444">
        <f ca="1"/>
        <v>0</v>
      </c>
      <c r="Q639" s="1444">
        <f ca="1"/>
        <v>0</v>
      </c>
      <c r="R639" s="144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44">
        <f ca="1"/>
        <v>0</v>
      </c>
      <c r="P640" s="1444">
        <f ca="1"/>
        <v>0</v>
      </c>
      <c r="Q640" s="1444">
        <f ca="1"/>
        <v>0</v>
      </c>
      <c r="R640" s="144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44">
        <f ca="1"/>
        <v>31402</v>
      </c>
      <c r="P641" s="1444">
        <f ca="1"/>
        <v>0</v>
      </c>
      <c r="Q641" s="1444">
        <f ca="1"/>
        <v>322380</v>
      </c>
      <c r="R641" s="144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44">
        <f ca="1"/>
        <v>0</v>
      </c>
      <c r="P642" s="1444">
        <f ca="1"/>
        <v>-4867448.7545729997</v>
      </c>
      <c r="Q642" s="1444">
        <f ca="1"/>
        <v>0</v>
      </c>
      <c r="R642" s="144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44">
        <f ca="1"/>
        <v>0</v>
      </c>
      <c r="P643" s="1444">
        <f ca="1"/>
        <v>0</v>
      </c>
      <c r="Q643" s="1444">
        <f ca="1"/>
        <v>0</v>
      </c>
      <c r="R643" s="144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44">
        <f ca="1"/>
        <v>0</v>
      </c>
      <c r="P644" s="1444">
        <f ca="1"/>
        <v>0</v>
      </c>
      <c r="Q644" s="1444">
        <f ca="1"/>
        <v>0</v>
      </c>
      <c r="R644" s="144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44">
        <f ca="1"/>
        <v>0</v>
      </c>
      <c r="P645" s="1444">
        <f ca="1"/>
        <v>0</v>
      </c>
      <c r="Q645" s="1444">
        <f ca="1"/>
        <v>0</v>
      </c>
      <c r="R645" s="144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44">
        <f ca="1"/>
        <v>-30945</v>
      </c>
      <c r="P646" s="1444">
        <f ca="1"/>
        <v>0</v>
      </c>
      <c r="Q646" s="1444">
        <f ca="1"/>
        <v>86655</v>
      </c>
      <c r="R646" s="144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44">
        <f ca="1"/>
        <v>0</v>
      </c>
      <c r="P647" s="1444">
        <f ca="1"/>
        <v>-4898393.7545729997</v>
      </c>
      <c r="Q647" s="1444">
        <f ca="1"/>
        <v>0</v>
      </c>
      <c r="R647" s="144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44">
        <f ca="1"/>
        <v>241281</v>
      </c>
      <c r="P648" s="1444">
        <f ca="1"/>
        <v>0</v>
      </c>
      <c r="Q648" s="1444">
        <f ca="1"/>
        <v>358181</v>
      </c>
      <c r="R648" s="144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44">
        <f ca="1"/>
        <v>0</v>
      </c>
      <c r="P649" s="1444">
        <f ca="1"/>
        <v>-4657112.7545729997</v>
      </c>
      <c r="Q649" s="1444">
        <f ca="1"/>
        <v>0</v>
      </c>
      <c r="R649" s="144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44">
        <f ca="1"/>
        <v>0</v>
      </c>
      <c r="P650" s="1444">
        <f ca="1"/>
        <v>0</v>
      </c>
      <c r="Q650" s="1444">
        <f ca="1"/>
        <v>0</v>
      </c>
      <c r="R650" s="144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44">
        <f ca="1"/>
        <v>0</v>
      </c>
      <c r="P651" s="1444">
        <f ca="1"/>
        <v>0</v>
      </c>
      <c r="Q651" s="1444">
        <f ca="1"/>
        <v>0</v>
      </c>
      <c r="R651" s="144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44">
        <f ca="1"/>
        <v>0</v>
      </c>
      <c r="P652" s="1444">
        <f ca="1"/>
        <v>0</v>
      </c>
      <c r="Q652" s="1444">
        <f ca="1"/>
        <v>0</v>
      </c>
      <c r="R652" s="144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44">
        <f ca="1"/>
        <v>-192224</v>
      </c>
      <c r="P653" s="1444">
        <f ca="1"/>
        <v>0</v>
      </c>
      <c r="Q653" s="1444">
        <f ca="1"/>
        <v>0</v>
      </c>
      <c r="R653" s="144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44">
        <f ca="1"/>
        <v>-201438.0785</v>
      </c>
      <c r="P654" s="1444">
        <f ca="1"/>
        <v>-4849336.7545729997</v>
      </c>
      <c r="Q654" s="1444">
        <f ca="1"/>
        <v>0</v>
      </c>
      <c r="R654" s="144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44">
        <f ca="1"/>
        <v>199738.6715</v>
      </c>
      <c r="P655" s="1444">
        <f ca="1"/>
        <v>-9707887.5876460001</v>
      </c>
      <c r="Q655" s="1444">
        <f ca="1"/>
        <v>413624</v>
      </c>
      <c r="R655" s="144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44">
        <f ca="1"/>
        <v>0</v>
      </c>
      <c r="P656" s="1444">
        <f ca="1"/>
        <v>-14165261.670719</v>
      </c>
      <c r="Q656" s="1444">
        <f ca="1"/>
        <v>0</v>
      </c>
      <c r="R656" s="144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44">
        <f ca="1"/>
        <v>0</v>
      </c>
      <c r="P657" s="1444">
        <f ca="1"/>
        <v>0</v>
      </c>
      <c r="Q657" s="1444">
        <f ca="1"/>
        <v>0</v>
      </c>
      <c r="R657" s="1444">
        <f ca="1"/>
        <v>0</v>
      </c>
    </row>
    <row r="658" spans="1:18" hidden="1">
      <c r="A658" s="461">
        <v>45973</v>
      </c>
      <c r="B658" s="444" t="s">
        <v>1087</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44">
        <f ca="1"/>
        <v>0</v>
      </c>
      <c r="P658" s="1444">
        <f ca="1"/>
        <v>0</v>
      </c>
      <c r="Q658" s="1444">
        <f ca="1"/>
        <v>0</v>
      </c>
      <c r="R658" s="144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44">
        <f ca="1"/>
        <v>0</v>
      </c>
      <c r="P659" s="1444">
        <f ca="1"/>
        <v>0</v>
      </c>
      <c r="Q659" s="1444">
        <f ca="1"/>
        <v>0</v>
      </c>
      <c r="R659" s="144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44">
        <f ca="1"/>
        <v>-5530</v>
      </c>
      <c r="P660" s="1444">
        <f ca="1"/>
        <v>0</v>
      </c>
      <c r="Q660" s="1444">
        <f ca="1"/>
        <v>39920</v>
      </c>
      <c r="R660" s="144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44">
        <f ca="1"/>
        <v>0</v>
      </c>
      <c r="P661" s="1444">
        <f ca="1"/>
        <v>-4462904.0830729995</v>
      </c>
      <c r="Q661" s="1444">
        <f ca="1"/>
        <v>0</v>
      </c>
      <c r="R661" s="144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44">
        <f ca="1"/>
        <v>-88670</v>
      </c>
      <c r="P662" s="1444">
        <f ca="1"/>
        <v>0</v>
      </c>
      <c r="Q662" s="1444">
        <f ca="1"/>
        <v>0</v>
      </c>
      <c r="R662" s="144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44">
        <f ca="1"/>
        <v>-20206</v>
      </c>
      <c r="P663" s="1444">
        <f ca="1"/>
        <v>-4551574.0830729995</v>
      </c>
      <c r="Q663" s="1444">
        <f ca="1"/>
        <v>68464</v>
      </c>
      <c r="R663" s="144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44">
        <f ca="1"/>
        <v>-41352</v>
      </c>
      <c r="P664" s="1444">
        <f ca="1"/>
        <v>-9034684.166145999</v>
      </c>
      <c r="Q664" s="1444">
        <f ca="1"/>
        <v>0</v>
      </c>
      <c r="R664" s="144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44">
        <f ca="1"/>
        <v>-55518.8</v>
      </c>
      <c r="P665" s="1444">
        <f ca="1"/>
        <v>-13538940.249218998</v>
      </c>
      <c r="Q665" s="1444">
        <f ca="1"/>
        <v>23353.199999999997</v>
      </c>
      <c r="R665" s="144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44">
        <f ca="1"/>
        <v>0</v>
      </c>
      <c r="P666" s="1444">
        <f ca="1"/>
        <v>-18057363.132291999</v>
      </c>
      <c r="Q666" s="1444">
        <f ca="1"/>
        <v>0</v>
      </c>
      <c r="R666" s="144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44">
        <f ca="1"/>
        <v>-156284</v>
      </c>
      <c r="P667" s="1444">
        <f ca="1"/>
        <v>0</v>
      </c>
      <c r="Q667" s="1444">
        <f ca="1"/>
        <v>31600</v>
      </c>
      <c r="R667" s="144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44">
        <f ca="1"/>
        <v>0</v>
      </c>
      <c r="P668" s="1444">
        <f ca="1"/>
        <v>-4674706.8830729993</v>
      </c>
      <c r="Q668" s="1444">
        <f ca="1"/>
        <v>0</v>
      </c>
      <c r="R668" s="144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44">
        <f ca="1"/>
        <v>24140</v>
      </c>
      <c r="P669" s="1444">
        <f ca="1"/>
        <v>0</v>
      </c>
      <c r="Q669" s="1444">
        <f ca="1"/>
        <v>24140</v>
      </c>
      <c r="R669" s="144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44">
        <f ca="1"/>
        <v>74350</v>
      </c>
      <c r="P670" s="1444">
        <f ca="1"/>
        <v>-4650566.8830729993</v>
      </c>
      <c r="Q670" s="1444">
        <f ca="1"/>
        <v>125810</v>
      </c>
      <c r="R670" s="144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44">
        <f ca="1"/>
        <v>0</v>
      </c>
      <c r="P671" s="1444">
        <f ca="1"/>
        <v>-9250923.7661459986</v>
      </c>
      <c r="Q671" s="1444">
        <f ca="1"/>
        <v>0</v>
      </c>
      <c r="R671" s="144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44">
        <f ca="1"/>
        <v>0</v>
      </c>
      <c r="P672" s="1444">
        <f ca="1"/>
        <v>0</v>
      </c>
      <c r="Q672" s="1444">
        <f ca="1"/>
        <v>0</v>
      </c>
      <c r="R672" s="144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44">
        <f ca="1"/>
        <v>39801</v>
      </c>
      <c r="P673" s="1444">
        <f ca="1"/>
        <v>0</v>
      </c>
      <c r="Q673" s="1444">
        <f ca="1"/>
        <v>39801</v>
      </c>
      <c r="R673" s="144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44">
        <f ca="1"/>
        <v>85251</v>
      </c>
      <c r="P674" s="1444">
        <f ca="1"/>
        <v>-4560555.8830729993</v>
      </c>
      <c r="Q674" s="1444">
        <f ca="1"/>
        <v>85251</v>
      </c>
      <c r="R674" s="144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44">
        <f ca="1"/>
        <v>165541</v>
      </c>
      <c r="P675" s="1444">
        <f ca="1"/>
        <v>-9075661.7661459986</v>
      </c>
      <c r="Q675" s="1444">
        <f ca="1"/>
        <v>275341</v>
      </c>
      <c r="R675" s="144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44">
        <f ca="1"/>
        <v>0</v>
      </c>
      <c r="P676" s="1444">
        <f ca="1"/>
        <v>-13510477.649218999</v>
      </c>
      <c r="Q676" s="1444">
        <f ca="1"/>
        <v>0</v>
      </c>
      <c r="R676" s="144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44">
        <f ca="1"/>
        <v>440875.42999999993</v>
      </c>
      <c r="P677" s="1444">
        <f ca="1"/>
        <v>0</v>
      </c>
      <c r="Q677" s="1444">
        <f ca="1"/>
        <v>740780</v>
      </c>
      <c r="R677" s="1444">
        <f ca="1"/>
        <v>-299904.57</v>
      </c>
    </row>
    <row r="678" spans="1:18">
      <c r="A678" s="447">
        <v>45994</v>
      </c>
      <c r="B678" s="447" t="s">
        <v>2499</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44">
        <f ca="1"/>
        <v>0</v>
      </c>
      <c r="P678" s="1444">
        <f ca="1"/>
        <v>-3993940.4530729996</v>
      </c>
      <c r="Q678" s="1444">
        <f ca="1"/>
        <v>0</v>
      </c>
      <c r="R678" s="144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44">
        <f ca="1"/>
        <v>0</v>
      </c>
      <c r="P679" s="1444">
        <f ca="1"/>
        <v>0</v>
      </c>
      <c r="Q679" s="1444">
        <f ca="1"/>
        <v>0</v>
      </c>
      <c r="R679" s="144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44">
        <f ca="1"/>
        <v>0</v>
      </c>
      <c r="P680" s="1444">
        <f ca="1"/>
        <v>0</v>
      </c>
      <c r="Q680" s="1444">
        <f ca="1"/>
        <v>0</v>
      </c>
      <c r="R680" s="144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44">
        <f ca="1"/>
        <v>0</v>
      </c>
      <c r="P681" s="1444">
        <f ca="1"/>
        <v>0</v>
      </c>
      <c r="Q681" s="1444">
        <f ca="1"/>
        <v>0</v>
      </c>
      <c r="R681" s="144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44">
        <f ca="1"/>
        <v>0</v>
      </c>
      <c r="P682" s="1444">
        <f ca="1"/>
        <v>0</v>
      </c>
      <c r="Q682" s="1444">
        <f ca="1"/>
        <v>0</v>
      </c>
      <c r="R682" s="144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44">
        <f ca="1"/>
        <v>0</v>
      </c>
      <c r="P683" s="1444">
        <f ca="1"/>
        <v>0</v>
      </c>
      <c r="Q683" s="1444">
        <f ca="1"/>
        <v>0</v>
      </c>
      <c r="R683" s="144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44">
        <f ca="1"/>
        <v>0</v>
      </c>
      <c r="P684" s="1444">
        <f ca="1"/>
        <v>0</v>
      </c>
      <c r="Q684" s="1444">
        <f ca="1"/>
        <v>0</v>
      </c>
      <c r="R684" s="144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44">
        <f ca="1"/>
        <v>0</v>
      </c>
      <c r="P685" s="1444">
        <f ca="1"/>
        <v>0</v>
      </c>
      <c r="Q685" s="1444">
        <f ca="1"/>
        <v>0</v>
      </c>
      <c r="R685" s="144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44">
        <f ca="1"/>
        <v>-121040</v>
      </c>
      <c r="P686" s="1444">
        <f ca="1"/>
        <v>0</v>
      </c>
      <c r="Q686" s="1444">
        <f ca="1"/>
        <v>254260</v>
      </c>
      <c r="R686" s="144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44">
        <f ca="1"/>
        <v>0</v>
      </c>
      <c r="P687" s="1444">
        <f ca="1"/>
        <v>-4114980.4530729996</v>
      </c>
      <c r="Q687" s="1444">
        <f ca="1"/>
        <v>0</v>
      </c>
      <c r="R687" s="144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44">
        <f ca="1"/>
        <v>0</v>
      </c>
      <c r="P688" s="1444">
        <f ca="1"/>
        <v>0</v>
      </c>
      <c r="Q688" s="1444">
        <f ca="1"/>
        <v>0</v>
      </c>
      <c r="R688" s="144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44">
        <f ca="1"/>
        <v>0</v>
      </c>
      <c r="P689" s="1444">
        <f ca="1"/>
        <v>0</v>
      </c>
      <c r="Q689" s="1444">
        <f ca="1"/>
        <v>0</v>
      </c>
      <c r="R689" s="144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44">
        <f ca="1"/>
        <v>-11589</v>
      </c>
      <c r="P690" s="1444">
        <f ca="1"/>
        <v>0</v>
      </c>
      <c r="Q690" s="1444">
        <f ca="1"/>
        <v>123320</v>
      </c>
      <c r="R690" s="144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44">
        <f ca="1"/>
        <v>0</v>
      </c>
      <c r="P691" s="1444">
        <f ca="1"/>
        <v>-4126569.4530729996</v>
      </c>
      <c r="Q691" s="1444">
        <f ca="1"/>
        <v>0</v>
      </c>
      <c r="R691" s="144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44">
        <f ca="1"/>
        <v>0</v>
      </c>
      <c r="P692" s="1444">
        <f ca="1"/>
        <v>0</v>
      </c>
      <c r="Q692" s="1444">
        <f ca="1"/>
        <v>0</v>
      </c>
      <c r="R692" s="144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44">
        <f ca="1"/>
        <v>0</v>
      </c>
      <c r="P693" s="1444">
        <f ca="1"/>
        <v>0</v>
      </c>
      <c r="Q693" s="1444">
        <f ca="1"/>
        <v>0</v>
      </c>
      <c r="R693" s="144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44">
        <f ca="1"/>
        <v>-133958</v>
      </c>
      <c r="P694" s="1444">
        <f ca="1"/>
        <v>0</v>
      </c>
      <c r="Q694" s="1444">
        <f ca="1"/>
        <v>76608</v>
      </c>
      <c r="R694" s="144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44">
        <f ca="1"/>
        <v>0</v>
      </c>
      <c r="P695" s="1444">
        <f ca="1"/>
        <v>-4260527.4530729996</v>
      </c>
      <c r="Q695" s="1444">
        <f ca="1"/>
        <v>0</v>
      </c>
      <c r="R695" s="144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44">
        <f ca="1"/>
        <v>0</v>
      </c>
      <c r="P696" s="1444">
        <f ca="1"/>
        <v>0</v>
      </c>
      <c r="Q696" s="1444">
        <f ca="1"/>
        <v>0</v>
      </c>
      <c r="R696" s="144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44">
        <f ca="1"/>
        <v>0</v>
      </c>
      <c r="P697" s="1444">
        <f ca="1"/>
        <v>0</v>
      </c>
      <c r="Q697" s="1444">
        <f ca="1"/>
        <v>0</v>
      </c>
      <c r="R697" s="1444">
        <f ca="1"/>
        <v>0</v>
      </c>
    </row>
    <row r="698" spans="1:18">
      <c r="A698" s="447">
        <v>46000</v>
      </c>
      <c r="B698" s="447" t="s">
        <v>48</v>
      </c>
      <c r="C698" s="460">
        <v>500</v>
      </c>
      <c r="D698" s="450">
        <v>61.8</v>
      </c>
      <c r="E698" s="1010">
        <f ca="1">IFERROR(C698*D698*_xlfn.XLOOKUP(B698,TabCalc[Ticker],TabCalc[Scale]),0)</f>
        <v>30900</v>
      </c>
      <c r="F698" s="1011" cm="1">
        <f t="array" aca="1" ref="F698" ca="1">IF(A698=A697,0,SUM(_xlfn._xlws.FILTER(E698:E738,A698:A738=A698)))</f>
        <v>-123407.36</v>
      </c>
      <c r="G698" s="1012">
        <f ca="1">IF(F698&lt;&gt;0,SUM($F$43:F698),0)</f>
        <v>-4383934.8130729999</v>
      </c>
      <c r="H698" s="1012" cm="1">
        <f t="array" aca="1" ref="H698" ca="1">IFERROR(IF(A698=A697,0,SUM(_xlfn._xlws.FILTER(E698:E738,(A698:A738=A698)*(E698:E738&gt;0)))),0)</f>
        <v>31592.639999999999</v>
      </c>
      <c r="I698" s="1012" cm="1">
        <f t="array" aca="1" ref="I698" ca="1">IFERROR(IF(A698=A697,0,SUM(_xlfn._xlws.FILTER(E698:E738,(A698:A738=A698)*(E698:E738&lt;0)))),0)</f>
        <v>-155000</v>
      </c>
      <c r="J698" s="291" t="str">
        <f ca="1">IFERROR(_xlfn.XLOOKUP(B698,TabCalc[Ticker],TabCalc[Cur]),"")</f>
        <v>CHF</v>
      </c>
      <c r="K698" s="1011" cm="1">
        <f t="array" aca="1" ref="K698" ca="1">IFERROR(IF($A698=$A697,0,SUM(_xlfn._xlws.FILTER($E698:$E708,($A698:$A708=$A698)*($J698:$J708=K$42)))),0)</f>
        <v>-155000</v>
      </c>
      <c r="L698" s="1011" cm="1">
        <f t="array" aca="1" ref="L698" ca="1">IFERROR(IF($A698=$A697,0,SUM(_xlfn._xlws.FILTER($E698:$E708,($A698:$A708=$A698)*($J698:$J708=L$42)))),0)</f>
        <v>692.64</v>
      </c>
      <c r="M698" s="1011" cm="1">
        <f t="array" aca="1" ref="M698" ca="1">IFERROR(IF($A698=$A697,0,SUM(_xlfn._xlws.FILTER($E698:$E708,($A698:$A708=$A698)*($J698:$J708=M$42)))),0)</f>
        <v>0</v>
      </c>
      <c r="N698" s="1011" cm="1">
        <f t="array" aca="1" ref="N698" ca="1">IFERROR(IF($A698=$A697,0,SUM(_xlfn._xlws.FILTER($E698:$E708,($A698:$A708=$A698)*($J698:$J708=N$42)))),0)</f>
        <v>30900</v>
      </c>
      <c r="O698" s="1444">
        <f ca="1"/>
        <v>-123407.36</v>
      </c>
      <c r="P698" s="1444">
        <f ca="1"/>
        <v>0</v>
      </c>
      <c r="Q698" s="1444">
        <f ca="1"/>
        <v>31592.639999999999</v>
      </c>
      <c r="R698" s="1444">
        <f ca="1"/>
        <v>-155000</v>
      </c>
    </row>
    <row r="699" spans="1:18">
      <c r="A699" s="447">
        <v>46000</v>
      </c>
      <c r="B699" s="447" t="s">
        <v>16</v>
      </c>
      <c r="C699" s="460">
        <v>10000</v>
      </c>
      <c r="D699" s="450">
        <v>-15.5</v>
      </c>
      <c r="E699" s="1010">
        <f ca="1">IFERROR(C699*D699*_xlfn.XLOOKUP(B699,TabCalc[Ticker],TabCalc[Scale]),0)</f>
        <v>-155000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EUR</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44">
        <f ca="1"/>
        <v>0</v>
      </c>
      <c r="P699" s="1444">
        <f ca="1"/>
        <v>-4383934.8130729999</v>
      </c>
      <c r="Q699" s="1444">
        <f ca="1"/>
        <v>0</v>
      </c>
      <c r="R699" s="1444">
        <f ca="1"/>
        <v>0</v>
      </c>
    </row>
    <row r="700" spans="1:18">
      <c r="A700" s="447">
        <v>46000</v>
      </c>
      <c r="B700" s="447" t="s">
        <v>19</v>
      </c>
      <c r="C700" s="460">
        <v>9</v>
      </c>
      <c r="D700" s="450">
        <v>76.959999999999994</v>
      </c>
      <c r="E700" s="1010">
        <f ca="1">IFERROR(C700*D700*_xlfn.XLOOKUP(B700,TabCalc[Ticker],TabCalc[Scale]),0)</f>
        <v>692.64</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USD</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44">
        <f ca="1"/>
        <v>0</v>
      </c>
      <c r="P700" s="1444">
        <f ca="1"/>
        <v>0</v>
      </c>
      <c r="Q700" s="1444">
        <f ca="1"/>
        <v>0</v>
      </c>
      <c r="R700" s="1444">
        <f ca="1"/>
        <v>0</v>
      </c>
    </row>
    <row r="701" spans="1:18">
      <c r="A701" s="447">
        <v>46001</v>
      </c>
      <c r="B701" s="447" t="s">
        <v>30</v>
      </c>
      <c r="C701" s="460">
        <v>1000</v>
      </c>
      <c r="D701" s="450">
        <v>-92.48</v>
      </c>
      <c r="E701" s="1010">
        <f ca="1">IFERROR(C701*D701*_xlfn.XLOOKUP(B701,TabCalc[Ticker],TabCalc[Scale]),0)</f>
        <v>-92480</v>
      </c>
      <c r="F701" s="1011" cm="1">
        <f t="array" aca="1" ref="F701" ca="1">IF(A701=A700,0,SUM(_xlfn._xlws.FILTER(E701:E741,A701:A741=A701)))</f>
        <v>-92480</v>
      </c>
      <c r="G701" s="1012">
        <f ca="1">IF(F701&lt;&gt;0,SUM($F$43:F701),0)</f>
        <v>-4476414.8130729999</v>
      </c>
      <c r="H701" s="1012" cm="1">
        <f t="array" aca="1" ref="H701" ca="1">IFERROR(IF(A701=A700,0,SUM(_xlfn._xlws.FILTER(E701:E741,(A701:A741=A701)*(E701:E741&gt;0)))),0)</f>
        <v>0</v>
      </c>
      <c r="I701" s="1012" cm="1">
        <f t="array" aca="1" ref="I701" ca="1">IFERROR(IF(A701=A700,0,SUM(_xlfn._xlws.FILTER(E701:E741,(A701:A741=A701)*(E701:E741&lt;0)))),0)</f>
        <v>-92480</v>
      </c>
      <c r="J701" s="291" t="str">
        <f ca="1">IFERROR(_xlfn.XLOOKUP(B701,TabCalc[Ticker],TabCalc[Cur]),"")</f>
        <v>USD</v>
      </c>
      <c r="K701" s="1011" cm="1">
        <f t="array" aca="1" ref="K701" ca="1">IFERROR(IF($A701=$A700,0,SUM(_xlfn._xlws.FILTER($E701:$E711,($A701:$A711=$A701)*($J701:$J711=K$42)))),0)</f>
        <v>0</v>
      </c>
      <c r="L701" s="1011" cm="1">
        <f t="array" aca="1" ref="L701" ca="1">IFERROR(IF($A701=$A700,0,SUM(_xlfn._xlws.FILTER($E701:$E711,($A701:$A711=$A701)*($J701:$J711=L$42)))),0)</f>
        <v>-92480</v>
      </c>
      <c r="M701" s="1011" cm="1">
        <f t="array" aca="1" ref="M701" ca="1">IFERROR(IF($A701=$A700,0,SUM(_xlfn._xlws.FILTER($E701:$E711,($A701:$A711=$A701)*($J701:$J711=M$42)))),0)</f>
        <v>0</v>
      </c>
      <c r="N701" s="1011" cm="1">
        <f t="array" aca="1" ref="N701" ca="1">IFERROR(IF($A701=$A700,0,SUM(_xlfn._xlws.FILTER($E701:$E711,($A701:$A711=$A701)*($J701:$J711=N$42)))),0)</f>
        <v>0</v>
      </c>
      <c r="O701" s="1444">
        <f ca="1"/>
        <v>-92480</v>
      </c>
      <c r="P701" s="1444">
        <f ca="1"/>
        <v>0</v>
      </c>
      <c r="Q701" s="1444">
        <f ca="1"/>
        <v>0</v>
      </c>
      <c r="R701" s="1444">
        <f ca="1"/>
        <v>-92480</v>
      </c>
    </row>
    <row r="702" spans="1:18">
      <c r="A702" s="461">
        <v>46002</v>
      </c>
      <c r="B702" s="444" t="s">
        <v>29</v>
      </c>
      <c r="C702" s="444">
        <v>1000</v>
      </c>
      <c r="D702" s="444">
        <v>99.35</v>
      </c>
      <c r="E702" s="1010">
        <f ca="1">IFERROR(C702*D702*_xlfn.XLOOKUP(B702,TabCalc[Ticker],TabCalc[Scale]),0)</f>
        <v>99350</v>
      </c>
      <c r="F702" s="1011" cm="1">
        <f t="array" aca="1" ref="F702" ca="1">IF(A702=A701,0,SUM(_xlfn._xlws.FILTER(E702:E742,A702:A742=A702)))</f>
        <v>99350</v>
      </c>
      <c r="G702" s="1012">
        <f ca="1">IF(F702&lt;&gt;0,SUM($F$43:F702),0)</f>
        <v>-4377064.8130729999</v>
      </c>
      <c r="H702" s="1012" cm="1">
        <f t="array" aca="1" ref="H702" ca="1">IFERROR(IF(A702=A701,0,SUM(_xlfn._xlws.FILTER(E702:E742,(A702:A742=A702)*(E702:E742&gt;0)))),0)</f>
        <v>99350</v>
      </c>
      <c r="I702" s="1012" cm="1">
        <f t="array" aca="1" ref="I702" ca="1">IFERROR(IF(A702=A701,0,SUM(_xlfn._xlws.FILTER(E702:E742,(A702:A742=A702)*(E702:E742&lt;0)))),0)</f>
        <v>0</v>
      </c>
      <c r="J702" s="291" t="str">
        <f ca="1">IFERROR(_xlfn.XLOOKUP(B702,TabCalc[Ticker],TabCalc[Cur]),"")</f>
        <v>USD</v>
      </c>
      <c r="K702" s="1011" cm="1">
        <f t="array" aca="1" ref="K702" ca="1">IFERROR(IF($A702=$A701,0,SUM(_xlfn._xlws.FILTER($E702:$E712,($A702:$A712=$A702)*($J702:$J712=K$42)))),0)</f>
        <v>0</v>
      </c>
      <c r="L702" s="1011" cm="1">
        <f t="array" aca="1" ref="L702" ca="1">IFERROR(IF($A702=$A701,0,SUM(_xlfn._xlws.FILTER($E702:$E712,($A702:$A712=$A702)*($J702:$J712=L$42)))),0)</f>
        <v>99350</v>
      </c>
      <c r="M702" s="1011" cm="1">
        <f t="array" aca="1" ref="M702" ca="1">IFERROR(IF($A702=$A701,0,SUM(_xlfn._xlws.FILTER($E702:$E712,($A702:$A712=$A702)*($J702:$J712=M$42)))),0)</f>
        <v>0</v>
      </c>
      <c r="N702" s="1011" cm="1">
        <f t="array" aca="1" ref="N702" ca="1">IFERROR(IF($A702=$A701,0,SUM(_xlfn._xlws.FILTER($E702:$E712,($A702:$A712=$A702)*($J702:$J712=N$42)))),0)</f>
        <v>0</v>
      </c>
      <c r="O702" s="1444">
        <f ca="1"/>
        <v>6870</v>
      </c>
      <c r="P702" s="1444">
        <f ca="1"/>
        <v>-4476414.8130729999</v>
      </c>
      <c r="Q702" s="1444">
        <f ca="1"/>
        <v>99350</v>
      </c>
      <c r="R702" s="1444">
        <f ca="1"/>
        <v>0</v>
      </c>
    </row>
    <row r="703" spans="1:18">
      <c r="E703" s="1010">
        <f ca="1">IFERROR(C703*D703*_xlfn.XLOOKUP(B703,TabCalc[Ticker],TabCalc[Scale]),0)</f>
        <v>0</v>
      </c>
      <c r="F703" s="1011" cm="1">
        <f t="array" aca="1" ref="F703" ca="1">IF(A703=A702,0,SUM(_xlfn._xlws.FILTER(E703:E743,A703:A743=A703)))</f>
        <v>0</v>
      </c>
      <c r="G703" s="1012">
        <f ca="1">IF(F703&lt;&gt;0,SUM($F$43:F703),0)</f>
        <v>0</v>
      </c>
      <c r="H703" s="1012" cm="1">
        <f t="array" aca="1" ref="H703" ca="1">IFERROR(IF(A703=A702,0,SUM(_xlfn._xlws.FILTER(E703:E743,(A703:A743=A703)*(E703:E743&gt;0)))),0)</f>
        <v>0</v>
      </c>
      <c r="I703" s="1012" cm="1">
        <f t="array" aca="1" ref="I703" ca="1">IFERROR(IF(A703=A702,0,SUM(_xlfn._xlws.FILTER(E703:E743,(A703:A743=A703)*(E703:E743&lt;0)))),0)</f>
        <v>0</v>
      </c>
      <c r="J703" s="291" t="str">
        <f ca="1">IFERROR(_xlfn.XLOOKUP(B703,TabCalc[Ticker],TabCalc[Cur]),"")</f>
        <v/>
      </c>
      <c r="K703" s="1011" cm="1">
        <f t="array" aca="1" ref="K703" ca="1">IFERROR(IF($A703=$A702,0,SUM(_xlfn._xlws.FILTER($E703:$E713,($A703:$A713=$A703)*($J703:$J713=K$42)))),0)</f>
        <v>0</v>
      </c>
      <c r="L703" s="1011" cm="1">
        <f t="array" aca="1" ref="L703" ca="1">IFERROR(IF($A703=$A702,0,SUM(_xlfn._xlws.FILTER($E703:$E713,($A703:$A713=$A703)*($J703:$J713=L$42)))),0)</f>
        <v>0</v>
      </c>
      <c r="M703" s="1011" cm="1">
        <f t="array" aca="1" ref="M703" ca="1">IFERROR(IF($A703=$A702,0,SUM(_xlfn._xlws.FILTER($E703:$E713,($A703:$A713=$A703)*($J703:$J713=M$42)))),0)</f>
        <v>0</v>
      </c>
      <c r="N703" s="1011" cm="1">
        <f t="array" aca="1" ref="N703" ca="1">IFERROR(IF($A703=$A702,0,SUM(_xlfn._xlws.FILTER($E703:$E713,($A703:$A713=$A703)*($J703:$J713=N$42)))),0)</f>
        <v>0</v>
      </c>
      <c r="O703" s="1444">
        <f ca="1"/>
        <v>0</v>
      </c>
      <c r="P703" s="1444">
        <f ca="1"/>
        <v>-8853479.6261459999</v>
      </c>
      <c r="Q703" s="1444">
        <f ca="1"/>
        <v>0</v>
      </c>
      <c r="R703" s="1444">
        <f ca="1"/>
        <v>0</v>
      </c>
    </row>
    <row r="704" spans="1:18">
      <c r="E704" s="1010">
        <f ca="1">IFERROR(C704*D704*_xlfn.XLOOKUP(B704,TabCalc[Ticker],TabCalc[Scale]),0)</f>
        <v>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44">
        <f ca="1"/>
        <v>0</v>
      </c>
      <c r="P704" s="1444">
        <f ca="1"/>
        <v>0</v>
      </c>
      <c r="Q704" s="1444">
        <f ca="1"/>
        <v>0</v>
      </c>
      <c r="R704" s="1444">
        <f ca="1"/>
        <v>0</v>
      </c>
    </row>
    <row r="705" spans="5:18">
      <c r="E705" s="1010">
        <f ca="1">IFERROR(C705*D705*_xlfn.XLOOKUP(B705,TabCalc[Ticker],TabCalc[Scale]),0)</f>
        <v>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44">
        <f ca="1"/>
        <v>0</v>
      </c>
      <c r="P705" s="1444">
        <f ca="1"/>
        <v>0</v>
      </c>
      <c r="Q705" s="1444">
        <f ca="1"/>
        <v>0</v>
      </c>
      <c r="R705" s="1444">
        <f ca="1"/>
        <v>0</v>
      </c>
    </row>
    <row r="706" spans="5:18">
      <c r="E706" s="1010">
        <f ca="1">IFERROR(C706*D706*_xlfn.XLOOKUP(B706,TabCalc[Ticker],TabCalc[Scale]),0)</f>
        <v>0</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44">
        <f ca="1"/>
        <v>0</v>
      </c>
      <c r="P706" s="1444">
        <f ca="1"/>
        <v>0</v>
      </c>
      <c r="Q706" s="1444">
        <f ca="1"/>
        <v>0</v>
      </c>
      <c r="R706" s="1444">
        <f ca="1"/>
        <v>0</v>
      </c>
    </row>
    <row r="707" spans="5:18">
      <c r="E707" s="1010">
        <f ca="1">IFERROR(C707*D707*_xlfn.XLOOKUP(B707,TabCalc[Ticker],TabCalc[Scale]),0)</f>
        <v>0</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44">
        <f ca="1"/>
        <v>0</v>
      </c>
      <c r="P707" s="1444">
        <f ca="1"/>
        <v>0</v>
      </c>
      <c r="Q707" s="1444">
        <f ca="1"/>
        <v>0</v>
      </c>
      <c r="R707" s="1444">
        <f ca="1"/>
        <v>0</v>
      </c>
    </row>
    <row r="708" spans="5:18">
      <c r="E708" s="1010">
        <f ca="1">IFERROR(C708*D708*_xlfn.XLOOKUP(B708,TabCalc[Ticker],TabCalc[Scale]),0)</f>
        <v>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44">
        <f ca="1"/>
        <v>0</v>
      </c>
      <c r="P708" s="1444">
        <f ca="1"/>
        <v>0</v>
      </c>
      <c r="Q708" s="1444">
        <f ca="1"/>
        <v>0</v>
      </c>
      <c r="R708" s="1444">
        <f ca="1"/>
        <v>0</v>
      </c>
    </row>
    <row r="709" spans="5:18">
      <c r="E709" s="1010">
        <f ca="1">IFERROR(C709*D709*_xlfn.XLOOKUP(B709,TabCalc[Ticker],TabCalc[Scale]),0)</f>
        <v>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44">
        <f ca="1"/>
        <v>0</v>
      </c>
      <c r="P709" s="1444">
        <f ca="1"/>
        <v>0</v>
      </c>
      <c r="Q709" s="1444">
        <f ca="1"/>
        <v>0</v>
      </c>
      <c r="R709" s="1444">
        <f ca="1"/>
        <v>0</v>
      </c>
    </row>
    <row r="710" spans="5:18">
      <c r="E710" s="1010">
        <f ca="1">IFERROR(C710*D710*_xlfn.XLOOKUP(B710,TabCalc[Ticker],TabCalc[Scale]),0)</f>
        <v>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44">
        <f ca="1"/>
        <v>0</v>
      </c>
      <c r="P710" s="1444">
        <f ca="1"/>
        <v>0</v>
      </c>
      <c r="Q710" s="1444">
        <f ca="1"/>
        <v>0</v>
      </c>
      <c r="R710" s="1444">
        <f ca="1"/>
        <v>0</v>
      </c>
    </row>
    <row r="711" spans="5:18">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44">
        <f ca="1"/>
        <v>0</v>
      </c>
      <c r="P711" s="1444">
        <f ca="1"/>
        <v>0</v>
      </c>
      <c r="Q711" s="1444">
        <f ca="1"/>
        <v>0</v>
      </c>
      <c r="R711" s="1444">
        <f ca="1"/>
        <v>0</v>
      </c>
    </row>
    <row r="712" spans="5:18">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44">
        <f ca="1"/>
        <v>0</v>
      </c>
      <c r="P712" s="1444">
        <f ca="1"/>
        <v>0</v>
      </c>
      <c r="Q712" s="1444">
        <f ca="1"/>
        <v>0</v>
      </c>
      <c r="R712" s="1444">
        <f ca="1"/>
        <v>0</v>
      </c>
    </row>
    <row r="713" spans="5:18">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44">
        <f ca="1"/>
        <v>0</v>
      </c>
      <c r="P713" s="1444">
        <f ca="1"/>
        <v>0</v>
      </c>
      <c r="Q713" s="1444">
        <f ca="1"/>
        <v>0</v>
      </c>
      <c r="R713" s="1444">
        <f ca="1"/>
        <v>0</v>
      </c>
    </row>
    <row r="714" spans="5:18">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44">
        <f ca="1"/>
        <v>0</v>
      </c>
      <c r="P714" s="1444">
        <f ca="1"/>
        <v>0</v>
      </c>
      <c r="Q714" s="1444">
        <f ca="1"/>
        <v>0</v>
      </c>
      <c r="R714" s="1444">
        <f ca="1"/>
        <v>0</v>
      </c>
    </row>
    <row r="715" spans="5:18">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44">
        <f ca="1"/>
        <v>0</v>
      </c>
      <c r="P715" s="1444">
        <f ca="1"/>
        <v>0</v>
      </c>
      <c r="Q715" s="1444">
        <f ca="1"/>
        <v>0</v>
      </c>
      <c r="R715" s="1444">
        <f ca="1"/>
        <v>0</v>
      </c>
    </row>
    <row r="716" spans="5:18">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44">
        <f ca="1"/>
        <v>0</v>
      </c>
      <c r="P716" s="1444">
        <f ca="1"/>
        <v>0</v>
      </c>
      <c r="Q716" s="1444">
        <f ca="1"/>
        <v>0</v>
      </c>
      <c r="R716" s="1444">
        <f ca="1"/>
        <v>0</v>
      </c>
    </row>
    <row r="717" spans="5:18">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44">
        <f ca="1"/>
        <v>0</v>
      </c>
      <c r="P717" s="1444">
        <f ca="1"/>
        <v>0</v>
      </c>
      <c r="Q717" s="1444">
        <f ca="1"/>
        <v>0</v>
      </c>
      <c r="R717" s="1444">
        <f ca="1"/>
        <v>0</v>
      </c>
    </row>
    <row r="718" spans="5:18">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44">
        <f ca="1"/>
        <v>0</v>
      </c>
      <c r="P718" s="1444">
        <f ca="1"/>
        <v>0</v>
      </c>
      <c r="Q718" s="1444">
        <f ca="1"/>
        <v>0</v>
      </c>
      <c r="R718" s="1444">
        <f ca="1"/>
        <v>0</v>
      </c>
    </row>
    <row r="719" spans="5:18">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44">
        <f ca="1"/>
        <v>0</v>
      </c>
      <c r="P719" s="1444">
        <f ca="1"/>
        <v>0</v>
      </c>
      <c r="Q719" s="1444">
        <f ca="1"/>
        <v>0</v>
      </c>
      <c r="R719" s="1444">
        <f ca="1"/>
        <v>0</v>
      </c>
    </row>
    <row r="720" spans="5:18">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44">
        <f ca="1"/>
        <v>0</v>
      </c>
      <c r="P720" s="1444">
        <f ca="1"/>
        <v>0</v>
      </c>
      <c r="Q720" s="1444">
        <f ca="1"/>
        <v>0</v>
      </c>
      <c r="R720" s="1444">
        <f ca="1"/>
        <v>0</v>
      </c>
    </row>
    <row r="721" spans="5:18">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44">
        <f ca="1"/>
        <v>0</v>
      </c>
      <c r="P721" s="1444">
        <f ca="1"/>
        <v>0</v>
      </c>
      <c r="Q721" s="1444">
        <f ca="1"/>
        <v>0</v>
      </c>
      <c r="R721" s="1444">
        <f ca="1"/>
        <v>0</v>
      </c>
    </row>
    <row r="722" spans="5:18">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44">
        <f ca="1"/>
        <v>0</v>
      </c>
      <c r="P722" s="1444">
        <f ca="1"/>
        <v>0</v>
      </c>
      <c r="Q722" s="1444">
        <f ca="1"/>
        <v>0</v>
      </c>
      <c r="R722" s="1444">
        <f ca="1"/>
        <v>0</v>
      </c>
    </row>
    <row r="723" spans="5: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44">
        <f ca="1"/>
        <v>0</v>
      </c>
      <c r="P723" s="1444">
        <f ca="1"/>
        <v>0</v>
      </c>
      <c r="Q723" s="1444">
        <f ca="1"/>
        <v>0</v>
      </c>
      <c r="R723" s="1444">
        <f ca="1"/>
        <v>0</v>
      </c>
    </row>
    <row r="724" spans="5: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44">
        <f ca="1"/>
        <v>0</v>
      </c>
      <c r="P724" s="1444">
        <f ca="1"/>
        <v>0</v>
      </c>
      <c r="Q724" s="1444">
        <f ca="1"/>
        <v>0</v>
      </c>
      <c r="R724" s="1444">
        <f ca="1"/>
        <v>0</v>
      </c>
    </row>
    <row r="725" spans="5: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44">
        <f ca="1"/>
        <v>0</v>
      </c>
      <c r="P725" s="1444">
        <f ca="1"/>
        <v>0</v>
      </c>
      <c r="Q725" s="1444">
        <f ca="1"/>
        <v>0</v>
      </c>
      <c r="R725" s="1444">
        <f ca="1"/>
        <v>0</v>
      </c>
    </row>
    <row r="726" spans="5: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44">
        <f ca="1"/>
        <v>0</v>
      </c>
      <c r="P726" s="1444">
        <f ca="1"/>
        <v>0</v>
      </c>
      <c r="Q726" s="1444">
        <f ca="1"/>
        <v>0</v>
      </c>
      <c r="R726" s="1444">
        <f ca="1"/>
        <v>0</v>
      </c>
    </row>
    <row r="727" spans="5: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44">
        <f ca="1"/>
        <v>0</v>
      </c>
      <c r="P727" s="1444">
        <f ca="1"/>
        <v>0</v>
      </c>
      <c r="Q727" s="1444">
        <f ca="1"/>
        <v>0</v>
      </c>
      <c r="R727" s="1444">
        <f ca="1"/>
        <v>0</v>
      </c>
    </row>
    <row r="728" spans="5: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44">
        <f ca="1"/>
        <v>0</v>
      </c>
      <c r="P728" s="1444">
        <f ca="1"/>
        <v>0</v>
      </c>
      <c r="Q728" s="1444">
        <f ca="1"/>
        <v>0</v>
      </c>
      <c r="R728" s="1444">
        <f ca="1"/>
        <v>0</v>
      </c>
    </row>
    <row r="729" spans="5: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44">
        <f ca="1"/>
        <v>0</v>
      </c>
      <c r="P729" s="1444">
        <f ca="1"/>
        <v>0</v>
      </c>
      <c r="Q729" s="1444">
        <f ca="1"/>
        <v>0</v>
      </c>
      <c r="R729" s="1444">
        <f ca="1"/>
        <v>0</v>
      </c>
    </row>
    <row r="730" spans="5: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44">
        <f ca="1"/>
        <v>0</v>
      </c>
      <c r="P730" s="1444">
        <f ca="1"/>
        <v>0</v>
      </c>
      <c r="Q730" s="1444">
        <f ca="1"/>
        <v>0</v>
      </c>
      <c r="R730" s="1444">
        <f ca="1"/>
        <v>0</v>
      </c>
    </row>
    <row r="731" spans="5: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44">
        <f ca="1"/>
        <v>0</v>
      </c>
      <c r="P731" s="1444">
        <f ca="1"/>
        <v>0</v>
      </c>
      <c r="Q731" s="1444">
        <f ca="1"/>
        <v>0</v>
      </c>
      <c r="R731" s="1444">
        <f ca="1"/>
        <v>0</v>
      </c>
    </row>
    <row r="732" spans="5: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44">
        <f ca="1"/>
        <v>0</v>
      </c>
      <c r="P732" s="1444">
        <f ca="1"/>
        <v>0</v>
      </c>
      <c r="Q732" s="1444">
        <f ca="1"/>
        <v>0</v>
      </c>
      <c r="R732" s="1444">
        <f ca="1"/>
        <v>0</v>
      </c>
    </row>
    <row r="733" spans="5: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44">
        <f ca="1"/>
        <v>0</v>
      </c>
      <c r="P733" s="1444">
        <f ca="1"/>
        <v>0</v>
      </c>
      <c r="Q733" s="1444">
        <f ca="1"/>
        <v>0</v>
      </c>
      <c r="R733" s="1444">
        <f ca="1"/>
        <v>0</v>
      </c>
    </row>
    <row r="734" spans="5: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44">
        <f ca="1"/>
        <v>0</v>
      </c>
      <c r="P734" s="1444">
        <f ca="1"/>
        <v>0</v>
      </c>
      <c r="Q734" s="1444">
        <f ca="1"/>
        <v>0</v>
      </c>
      <c r="R734" s="1444">
        <f ca="1"/>
        <v>0</v>
      </c>
    </row>
    <row r="735" spans="5: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44">
        <f ca="1"/>
        <v>0</v>
      </c>
      <c r="P735" s="1444">
        <f ca="1"/>
        <v>0</v>
      </c>
      <c r="Q735" s="1444">
        <f ca="1"/>
        <v>0</v>
      </c>
      <c r="R735" s="1444">
        <f ca="1"/>
        <v>0</v>
      </c>
    </row>
    <row r="736" spans="5: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44">
        <f ca="1"/>
        <v>0</v>
      </c>
      <c r="P736" s="1444">
        <f ca="1"/>
        <v>0</v>
      </c>
      <c r="Q736" s="1444">
        <f ca="1"/>
        <v>0</v>
      </c>
      <c r="R736" s="144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44">
        <f ca="1"/>
        <v>0</v>
      </c>
      <c r="P737" s="1444">
        <f ca="1"/>
        <v>0</v>
      </c>
      <c r="Q737" s="1444">
        <f ca="1"/>
        <v>0</v>
      </c>
      <c r="R737" s="144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44">
        <f ca="1"/>
        <v>0</v>
      </c>
      <c r="P738" s="1444">
        <f ca="1"/>
        <v>0</v>
      </c>
      <c r="Q738" s="1444">
        <f ca="1"/>
        <v>0</v>
      </c>
      <c r="R738" s="144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44">
        <f ca="1"/>
        <v>0</v>
      </c>
      <c r="P739" s="1444">
        <f ca="1"/>
        <v>0</v>
      </c>
      <c r="Q739" s="1444">
        <f ca="1"/>
        <v>0</v>
      </c>
      <c r="R739" s="144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44">
        <f ca="1"/>
        <v>0</v>
      </c>
      <c r="P740" s="1444">
        <f ca="1"/>
        <v>0</v>
      </c>
      <c r="Q740" s="1444">
        <f ca="1"/>
        <v>0</v>
      </c>
      <c r="R740" s="144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44">
        <f ca="1"/>
        <v>0</v>
      </c>
      <c r="P741" s="1444">
        <f ca="1"/>
        <v>0</v>
      </c>
      <c r="Q741" s="1444">
        <f ca="1"/>
        <v>0</v>
      </c>
      <c r="R741" s="144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44">
        <f ca="1"/>
        <v>0</v>
      </c>
      <c r="P742" s="1444">
        <f ca="1"/>
        <v>0</v>
      </c>
      <c r="Q742" s="1444">
        <f ca="1"/>
        <v>0</v>
      </c>
      <c r="R742" s="144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44">
        <f ca="1"/>
        <v>0</v>
      </c>
      <c r="P743" s="1444">
        <f ca="1"/>
        <v>0</v>
      </c>
      <c r="Q743" s="1444">
        <f ca="1"/>
        <v>0</v>
      </c>
      <c r="R743" s="144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44">
        <f ca="1"/>
        <v>0</v>
      </c>
      <c r="P744" s="1444">
        <f ca="1"/>
        <v>0</v>
      </c>
      <c r="Q744" s="1444">
        <f ca="1"/>
        <v>0</v>
      </c>
      <c r="R744" s="144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44">
        <f ca="1"/>
        <v>0</v>
      </c>
      <c r="P745" s="1444">
        <f ca="1"/>
        <v>0</v>
      </c>
      <c r="Q745" s="1444">
        <f ca="1"/>
        <v>0</v>
      </c>
      <c r="R745" s="144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44">
        <f ca="1"/>
        <v>0</v>
      </c>
      <c r="P746" s="1444">
        <f ca="1"/>
        <v>0</v>
      </c>
      <c r="Q746" s="1444">
        <f ca="1"/>
        <v>0</v>
      </c>
      <c r="R746" s="144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44">
        <f ca="1"/>
        <v>0</v>
      </c>
      <c r="P747" s="1444">
        <f ca="1"/>
        <v>0</v>
      </c>
      <c r="Q747" s="1444">
        <f ca="1"/>
        <v>0</v>
      </c>
      <c r="R747" s="144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44">
        <f ca="1"/>
        <v>0</v>
      </c>
      <c r="P748" s="1444">
        <f ca="1"/>
        <v>0</v>
      </c>
      <c r="Q748" s="1444">
        <f ca="1"/>
        <v>0</v>
      </c>
      <c r="R748" s="144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44">
        <f ca="1"/>
        <v>0</v>
      </c>
      <c r="P749" s="1444">
        <f ca="1"/>
        <v>0</v>
      </c>
      <c r="Q749" s="1444">
        <f ca="1"/>
        <v>0</v>
      </c>
      <c r="R749" s="144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44">
        <f ca="1"/>
        <v>0</v>
      </c>
      <c r="P750" s="1444">
        <f ca="1"/>
        <v>0</v>
      </c>
      <c r="Q750" s="1444">
        <f ca="1"/>
        <v>0</v>
      </c>
      <c r="R750" s="144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44">
        <f ca="1"/>
        <v>0</v>
      </c>
      <c r="P751" s="1444">
        <f ca="1"/>
        <v>0</v>
      </c>
      <c r="Q751" s="1444">
        <f ca="1"/>
        <v>0</v>
      </c>
      <c r="R751" s="144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44">
        <f ca="1"/>
        <v>0</v>
      </c>
      <c r="P752" s="1444">
        <f ca="1"/>
        <v>0</v>
      </c>
      <c r="Q752" s="1444">
        <f ca="1"/>
        <v>0</v>
      </c>
      <c r="R752" s="144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44">
        <f ca="1"/>
        <v>0</v>
      </c>
      <c r="P753" s="1444">
        <f ca="1"/>
        <v>0</v>
      </c>
      <c r="Q753" s="1444">
        <f ca="1"/>
        <v>0</v>
      </c>
      <c r="R753" s="144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44">
        <f ca="1"/>
        <v>0</v>
      </c>
      <c r="P754" s="1444">
        <f ca="1"/>
        <v>0</v>
      </c>
      <c r="Q754" s="1444">
        <f ca="1"/>
        <v>0</v>
      </c>
      <c r="R754" s="144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44">
        <f ca="1"/>
        <v>0</v>
      </c>
      <c r="P755" s="1444">
        <f ca="1"/>
        <v>0</v>
      </c>
      <c r="Q755" s="1444">
        <f ca="1"/>
        <v>0</v>
      </c>
      <c r="R755" s="144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44">
        <f ca="1"/>
        <v>0</v>
      </c>
      <c r="P756" s="1444">
        <f ca="1"/>
        <v>0</v>
      </c>
      <c r="Q756" s="1444">
        <f ca="1"/>
        <v>0</v>
      </c>
      <c r="R756" s="144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44">
        <f ca="1"/>
        <v>0</v>
      </c>
      <c r="P757" s="1444">
        <f ca="1"/>
        <v>0</v>
      </c>
      <c r="Q757" s="1444">
        <f ca="1"/>
        <v>0</v>
      </c>
      <c r="R757" s="144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44">
        <f ca="1"/>
        <v>0</v>
      </c>
      <c r="P758" s="1444">
        <f ca="1"/>
        <v>0</v>
      </c>
      <c r="Q758" s="1444">
        <f ca="1"/>
        <v>0</v>
      </c>
      <c r="R758" s="144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44">
        <f ca="1"/>
        <v>0</v>
      </c>
      <c r="P759" s="1444">
        <f ca="1"/>
        <v>0</v>
      </c>
      <c r="Q759" s="1444">
        <f ca="1"/>
        <v>0</v>
      </c>
      <c r="R759" s="144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44">
        <f ca="1"/>
        <v>0</v>
      </c>
      <c r="P760" s="1444">
        <f ca="1"/>
        <v>0</v>
      </c>
      <c r="Q760" s="1444">
        <f ca="1"/>
        <v>0</v>
      </c>
      <c r="R760" s="144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44">
        <f ca="1"/>
        <v>0</v>
      </c>
      <c r="P761" s="1444">
        <f ca="1"/>
        <v>0</v>
      </c>
      <c r="Q761" s="1444">
        <f ca="1"/>
        <v>0</v>
      </c>
      <c r="R761" s="144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44">
        <f ca="1"/>
        <v>0</v>
      </c>
      <c r="P762" s="1444">
        <f ca="1"/>
        <v>0</v>
      </c>
      <c r="Q762" s="1444">
        <f ca="1"/>
        <v>0</v>
      </c>
      <c r="R762" s="144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44">
        <f ca="1"/>
        <v>0</v>
      </c>
      <c r="P763" s="1444">
        <f ca="1"/>
        <v>0</v>
      </c>
      <c r="Q763" s="1444">
        <f ca="1"/>
        <v>0</v>
      </c>
      <c r="R763" s="144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44">
        <f ca="1"/>
        <v>0</v>
      </c>
      <c r="P764" s="1444">
        <f ca="1"/>
        <v>0</v>
      </c>
      <c r="Q764" s="1444">
        <f ca="1"/>
        <v>0</v>
      </c>
      <c r="R764" s="144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44">
        <f ca="1"/>
        <v>0</v>
      </c>
      <c r="P765" s="1444">
        <f ca="1"/>
        <v>0</v>
      </c>
      <c r="Q765" s="1444">
        <f ca="1"/>
        <v>0</v>
      </c>
      <c r="R765" s="144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44">
        <f ca="1"/>
        <v>0</v>
      </c>
      <c r="P766" s="1444">
        <f ca="1"/>
        <v>0</v>
      </c>
      <c r="Q766" s="1444">
        <f ca="1"/>
        <v>0</v>
      </c>
      <c r="R766" s="144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44">
        <f ca="1"/>
        <v>0</v>
      </c>
      <c r="P767" s="1444">
        <f ca="1"/>
        <v>0</v>
      </c>
      <c r="Q767" s="1444">
        <f ca="1"/>
        <v>0</v>
      </c>
      <c r="R767" s="144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44">
        <f ca="1"/>
        <v>0</v>
      </c>
      <c r="P768" s="1444">
        <f ca="1"/>
        <v>0</v>
      </c>
      <c r="Q768" s="1444">
        <f ca="1"/>
        <v>0</v>
      </c>
      <c r="R768" s="144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44">
        <f ca="1"/>
        <v>0</v>
      </c>
      <c r="P769" s="1444">
        <f ca="1"/>
        <v>0</v>
      </c>
      <c r="Q769" s="1444">
        <f ca="1"/>
        <v>0</v>
      </c>
      <c r="R769" s="144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44">
        <f ca="1"/>
        <v>0</v>
      </c>
      <c r="P770" s="1444">
        <f ca="1"/>
        <v>0</v>
      </c>
      <c r="Q770" s="1444">
        <f ca="1"/>
        <v>0</v>
      </c>
      <c r="R770" s="144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44">
        <f ca="1"/>
        <v>0</v>
      </c>
      <c r="P771" s="1444">
        <f ca="1"/>
        <v>0</v>
      </c>
      <c r="Q771" s="1444">
        <f ca="1"/>
        <v>0</v>
      </c>
      <c r="R771" s="144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44">
        <f ca="1"/>
        <v>0</v>
      </c>
      <c r="P772" s="1444">
        <f ca="1"/>
        <v>0</v>
      </c>
      <c r="Q772" s="1444">
        <f ca="1"/>
        <v>0</v>
      </c>
      <c r="R772" s="144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44">
        <f ca="1"/>
        <v>0</v>
      </c>
      <c r="P773" s="1444">
        <f ca="1"/>
        <v>0</v>
      </c>
      <c r="Q773" s="1444">
        <f ca="1"/>
        <v>0</v>
      </c>
      <c r="R773" s="144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44">
        <f ca="1"/>
        <v>0</v>
      </c>
      <c r="P774" s="1444">
        <f ca="1"/>
        <v>0</v>
      </c>
      <c r="Q774" s="1444">
        <f ca="1"/>
        <v>0</v>
      </c>
      <c r="R774" s="144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44">
        <f ca="1"/>
        <v>0</v>
      </c>
      <c r="P775" s="1444">
        <f ca="1"/>
        <v>0</v>
      </c>
      <c r="Q775" s="1444">
        <f ca="1"/>
        <v>0</v>
      </c>
      <c r="R775" s="144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44">
        <f ca="1"/>
        <v>0</v>
      </c>
      <c r="P776" s="1444">
        <f ca="1"/>
        <v>0</v>
      </c>
      <c r="Q776" s="1444">
        <f ca="1"/>
        <v>0</v>
      </c>
      <c r="R776" s="144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44">
        <f ca="1"/>
        <v>0</v>
      </c>
      <c r="P777" s="1444">
        <f ca="1"/>
        <v>0</v>
      </c>
      <c r="Q777" s="1444">
        <f ca="1"/>
        <v>0</v>
      </c>
      <c r="R777" s="144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44">
        <f ca="1"/>
        <v>0</v>
      </c>
      <c r="P778" s="1444">
        <f ca="1"/>
        <v>0</v>
      </c>
      <c r="Q778" s="1444">
        <f ca="1"/>
        <v>0</v>
      </c>
      <c r="R778" s="144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44">
        <f ca="1"/>
        <v>0</v>
      </c>
      <c r="P779" s="1444">
        <f ca="1"/>
        <v>0</v>
      </c>
      <c r="Q779" s="1444">
        <f ca="1"/>
        <v>0</v>
      </c>
      <c r="R779" s="144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44">
        <f ca="1"/>
        <v>0</v>
      </c>
      <c r="P780" s="1444">
        <f ca="1"/>
        <v>0</v>
      </c>
      <c r="Q780" s="1444">
        <f ca="1"/>
        <v>0</v>
      </c>
      <c r="R780" s="144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44">
        <f ca="1"/>
        <v>0</v>
      </c>
      <c r="P781" s="1444">
        <f ca="1"/>
        <v>0</v>
      </c>
      <c r="Q781" s="1444">
        <f ca="1"/>
        <v>0</v>
      </c>
      <c r="R781" s="144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44">
        <f ca="1"/>
        <v>0</v>
      </c>
      <c r="P782" s="1444">
        <f ca="1"/>
        <v>0</v>
      </c>
      <c r="Q782" s="1444">
        <f ca="1"/>
        <v>0</v>
      </c>
      <c r="R782" s="144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44">
        <f ca="1"/>
        <v>0</v>
      </c>
      <c r="P783" s="1444">
        <f ca="1"/>
        <v>0</v>
      </c>
      <c r="Q783" s="1444">
        <f ca="1"/>
        <v>0</v>
      </c>
      <c r="R783" s="144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44">
        <f ca="1"/>
        <v>0</v>
      </c>
      <c r="P784" s="1444">
        <f ca="1"/>
        <v>0</v>
      </c>
      <c r="Q784" s="1444">
        <f ca="1"/>
        <v>0</v>
      </c>
      <c r="R784" s="144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44">
        <f ca="1"/>
        <v>0</v>
      </c>
      <c r="P785" s="1444">
        <f ca="1"/>
        <v>0</v>
      </c>
      <c r="Q785" s="1444">
        <f ca="1"/>
        <v>0</v>
      </c>
      <c r="R785" s="144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44">
        <f ca="1"/>
        <v>0</v>
      </c>
      <c r="P786" s="1444">
        <f ca="1"/>
        <v>0</v>
      </c>
      <c r="Q786" s="1444">
        <f ca="1"/>
        <v>0</v>
      </c>
      <c r="R786" s="144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44">
        <f ca="1"/>
        <v>0</v>
      </c>
      <c r="P787" s="1444">
        <f ca="1"/>
        <v>0</v>
      </c>
      <c r="Q787" s="1444">
        <f ca="1"/>
        <v>0</v>
      </c>
      <c r="R787" s="144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44">
        <f ca="1"/>
        <v>0</v>
      </c>
      <c r="P788" s="1444">
        <f ca="1"/>
        <v>0</v>
      </c>
      <c r="Q788" s="1444">
        <f ca="1"/>
        <v>0</v>
      </c>
      <c r="R788" s="144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44">
        <f ca="1"/>
        <v>0</v>
      </c>
      <c r="P789" s="1444">
        <f ca="1"/>
        <v>0</v>
      </c>
      <c r="Q789" s="1444">
        <f ca="1"/>
        <v>0</v>
      </c>
      <c r="R789" s="144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44">
        <f ca="1"/>
        <v>0</v>
      </c>
      <c r="P790" s="1444">
        <f ca="1"/>
        <v>0</v>
      </c>
      <c r="Q790" s="1444">
        <f ca="1"/>
        <v>0</v>
      </c>
      <c r="R790" s="144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44">
        <f ca="1"/>
        <v>0</v>
      </c>
      <c r="P791" s="1444">
        <f ca="1"/>
        <v>0</v>
      </c>
      <c r="Q791" s="1444">
        <f ca="1"/>
        <v>0</v>
      </c>
      <c r="R791" s="144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44">
        <f ca="1"/>
        <v>0</v>
      </c>
      <c r="P792" s="1444">
        <f ca="1"/>
        <v>0</v>
      </c>
      <c r="Q792" s="1444">
        <f ca="1"/>
        <v>0</v>
      </c>
      <c r="R792" s="144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44">
        <f ca="1"/>
        <v>0</v>
      </c>
      <c r="P793" s="1444">
        <f ca="1"/>
        <v>0</v>
      </c>
      <c r="Q793" s="1444">
        <f ca="1"/>
        <v>0</v>
      </c>
      <c r="R793" s="144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44">
        <f ca="1"/>
        <v>0</v>
      </c>
      <c r="P794" s="1444">
        <f ca="1"/>
        <v>0</v>
      </c>
      <c r="Q794" s="1444">
        <f ca="1"/>
        <v>0</v>
      </c>
      <c r="R794" s="144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44">
        <f ca="1"/>
        <v>0</v>
      </c>
      <c r="P795" s="1444">
        <f ca="1"/>
        <v>0</v>
      </c>
      <c r="Q795" s="1444">
        <f ca="1"/>
        <v>0</v>
      </c>
      <c r="R795" s="144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44">
        <f ca="1"/>
        <v>0</v>
      </c>
      <c r="P796" s="1444">
        <f ca="1"/>
        <v>0</v>
      </c>
      <c r="Q796" s="1444">
        <f ca="1"/>
        <v>0</v>
      </c>
      <c r="R796" s="144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44">
        <f ca="1"/>
        <v>0</v>
      </c>
      <c r="P797" s="1444">
        <f ca="1"/>
        <v>0</v>
      </c>
      <c r="Q797" s="1444">
        <f ca="1"/>
        <v>0</v>
      </c>
      <c r="R797" s="144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44">
        <f ca="1"/>
        <v>0</v>
      </c>
      <c r="P798" s="1444">
        <f ca="1"/>
        <v>0</v>
      </c>
      <c r="Q798" s="1444">
        <f ca="1"/>
        <v>0</v>
      </c>
      <c r="R798" s="144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44">
        <f ca="1"/>
        <v>0</v>
      </c>
      <c r="P799" s="1444">
        <f ca="1"/>
        <v>0</v>
      </c>
      <c r="Q799" s="1444">
        <f ca="1"/>
        <v>0</v>
      </c>
      <c r="R799" s="144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44">
        <f ca="1"/>
        <v>0</v>
      </c>
      <c r="P800" s="1444">
        <f ca="1"/>
        <v>0</v>
      </c>
      <c r="Q800" s="1444">
        <f ca="1"/>
        <v>0</v>
      </c>
      <c r="R800" s="144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44">
        <f ca="1"/>
        <v>0</v>
      </c>
      <c r="P801" s="1444">
        <f ca="1"/>
        <v>0</v>
      </c>
      <c r="Q801" s="1444">
        <f ca="1"/>
        <v>0</v>
      </c>
      <c r="R801" s="144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44">
        <f ca="1"/>
        <v>0</v>
      </c>
      <c r="P802" s="1444">
        <f ca="1"/>
        <v>0</v>
      </c>
      <c r="Q802" s="1444">
        <f ca="1"/>
        <v>0</v>
      </c>
      <c r="R802" s="144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44">
        <f ca="1"/>
        <v>0</v>
      </c>
      <c r="P803" s="1444">
        <f ca="1"/>
        <v>0</v>
      </c>
      <c r="Q803" s="1444">
        <f ca="1"/>
        <v>0</v>
      </c>
      <c r="R803" s="144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44">
        <f ca="1"/>
        <v>0</v>
      </c>
      <c r="P804" s="1444">
        <f ca="1"/>
        <v>0</v>
      </c>
      <c r="Q804" s="1444">
        <f ca="1"/>
        <v>0</v>
      </c>
      <c r="R804" s="144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44">
        <f ca="1"/>
        <v>0</v>
      </c>
      <c r="P805" s="1444">
        <f ca="1"/>
        <v>0</v>
      </c>
      <c r="Q805" s="1444">
        <f ca="1"/>
        <v>0</v>
      </c>
      <c r="R805" s="144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44">
        <f ca="1"/>
        <v>0</v>
      </c>
      <c r="P806" s="1444">
        <f ca="1"/>
        <v>0</v>
      </c>
      <c r="Q806" s="1444">
        <f ca="1"/>
        <v>0</v>
      </c>
      <c r="R806" s="144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44">
        <f ca="1"/>
        <v>0</v>
      </c>
      <c r="P807" s="1444">
        <f ca="1"/>
        <v>0</v>
      </c>
      <c r="Q807" s="1444">
        <f ca="1"/>
        <v>0</v>
      </c>
      <c r="R807" s="144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44">
        <f ca="1"/>
        <v>0</v>
      </c>
      <c r="P808" s="1444">
        <f ca="1"/>
        <v>0</v>
      </c>
      <c r="Q808" s="1444">
        <f ca="1"/>
        <v>0</v>
      </c>
      <c r="R808" s="144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44">
        <f ca="1"/>
        <v>0</v>
      </c>
      <c r="P809" s="1444">
        <f ca="1"/>
        <v>0</v>
      </c>
      <c r="Q809" s="1444">
        <f ca="1"/>
        <v>0</v>
      </c>
      <c r="R809" s="144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44">
        <f ca="1"/>
        <v>0</v>
      </c>
      <c r="P810" s="1444">
        <f ca="1"/>
        <v>0</v>
      </c>
      <c r="Q810" s="1444">
        <f ca="1"/>
        <v>0</v>
      </c>
      <c r="R810" s="144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44">
        <f ca="1"/>
        <v>0</v>
      </c>
      <c r="P811" s="1444">
        <f ca="1"/>
        <v>0</v>
      </c>
      <c r="Q811" s="1444">
        <f ca="1"/>
        <v>0</v>
      </c>
      <c r="R811" s="144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44">
        <f ca="1"/>
        <v>0</v>
      </c>
      <c r="P812" s="1444">
        <f ca="1"/>
        <v>0</v>
      </c>
      <c r="Q812" s="1444">
        <f ca="1"/>
        <v>0</v>
      </c>
      <c r="R812" s="144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44">
        <f ca="1"/>
        <v>0</v>
      </c>
      <c r="P813" s="1444">
        <f ca="1"/>
        <v>0</v>
      </c>
      <c r="Q813" s="1444">
        <f ca="1"/>
        <v>0</v>
      </c>
      <c r="R813" s="144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44">
        <f ca="1"/>
        <v>0</v>
      </c>
      <c r="P814" s="1444">
        <f ca="1"/>
        <v>0</v>
      </c>
      <c r="Q814" s="1444">
        <f ca="1"/>
        <v>0</v>
      </c>
      <c r="R814" s="144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44">
        <f ca="1"/>
        <v>0</v>
      </c>
      <c r="P815" s="1444">
        <f ca="1"/>
        <v>0</v>
      </c>
      <c r="Q815" s="1444">
        <f ca="1"/>
        <v>0</v>
      </c>
      <c r="R815" s="144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44">
        <f ca="1"/>
        <v>0</v>
      </c>
      <c r="P816" s="1444">
        <f ca="1"/>
        <v>0</v>
      </c>
      <c r="Q816" s="1444">
        <f ca="1"/>
        <v>0</v>
      </c>
      <c r="R816" s="144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44">
        <f ca="1"/>
        <v>0</v>
      </c>
      <c r="P817" s="1444">
        <f ca="1"/>
        <v>0</v>
      </c>
      <c r="Q817" s="1444">
        <f ca="1"/>
        <v>0</v>
      </c>
      <c r="R817" s="144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44">
        <f ca="1"/>
        <v>0</v>
      </c>
      <c r="P818" s="1444">
        <f ca="1"/>
        <v>0</v>
      </c>
      <c r="Q818" s="1444">
        <f ca="1"/>
        <v>0</v>
      </c>
      <c r="R818" s="144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44">
        <f ca="1"/>
        <v>0</v>
      </c>
      <c r="P819" s="1444">
        <f ca="1"/>
        <v>0</v>
      </c>
      <c r="Q819" s="1444">
        <f ca="1"/>
        <v>0</v>
      </c>
      <c r="R819" s="144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44">
        <f ca="1"/>
        <v>0</v>
      </c>
      <c r="P820" s="1444">
        <f ca="1"/>
        <v>0</v>
      </c>
      <c r="Q820" s="1444">
        <f ca="1"/>
        <v>0</v>
      </c>
      <c r="R820" s="144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44">
        <f ca="1"/>
        <v>0</v>
      </c>
      <c r="P821" s="1444">
        <f ca="1"/>
        <v>0</v>
      </c>
      <c r="Q821" s="1444">
        <f ca="1"/>
        <v>0</v>
      </c>
      <c r="R821" s="144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44">
        <f ca="1"/>
        <v>0</v>
      </c>
      <c r="P822" s="1444">
        <f ca="1"/>
        <v>0</v>
      </c>
      <c r="Q822" s="1444">
        <f ca="1"/>
        <v>0</v>
      </c>
      <c r="R822" s="144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44">
        <f ca="1"/>
        <v>0</v>
      </c>
      <c r="P823" s="1444">
        <f ca="1"/>
        <v>0</v>
      </c>
      <c r="Q823" s="1444">
        <f ca="1"/>
        <v>0</v>
      </c>
      <c r="R823" s="144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44">
        <f ca="1"/>
        <v>0</v>
      </c>
      <c r="P824" s="1444">
        <f ca="1"/>
        <v>0</v>
      </c>
      <c r="Q824" s="1444">
        <f ca="1"/>
        <v>0</v>
      </c>
      <c r="R824" s="144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44">
        <f ca="1"/>
        <v>0</v>
      </c>
      <c r="P825" s="1444">
        <f ca="1"/>
        <v>0</v>
      </c>
      <c r="Q825" s="1444">
        <f ca="1"/>
        <v>0</v>
      </c>
      <c r="R825" s="144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44">
        <f ca="1"/>
        <v>0</v>
      </c>
      <c r="P826" s="1444">
        <f ca="1"/>
        <v>0</v>
      </c>
      <c r="Q826" s="1444">
        <f ca="1"/>
        <v>0</v>
      </c>
      <c r="R826" s="144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44">
        <f ca="1"/>
        <v>0</v>
      </c>
      <c r="P827" s="1444">
        <f ca="1"/>
        <v>0</v>
      </c>
      <c r="Q827" s="1444">
        <f ca="1"/>
        <v>0</v>
      </c>
      <c r="R827" s="144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44">
        <f ca="1"/>
        <v>0</v>
      </c>
      <c r="P828" s="1444">
        <f ca="1"/>
        <v>0</v>
      </c>
      <c r="Q828" s="1444">
        <f ca="1"/>
        <v>0</v>
      </c>
      <c r="R828" s="144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44">
        <f ca="1"/>
        <v>0</v>
      </c>
      <c r="P829" s="1444">
        <f ca="1"/>
        <v>0</v>
      </c>
      <c r="Q829" s="1444">
        <f ca="1"/>
        <v>0</v>
      </c>
      <c r="R829" s="144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44">
        <f ca="1"/>
        <v>0</v>
      </c>
      <c r="P830" s="1444">
        <f ca="1"/>
        <v>0</v>
      </c>
      <c r="Q830" s="1444">
        <f ca="1"/>
        <v>0</v>
      </c>
      <c r="R830" s="144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44">
        <f ca="1"/>
        <v>0</v>
      </c>
      <c r="P831" s="1444">
        <f ca="1"/>
        <v>0</v>
      </c>
      <c r="Q831" s="1444">
        <f ca="1"/>
        <v>0</v>
      </c>
      <c r="R831" s="144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44">
        <f ca="1"/>
        <v>0</v>
      </c>
      <c r="P832" s="1444">
        <f ca="1"/>
        <v>0</v>
      </c>
      <c r="Q832" s="1444">
        <f ca="1"/>
        <v>0</v>
      </c>
      <c r="R832" s="144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44">
        <f ca="1"/>
        <v>0</v>
      </c>
      <c r="P833" s="1444">
        <f ca="1"/>
        <v>0</v>
      </c>
      <c r="Q833" s="1444">
        <f ca="1"/>
        <v>0</v>
      </c>
      <c r="R833" s="144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44">
        <f ca="1"/>
        <v>0</v>
      </c>
      <c r="P834" s="1444">
        <f ca="1"/>
        <v>0</v>
      </c>
      <c r="Q834" s="1444">
        <f ca="1"/>
        <v>0</v>
      </c>
      <c r="R834" s="144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44">
        <f ca="1"/>
        <v>0</v>
      </c>
      <c r="P835" s="1444">
        <f ca="1"/>
        <v>0</v>
      </c>
      <c r="Q835" s="1444">
        <f ca="1"/>
        <v>0</v>
      </c>
      <c r="R835" s="144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44">
        <f ca="1"/>
        <v>0</v>
      </c>
      <c r="P836" s="1444">
        <f ca="1"/>
        <v>0</v>
      </c>
      <c r="Q836" s="1444">
        <f ca="1"/>
        <v>0</v>
      </c>
      <c r="R836" s="144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44">
        <f ca="1"/>
        <v>0</v>
      </c>
      <c r="P837" s="1444">
        <f ca="1"/>
        <v>0</v>
      </c>
      <c r="Q837" s="1444">
        <f ca="1"/>
        <v>0</v>
      </c>
      <c r="R837" s="144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44">
        <f ca="1"/>
        <v>0</v>
      </c>
      <c r="P838" s="1444">
        <f ca="1"/>
        <v>0</v>
      </c>
      <c r="Q838" s="1444">
        <f ca="1"/>
        <v>0</v>
      </c>
      <c r="R838" s="144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44">
        <f ca="1"/>
        <v>0</v>
      </c>
      <c r="P839" s="1444">
        <f ca="1"/>
        <v>0</v>
      </c>
      <c r="Q839" s="1444">
        <f ca="1"/>
        <v>0</v>
      </c>
      <c r="R839" s="144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44">
        <f ca="1"/>
        <v>0</v>
      </c>
      <c r="P840" s="1444">
        <f ca="1"/>
        <v>0</v>
      </c>
      <c r="Q840" s="1444">
        <f ca="1"/>
        <v>0</v>
      </c>
      <c r="R840" s="144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44">
        <f ca="1"/>
        <v>0</v>
      </c>
      <c r="P841" s="1444">
        <f ca="1"/>
        <v>0</v>
      </c>
      <c r="Q841" s="1444">
        <f ca="1"/>
        <v>0</v>
      </c>
      <c r="R841" s="144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44">
        <f ca="1"/>
        <v>0</v>
      </c>
      <c r="P842" s="1444">
        <f ca="1"/>
        <v>0</v>
      </c>
      <c r="Q842" s="1444">
        <f ca="1"/>
        <v>0</v>
      </c>
      <c r="R842" s="144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44">
        <f ca="1"/>
        <v>0</v>
      </c>
      <c r="P843" s="1444">
        <f ca="1"/>
        <v>0</v>
      </c>
      <c r="Q843" s="1444">
        <f ca="1"/>
        <v>0</v>
      </c>
      <c r="R843" s="144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44">
        <f ca="1"/>
        <v>0</v>
      </c>
      <c r="P844" s="1444">
        <f ca="1"/>
        <v>0</v>
      </c>
      <c r="Q844" s="1444">
        <f ca="1"/>
        <v>0</v>
      </c>
      <c r="R844" s="144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44">
        <f ca="1"/>
        <v>0</v>
      </c>
      <c r="P845" s="1444">
        <f ca="1"/>
        <v>0</v>
      </c>
      <c r="Q845" s="1444">
        <f ca="1"/>
        <v>0</v>
      </c>
      <c r="R845" s="144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44">
        <f ca="1"/>
        <v>0</v>
      </c>
      <c r="P846" s="1444">
        <f ca="1"/>
        <v>0</v>
      </c>
      <c r="Q846" s="1444">
        <f ca="1"/>
        <v>0</v>
      </c>
      <c r="R846" s="144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44">
        <f ca="1"/>
        <v>0</v>
      </c>
      <c r="P847" s="1444">
        <f ca="1"/>
        <v>0</v>
      </c>
      <c r="Q847" s="1444">
        <f ca="1"/>
        <v>0</v>
      </c>
      <c r="R847" s="144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44">
        <f ca="1"/>
        <v>0</v>
      </c>
      <c r="P848" s="1444">
        <f ca="1"/>
        <v>0</v>
      </c>
      <c r="Q848" s="1444">
        <f ca="1"/>
        <v>0</v>
      </c>
      <c r="R848" s="144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44">
        <f ca="1"/>
        <v>0</v>
      </c>
      <c r="P849" s="1444">
        <f ca="1"/>
        <v>0</v>
      </c>
      <c r="Q849" s="1444">
        <f ca="1"/>
        <v>0</v>
      </c>
      <c r="R849" s="144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44">
        <f ca="1"/>
        <v>0</v>
      </c>
      <c r="P850" s="1444">
        <f ca="1"/>
        <v>0</v>
      </c>
      <c r="Q850" s="1444">
        <f ca="1"/>
        <v>0</v>
      </c>
      <c r="R850" s="144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44">
        <f ca="1"/>
        <v>0</v>
      </c>
      <c r="P851" s="1444">
        <f ca="1"/>
        <v>0</v>
      </c>
      <c r="Q851" s="1444">
        <f ca="1"/>
        <v>0</v>
      </c>
      <c r="R851" s="144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44">
        <f ca="1"/>
        <v>0</v>
      </c>
      <c r="P852" s="1444">
        <f ca="1"/>
        <v>0</v>
      </c>
      <c r="Q852" s="1444">
        <f ca="1"/>
        <v>0</v>
      </c>
      <c r="R852" s="144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44">
        <f ca="1"/>
        <v>0</v>
      </c>
      <c r="P853" s="1444">
        <f ca="1"/>
        <v>0</v>
      </c>
      <c r="Q853" s="1444">
        <f ca="1"/>
        <v>0</v>
      </c>
      <c r="R853" s="144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44">
        <f ca="1"/>
        <v>0</v>
      </c>
      <c r="P854" s="1444">
        <f ca="1"/>
        <v>0</v>
      </c>
      <c r="Q854" s="1444">
        <f ca="1"/>
        <v>0</v>
      </c>
      <c r="R854" s="144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44">
        <f ca="1"/>
        <v>0</v>
      </c>
      <c r="P855" s="1444">
        <f ca="1"/>
        <v>0</v>
      </c>
      <c r="Q855" s="1444">
        <f ca="1"/>
        <v>0</v>
      </c>
      <c r="R855" s="144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44">
        <f ca="1"/>
        <v>0</v>
      </c>
      <c r="P856" s="1444">
        <f ca="1"/>
        <v>0</v>
      </c>
      <c r="Q856" s="1444">
        <f ca="1"/>
        <v>0</v>
      </c>
      <c r="R856" s="144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44">
        <f ca="1"/>
        <v>0</v>
      </c>
      <c r="P857" s="1444">
        <f ca="1"/>
        <v>0</v>
      </c>
      <c r="Q857" s="1444">
        <f ca="1"/>
        <v>0</v>
      </c>
      <c r="R857" s="144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44">
        <f ca="1"/>
        <v>0</v>
      </c>
      <c r="P858" s="1444">
        <f ca="1"/>
        <v>0</v>
      </c>
      <c r="Q858" s="1444">
        <f ca="1"/>
        <v>0</v>
      </c>
      <c r="R858" s="144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44">
        <f ca="1"/>
        <v>0</v>
      </c>
      <c r="P859" s="1444">
        <f ca="1"/>
        <v>0</v>
      </c>
      <c r="Q859" s="1444">
        <f ca="1"/>
        <v>0</v>
      </c>
      <c r="R859" s="144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44">
        <f ca="1"/>
        <v>0</v>
      </c>
      <c r="P860" s="1444">
        <f ca="1"/>
        <v>0</v>
      </c>
      <c r="Q860" s="1444">
        <f ca="1"/>
        <v>0</v>
      </c>
      <c r="R860" s="144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44">
        <f ca="1"/>
        <v>0</v>
      </c>
      <c r="P861" s="1444">
        <f ca="1"/>
        <v>0</v>
      </c>
      <c r="Q861" s="1444">
        <f ca="1"/>
        <v>0</v>
      </c>
      <c r="R861" s="144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44">
        <f ca="1"/>
        <v>0</v>
      </c>
      <c r="P862" s="1444">
        <f ca="1"/>
        <v>0</v>
      </c>
      <c r="Q862" s="1444">
        <f ca="1"/>
        <v>0</v>
      </c>
      <c r="R862" s="144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44">
        <f ca="1"/>
        <v>0</v>
      </c>
      <c r="P863" s="1444">
        <f ca="1"/>
        <v>0</v>
      </c>
      <c r="Q863" s="1444">
        <f ca="1"/>
        <v>0</v>
      </c>
      <c r="R863" s="144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44">
        <f ca="1"/>
        <v>0</v>
      </c>
      <c r="P864" s="1444">
        <f ca="1"/>
        <v>0</v>
      </c>
      <c r="Q864" s="1444">
        <f ca="1"/>
        <v>0</v>
      </c>
      <c r="R864" s="144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44">
        <f ca="1"/>
        <v>0</v>
      </c>
      <c r="P865" s="1444">
        <f ca="1"/>
        <v>0</v>
      </c>
      <c r="Q865" s="1444">
        <f ca="1"/>
        <v>0</v>
      </c>
      <c r="R865" s="144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44">
        <f ca="1"/>
        <v>0</v>
      </c>
      <c r="P866" s="1444">
        <f ca="1"/>
        <v>0</v>
      </c>
      <c r="Q866" s="1444">
        <f ca="1"/>
        <v>0</v>
      </c>
      <c r="R866" s="144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44">
        <f ca="1"/>
        <v>0</v>
      </c>
      <c r="P867" s="1444">
        <f ca="1"/>
        <v>0</v>
      </c>
      <c r="Q867" s="1444">
        <f ca="1"/>
        <v>0</v>
      </c>
      <c r="R867" s="144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44">
        <f ca="1"/>
        <v>0</v>
      </c>
      <c r="P868" s="1444">
        <f ca="1"/>
        <v>0</v>
      </c>
      <c r="Q868" s="1444">
        <f ca="1"/>
        <v>0</v>
      </c>
      <c r="R868" s="144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44">
        <f ca="1"/>
        <v>0</v>
      </c>
      <c r="P869" s="1444">
        <f ca="1"/>
        <v>0</v>
      </c>
      <c r="Q869" s="1444">
        <f ca="1"/>
        <v>0</v>
      </c>
      <c r="R869" s="144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44">
        <f ca="1"/>
        <v>0</v>
      </c>
      <c r="P870" s="1444">
        <f ca="1"/>
        <v>0</v>
      </c>
      <c r="Q870" s="1444">
        <f ca="1"/>
        <v>0</v>
      </c>
      <c r="R870" s="144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44">
        <f ca="1"/>
        <v>0</v>
      </c>
      <c r="P871" s="1444">
        <f ca="1"/>
        <v>0</v>
      </c>
      <c r="Q871" s="1444">
        <f ca="1"/>
        <v>0</v>
      </c>
      <c r="R871" s="144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44">
        <f ca="1"/>
        <v>0</v>
      </c>
      <c r="P872" s="1444">
        <f ca="1"/>
        <v>0</v>
      </c>
      <c r="Q872" s="1444">
        <f ca="1"/>
        <v>0</v>
      </c>
      <c r="R872" s="144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44">
        <f ca="1"/>
        <v>0</v>
      </c>
      <c r="P873" s="1444">
        <f ca="1"/>
        <v>0</v>
      </c>
      <c r="Q873" s="1444">
        <f ca="1"/>
        <v>0</v>
      </c>
      <c r="R873" s="144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44">
        <f ca="1"/>
        <v>0</v>
      </c>
      <c r="P874" s="1444">
        <f ca="1"/>
        <v>0</v>
      </c>
      <c r="Q874" s="1444">
        <f ca="1"/>
        <v>0</v>
      </c>
      <c r="R874" s="144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44">
        <f ca="1"/>
        <v>0</v>
      </c>
      <c r="P875" s="1444">
        <f ca="1"/>
        <v>0</v>
      </c>
      <c r="Q875" s="1444">
        <f ca="1"/>
        <v>0</v>
      </c>
      <c r="R875" s="144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44">
        <f ca="1"/>
        <v>0</v>
      </c>
      <c r="P876" s="1444">
        <f ca="1"/>
        <v>0</v>
      </c>
      <c r="Q876" s="1444">
        <f ca="1"/>
        <v>0</v>
      </c>
      <c r="R876" s="144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44">
        <f ca="1"/>
        <v>0</v>
      </c>
      <c r="P877" s="1444">
        <f ca="1"/>
        <v>0</v>
      </c>
      <c r="Q877" s="1444">
        <f ca="1"/>
        <v>0</v>
      </c>
      <c r="R877" s="144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44">
        <f ca="1"/>
        <v>0</v>
      </c>
      <c r="P878" s="1444">
        <f ca="1"/>
        <v>0</v>
      </c>
      <c r="Q878" s="1444">
        <f ca="1"/>
        <v>0</v>
      </c>
      <c r="R878" s="144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44">
        <f ca="1"/>
        <v>0</v>
      </c>
      <c r="P879" s="1444">
        <f ca="1"/>
        <v>0</v>
      </c>
      <c r="Q879" s="1444">
        <f ca="1"/>
        <v>0</v>
      </c>
      <c r="R879" s="144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44">
        <f ca="1"/>
        <v>0</v>
      </c>
      <c r="P880" s="1444">
        <f ca="1"/>
        <v>0</v>
      </c>
      <c r="Q880" s="1444">
        <f ca="1"/>
        <v>0</v>
      </c>
      <c r="R880" s="144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44">
        <f ca="1"/>
        <v>0</v>
      </c>
      <c r="P881" s="1444">
        <f ca="1"/>
        <v>0</v>
      </c>
      <c r="Q881" s="1444">
        <f ca="1"/>
        <v>0</v>
      </c>
      <c r="R881" s="144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44">
        <f ca="1"/>
        <v>0</v>
      </c>
      <c r="P882" s="1444">
        <f ca="1"/>
        <v>0</v>
      </c>
      <c r="Q882" s="1444">
        <f ca="1"/>
        <v>0</v>
      </c>
      <c r="R882" s="144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44">
        <f ca="1"/>
        <v>0</v>
      </c>
      <c r="P883" s="1444">
        <f ca="1"/>
        <v>0</v>
      </c>
      <c r="Q883" s="1444">
        <f ca="1"/>
        <v>0</v>
      </c>
      <c r="R883" s="144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44">
        <f ca="1"/>
        <v>0</v>
      </c>
      <c r="P884" s="1444">
        <f ca="1"/>
        <v>0</v>
      </c>
      <c r="Q884" s="1444">
        <f ca="1"/>
        <v>0</v>
      </c>
      <c r="R884" s="144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44">
        <f ca="1"/>
        <v>0</v>
      </c>
      <c r="P885" s="1444">
        <f ca="1"/>
        <v>0</v>
      </c>
      <c r="Q885" s="1444">
        <f ca="1"/>
        <v>0</v>
      </c>
      <c r="R885" s="144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44">
        <f ca="1"/>
        <v>0</v>
      </c>
      <c r="P886" s="1444">
        <f ca="1"/>
        <v>0</v>
      </c>
      <c r="Q886" s="1444">
        <f ca="1"/>
        <v>0</v>
      </c>
      <c r="R886" s="144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44">
        <f ca="1"/>
        <v>0</v>
      </c>
      <c r="P887" s="1444">
        <f ca="1"/>
        <v>0</v>
      </c>
      <c r="Q887" s="1444">
        <f ca="1"/>
        <v>0</v>
      </c>
      <c r="R887" s="144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44">
        <f ca="1"/>
        <v>0</v>
      </c>
      <c r="P888" s="1444">
        <f ca="1"/>
        <v>0</v>
      </c>
      <c r="Q888" s="1444">
        <f ca="1"/>
        <v>0</v>
      </c>
      <c r="R888" s="144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44">
        <f ca="1"/>
        <v>0</v>
      </c>
      <c r="P889" s="1444">
        <f ca="1"/>
        <v>0</v>
      </c>
      <c r="Q889" s="1444">
        <f ca="1"/>
        <v>0</v>
      </c>
      <c r="R889" s="144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44">
        <f ca="1"/>
        <v>0</v>
      </c>
      <c r="P890" s="1444">
        <f ca="1"/>
        <v>0</v>
      </c>
      <c r="Q890" s="1444">
        <f ca="1"/>
        <v>0</v>
      </c>
      <c r="R890" s="144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44">
        <f ca="1"/>
        <v>0</v>
      </c>
      <c r="P891" s="1444">
        <f ca="1"/>
        <v>0</v>
      </c>
      <c r="Q891" s="1444">
        <f ca="1"/>
        <v>0</v>
      </c>
      <c r="R891" s="144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44">
        <f ca="1"/>
        <v>0</v>
      </c>
      <c r="P892" s="1444">
        <f ca="1"/>
        <v>0</v>
      </c>
      <c r="Q892" s="1444">
        <f ca="1"/>
        <v>0</v>
      </c>
      <c r="R892" s="144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44">
        <f ca="1"/>
        <v>0</v>
      </c>
      <c r="P893" s="1444">
        <f ca="1"/>
        <v>0</v>
      </c>
      <c r="Q893" s="1444">
        <f ca="1"/>
        <v>0</v>
      </c>
      <c r="R893" s="144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44">
        <f ca="1"/>
        <v>0</v>
      </c>
      <c r="P894" s="1444">
        <f ca="1"/>
        <v>0</v>
      </c>
      <c r="Q894" s="1444">
        <f ca="1"/>
        <v>0</v>
      </c>
      <c r="R894" s="144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44">
        <f ca="1"/>
        <v>0</v>
      </c>
      <c r="P895" s="1444">
        <f ca="1"/>
        <v>0</v>
      </c>
      <c r="Q895" s="1444">
        <f ca="1"/>
        <v>0</v>
      </c>
      <c r="R895" s="144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44">
        <f ca="1"/>
        <v>0</v>
      </c>
      <c r="P896" s="1444">
        <f ca="1"/>
        <v>0</v>
      </c>
      <c r="Q896" s="1444">
        <f ca="1"/>
        <v>0</v>
      </c>
      <c r="R896" s="144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44">
        <f ca="1"/>
        <v>0</v>
      </c>
      <c r="P897" s="1444">
        <f ca="1"/>
        <v>0</v>
      </c>
      <c r="Q897" s="1444">
        <f ca="1"/>
        <v>0</v>
      </c>
      <c r="R897" s="144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44">
        <f ca="1"/>
        <v>0</v>
      </c>
      <c r="P898" s="1444">
        <f ca="1"/>
        <v>0</v>
      </c>
      <c r="Q898" s="1444">
        <f ca="1"/>
        <v>0</v>
      </c>
      <c r="R898" s="144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44">
        <f ca="1"/>
        <v>0</v>
      </c>
      <c r="P899" s="1444">
        <f ca="1"/>
        <v>0</v>
      </c>
      <c r="Q899" s="1444">
        <f ca="1"/>
        <v>0</v>
      </c>
      <c r="R899" s="144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44">
        <f ca="1"/>
        <v>0</v>
      </c>
      <c r="P900" s="1444">
        <f ca="1"/>
        <v>0</v>
      </c>
      <c r="Q900" s="1444">
        <f ca="1"/>
        <v>0</v>
      </c>
      <c r="R900" s="144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44">
        <f ca="1"/>
        <v>0</v>
      </c>
      <c r="P901" s="1444">
        <f ca="1"/>
        <v>0</v>
      </c>
      <c r="Q901" s="1444">
        <f ca="1"/>
        <v>0</v>
      </c>
      <c r="R901" s="144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44">
        <f ca="1"/>
        <v>0</v>
      </c>
      <c r="P902" s="1444">
        <f ca="1"/>
        <v>0</v>
      </c>
      <c r="Q902" s="1444">
        <f ca="1"/>
        <v>0</v>
      </c>
      <c r="R902" s="144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44">
        <f ca="1"/>
        <v>0</v>
      </c>
      <c r="P903" s="1444">
        <f ca="1"/>
        <v>0</v>
      </c>
      <c r="Q903" s="1444">
        <f ca="1"/>
        <v>0</v>
      </c>
      <c r="R903" s="144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44">
        <f ca="1"/>
        <v>0</v>
      </c>
      <c r="P904" s="1444">
        <f ca="1"/>
        <v>0</v>
      </c>
      <c r="Q904" s="1444">
        <f ca="1"/>
        <v>0</v>
      </c>
      <c r="R904" s="144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44">
        <f ca="1"/>
        <v>0</v>
      </c>
      <c r="P905" s="1444">
        <f ca="1"/>
        <v>0</v>
      </c>
      <c r="Q905" s="1444">
        <f ca="1"/>
        <v>0</v>
      </c>
      <c r="R905" s="144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44">
        <f ca="1"/>
        <v>0</v>
      </c>
      <c r="P906" s="1444">
        <f ca="1"/>
        <v>0</v>
      </c>
      <c r="Q906" s="1444">
        <f ca="1"/>
        <v>0</v>
      </c>
      <c r="R906" s="144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44">
        <f ca="1"/>
        <v>0</v>
      </c>
      <c r="P907" s="1444">
        <f ca="1"/>
        <v>0</v>
      </c>
      <c r="Q907" s="1444">
        <f ca="1"/>
        <v>0</v>
      </c>
      <c r="R907" s="144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44">
        <f ca="1"/>
        <v>0</v>
      </c>
      <c r="P908" s="1444">
        <f ca="1"/>
        <v>0</v>
      </c>
      <c r="Q908" s="1444">
        <f ca="1"/>
        <v>0</v>
      </c>
      <c r="R908" s="144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44">
        <f ca="1"/>
        <v>0</v>
      </c>
      <c r="P909" s="1444">
        <f ca="1"/>
        <v>0</v>
      </c>
      <c r="Q909" s="1444">
        <f ca="1"/>
        <v>0</v>
      </c>
      <c r="R909" s="144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44">
        <f ca="1"/>
        <v>0</v>
      </c>
      <c r="P910" s="1444">
        <f ca="1"/>
        <v>0</v>
      </c>
      <c r="Q910" s="1444">
        <f ca="1"/>
        <v>0</v>
      </c>
      <c r="R910" s="144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44">
        <f ca="1"/>
        <v>0</v>
      </c>
      <c r="P911" s="1444">
        <f ca="1"/>
        <v>0</v>
      </c>
      <c r="Q911" s="1444">
        <f ca="1"/>
        <v>0</v>
      </c>
      <c r="R911" s="144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44">
        <f ca="1"/>
        <v>0</v>
      </c>
      <c r="P912" s="1444">
        <f ca="1"/>
        <v>0</v>
      </c>
      <c r="Q912" s="1444">
        <f ca="1"/>
        <v>0</v>
      </c>
      <c r="R912" s="144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44">
        <f ca="1"/>
        <v>0</v>
      </c>
      <c r="P913" s="1444">
        <f ca="1"/>
        <v>0</v>
      </c>
      <c r="Q913" s="1444">
        <f ca="1"/>
        <v>0</v>
      </c>
      <c r="R913" s="144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44">
        <f ca="1"/>
        <v>0</v>
      </c>
      <c r="P914" s="1444">
        <f ca="1"/>
        <v>0</v>
      </c>
      <c r="Q914" s="1444">
        <f ca="1"/>
        <v>0</v>
      </c>
      <c r="R914" s="144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44">
        <f ca="1"/>
        <v>0</v>
      </c>
      <c r="P915" s="1444">
        <f ca="1"/>
        <v>0</v>
      </c>
      <c r="Q915" s="1444">
        <f ca="1"/>
        <v>0</v>
      </c>
      <c r="R915" s="144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44">
        <f ca="1"/>
        <v>0</v>
      </c>
      <c r="P916" s="1444">
        <f ca="1"/>
        <v>0</v>
      </c>
      <c r="Q916" s="1444">
        <f ca="1"/>
        <v>0</v>
      </c>
      <c r="R916" s="144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44">
        <f ca="1"/>
        <v>0</v>
      </c>
      <c r="P917" s="1444">
        <f ca="1"/>
        <v>0</v>
      </c>
      <c r="Q917" s="1444">
        <f ca="1"/>
        <v>0</v>
      </c>
      <c r="R917" s="144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44">
        <f ca="1"/>
        <v>0</v>
      </c>
      <c r="P918" s="1444">
        <f ca="1"/>
        <v>0</v>
      </c>
      <c r="Q918" s="1444">
        <f ca="1"/>
        <v>0</v>
      </c>
      <c r="R918" s="144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44">
        <f ca="1"/>
        <v>0</v>
      </c>
      <c r="P919" s="1444">
        <f ca="1"/>
        <v>0</v>
      </c>
      <c r="Q919" s="1444">
        <f ca="1"/>
        <v>0</v>
      </c>
      <c r="R919" s="144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44">
        <f ca="1"/>
        <v>0</v>
      </c>
      <c r="P920" s="1444">
        <f ca="1"/>
        <v>0</v>
      </c>
      <c r="Q920" s="1444">
        <f ca="1"/>
        <v>0</v>
      </c>
      <c r="R920" s="144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44">
        <f ca="1"/>
        <v>0</v>
      </c>
      <c r="P921" s="1444">
        <f ca="1"/>
        <v>0</v>
      </c>
      <c r="Q921" s="1444">
        <f ca="1"/>
        <v>0</v>
      </c>
      <c r="R921" s="144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44">
        <f ca="1"/>
        <v>0</v>
      </c>
      <c r="P922" s="1444">
        <f ca="1"/>
        <v>0</v>
      </c>
      <c r="Q922" s="1444">
        <f ca="1"/>
        <v>0</v>
      </c>
      <c r="R922" s="144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44">
        <f ca="1"/>
        <v>0</v>
      </c>
      <c r="P923" s="1444">
        <f ca="1"/>
        <v>0</v>
      </c>
      <c r="Q923" s="1444">
        <f ca="1"/>
        <v>0</v>
      </c>
      <c r="R923" s="144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44">
        <f ca="1"/>
        <v>0</v>
      </c>
      <c r="P924" s="1444">
        <f ca="1"/>
        <v>0</v>
      </c>
      <c r="Q924" s="1444">
        <f ca="1"/>
        <v>0</v>
      </c>
      <c r="R924" s="144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44">
        <f ca="1"/>
        <v>0</v>
      </c>
      <c r="P925" s="1444">
        <f ca="1"/>
        <v>0</v>
      </c>
      <c r="Q925" s="1444">
        <f ca="1"/>
        <v>0</v>
      </c>
      <c r="R925" s="144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44">
        <f ca="1"/>
        <v>0</v>
      </c>
      <c r="P926" s="1444">
        <f ca="1"/>
        <v>0</v>
      </c>
      <c r="Q926" s="1444">
        <f ca="1"/>
        <v>0</v>
      </c>
      <c r="R926" s="144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44">
        <f ca="1"/>
        <v>0</v>
      </c>
      <c r="P927" s="1444">
        <f ca="1"/>
        <v>0</v>
      </c>
      <c r="Q927" s="1444">
        <f ca="1"/>
        <v>0</v>
      </c>
      <c r="R927" s="144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44">
        <f ca="1"/>
        <v>0</v>
      </c>
      <c r="P928" s="1444">
        <f ca="1"/>
        <v>0</v>
      </c>
      <c r="Q928" s="1444">
        <f ca="1"/>
        <v>0</v>
      </c>
      <c r="R928" s="144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44">
        <f ca="1"/>
        <v>0</v>
      </c>
      <c r="P929" s="1444">
        <f ca="1"/>
        <v>0</v>
      </c>
      <c r="Q929" s="1444">
        <f ca="1"/>
        <v>0</v>
      </c>
      <c r="R929" s="144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44">
        <f ca="1"/>
        <v>0</v>
      </c>
      <c r="P930" s="1444">
        <f ca="1"/>
        <v>0</v>
      </c>
      <c r="Q930" s="1444">
        <f ca="1"/>
        <v>0</v>
      </c>
      <c r="R930" s="144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44">
        <f ca="1"/>
        <v>0</v>
      </c>
      <c r="P931" s="1444">
        <f ca="1"/>
        <v>0</v>
      </c>
      <c r="Q931" s="1444">
        <f ca="1"/>
        <v>0</v>
      </c>
      <c r="R931" s="144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44">
        <f ca="1"/>
        <v>0</v>
      </c>
      <c r="P932" s="1444">
        <f ca="1"/>
        <v>0</v>
      </c>
      <c r="Q932" s="1444">
        <f ca="1"/>
        <v>0</v>
      </c>
      <c r="R932" s="144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44">
        <f ca="1"/>
        <v>0</v>
      </c>
      <c r="P933" s="1444">
        <f ca="1"/>
        <v>0</v>
      </c>
      <c r="Q933" s="1444">
        <f ca="1"/>
        <v>0</v>
      </c>
      <c r="R933" s="144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44">
        <f ca="1"/>
        <v>0</v>
      </c>
      <c r="P934" s="1444">
        <f ca="1"/>
        <v>0</v>
      </c>
      <c r="Q934" s="1444">
        <f ca="1"/>
        <v>0</v>
      </c>
      <c r="R934" s="144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44">
        <f ca="1"/>
        <v>0</v>
      </c>
      <c r="P935" s="1444">
        <f ca="1"/>
        <v>0</v>
      </c>
      <c r="Q935" s="1444">
        <f ca="1"/>
        <v>0</v>
      </c>
      <c r="R935" s="144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44">
        <f ca="1"/>
        <v>0</v>
      </c>
      <c r="P936" s="1444">
        <f ca="1"/>
        <v>0</v>
      </c>
      <c r="Q936" s="1444">
        <f ca="1"/>
        <v>0</v>
      </c>
      <c r="R936" s="144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44">
        <f ca="1"/>
        <v>0</v>
      </c>
      <c r="P937" s="1444">
        <f ca="1"/>
        <v>0</v>
      </c>
      <c r="Q937" s="1444">
        <f ca="1"/>
        <v>0</v>
      </c>
      <c r="R937" s="144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44">
        <f ca="1"/>
        <v>0</v>
      </c>
      <c r="P938" s="1444">
        <f ca="1"/>
        <v>0</v>
      </c>
      <c r="Q938" s="1444">
        <f ca="1"/>
        <v>0</v>
      </c>
      <c r="R938" s="144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44">
        <f ca="1"/>
        <v>0</v>
      </c>
      <c r="P939" s="1444">
        <f ca="1"/>
        <v>0</v>
      </c>
      <c r="Q939" s="1444">
        <f ca="1"/>
        <v>0</v>
      </c>
      <c r="R939" s="144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44">
        <f ca="1"/>
        <v>0</v>
      </c>
      <c r="P940" s="1444">
        <f ca="1"/>
        <v>0</v>
      </c>
      <c r="Q940" s="1444">
        <f ca="1"/>
        <v>0</v>
      </c>
      <c r="R940" s="144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44">
        <f ca="1"/>
        <v>0</v>
      </c>
      <c r="P941" s="1444">
        <f ca="1"/>
        <v>0</v>
      </c>
      <c r="Q941" s="1444">
        <f ca="1"/>
        <v>0</v>
      </c>
      <c r="R941" s="144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44">
        <f ca="1"/>
        <v>0</v>
      </c>
      <c r="P942" s="1444">
        <f ca="1"/>
        <v>0</v>
      </c>
      <c r="Q942" s="1444">
        <f ca="1"/>
        <v>0</v>
      </c>
      <c r="R942" s="144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44">
        <f ca="1"/>
        <v>0</v>
      </c>
      <c r="P943" s="1444">
        <f ca="1"/>
        <v>0</v>
      </c>
      <c r="Q943" s="1444">
        <f ca="1"/>
        <v>0</v>
      </c>
      <c r="R943" s="144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44">
        <f ca="1"/>
        <v>0</v>
      </c>
      <c r="P944" s="1444">
        <f ca="1"/>
        <v>0</v>
      </c>
      <c r="Q944" s="1444">
        <f ca="1"/>
        <v>0</v>
      </c>
      <c r="R944" s="144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44">
        <f ca="1"/>
        <v>0</v>
      </c>
      <c r="P945" s="1444">
        <f ca="1"/>
        <v>0</v>
      </c>
      <c r="Q945" s="1444">
        <f ca="1"/>
        <v>0</v>
      </c>
      <c r="R945" s="144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44">
        <f ca="1"/>
        <v>0</v>
      </c>
      <c r="P946" s="1444">
        <f ca="1"/>
        <v>0</v>
      </c>
      <c r="Q946" s="1444">
        <f ca="1"/>
        <v>0</v>
      </c>
      <c r="R946" s="144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44">
        <f ca="1"/>
        <v>0</v>
      </c>
      <c r="P947" s="1444">
        <f ca="1"/>
        <v>0</v>
      </c>
      <c r="Q947" s="1444">
        <f ca="1"/>
        <v>0</v>
      </c>
      <c r="R947" s="144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44">
        <f ca="1"/>
        <v>0</v>
      </c>
      <c r="P948" s="1444">
        <f ca="1"/>
        <v>0</v>
      </c>
      <c r="Q948" s="1444">
        <f ca="1"/>
        <v>0</v>
      </c>
      <c r="R948" s="144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44">
        <f ca="1"/>
        <v>0</v>
      </c>
      <c r="P949" s="1444">
        <f ca="1"/>
        <v>0</v>
      </c>
      <c r="Q949" s="1444">
        <f ca="1"/>
        <v>0</v>
      </c>
      <c r="R949" s="144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44">
        <f ca="1"/>
        <v>0</v>
      </c>
      <c r="P950" s="1444">
        <f ca="1"/>
        <v>0</v>
      </c>
      <c r="Q950" s="1444">
        <f ca="1"/>
        <v>0</v>
      </c>
      <c r="R950" s="144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44">
        <f ca="1"/>
        <v>0</v>
      </c>
      <c r="P951" s="1444">
        <f ca="1"/>
        <v>0</v>
      </c>
      <c r="Q951" s="1444">
        <f ca="1"/>
        <v>0</v>
      </c>
      <c r="R951" s="144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44">
        <f ca="1"/>
        <v>0</v>
      </c>
      <c r="P952" s="1444">
        <f ca="1"/>
        <v>0</v>
      </c>
      <c r="Q952" s="1444">
        <f ca="1"/>
        <v>0</v>
      </c>
      <c r="R952" s="144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44">
        <f ca="1"/>
        <v>0</v>
      </c>
      <c r="P953" s="1444">
        <f ca="1"/>
        <v>0</v>
      </c>
      <c r="Q953" s="1444">
        <f ca="1"/>
        <v>0</v>
      </c>
      <c r="R953" s="144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44">
        <f ca="1"/>
        <v>0</v>
      </c>
      <c r="P954" s="1444">
        <f ca="1"/>
        <v>0</v>
      </c>
      <c r="Q954" s="1444">
        <f ca="1"/>
        <v>0</v>
      </c>
      <c r="R954" s="144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44">
        <f ca="1"/>
        <v>0</v>
      </c>
      <c r="P955" s="1444">
        <f ca="1"/>
        <v>0</v>
      </c>
      <c r="Q955" s="1444">
        <f ca="1"/>
        <v>0</v>
      </c>
      <c r="R955" s="144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44">
        <f ca="1"/>
        <v>0</v>
      </c>
      <c r="P956" s="1444">
        <f ca="1"/>
        <v>0</v>
      </c>
      <c r="Q956" s="1444">
        <f ca="1"/>
        <v>0</v>
      </c>
      <c r="R956" s="144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44">
        <f ca="1"/>
        <v>0</v>
      </c>
      <c r="P957" s="1444">
        <f ca="1"/>
        <v>0</v>
      </c>
      <c r="Q957" s="1444">
        <f ca="1"/>
        <v>0</v>
      </c>
      <c r="R957" s="144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44">
        <f ca="1"/>
        <v>0</v>
      </c>
      <c r="P958" s="1444">
        <f ca="1"/>
        <v>0</v>
      </c>
      <c r="Q958" s="1444">
        <f ca="1"/>
        <v>0</v>
      </c>
      <c r="R958" s="144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44">
        <f ca="1"/>
        <v>0</v>
      </c>
      <c r="P959" s="1444">
        <f ca="1"/>
        <v>0</v>
      </c>
      <c r="Q959" s="1444">
        <f ca="1"/>
        <v>0</v>
      </c>
      <c r="R959" s="144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44">
        <f ca="1"/>
        <v>0</v>
      </c>
      <c r="P960" s="1444">
        <f ca="1"/>
        <v>0</v>
      </c>
      <c r="Q960" s="1444">
        <f ca="1"/>
        <v>0</v>
      </c>
      <c r="R960" s="144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44">
        <f ca="1"/>
        <v>0</v>
      </c>
      <c r="P961" s="1444">
        <f ca="1"/>
        <v>0</v>
      </c>
      <c r="Q961" s="1444">
        <f ca="1"/>
        <v>0</v>
      </c>
      <c r="R961" s="144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44">
        <f ca="1"/>
        <v>0</v>
      </c>
      <c r="P962" s="1444">
        <f ca="1"/>
        <v>0</v>
      </c>
      <c r="Q962" s="1444">
        <f ca="1"/>
        <v>0</v>
      </c>
      <c r="R962" s="144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44">
        <f ca="1"/>
        <v>0</v>
      </c>
      <c r="P963" s="1444">
        <f ca="1"/>
        <v>0</v>
      </c>
      <c r="Q963" s="1444">
        <f ca="1"/>
        <v>0</v>
      </c>
      <c r="R963" s="144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44">
        <f ca="1"/>
        <v>0</v>
      </c>
      <c r="P964" s="1444">
        <f ca="1"/>
        <v>0</v>
      </c>
      <c r="Q964" s="1444">
        <f ca="1"/>
        <v>0</v>
      </c>
      <c r="R964" s="144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44">
        <f ca="1"/>
        <v>0</v>
      </c>
      <c r="P965" s="1444">
        <f ca="1"/>
        <v>0</v>
      </c>
      <c r="Q965" s="1444">
        <f ca="1"/>
        <v>0</v>
      </c>
      <c r="R965" s="144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44">
        <f ca="1"/>
        <v>0</v>
      </c>
      <c r="P966" s="1444">
        <f ca="1"/>
        <v>0</v>
      </c>
      <c r="Q966" s="1444">
        <f ca="1"/>
        <v>0</v>
      </c>
      <c r="R966" s="144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44">
        <f ca="1"/>
        <v>0</v>
      </c>
      <c r="P967" s="1444">
        <f ca="1"/>
        <v>0</v>
      </c>
      <c r="Q967" s="1444">
        <f ca="1"/>
        <v>0</v>
      </c>
      <c r="R967" s="144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44">
        <f ca="1"/>
        <v>0</v>
      </c>
      <c r="P968" s="1444">
        <f ca="1"/>
        <v>0</v>
      </c>
      <c r="Q968" s="1444">
        <f ca="1"/>
        <v>0</v>
      </c>
      <c r="R968" s="144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44">
        <f ca="1"/>
        <v>0</v>
      </c>
      <c r="P969" s="1444">
        <f ca="1"/>
        <v>0</v>
      </c>
      <c r="Q969" s="1444">
        <f ca="1"/>
        <v>0</v>
      </c>
      <c r="R969" s="144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44">
        <f ca="1"/>
        <v>0</v>
      </c>
      <c r="P970" s="1444">
        <f ca="1"/>
        <v>0</v>
      </c>
      <c r="Q970" s="1444">
        <f ca="1"/>
        <v>0</v>
      </c>
      <c r="R970" s="144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44">
        <f ca="1"/>
        <v>0</v>
      </c>
      <c r="P971" s="1444">
        <f ca="1"/>
        <v>0</v>
      </c>
      <c r="Q971" s="1444">
        <f ca="1"/>
        <v>0</v>
      </c>
      <c r="R971" s="144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44">
        <f ca="1"/>
        <v>0</v>
      </c>
      <c r="P972" s="1444">
        <f ca="1"/>
        <v>0</v>
      </c>
      <c r="Q972" s="1444">
        <f ca="1"/>
        <v>0</v>
      </c>
      <c r="R972" s="144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44">
        <f ca="1"/>
        <v>0</v>
      </c>
      <c r="P973" s="1444">
        <f ca="1"/>
        <v>0</v>
      </c>
      <c r="Q973" s="1444">
        <f ca="1"/>
        <v>0</v>
      </c>
      <c r="R973" s="144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44">
        <f ca="1"/>
        <v>0</v>
      </c>
      <c r="P974" s="1444">
        <f ca="1"/>
        <v>0</v>
      </c>
      <c r="Q974" s="1444">
        <f ca="1"/>
        <v>0</v>
      </c>
      <c r="R974" s="144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44">
        <f ca="1"/>
        <v>0</v>
      </c>
      <c r="P975" s="1444">
        <f ca="1"/>
        <v>0</v>
      </c>
      <c r="Q975" s="1444">
        <f ca="1"/>
        <v>0</v>
      </c>
      <c r="R975" s="144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44">
        <f ca="1"/>
        <v>0</v>
      </c>
      <c r="P976" s="1444">
        <f ca="1"/>
        <v>0</v>
      </c>
      <c r="Q976" s="1444">
        <f ca="1"/>
        <v>0</v>
      </c>
      <c r="R976" s="144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44">
        <f ca="1"/>
        <v>0</v>
      </c>
      <c r="P977" s="1444">
        <f ca="1"/>
        <v>0</v>
      </c>
      <c r="Q977" s="1444">
        <f ca="1"/>
        <v>0</v>
      </c>
      <c r="R977" s="144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44">
        <f ca="1"/>
        <v>0</v>
      </c>
      <c r="P978" s="1444">
        <f ca="1"/>
        <v>0</v>
      </c>
      <c r="Q978" s="1444">
        <f ca="1"/>
        <v>0</v>
      </c>
      <c r="R978" s="144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44">
        <f ca="1"/>
        <v>0</v>
      </c>
      <c r="P979" s="1444">
        <f ca="1"/>
        <v>0</v>
      </c>
      <c r="Q979" s="1444">
        <f ca="1"/>
        <v>0</v>
      </c>
      <c r="R979" s="144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44">
        <f ca="1"/>
        <v>0</v>
      </c>
      <c r="P980" s="1444">
        <f ca="1"/>
        <v>0</v>
      </c>
      <c r="Q980" s="1444">
        <f ca="1"/>
        <v>0</v>
      </c>
      <c r="R980" s="144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44">
        <f ca="1"/>
        <v>0</v>
      </c>
      <c r="P981" s="1444">
        <f ca="1"/>
        <v>0</v>
      </c>
      <c r="Q981" s="1444">
        <f ca="1"/>
        <v>0</v>
      </c>
      <c r="R981" s="144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44">
        <f ca="1"/>
        <v>0</v>
      </c>
      <c r="P982" s="1444">
        <f ca="1"/>
        <v>0</v>
      </c>
      <c r="Q982" s="1444">
        <f ca="1"/>
        <v>0</v>
      </c>
      <c r="R982" s="144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44">
        <f ca="1"/>
        <v>0</v>
      </c>
      <c r="P983" s="1444">
        <f ca="1"/>
        <v>0</v>
      </c>
      <c r="Q983" s="1444">
        <f ca="1"/>
        <v>0</v>
      </c>
      <c r="R983" s="144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44">
        <f ca="1"/>
        <v>0</v>
      </c>
      <c r="P984" s="1444">
        <f ca="1"/>
        <v>0</v>
      </c>
      <c r="Q984" s="1444">
        <f ca="1"/>
        <v>0</v>
      </c>
      <c r="R984" s="144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44">
        <f ca="1"/>
        <v>0</v>
      </c>
      <c r="P985" s="1444">
        <f ca="1"/>
        <v>0</v>
      </c>
      <c r="Q985" s="1444">
        <f ca="1"/>
        <v>0</v>
      </c>
      <c r="R985" s="144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44">
        <f ca="1"/>
        <v>0</v>
      </c>
      <c r="P986" s="1444">
        <f ca="1"/>
        <v>0</v>
      </c>
      <c r="Q986" s="1444">
        <f ca="1"/>
        <v>0</v>
      </c>
      <c r="R986" s="144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44">
        <f ca="1"/>
        <v>0</v>
      </c>
      <c r="P987" s="1444">
        <f ca="1"/>
        <v>0</v>
      </c>
      <c r="Q987" s="1444">
        <f ca="1"/>
        <v>0</v>
      </c>
      <c r="R987" s="144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44">
        <f ca="1"/>
        <v>0</v>
      </c>
      <c r="P988" s="1444">
        <f ca="1"/>
        <v>0</v>
      </c>
      <c r="Q988" s="1444">
        <f ca="1"/>
        <v>0</v>
      </c>
      <c r="R988" s="144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44">
        <f ca="1"/>
        <v>0</v>
      </c>
      <c r="P989" s="1444">
        <f ca="1"/>
        <v>0</v>
      </c>
      <c r="Q989" s="1444">
        <f ca="1"/>
        <v>0</v>
      </c>
      <c r="R989" s="144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44">
        <f ca="1"/>
        <v>0</v>
      </c>
      <c r="P990" s="1444">
        <f ca="1"/>
        <v>0</v>
      </c>
      <c r="Q990" s="1444">
        <f ca="1"/>
        <v>0</v>
      </c>
      <c r="R990" s="144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44">
        <f ca="1"/>
        <v>0</v>
      </c>
      <c r="P991" s="1444">
        <f ca="1"/>
        <v>0</v>
      </c>
      <c r="Q991" s="1444">
        <f ca="1"/>
        <v>0</v>
      </c>
      <c r="R991" s="144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44">
        <f ca="1"/>
        <v>0</v>
      </c>
      <c r="P992" s="1444">
        <f ca="1"/>
        <v>0</v>
      </c>
      <c r="Q992" s="1444">
        <f ca="1"/>
        <v>0</v>
      </c>
      <c r="R992" s="144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44">
        <f ca="1"/>
        <v>0</v>
      </c>
      <c r="P993" s="1444">
        <f ca="1"/>
        <v>0</v>
      </c>
      <c r="Q993" s="1444">
        <f ca="1"/>
        <v>0</v>
      </c>
      <c r="R993" s="144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44">
        <f ca="1"/>
        <v>0</v>
      </c>
      <c r="P994" s="1444">
        <f ca="1"/>
        <v>0</v>
      </c>
      <c r="Q994" s="1444">
        <f ca="1"/>
        <v>0</v>
      </c>
      <c r="R994" s="144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44">
        <f ca="1"/>
        <v>0</v>
      </c>
      <c r="P995" s="1444">
        <f ca="1"/>
        <v>0</v>
      </c>
      <c r="Q995" s="1444">
        <f ca="1"/>
        <v>0</v>
      </c>
      <c r="R995" s="144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44">
        <f ca="1"/>
        <v>0</v>
      </c>
      <c r="P996" s="1444">
        <f ca="1"/>
        <v>0</v>
      </c>
      <c r="Q996" s="1444">
        <f ca="1"/>
        <v>0</v>
      </c>
      <c r="R996" s="144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44">
        <f ca="1"/>
        <v>0</v>
      </c>
      <c r="P997" s="1444">
        <f ca="1"/>
        <v>0</v>
      </c>
      <c r="Q997" s="1444">
        <f ca="1"/>
        <v>0</v>
      </c>
      <c r="R997" s="144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44">
        <f ca="1"/>
        <v>0</v>
      </c>
      <c r="P998" s="1444">
        <f ca="1"/>
        <v>0</v>
      </c>
      <c r="Q998" s="1444">
        <f ca="1"/>
        <v>0</v>
      </c>
      <c r="R998" s="144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44">
        <f ca="1"/>
        <v>0</v>
      </c>
      <c r="P999" s="1444">
        <f ca="1"/>
        <v>0</v>
      </c>
      <c r="Q999" s="1444">
        <f ca="1"/>
        <v>0</v>
      </c>
      <c r="R999" s="144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44">
        <f ca="1"/>
        <v>0</v>
      </c>
      <c r="P1000" s="1444">
        <f ca="1"/>
        <v>0</v>
      </c>
      <c r="Q1000" s="1444">
        <f ca="1"/>
        <v>0</v>
      </c>
      <c r="R1000" s="144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H4" activePane="bottomRight" state="frozen"/>
      <selection activeCell="Z112" sqref="Z112"/>
      <selection pane="topRight" activeCell="Z112" sqref="Z112"/>
      <selection pane="bottomLeft" activeCell="Z112" sqref="Z112"/>
      <selection pane="bottomRight" activeCell="CU5" sqref="CU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838</v>
      </c>
      <c r="D1" t="s">
        <v>547</v>
      </c>
      <c r="E1" t="s">
        <v>1</v>
      </c>
      <c r="F1" t="str">
        <f>Calc!$L$2</f>
        <v>E</v>
      </c>
      <c r="G1" t="s">
        <v>550</v>
      </c>
      <c r="H1" t="s">
        <v>2</v>
      </c>
      <c r="I1" t="s">
        <v>840</v>
      </c>
      <c r="J1" t="s">
        <v>551</v>
      </c>
      <c r="K1" t="s">
        <v>3</v>
      </c>
      <c r="L1" t="s">
        <v>841</v>
      </c>
      <c r="M1" t="s">
        <v>552</v>
      </c>
      <c r="N1" t="s">
        <v>4</v>
      </c>
      <c r="O1" t="s">
        <v>842</v>
      </c>
      <c r="P1" t="s">
        <v>553</v>
      </c>
      <c r="Q1" t="s">
        <v>32</v>
      </c>
      <c r="R1" t="s">
        <v>870</v>
      </c>
      <c r="S1" t="s">
        <v>581</v>
      </c>
      <c r="T1" t="s">
        <v>46</v>
      </c>
      <c r="U1" t="s">
        <v>883</v>
      </c>
      <c r="V1" t="s">
        <v>593</v>
      </c>
      <c r="W1" t="s">
        <v>5</v>
      </c>
      <c r="X1" t="s">
        <v>843</v>
      </c>
      <c r="Y1" t="s">
        <v>554</v>
      </c>
      <c r="Z1" t="s">
        <v>6</v>
      </c>
      <c r="AA1" t="s">
        <v>844</v>
      </c>
      <c r="AB1" t="s">
        <v>555</v>
      </c>
      <c r="AC1" t="s">
        <v>7</v>
      </c>
      <c r="AD1" t="s">
        <v>845</v>
      </c>
      <c r="AE1" t="s">
        <v>556</v>
      </c>
      <c r="AF1" t="s">
        <v>8</v>
      </c>
      <c r="AG1" t="s">
        <v>846</v>
      </c>
      <c r="AH1" t="s">
        <v>557</v>
      </c>
      <c r="AI1" t="s">
        <v>9</v>
      </c>
      <c r="AJ1" t="s">
        <v>847</v>
      </c>
      <c r="AK1" t="s">
        <v>558</v>
      </c>
      <c r="AL1" t="s">
        <v>10</v>
      </c>
      <c r="AM1" t="s">
        <v>848</v>
      </c>
      <c r="AN1" t="s">
        <v>559</v>
      </c>
      <c r="AO1" t="s">
        <v>11</v>
      </c>
      <c r="AP1" t="s">
        <v>849</v>
      </c>
      <c r="AQ1" t="s">
        <v>560</v>
      </c>
      <c r="AR1" t="s">
        <v>12</v>
      </c>
      <c r="AS1" t="s">
        <v>850</v>
      </c>
      <c r="AT1" t="s">
        <v>561</v>
      </c>
      <c r="AU1" t="s">
        <v>13</v>
      </c>
      <c r="AV1" t="s">
        <v>851</v>
      </c>
      <c r="AW1" t="s">
        <v>562</v>
      </c>
      <c r="AX1" t="s">
        <v>14</v>
      </c>
      <c r="AY1" t="s">
        <v>852</v>
      </c>
      <c r="AZ1" t="s">
        <v>563</v>
      </c>
      <c r="BA1" t="s">
        <v>15</v>
      </c>
      <c r="BB1" t="s">
        <v>853</v>
      </c>
      <c r="BC1" t="s">
        <v>564</v>
      </c>
      <c r="BD1" t="s">
        <v>16</v>
      </c>
      <c r="BE1" t="s">
        <v>854</v>
      </c>
      <c r="BF1" t="s">
        <v>565</v>
      </c>
      <c r="BG1" t="s">
        <v>17</v>
      </c>
      <c r="BH1" t="s">
        <v>855</v>
      </c>
      <c r="BI1" t="s">
        <v>566</v>
      </c>
      <c r="BJ1" t="s">
        <v>19</v>
      </c>
      <c r="BK1" t="s">
        <v>857</v>
      </c>
      <c r="BL1" t="s">
        <v>568</v>
      </c>
      <c r="BM1" t="s">
        <v>20</v>
      </c>
      <c r="BN1" t="s">
        <v>858</v>
      </c>
      <c r="BO1" t="s">
        <v>569</v>
      </c>
      <c r="BP1" t="s">
        <v>21</v>
      </c>
      <c r="BQ1" t="s">
        <v>859</v>
      </c>
      <c r="BR1" t="s">
        <v>570</v>
      </c>
      <c r="BS1" t="s">
        <v>22</v>
      </c>
      <c r="BT1" t="s">
        <v>860</v>
      </c>
      <c r="BU1" t="s">
        <v>571</v>
      </c>
      <c r="BV1" t="s">
        <v>23</v>
      </c>
      <c r="BW1" t="s">
        <v>861</v>
      </c>
      <c r="BX1" t="s">
        <v>572</v>
      </c>
      <c r="BY1" t="s">
        <v>24</v>
      </c>
      <c r="BZ1" t="s">
        <v>862</v>
      </c>
      <c r="CA1" t="s">
        <v>573</v>
      </c>
      <c r="CB1" t="s">
        <v>25</v>
      </c>
      <c r="CC1" t="s">
        <v>863</v>
      </c>
      <c r="CD1" t="s">
        <v>574</v>
      </c>
      <c r="CE1" t="s">
        <v>26</v>
      </c>
      <c r="CF1" t="s">
        <v>864</v>
      </c>
      <c r="CG1" t="s">
        <v>575</v>
      </c>
      <c r="CH1" t="s">
        <v>27</v>
      </c>
      <c r="CI1" t="s">
        <v>865</v>
      </c>
      <c r="CJ1" t="s">
        <v>576</v>
      </c>
      <c r="CK1" t="s">
        <v>28</v>
      </c>
      <c r="CL1" t="s">
        <v>866</v>
      </c>
      <c r="CM1" t="s">
        <v>577</v>
      </c>
      <c r="CN1" t="s">
        <v>29</v>
      </c>
      <c r="CO1" t="s">
        <v>867</v>
      </c>
      <c r="CP1" t="s">
        <v>578</v>
      </c>
      <c r="CQ1" t="s">
        <v>30</v>
      </c>
      <c r="CR1" t="s">
        <v>868</v>
      </c>
      <c r="CS1" t="s">
        <v>579</v>
      </c>
      <c r="CT1" t="s">
        <v>53</v>
      </c>
      <c r="CU1" t="s">
        <v>890</v>
      </c>
      <c r="CV1" t="s">
        <v>600</v>
      </c>
      <c r="CW1" t="s">
        <v>31</v>
      </c>
      <c r="CX1" t="s">
        <v>869</v>
      </c>
      <c r="CY1" t="s">
        <v>580</v>
      </c>
      <c r="CZ1" t="s">
        <v>33</v>
      </c>
      <c r="DA1" t="s">
        <v>871</v>
      </c>
      <c r="DB1" t="s">
        <v>582</v>
      </c>
      <c r="DC1" t="s">
        <v>1087</v>
      </c>
      <c r="DD1" t="s">
        <v>1088</v>
      </c>
      <c r="DE1" t="s">
        <v>1089</v>
      </c>
      <c r="DF1" t="s">
        <v>34</v>
      </c>
      <c r="DG1" t="s">
        <v>872</v>
      </c>
      <c r="DH1" t="s">
        <v>583</v>
      </c>
      <c r="DI1" t="s">
        <v>35</v>
      </c>
      <c r="DJ1" t="s">
        <v>873</v>
      </c>
      <c r="DK1" t="s">
        <v>584</v>
      </c>
      <c r="DL1" t="s">
        <v>37</v>
      </c>
      <c r="DM1" t="s">
        <v>875</v>
      </c>
      <c r="DN1" t="s">
        <v>586</v>
      </c>
      <c r="DO1" t="s">
        <v>38</v>
      </c>
      <c r="DP1" t="s">
        <v>876</v>
      </c>
      <c r="DQ1" t="s">
        <v>587</v>
      </c>
      <c r="DR1" t="s">
        <v>39</v>
      </c>
      <c r="DS1" t="s">
        <v>877</v>
      </c>
      <c r="DT1" t="s">
        <v>588</v>
      </c>
      <c r="DU1" t="s">
        <v>40</v>
      </c>
      <c r="DV1" t="s">
        <v>878</v>
      </c>
      <c r="DW1" t="s">
        <v>589</v>
      </c>
      <c r="DX1" t="s">
        <v>36</v>
      </c>
      <c r="DY1" t="s">
        <v>874</v>
      </c>
      <c r="DZ1" t="s">
        <v>585</v>
      </c>
      <c r="EA1" t="s">
        <v>43</v>
      </c>
      <c r="EB1" t="s">
        <v>881</v>
      </c>
      <c r="EC1" t="s">
        <v>591</v>
      </c>
      <c r="ED1" t="s">
        <v>44</v>
      </c>
      <c r="EE1" t="s">
        <v>180</v>
      </c>
      <c r="EF1" t="s">
        <v>662</v>
      </c>
      <c r="EG1" t="s">
        <v>45</v>
      </c>
      <c r="EH1" t="s">
        <v>882</v>
      </c>
      <c r="EI1" t="s">
        <v>592</v>
      </c>
      <c r="EJ1" t="s">
        <v>46</v>
      </c>
      <c r="EK1" t="s">
        <v>883</v>
      </c>
      <c r="EL1" t="s">
        <v>593</v>
      </c>
      <c r="EM1" t="s">
        <v>47</v>
      </c>
      <c r="EN1" t="s">
        <v>884</v>
      </c>
      <c r="EO1" t="s">
        <v>594</v>
      </c>
      <c r="EP1" t="s">
        <v>48</v>
      </c>
      <c r="EQ1" t="s">
        <v>885</v>
      </c>
      <c r="ER1" t="s">
        <v>595</v>
      </c>
      <c r="ES1" t="s">
        <v>49</v>
      </c>
      <c r="ET1" t="s">
        <v>886</v>
      </c>
      <c r="EU1" t="s">
        <v>596</v>
      </c>
      <c r="EV1" t="s">
        <v>50</v>
      </c>
      <c r="EW1" t="s">
        <v>887</v>
      </c>
      <c r="EX1" t="s">
        <v>597</v>
      </c>
      <c r="EY1" t="s">
        <v>51</v>
      </c>
      <c r="EZ1" t="s">
        <v>888</v>
      </c>
      <c r="FA1" t="s">
        <v>598</v>
      </c>
      <c r="FB1" t="s">
        <v>52</v>
      </c>
      <c r="FC1" t="s">
        <v>889</v>
      </c>
      <c r="FD1" t="s">
        <v>599</v>
      </c>
      <c r="FE1" s="624" t="s">
        <v>54</v>
      </c>
      <c r="FF1" s="624" t="s">
        <v>891</v>
      </c>
      <c r="FG1" s="624" t="s">
        <v>601</v>
      </c>
      <c r="FH1" s="624" t="s">
        <v>55</v>
      </c>
      <c r="FI1" s="624" t="s">
        <v>892</v>
      </c>
      <c r="FJ1" s="624" t="s">
        <v>602</v>
      </c>
      <c r="FK1" s="624" t="s">
        <v>56</v>
      </c>
      <c r="FL1" s="624" t="s">
        <v>893</v>
      </c>
      <c r="FM1" s="624" t="s">
        <v>603</v>
      </c>
      <c r="FN1" s="624" t="s">
        <v>57</v>
      </c>
      <c r="FO1" s="624" t="s">
        <v>894</v>
      </c>
      <c r="FP1" s="624" t="s">
        <v>604</v>
      </c>
      <c r="FQ1" s="624" t="s">
        <v>58</v>
      </c>
      <c r="FR1" s="624" t="s">
        <v>895</v>
      </c>
      <c r="FS1" s="624" t="s">
        <v>605</v>
      </c>
      <c r="FT1" s="624" t="s">
        <v>41</v>
      </c>
      <c r="FU1" s="624" t="s">
        <v>879</v>
      </c>
      <c r="FV1" s="624" t="s">
        <v>590</v>
      </c>
      <c r="FW1" s="624" t="s">
        <v>60</v>
      </c>
      <c r="FX1" s="624" t="s">
        <v>897</v>
      </c>
      <c r="FY1" s="624" t="s">
        <v>607</v>
      </c>
      <c r="FZ1" s="624" t="s">
        <v>42</v>
      </c>
      <c r="GA1" s="624" t="s">
        <v>880</v>
      </c>
      <c r="GB1" s="624" t="s">
        <v>664</v>
      </c>
      <c r="GC1" s="624" t="s">
        <v>59</v>
      </c>
      <c r="GD1" s="624" t="s">
        <v>896</v>
      </c>
      <c r="GE1" s="624" t="s">
        <v>606</v>
      </c>
      <c r="GF1" s="624" t="s">
        <v>62</v>
      </c>
      <c r="GG1" s="624" t="s">
        <v>899</v>
      </c>
      <c r="GH1" s="624" t="s">
        <v>608</v>
      </c>
      <c r="GI1" s="624" t="s">
        <v>61</v>
      </c>
      <c r="GJ1" s="624" t="s">
        <v>898</v>
      </c>
      <c r="GK1" s="624" t="s">
        <v>663</v>
      </c>
      <c r="GL1" t="s">
        <v>66</v>
      </c>
      <c r="GM1" t="s">
        <v>903</v>
      </c>
      <c r="GN1" t="s">
        <v>612</v>
      </c>
      <c r="GO1" t="s">
        <v>65</v>
      </c>
      <c r="GP1" t="s">
        <v>902</v>
      </c>
      <c r="GQ1" t="s">
        <v>611</v>
      </c>
      <c r="GR1" t="s">
        <v>73</v>
      </c>
      <c r="GS1" t="s">
        <v>910</v>
      </c>
      <c r="GT1" t="s">
        <v>619</v>
      </c>
      <c r="GU1" t="s">
        <v>64</v>
      </c>
      <c r="GV1" t="s">
        <v>901</v>
      </c>
      <c r="GW1" t="s">
        <v>610</v>
      </c>
      <c r="GX1" t="s">
        <v>69</v>
      </c>
      <c r="GY1" t="s">
        <v>906</v>
      </c>
      <c r="GZ1" t="s">
        <v>615</v>
      </c>
      <c r="HA1" t="s">
        <v>67</v>
      </c>
      <c r="HB1" t="s">
        <v>904</v>
      </c>
      <c r="HC1" t="s">
        <v>613</v>
      </c>
      <c r="HD1" t="s">
        <v>63</v>
      </c>
      <c r="HE1" t="s">
        <v>900</v>
      </c>
      <c r="HF1" t="s">
        <v>609</v>
      </c>
      <c r="HG1" t="s">
        <v>68</v>
      </c>
      <c r="HH1" t="s">
        <v>905</v>
      </c>
      <c r="HI1" t="s">
        <v>614</v>
      </c>
      <c r="HJ1" t="s">
        <v>78</v>
      </c>
      <c r="HK1" t="s">
        <v>915</v>
      </c>
      <c r="HL1" t="s">
        <v>624</v>
      </c>
      <c r="HM1" t="s">
        <v>74</v>
      </c>
      <c r="HN1" t="s">
        <v>911</v>
      </c>
      <c r="HO1" t="s">
        <v>620</v>
      </c>
      <c r="HP1" t="s">
        <v>77</v>
      </c>
      <c r="HQ1" t="s">
        <v>914</v>
      </c>
      <c r="HR1" t="s">
        <v>623</v>
      </c>
      <c r="HS1" t="s">
        <v>79</v>
      </c>
      <c r="HT1" t="s">
        <v>917</v>
      </c>
      <c r="HU1" t="s">
        <v>625</v>
      </c>
      <c r="HV1" t="s">
        <v>76</v>
      </c>
      <c r="HW1" t="s">
        <v>913</v>
      </c>
      <c r="HX1" t="s">
        <v>622</v>
      </c>
      <c r="HY1" t="s">
        <v>80</v>
      </c>
      <c r="HZ1" t="s">
        <v>918</v>
      </c>
      <c r="IA1" t="s">
        <v>626</v>
      </c>
      <c r="IB1" t="s">
        <v>70</v>
      </c>
      <c r="IC1" t="s">
        <v>907</v>
      </c>
      <c r="ID1" t="s">
        <v>616</v>
      </c>
      <c r="IE1" t="s">
        <v>81</v>
      </c>
      <c r="IF1" t="s">
        <v>919</v>
      </c>
      <c r="IG1" t="s">
        <v>627</v>
      </c>
      <c r="IH1" t="s">
        <v>87</v>
      </c>
      <c r="II1" t="s">
        <v>925</v>
      </c>
      <c r="IJ1" t="s">
        <v>633</v>
      </c>
      <c r="IK1" t="s">
        <v>82</v>
      </c>
      <c r="IL1" t="s">
        <v>920</v>
      </c>
      <c r="IM1" t="s">
        <v>628</v>
      </c>
      <c r="IN1" t="s">
        <v>83</v>
      </c>
      <c r="IO1" t="s">
        <v>921</v>
      </c>
      <c r="IP1" t="s">
        <v>629</v>
      </c>
      <c r="IQ1" t="s">
        <v>72</v>
      </c>
      <c r="IR1" t="s">
        <v>909</v>
      </c>
      <c r="IS1" t="s">
        <v>618</v>
      </c>
      <c r="IT1" t="s">
        <v>75</v>
      </c>
      <c r="IU1" t="s">
        <v>912</v>
      </c>
      <c r="IV1" t="s">
        <v>621</v>
      </c>
      <c r="IW1" t="s">
        <v>84</v>
      </c>
      <c r="IX1" t="s">
        <v>922</v>
      </c>
      <c r="IY1" t="s">
        <v>630</v>
      </c>
      <c r="IZ1" t="s">
        <v>85</v>
      </c>
      <c r="JA1" t="s">
        <v>923</v>
      </c>
      <c r="JB1" t="s">
        <v>631</v>
      </c>
      <c r="JC1" t="s">
        <v>71</v>
      </c>
      <c r="JD1" t="s">
        <v>908</v>
      </c>
      <c r="JE1" t="s">
        <v>617</v>
      </c>
      <c r="JF1" t="s">
        <v>86</v>
      </c>
      <c r="JG1" t="s">
        <v>924</v>
      </c>
      <c r="JH1" t="s">
        <v>632</v>
      </c>
      <c r="JI1" t="s">
        <v>665</v>
      </c>
      <c r="JJ1" t="s">
        <v>916</v>
      </c>
      <c r="JK1" t="s">
        <v>666</v>
      </c>
      <c r="JL1" t="s">
        <v>88</v>
      </c>
      <c r="JM1" t="s">
        <v>926</v>
      </c>
      <c r="JN1" t="s">
        <v>634</v>
      </c>
      <c r="JO1" t="s">
        <v>89</v>
      </c>
      <c r="JP1" t="s">
        <v>927</v>
      </c>
      <c r="JQ1" t="s">
        <v>635</v>
      </c>
      <c r="JR1" t="s">
        <v>1542</v>
      </c>
      <c r="JS1" t="s">
        <v>1547</v>
      </c>
      <c r="JT1" t="s">
        <v>1546</v>
      </c>
      <c r="JU1" s="86" t="s">
        <v>2499</v>
      </c>
      <c r="JV1" s="86" t="s">
        <v>2501</v>
      </c>
      <c r="JW1" s="86" t="s">
        <v>2500</v>
      </c>
      <c r="JX1" t="s">
        <v>18</v>
      </c>
      <c r="JY1" t="s">
        <v>856</v>
      </c>
      <c r="JZ1" t="s">
        <v>567</v>
      </c>
      <c r="KA1" t="s">
        <v>945</v>
      </c>
      <c r="KB1" t="s">
        <v>946</v>
      </c>
      <c r="KC1" t="s">
        <v>947</v>
      </c>
      <c r="KD1" t="s">
        <v>945</v>
      </c>
      <c r="KE1" t="s">
        <v>946</v>
      </c>
      <c r="KF1" t="s">
        <v>947</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936</v>
      </c>
      <c r="B3" s="150" t="s">
        <v>0</v>
      </c>
      <c r="C3" s="150" t="s">
        <v>838</v>
      </c>
      <c r="D3" s="150" t="s">
        <v>547</v>
      </c>
      <c r="E3" s="201" t="s">
        <v>1</v>
      </c>
      <c r="F3" s="201" t="s">
        <v>839</v>
      </c>
      <c r="G3" s="201" t="s">
        <v>550</v>
      </c>
      <c r="H3" s="150" t="s">
        <v>2</v>
      </c>
      <c r="I3" s="150" t="s">
        <v>840</v>
      </c>
      <c r="J3" s="150" t="s">
        <v>551</v>
      </c>
      <c r="K3" s="201" t="s">
        <v>3</v>
      </c>
      <c r="L3" s="201" t="s">
        <v>841</v>
      </c>
      <c r="M3" s="201" t="s">
        <v>552</v>
      </c>
      <c r="N3" s="150" t="s">
        <v>4</v>
      </c>
      <c r="O3" s="150" t="s">
        <v>842</v>
      </c>
      <c r="P3" s="150" t="s">
        <v>553</v>
      </c>
      <c r="Q3" s="201" t="s">
        <v>32</v>
      </c>
      <c r="R3" s="201" t="s">
        <v>870</v>
      </c>
      <c r="S3" s="201" t="s">
        <v>581</v>
      </c>
      <c r="T3" s="201" t="s">
        <v>46</v>
      </c>
      <c r="U3" s="201" t="s">
        <v>883</v>
      </c>
      <c r="V3" s="201" t="s">
        <v>593</v>
      </c>
      <c r="W3" s="150" t="s">
        <v>5</v>
      </c>
      <c r="X3" s="150" t="s">
        <v>843</v>
      </c>
      <c r="Y3" s="150" t="s">
        <v>554</v>
      </c>
      <c r="Z3" s="201" t="s">
        <v>6</v>
      </c>
      <c r="AA3" s="201" t="s">
        <v>844</v>
      </c>
      <c r="AB3" s="201" t="s">
        <v>555</v>
      </c>
      <c r="AC3" s="150" t="s">
        <v>7</v>
      </c>
      <c r="AD3" s="150" t="s">
        <v>845</v>
      </c>
      <c r="AE3" s="150" t="s">
        <v>556</v>
      </c>
      <c r="AF3" s="201" t="s">
        <v>8</v>
      </c>
      <c r="AG3" s="201" t="s">
        <v>846</v>
      </c>
      <c r="AH3" s="201" t="s">
        <v>557</v>
      </c>
      <c r="AI3" s="150" t="s">
        <v>9</v>
      </c>
      <c r="AJ3" s="150" t="s">
        <v>847</v>
      </c>
      <c r="AK3" s="150" t="s">
        <v>558</v>
      </c>
      <c r="AL3" s="201" t="s">
        <v>10</v>
      </c>
      <c r="AM3" s="201" t="s">
        <v>848</v>
      </c>
      <c r="AN3" s="201" t="s">
        <v>559</v>
      </c>
      <c r="AO3" s="150" t="s">
        <v>11</v>
      </c>
      <c r="AP3" s="150" t="s">
        <v>849</v>
      </c>
      <c r="AQ3" s="150" t="s">
        <v>560</v>
      </c>
      <c r="AR3" s="201" t="s">
        <v>12</v>
      </c>
      <c r="AS3" s="201" t="s">
        <v>850</v>
      </c>
      <c r="AT3" s="201" t="s">
        <v>561</v>
      </c>
      <c r="AU3" s="150" t="s">
        <v>13</v>
      </c>
      <c r="AV3" s="150" t="s">
        <v>851</v>
      </c>
      <c r="AW3" s="150" t="s">
        <v>562</v>
      </c>
      <c r="AX3" s="201" t="s">
        <v>14</v>
      </c>
      <c r="AY3" s="201" t="s">
        <v>852</v>
      </c>
      <c r="AZ3" s="201" t="s">
        <v>563</v>
      </c>
      <c r="BA3" s="150" t="s">
        <v>15</v>
      </c>
      <c r="BB3" s="150" t="s">
        <v>853</v>
      </c>
      <c r="BC3" s="150" t="s">
        <v>564</v>
      </c>
      <c r="BD3" s="201" t="s">
        <v>16</v>
      </c>
      <c r="BE3" s="201" t="s">
        <v>854</v>
      </c>
      <c r="BF3" s="201" t="s">
        <v>565</v>
      </c>
      <c r="BG3" s="150" t="s">
        <v>17</v>
      </c>
      <c r="BH3" s="150" t="s">
        <v>855</v>
      </c>
      <c r="BI3" s="150" t="s">
        <v>566</v>
      </c>
      <c r="BJ3" s="201" t="s">
        <v>19</v>
      </c>
      <c r="BK3" s="201" t="s">
        <v>857</v>
      </c>
      <c r="BL3" s="201" t="s">
        <v>568</v>
      </c>
      <c r="BM3" s="150" t="s">
        <v>20</v>
      </c>
      <c r="BN3" s="150" t="s">
        <v>858</v>
      </c>
      <c r="BO3" s="150" t="s">
        <v>569</v>
      </c>
      <c r="BP3" s="201" t="s">
        <v>21</v>
      </c>
      <c r="BQ3" s="201" t="s">
        <v>859</v>
      </c>
      <c r="BR3" s="201" t="s">
        <v>570</v>
      </c>
      <c r="BS3" s="150" t="s">
        <v>22</v>
      </c>
      <c r="BT3" s="150" t="s">
        <v>860</v>
      </c>
      <c r="BU3" s="150" t="s">
        <v>571</v>
      </c>
      <c r="BV3" s="201" t="s">
        <v>23</v>
      </c>
      <c r="BW3" s="201" t="s">
        <v>861</v>
      </c>
      <c r="BX3" s="201" t="s">
        <v>572</v>
      </c>
      <c r="BY3" s="150" t="s">
        <v>24</v>
      </c>
      <c r="BZ3" s="150" t="s">
        <v>862</v>
      </c>
      <c r="CA3" s="150" t="s">
        <v>573</v>
      </c>
      <c r="CB3" s="201" t="s">
        <v>25</v>
      </c>
      <c r="CC3" s="201" t="s">
        <v>863</v>
      </c>
      <c r="CD3" s="201" t="s">
        <v>574</v>
      </c>
      <c r="CE3" s="150" t="s">
        <v>26</v>
      </c>
      <c r="CF3" s="150" t="s">
        <v>864</v>
      </c>
      <c r="CG3" s="150" t="s">
        <v>575</v>
      </c>
      <c r="CH3" s="201" t="s">
        <v>27</v>
      </c>
      <c r="CI3" s="201" t="s">
        <v>865</v>
      </c>
      <c r="CJ3" s="201" t="s">
        <v>576</v>
      </c>
      <c r="CK3" s="150" t="s">
        <v>28</v>
      </c>
      <c r="CL3" s="150" t="s">
        <v>866</v>
      </c>
      <c r="CM3" s="150" t="s">
        <v>577</v>
      </c>
      <c r="CN3" s="201" t="s">
        <v>29</v>
      </c>
      <c r="CO3" s="201" t="s">
        <v>867</v>
      </c>
      <c r="CP3" s="201" t="s">
        <v>578</v>
      </c>
      <c r="CQ3" s="150" t="s">
        <v>30</v>
      </c>
      <c r="CR3" s="150" t="s">
        <v>868</v>
      </c>
      <c r="CS3" s="150" t="s">
        <v>579</v>
      </c>
      <c r="CT3" s="201" t="s">
        <v>53</v>
      </c>
      <c r="CU3" s="201" t="s">
        <v>890</v>
      </c>
      <c r="CV3" s="201" t="s">
        <v>600</v>
      </c>
      <c r="CW3" s="150" t="s">
        <v>31</v>
      </c>
      <c r="CX3" s="150" t="s">
        <v>869</v>
      </c>
      <c r="CY3" s="150" t="s">
        <v>580</v>
      </c>
      <c r="CZ3" s="201" t="s">
        <v>33</v>
      </c>
      <c r="DA3" s="201" t="s">
        <v>871</v>
      </c>
      <c r="DB3" s="201" t="s">
        <v>582</v>
      </c>
      <c r="DC3" s="150" t="s">
        <v>1087</v>
      </c>
      <c r="DD3" s="150" t="s">
        <v>1088</v>
      </c>
      <c r="DE3" s="150" t="s">
        <v>1089</v>
      </c>
      <c r="DF3" s="201" t="s">
        <v>34</v>
      </c>
      <c r="DG3" s="201" t="s">
        <v>872</v>
      </c>
      <c r="DH3" s="201" t="s">
        <v>583</v>
      </c>
      <c r="DI3" s="150" t="s">
        <v>35</v>
      </c>
      <c r="DJ3" s="150" t="s">
        <v>873</v>
      </c>
      <c r="DK3" s="150" t="s">
        <v>584</v>
      </c>
      <c r="DL3" s="201" t="s">
        <v>37</v>
      </c>
      <c r="DM3" s="201" t="s">
        <v>875</v>
      </c>
      <c r="DN3" s="201" t="s">
        <v>586</v>
      </c>
      <c r="DO3" s="150" t="s">
        <v>38</v>
      </c>
      <c r="DP3" s="150" t="s">
        <v>876</v>
      </c>
      <c r="DQ3" s="150" t="s">
        <v>587</v>
      </c>
      <c r="DR3" s="201" t="s">
        <v>39</v>
      </c>
      <c r="DS3" s="201" t="s">
        <v>877</v>
      </c>
      <c r="DT3" s="201" t="s">
        <v>588</v>
      </c>
      <c r="DU3" s="150" t="s">
        <v>40</v>
      </c>
      <c r="DV3" s="150" t="s">
        <v>878</v>
      </c>
      <c r="DW3" s="150" t="s">
        <v>589</v>
      </c>
      <c r="DX3" s="201" t="s">
        <v>36</v>
      </c>
      <c r="DY3" s="201" t="s">
        <v>874</v>
      </c>
      <c r="DZ3" s="201" t="s">
        <v>585</v>
      </c>
      <c r="EA3" s="150" t="s">
        <v>43</v>
      </c>
      <c r="EB3" s="150" t="s">
        <v>881</v>
      </c>
      <c r="EC3" s="150" t="s">
        <v>591</v>
      </c>
      <c r="ED3" s="201" t="s">
        <v>44</v>
      </c>
      <c r="EE3" s="201" t="s">
        <v>180</v>
      </c>
      <c r="EF3" s="160" t="s">
        <v>662</v>
      </c>
      <c r="EG3" s="150" t="s">
        <v>45</v>
      </c>
      <c r="EH3" s="150" t="s">
        <v>882</v>
      </c>
      <c r="EI3" s="150" t="s">
        <v>592</v>
      </c>
      <c r="EJ3" s="201" t="s">
        <v>1014</v>
      </c>
      <c r="EK3" s="201" t="s">
        <v>2455</v>
      </c>
      <c r="EL3" s="201" t="s">
        <v>2456</v>
      </c>
      <c r="EM3" s="150" t="s">
        <v>47</v>
      </c>
      <c r="EN3" s="150" t="s">
        <v>884</v>
      </c>
      <c r="EO3" s="150" t="s">
        <v>594</v>
      </c>
      <c r="EP3" s="201" t="s">
        <v>48</v>
      </c>
      <c r="EQ3" s="201" t="s">
        <v>885</v>
      </c>
      <c r="ER3" s="201" t="s">
        <v>595</v>
      </c>
      <c r="ES3" s="150" t="s">
        <v>49</v>
      </c>
      <c r="ET3" s="150" t="s">
        <v>886</v>
      </c>
      <c r="EU3" s="150" t="s">
        <v>596</v>
      </c>
      <c r="EV3" s="201" t="s">
        <v>50</v>
      </c>
      <c r="EW3" s="201" t="s">
        <v>887</v>
      </c>
      <c r="EX3" s="201" t="s">
        <v>597</v>
      </c>
      <c r="EY3" s="150" t="s">
        <v>51</v>
      </c>
      <c r="EZ3" s="150" t="s">
        <v>888</v>
      </c>
      <c r="FA3" s="150" t="s">
        <v>598</v>
      </c>
      <c r="FB3" s="201" t="s">
        <v>52</v>
      </c>
      <c r="FC3" s="201" t="s">
        <v>889</v>
      </c>
      <c r="FD3" s="201" t="s">
        <v>599</v>
      </c>
      <c r="FE3" s="150" t="s">
        <v>54</v>
      </c>
      <c r="FF3" s="150" t="s">
        <v>891</v>
      </c>
      <c r="FG3" s="150" t="s">
        <v>601</v>
      </c>
      <c r="FH3" s="201" t="s">
        <v>55</v>
      </c>
      <c r="FI3" s="201" t="s">
        <v>892</v>
      </c>
      <c r="FJ3" s="201" t="s">
        <v>602</v>
      </c>
      <c r="FK3" s="150" t="s">
        <v>56</v>
      </c>
      <c r="FL3" s="150" t="s">
        <v>893</v>
      </c>
      <c r="FM3" s="150" t="s">
        <v>603</v>
      </c>
      <c r="FN3" s="201" t="s">
        <v>57</v>
      </c>
      <c r="FO3" s="201" t="s">
        <v>894</v>
      </c>
      <c r="FP3" s="201" t="s">
        <v>604</v>
      </c>
      <c r="FQ3" s="150" t="s">
        <v>58</v>
      </c>
      <c r="FR3" s="150" t="s">
        <v>895</v>
      </c>
      <c r="FS3" s="150" t="s">
        <v>605</v>
      </c>
      <c r="FT3" s="201" t="s">
        <v>41</v>
      </c>
      <c r="FU3" s="201" t="s">
        <v>879</v>
      </c>
      <c r="FV3" s="201" t="s">
        <v>590</v>
      </c>
      <c r="FW3" s="150" t="s">
        <v>60</v>
      </c>
      <c r="FX3" s="150" t="s">
        <v>897</v>
      </c>
      <c r="FY3" s="150" t="s">
        <v>607</v>
      </c>
      <c r="FZ3" s="201" t="s">
        <v>42</v>
      </c>
      <c r="GA3" s="201" t="s">
        <v>880</v>
      </c>
      <c r="GB3" s="201" t="s">
        <v>664</v>
      </c>
      <c r="GC3" s="150" t="s">
        <v>59</v>
      </c>
      <c r="GD3" s="150" t="s">
        <v>896</v>
      </c>
      <c r="GE3" s="150" t="s">
        <v>606</v>
      </c>
      <c r="GF3" s="201" t="s">
        <v>62</v>
      </c>
      <c r="GG3" s="201" t="s">
        <v>899</v>
      </c>
      <c r="GH3" s="201" t="s">
        <v>608</v>
      </c>
      <c r="GI3" s="150" t="s">
        <v>61</v>
      </c>
      <c r="GJ3" s="150" t="s">
        <v>898</v>
      </c>
      <c r="GK3" s="150" t="s">
        <v>663</v>
      </c>
      <c r="GL3" s="201" t="s">
        <v>66</v>
      </c>
      <c r="GM3" s="201" t="s">
        <v>903</v>
      </c>
      <c r="GN3" s="201" t="s">
        <v>612</v>
      </c>
      <c r="GO3" s="150" t="s">
        <v>65</v>
      </c>
      <c r="GP3" s="150" t="s">
        <v>902</v>
      </c>
      <c r="GQ3" s="150" t="s">
        <v>611</v>
      </c>
      <c r="GR3" s="201" t="s">
        <v>73</v>
      </c>
      <c r="GS3" s="201" t="s">
        <v>910</v>
      </c>
      <c r="GT3" s="201" t="s">
        <v>619</v>
      </c>
      <c r="GU3" s="150" t="s">
        <v>64</v>
      </c>
      <c r="GV3" s="150" t="s">
        <v>901</v>
      </c>
      <c r="GW3" s="150" t="s">
        <v>610</v>
      </c>
      <c r="GX3" s="201" t="s">
        <v>69</v>
      </c>
      <c r="GY3" s="201" t="s">
        <v>906</v>
      </c>
      <c r="GZ3" s="201" t="s">
        <v>615</v>
      </c>
      <c r="HA3" s="150" t="s">
        <v>67</v>
      </c>
      <c r="HB3" s="150" t="s">
        <v>904</v>
      </c>
      <c r="HC3" s="150" t="s">
        <v>613</v>
      </c>
      <c r="HD3" s="201" t="s">
        <v>63</v>
      </c>
      <c r="HE3" s="201" t="s">
        <v>900</v>
      </c>
      <c r="HF3" s="201" t="s">
        <v>609</v>
      </c>
      <c r="HG3" s="150" t="s">
        <v>68</v>
      </c>
      <c r="HH3" s="150" t="s">
        <v>905</v>
      </c>
      <c r="HI3" s="150" t="s">
        <v>614</v>
      </c>
      <c r="HJ3" s="201" t="s">
        <v>78</v>
      </c>
      <c r="HK3" s="201" t="s">
        <v>915</v>
      </c>
      <c r="HL3" s="201" t="s">
        <v>624</v>
      </c>
      <c r="HM3" s="150" t="s">
        <v>74</v>
      </c>
      <c r="HN3" s="150" t="s">
        <v>911</v>
      </c>
      <c r="HO3" s="150" t="s">
        <v>620</v>
      </c>
      <c r="HP3" s="201" t="s">
        <v>77</v>
      </c>
      <c r="HQ3" s="201" t="s">
        <v>914</v>
      </c>
      <c r="HR3" s="201" t="s">
        <v>623</v>
      </c>
      <c r="HS3" s="150" t="s">
        <v>79</v>
      </c>
      <c r="HT3" s="150" t="s">
        <v>917</v>
      </c>
      <c r="HU3" s="150" t="s">
        <v>625</v>
      </c>
      <c r="HV3" s="201" t="s">
        <v>76</v>
      </c>
      <c r="HW3" s="201" t="s">
        <v>913</v>
      </c>
      <c r="HX3" s="201" t="s">
        <v>622</v>
      </c>
      <c r="HY3" s="150" t="s">
        <v>80</v>
      </c>
      <c r="HZ3" s="150" t="s">
        <v>918</v>
      </c>
      <c r="IA3" s="150" t="s">
        <v>626</v>
      </c>
      <c r="IB3" s="201" t="s">
        <v>70</v>
      </c>
      <c r="IC3" s="201" t="s">
        <v>907</v>
      </c>
      <c r="ID3" s="201" t="s">
        <v>616</v>
      </c>
      <c r="IE3" s="150" t="s">
        <v>81</v>
      </c>
      <c r="IF3" s="150" t="s">
        <v>919</v>
      </c>
      <c r="IG3" s="150" t="s">
        <v>627</v>
      </c>
      <c r="IH3" s="201" t="s">
        <v>87</v>
      </c>
      <c r="II3" s="201" t="s">
        <v>925</v>
      </c>
      <c r="IJ3" s="201" t="s">
        <v>633</v>
      </c>
      <c r="IK3" s="150" t="s">
        <v>82</v>
      </c>
      <c r="IL3" s="150" t="s">
        <v>920</v>
      </c>
      <c r="IM3" s="150" t="s">
        <v>628</v>
      </c>
      <c r="IN3" s="201" t="s">
        <v>83</v>
      </c>
      <c r="IO3" s="201" t="s">
        <v>921</v>
      </c>
      <c r="IP3" s="201" t="s">
        <v>629</v>
      </c>
      <c r="IQ3" s="150" t="s">
        <v>72</v>
      </c>
      <c r="IR3" s="150" t="s">
        <v>909</v>
      </c>
      <c r="IS3" s="150" t="s">
        <v>618</v>
      </c>
      <c r="IT3" s="201" t="s">
        <v>75</v>
      </c>
      <c r="IU3" s="201" t="s">
        <v>912</v>
      </c>
      <c r="IV3" s="201" t="s">
        <v>621</v>
      </c>
      <c r="IW3" s="150" t="s">
        <v>84</v>
      </c>
      <c r="IX3" s="150" t="s">
        <v>922</v>
      </c>
      <c r="IY3" s="150" t="s">
        <v>630</v>
      </c>
      <c r="IZ3" s="201" t="s">
        <v>85</v>
      </c>
      <c r="JA3" s="201" t="s">
        <v>923</v>
      </c>
      <c r="JB3" s="201" t="s">
        <v>631</v>
      </c>
      <c r="JC3" s="150" t="s">
        <v>71</v>
      </c>
      <c r="JD3" s="150" t="s">
        <v>908</v>
      </c>
      <c r="JE3" s="150" t="s">
        <v>617</v>
      </c>
      <c r="JF3" s="201" t="s">
        <v>86</v>
      </c>
      <c r="JG3" s="201" t="s">
        <v>924</v>
      </c>
      <c r="JH3" s="201" t="s">
        <v>632</v>
      </c>
      <c r="JI3" s="150" t="s">
        <v>665</v>
      </c>
      <c r="JJ3" s="150" t="s">
        <v>916</v>
      </c>
      <c r="JK3" s="150" t="s">
        <v>666</v>
      </c>
      <c r="JL3" s="201" t="s">
        <v>88</v>
      </c>
      <c r="JM3" s="201" t="s">
        <v>926</v>
      </c>
      <c r="JN3" s="201" t="s">
        <v>634</v>
      </c>
      <c r="JO3" s="150" t="s">
        <v>89</v>
      </c>
      <c r="JP3" s="150" t="s">
        <v>927</v>
      </c>
      <c r="JQ3" s="150" t="s">
        <v>635</v>
      </c>
      <c r="JR3" s="150" t="s">
        <v>1542</v>
      </c>
      <c r="JS3" s="150" t="s">
        <v>1547</v>
      </c>
      <c r="JT3" s="150" t="s">
        <v>1546</v>
      </c>
      <c r="JU3" s="150" t="s">
        <v>2499</v>
      </c>
      <c r="JV3" s="150" t="s">
        <v>2501</v>
      </c>
      <c r="JW3" s="150" t="s">
        <v>2500</v>
      </c>
      <c r="JX3" s="201" t="s">
        <v>18</v>
      </c>
      <c r="JY3" s="201" t="s">
        <v>856</v>
      </c>
      <c r="JZ3" s="201" t="s">
        <v>567</v>
      </c>
      <c r="KA3" s="150" t="s">
        <v>948</v>
      </c>
      <c r="KB3" s="150" t="s">
        <v>949</v>
      </c>
      <c r="KC3" s="150" t="s">
        <v>950</v>
      </c>
      <c r="KD3" s="201" t="s">
        <v>951</v>
      </c>
      <c r="KE3" s="201" t="s">
        <v>952</v>
      </c>
      <c r="KF3" s="201" t="s">
        <v>953</v>
      </c>
    </row>
    <row r="4" spans="1:296" s="86" customFormat="1">
      <c r="A4" s="161">
        <f>ROW() - ROW(TabReg[[#Headers],[RegIndex]])</f>
        <v>1</v>
      </c>
      <c r="B4" s="1296">
        <v>40544</v>
      </c>
      <c r="C4" s="1297">
        <v>5000</v>
      </c>
      <c r="D4" s="1298">
        <v>-107.46</v>
      </c>
      <c r="E4" s="1296">
        <v>40544</v>
      </c>
      <c r="F4" s="1297">
        <v>9000</v>
      </c>
      <c r="G4" s="1298">
        <v>-9.8365559999999999</v>
      </c>
      <c r="H4" s="1296">
        <v>40544</v>
      </c>
      <c r="I4" s="1297">
        <v>400000</v>
      </c>
      <c r="J4" s="1298">
        <v>-40.441576750000003</v>
      </c>
      <c r="K4" s="1296">
        <v>40544</v>
      </c>
      <c r="L4" s="1297">
        <v>8000</v>
      </c>
      <c r="M4" s="1298">
        <v>-132.55000000000001</v>
      </c>
      <c r="N4" s="1296">
        <v>40544</v>
      </c>
      <c r="O4" s="1297">
        <v>2448050</v>
      </c>
      <c r="P4" s="1298">
        <v>-1.1677472432195899</v>
      </c>
      <c r="Q4" s="135">
        <v>45443</v>
      </c>
      <c r="R4" s="120">
        <v>500</v>
      </c>
      <c r="S4" s="160">
        <v>-896.1</v>
      </c>
      <c r="T4" s="1296">
        <v>40544</v>
      </c>
      <c r="U4" s="1297">
        <v>190</v>
      </c>
      <c r="V4" s="1298">
        <v>-109.65132</v>
      </c>
      <c r="W4" s="1296">
        <v>40544</v>
      </c>
      <c r="X4" s="1297">
        <v>5000</v>
      </c>
      <c r="Y4" s="1298">
        <v>-54.11</v>
      </c>
      <c r="Z4" s="1296">
        <v>40544</v>
      </c>
      <c r="AA4" s="1297">
        <v>10000</v>
      </c>
      <c r="AB4" s="1298">
        <v>-2.69</v>
      </c>
      <c r="AC4" s="1296">
        <v>40544</v>
      </c>
      <c r="AD4" s="1297">
        <v>12500</v>
      </c>
      <c r="AE4" s="1298">
        <v>-12.7196</v>
      </c>
      <c r="AF4" s="1296">
        <v>40544</v>
      </c>
      <c r="AG4" s="1297">
        <v>100</v>
      </c>
      <c r="AH4" s="1298">
        <v>-49.07</v>
      </c>
      <c r="AI4" s="1296">
        <v>40544</v>
      </c>
      <c r="AJ4" s="1297">
        <v>5000</v>
      </c>
      <c r="AK4" s="1298">
        <v>-39.770000000000003</v>
      </c>
      <c r="AL4" s="1296">
        <v>40544</v>
      </c>
      <c r="AM4" s="1297">
        <v>2000</v>
      </c>
      <c r="AN4" s="1298">
        <v>-108.31</v>
      </c>
      <c r="AO4" s="1296">
        <v>40544</v>
      </c>
      <c r="AP4" s="1297">
        <v>40000</v>
      </c>
      <c r="AQ4" s="1298">
        <v>-10.359875000000001</v>
      </c>
      <c r="AR4" s="1296">
        <v>40544</v>
      </c>
      <c r="AS4" s="1297">
        <v>350</v>
      </c>
      <c r="AT4" s="1298">
        <v>-170.71425714285715</v>
      </c>
      <c r="AU4" s="1296">
        <v>40544</v>
      </c>
      <c r="AV4" s="1297">
        <v>250</v>
      </c>
      <c r="AW4" s="1298">
        <v>-1</v>
      </c>
      <c r="AX4" s="1296">
        <v>40544</v>
      </c>
      <c r="AY4" s="1297">
        <v>1000</v>
      </c>
      <c r="AZ4" s="1298">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64">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66">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66">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7">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64">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66">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66">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7">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66">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66">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8">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9">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70">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66">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64">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7">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64">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7">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64">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7">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64">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7">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64">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29">
        <v>45918</v>
      </c>
      <c r="HN26" s="1430">
        <v>9990</v>
      </c>
      <c r="HO26" s="143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7">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32">
        <v>45919</v>
      </c>
      <c r="HN27" s="1433">
        <v>10010</v>
      </c>
      <c r="HO27" s="143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64">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35">
        <v>45965</v>
      </c>
      <c r="HN28" s="1436">
        <v>5000</v>
      </c>
      <c r="HO28" s="143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7">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2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v>46002</v>
      </c>
      <c r="CO44" s="120">
        <v>1000</v>
      </c>
      <c r="CP44" s="160">
        <v>99.35</v>
      </c>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0">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0">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0">
        <v>45936</v>
      </c>
      <c r="R51" s="143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0">
        <v>45940</v>
      </c>
      <c r="R52" s="143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0">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0">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c r="EQ54" s="120"/>
      <c r="ER54" s="160"/>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0">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c r="BT57" s="772"/>
      <c r="BU57" s="773"/>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c r="R62" s="120"/>
      <c r="S62" s="773"/>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34</v>
      </c>
      <c r="BE72" s="152">
        <f>COUNT(TabReg[EOAN1])</f>
        <v>34</v>
      </c>
      <c r="BF72" s="152">
        <f>COUNT(TabReg[EOAN2])</f>
        <v>34</v>
      </c>
      <c r="BG72" s="152">
        <f>COUNT(TabReg[EPIX])</f>
        <v>15</v>
      </c>
      <c r="BH72" s="152">
        <f>COUNT(TabReg[EPIX1])</f>
        <v>15</v>
      </c>
      <c r="BI72" s="152">
        <f>COUNT(TabReg[EPIX2])</f>
        <v>15</v>
      </c>
      <c r="BJ72" s="152">
        <f>COUNT(TabReg[GM])</f>
        <v>7</v>
      </c>
      <c r="BK72" s="152">
        <f>COUNT(TabReg[GM1])</f>
        <v>7</v>
      </c>
      <c r="BL72" s="152">
        <f>COUNT(TabReg[GM2])</f>
        <v>7</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41</v>
      </c>
      <c r="CO72" s="152">
        <f>COUNT(TabReg[NEM1])</f>
        <v>41</v>
      </c>
      <c r="CP72" s="152">
        <f>COUNT(TabReg[NEM2])</f>
        <v>41</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50</v>
      </c>
      <c r="EQ72" s="152">
        <f>COUNT(TabReg[VONN1])</f>
        <v>50</v>
      </c>
      <c r="ER72" s="152">
        <f>COUNT(TabReg[VONN2])</f>
        <v>50</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1773</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46002</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46000</v>
      </c>
      <c r="BE74" s="560">
        <f>SUMIF(INDEX(TabReg[], 0, COLUMN()+1),"&lt;0", INDEX(TabReg[], 0, COLUMN()))-SUMIF(INDEX(TabReg[], 0, COLUMN()+1),"&gt;0", INDEX(TabReg[], 0, COLUMN()))</f>
        <v>25000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46002</v>
      </c>
      <c r="CO74" s="560">
        <f>SUMIF(INDEX(TabReg[], 0, COLUMN()+1),"&lt;0", INDEX(TabReg[], 0, COLUMN()))-SUMIF(INDEX(TabReg[], 0, COLUMN()+1),"&gt;0", INDEX(TabReg[], 0, COLUMN()))</f>
        <v>17000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46000</v>
      </c>
      <c r="EQ74" s="560">
        <f>SUMIF(INDEX(TabReg[], 0, COLUMN()+1),"&lt;0", INDEX(TabReg[], 0, COLUMN()))-SUMIF(INDEX(TabReg[], 0, COLUMN()+1),"&gt;0", INDEX(TabReg[], 0, COLUMN()))</f>
        <v>16500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88">
        <v>4000</v>
      </c>
      <c r="CS79" s="983">
        <v>-393.15</v>
      </c>
      <c r="CU79" s="86">
        <f>CQ79</f>
        <v>40544</v>
      </c>
      <c r="CV79" s="1363">
        <f>10*CR79</f>
        <v>40000</v>
      </c>
      <c r="CW79">
        <f>CS79/10</f>
        <v>-39.314999999999998</v>
      </c>
    </row>
    <row r="80" spans="1:301">
      <c r="CQ80" s="135">
        <v>45357</v>
      </c>
      <c r="CR80" s="550">
        <v>300</v>
      </c>
      <c r="CS80" s="160">
        <v>-601.39</v>
      </c>
      <c r="CU80" s="86">
        <f t="shared" ref="CU80:CU104" si="0">CQ80</f>
        <v>45357</v>
      </c>
      <c r="CV80" s="1363">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63">
        <f t="shared" si="1"/>
        <v>3000</v>
      </c>
      <c r="CW81">
        <f t="shared" si="2"/>
        <v>61.222000000000001</v>
      </c>
    </row>
    <row r="82" spans="66:101">
      <c r="BN82">
        <v>2</v>
      </c>
      <c r="CQ82" s="122">
        <v>45366</v>
      </c>
      <c r="CR82" s="120">
        <v>1000</v>
      </c>
      <c r="CS82" s="160">
        <v>608.69060000000002</v>
      </c>
      <c r="CU82" s="86">
        <f t="shared" si="0"/>
        <v>45366</v>
      </c>
      <c r="CV82" s="1363">
        <f t="shared" si="1"/>
        <v>10000</v>
      </c>
      <c r="CW82">
        <f t="shared" si="2"/>
        <v>60.869060000000005</v>
      </c>
    </row>
    <row r="83" spans="66:101">
      <c r="BN83">
        <v>3</v>
      </c>
      <c r="CQ83" s="165">
        <v>45386</v>
      </c>
      <c r="CR83" s="988">
        <v>1500</v>
      </c>
      <c r="CS83" s="983">
        <v>618.70000000000005</v>
      </c>
      <c r="CU83" s="86">
        <f t="shared" si="0"/>
        <v>45386</v>
      </c>
      <c r="CV83" s="1363">
        <f t="shared" si="1"/>
        <v>15000</v>
      </c>
      <c r="CW83">
        <f t="shared" si="2"/>
        <v>61.870000000000005</v>
      </c>
    </row>
    <row r="84" spans="66:101">
      <c r="BN84">
        <v>4</v>
      </c>
      <c r="CQ84" s="165">
        <v>45419</v>
      </c>
      <c r="CR84" s="550">
        <v>500</v>
      </c>
      <c r="CS84" s="160">
        <v>-601.75</v>
      </c>
      <c r="CU84" s="86">
        <f t="shared" si="0"/>
        <v>45419</v>
      </c>
      <c r="CV84" s="1363">
        <f t="shared" si="1"/>
        <v>5000</v>
      </c>
      <c r="CW84">
        <f t="shared" si="2"/>
        <v>-60.174999999999997</v>
      </c>
    </row>
    <row r="85" spans="66:101">
      <c r="BN85">
        <v>5</v>
      </c>
      <c r="CQ85" s="165">
        <v>45447</v>
      </c>
      <c r="CR85" s="550">
        <v>500</v>
      </c>
      <c r="CS85" s="983">
        <v>627.82140000000004</v>
      </c>
      <c r="CU85" s="86">
        <f t="shared" si="0"/>
        <v>45447</v>
      </c>
      <c r="CV85" s="1363">
        <f t="shared" si="1"/>
        <v>5000</v>
      </c>
      <c r="CW85">
        <f t="shared" si="2"/>
        <v>62.782140000000005</v>
      </c>
    </row>
    <row r="86" spans="66:101">
      <c r="CQ86" s="165">
        <v>45453</v>
      </c>
      <c r="CR86" s="120">
        <v>500</v>
      </c>
      <c r="CS86" s="160">
        <v>636.91930000000002</v>
      </c>
      <c r="CU86" s="86">
        <f t="shared" si="0"/>
        <v>45453</v>
      </c>
      <c r="CV86" s="1363">
        <f t="shared" si="1"/>
        <v>5000</v>
      </c>
      <c r="CW86">
        <f t="shared" si="2"/>
        <v>63.691929999999999</v>
      </c>
    </row>
    <row r="87" spans="66:101">
      <c r="CQ87" s="165">
        <v>45474</v>
      </c>
      <c r="CR87" s="550">
        <v>500</v>
      </c>
      <c r="CS87" s="983">
        <v>670.21226000000001</v>
      </c>
      <c r="CU87" s="86">
        <f t="shared" si="0"/>
        <v>45474</v>
      </c>
      <c r="CV87" s="1363">
        <f t="shared" si="1"/>
        <v>5000</v>
      </c>
      <c r="CW87">
        <f t="shared" si="2"/>
        <v>67.021225999999999</v>
      </c>
    </row>
    <row r="88" spans="66:101" ht="23" thickBot="1">
      <c r="CQ88" s="165">
        <v>45496</v>
      </c>
      <c r="CR88" s="550">
        <v>500</v>
      </c>
      <c r="CS88" s="160">
        <v>-642.58018000000004</v>
      </c>
      <c r="CU88" s="86">
        <f t="shared" si="0"/>
        <v>45496</v>
      </c>
      <c r="CV88" s="1363">
        <f t="shared" si="1"/>
        <v>5000</v>
      </c>
      <c r="CW88">
        <f t="shared" si="2"/>
        <v>-64.258018000000007</v>
      </c>
    </row>
    <row r="89" spans="66:101">
      <c r="CQ89" s="165">
        <v>45581</v>
      </c>
      <c r="CR89" s="551">
        <v>200</v>
      </c>
      <c r="CS89" s="983">
        <v>-705.46</v>
      </c>
      <c r="CU89" s="86">
        <f t="shared" si="0"/>
        <v>45581</v>
      </c>
      <c r="CV89" s="1363">
        <f t="shared" si="1"/>
        <v>2000</v>
      </c>
      <c r="CW89">
        <f t="shared" si="2"/>
        <v>-70.546000000000006</v>
      </c>
    </row>
    <row r="90" spans="66:101" ht="23" thickBot="1">
      <c r="CQ90" s="165">
        <v>45678</v>
      </c>
      <c r="CR90" s="552">
        <v>200</v>
      </c>
      <c r="CS90" s="160">
        <v>968.21</v>
      </c>
      <c r="CU90" s="86">
        <f t="shared" si="0"/>
        <v>45678</v>
      </c>
      <c r="CV90" s="1363">
        <f t="shared" si="1"/>
        <v>2000</v>
      </c>
      <c r="CW90">
        <f t="shared" si="2"/>
        <v>96.820999999999998</v>
      </c>
    </row>
    <row r="91" spans="66:101">
      <c r="CQ91" s="165">
        <v>45679</v>
      </c>
      <c r="CR91" s="553">
        <v>200</v>
      </c>
      <c r="CS91" s="983">
        <v>-957.53</v>
      </c>
      <c r="CU91" s="86">
        <f t="shared" si="0"/>
        <v>45679</v>
      </c>
      <c r="CV91" s="1363">
        <f t="shared" si="1"/>
        <v>2000</v>
      </c>
      <c r="CW91">
        <f t="shared" si="2"/>
        <v>-95.753</v>
      </c>
    </row>
    <row r="92" spans="66:101">
      <c r="CQ92" s="165">
        <v>45719</v>
      </c>
      <c r="CR92" s="550">
        <v>200</v>
      </c>
      <c r="CS92" s="160">
        <v>982.61</v>
      </c>
      <c r="CU92" s="86">
        <f t="shared" si="0"/>
        <v>45719</v>
      </c>
      <c r="CV92" s="1363">
        <f t="shared" si="1"/>
        <v>2000</v>
      </c>
      <c r="CW92">
        <f t="shared" si="2"/>
        <v>98.260999999999996</v>
      </c>
    </row>
    <row r="93" spans="66:101">
      <c r="CQ93" s="165">
        <v>45771</v>
      </c>
      <c r="CR93" s="988">
        <v>200</v>
      </c>
      <c r="CS93" s="983">
        <v>1096.44</v>
      </c>
      <c r="CU93" s="86">
        <f t="shared" si="0"/>
        <v>45771</v>
      </c>
      <c r="CV93" s="1363">
        <f t="shared" si="1"/>
        <v>2000</v>
      </c>
      <c r="CW93">
        <f t="shared" si="2"/>
        <v>109.64400000000001</v>
      </c>
    </row>
    <row r="94" spans="66:101">
      <c r="CQ94" s="165">
        <v>45782</v>
      </c>
      <c r="CR94" s="120">
        <v>200</v>
      </c>
      <c r="CS94" s="160">
        <v>1133.76</v>
      </c>
      <c r="CU94" s="86">
        <f t="shared" si="0"/>
        <v>45782</v>
      </c>
      <c r="CV94" s="1363">
        <f t="shared" si="1"/>
        <v>2000</v>
      </c>
      <c r="CW94">
        <f t="shared" si="2"/>
        <v>113.376</v>
      </c>
    </row>
    <row r="95" spans="66:101">
      <c r="CQ95" s="165">
        <v>45811</v>
      </c>
      <c r="CR95" s="988">
        <v>200</v>
      </c>
      <c r="CS95" s="983">
        <v>1222.17</v>
      </c>
      <c r="CU95" s="86">
        <f t="shared" si="0"/>
        <v>45811</v>
      </c>
      <c r="CV95" s="1363">
        <f t="shared" si="1"/>
        <v>2000</v>
      </c>
      <c r="CW95">
        <f t="shared" si="2"/>
        <v>122.21700000000001</v>
      </c>
    </row>
    <row r="96" spans="66:101">
      <c r="CQ96" s="165">
        <v>45825</v>
      </c>
      <c r="CR96" s="120">
        <v>200</v>
      </c>
      <c r="CS96" s="160">
        <v>1220.52</v>
      </c>
      <c r="CU96" s="86">
        <f t="shared" si="0"/>
        <v>45825</v>
      </c>
      <c r="CV96" s="1363">
        <f t="shared" si="1"/>
        <v>2000</v>
      </c>
      <c r="CW96">
        <f t="shared" si="2"/>
        <v>122.05199999999999</v>
      </c>
    </row>
    <row r="97" spans="95:101">
      <c r="CQ97" s="165">
        <v>45856</v>
      </c>
      <c r="CR97" s="988">
        <v>400</v>
      </c>
      <c r="CS97" s="983">
        <v>-1208.99</v>
      </c>
      <c r="CU97" s="86">
        <f t="shared" si="0"/>
        <v>45856</v>
      </c>
      <c r="CV97" s="1363">
        <f t="shared" si="1"/>
        <v>4000</v>
      </c>
      <c r="CW97">
        <f t="shared" si="2"/>
        <v>-120.899</v>
      </c>
    </row>
    <row r="98" spans="95:101">
      <c r="CQ98" s="165">
        <v>45936</v>
      </c>
      <c r="CR98" s="120">
        <v>200</v>
      </c>
      <c r="CS98" s="160">
        <v>-1161.69</v>
      </c>
      <c r="CU98" s="86">
        <f t="shared" si="0"/>
        <v>45936</v>
      </c>
      <c r="CV98" s="1363">
        <f t="shared" si="1"/>
        <v>2000</v>
      </c>
      <c r="CW98">
        <f t="shared" si="2"/>
        <v>-116.16900000000001</v>
      </c>
    </row>
    <row r="99" spans="95:101">
      <c r="CQ99" s="165">
        <v>45939</v>
      </c>
      <c r="CR99" s="988">
        <v>100</v>
      </c>
      <c r="CS99" s="983">
        <v>1235.33</v>
      </c>
      <c r="CU99" s="86">
        <f t="shared" si="0"/>
        <v>45939</v>
      </c>
      <c r="CV99" s="1363">
        <f t="shared" si="1"/>
        <v>1000</v>
      </c>
      <c r="CW99">
        <f t="shared" si="2"/>
        <v>123.53299999999999</v>
      </c>
    </row>
    <row r="100" spans="95:101">
      <c r="CQ100" s="165">
        <v>45946</v>
      </c>
      <c r="CR100" s="120">
        <v>100</v>
      </c>
      <c r="CS100" s="160">
        <v>-1179.6600000000001</v>
      </c>
      <c r="CU100" s="86">
        <f t="shared" si="0"/>
        <v>45946</v>
      </c>
      <c r="CV100" s="1363">
        <f t="shared" si="1"/>
        <v>1000</v>
      </c>
      <c r="CW100">
        <f t="shared" si="2"/>
        <v>-117.96600000000001</v>
      </c>
    </row>
    <row r="101" spans="95:101">
      <c r="CQ101" s="165">
        <v>45950</v>
      </c>
      <c r="CR101" s="988">
        <v>100</v>
      </c>
      <c r="CS101" s="983">
        <v>1233.56</v>
      </c>
      <c r="CU101" s="86">
        <f t="shared" si="0"/>
        <v>45950</v>
      </c>
      <c r="CV101" s="1363">
        <f t="shared" si="1"/>
        <v>1000</v>
      </c>
      <c r="CW101">
        <f t="shared" si="2"/>
        <v>123.35599999999999</v>
      </c>
    </row>
    <row r="102" spans="95:101">
      <c r="CQ102" s="165">
        <v>45952</v>
      </c>
      <c r="CR102" s="120">
        <v>1300</v>
      </c>
      <c r="CS102" s="160">
        <v>-1117.45</v>
      </c>
      <c r="CU102" s="86">
        <f t="shared" si="0"/>
        <v>45952</v>
      </c>
      <c r="CV102" s="1363">
        <f t="shared" si="1"/>
        <v>13000</v>
      </c>
      <c r="CW102">
        <f t="shared" si="2"/>
        <v>-111.745</v>
      </c>
    </row>
    <row r="103" spans="95:101">
      <c r="CQ103" s="165">
        <v>45953</v>
      </c>
      <c r="CR103" s="988">
        <v>500</v>
      </c>
      <c r="CS103" s="983">
        <v>-1103.56</v>
      </c>
      <c r="CU103" s="86">
        <f t="shared" si="0"/>
        <v>45953</v>
      </c>
      <c r="CV103" s="1363">
        <f t="shared" si="1"/>
        <v>5000</v>
      </c>
      <c r="CW103">
        <f t="shared" si="2"/>
        <v>-110.35599999999999</v>
      </c>
    </row>
    <row r="104" spans="95:101">
      <c r="CQ104" s="165">
        <v>45954</v>
      </c>
      <c r="CR104" s="120">
        <v>500</v>
      </c>
      <c r="CS104" s="160">
        <v>-1096.8800000000001</v>
      </c>
      <c r="CU104" s="86">
        <f t="shared" si="0"/>
        <v>45954</v>
      </c>
      <c r="CV104" s="1363">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1640</v>
      </c>
      <c r="D3" s="555" t="s">
        <v>1641</v>
      </c>
      <c r="E3" s="556" t="s">
        <v>1642</v>
      </c>
      <c r="F3" s="420" t="s">
        <v>1641</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1643</v>
      </c>
      <c r="E6" s="34"/>
      <c r="F6" s="34"/>
      <c r="G6" s="43" t="s">
        <v>139</v>
      </c>
      <c r="H6" s="47" t="s">
        <v>140</v>
      </c>
      <c r="I6" s="45"/>
      <c r="J6" s="34"/>
    </row>
    <row r="7" spans="1:10" ht="23" thickBot="1">
      <c r="A7" s="34"/>
      <c r="B7" s="432"/>
      <c r="C7" s="432"/>
      <c r="D7" s="433" t="s">
        <v>1644</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46002</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2900</v>
      </c>
      <c r="B10" s="40" t="s">
        <v>144</v>
      </c>
      <c r="C10" s="40" t="s">
        <v>139</v>
      </c>
      <c r="D10" s="40" t="s">
        <v>145</v>
      </c>
      <c r="E10" s="423" t="s">
        <v>2182</v>
      </c>
      <c r="F10" s="423" t="s">
        <v>146</v>
      </c>
      <c r="G10" s="423" t="s">
        <v>155</v>
      </c>
      <c r="H10" s="434" t="s">
        <v>147</v>
      </c>
      <c r="I10" s="55"/>
      <c r="J10" s="56" t="s">
        <v>148</v>
      </c>
    </row>
    <row r="11" spans="1:10" ht="23" thickBot="1">
      <c r="A11" s="424">
        <f t="shared" ref="A11:A15" ca="1" si="0">TODAY()</f>
        <v>46002</v>
      </c>
      <c r="B11" s="439" t="s">
        <v>130</v>
      </c>
      <c r="C11" s="439" t="s">
        <v>131</v>
      </c>
      <c r="D11" s="929"/>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2,800xM@940.9, A@ 662.57, Y@ 983.4194, L_Bp@ -886.7x100, L_Sp@ 961.05x100, Cl@ 946, Low@ 931, High@ 953.7, Agio=97%</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46002</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46002</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46002</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46002</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2389</v>
      </c>
      <c r="H25" s="932" t="str">
        <f ca="1">"Please (Valid Until "&amp;TEXT(A11,"dd-mmm")&amp;IF(E11&lt;&gt;"",") "&amp;_xlfn.TEXTJOIN(", ",TRUE,E11,E12,E13,E14),"")</f>
        <v>Please (Valid Until 11-Dec)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1782</v>
      </c>
      <c r="C1" t="s">
        <v>1797</v>
      </c>
      <c r="D1" t="s">
        <v>1805</v>
      </c>
      <c r="E1" t="s">
        <v>1806</v>
      </c>
      <c r="F1" t="s">
        <v>1807</v>
      </c>
      <c r="G1" t="s">
        <v>1798</v>
      </c>
      <c r="H1" t="s">
        <v>1808</v>
      </c>
      <c r="I1" t="s">
        <v>1809</v>
      </c>
      <c r="J1" t="s">
        <v>1799</v>
      </c>
      <c r="K1" t="s">
        <v>1810</v>
      </c>
      <c r="L1" t="s">
        <v>1811</v>
      </c>
    </row>
    <row r="2" spans="1:12">
      <c r="A2" t="s">
        <v>1812</v>
      </c>
      <c r="B2">
        <v>15000</v>
      </c>
    </row>
    <row r="3" spans="1:12">
      <c r="A3" t="s">
        <v>1813</v>
      </c>
      <c r="B3">
        <v>10000</v>
      </c>
    </row>
    <row r="4" spans="1:12">
      <c r="A4" t="s">
        <v>1796</v>
      </c>
      <c r="B4">
        <v>5000</v>
      </c>
      <c r="C4">
        <v>5000</v>
      </c>
    </row>
    <row r="5" spans="1:12">
      <c r="A5" t="s">
        <v>1814</v>
      </c>
      <c r="D5">
        <v>10000</v>
      </c>
    </row>
    <row r="6" spans="1:12">
      <c r="A6" t="s">
        <v>1800</v>
      </c>
      <c r="D6">
        <v>4957</v>
      </c>
    </row>
    <row r="7" spans="1:12">
      <c r="A7" t="s">
        <v>1801</v>
      </c>
      <c r="D7">
        <v>43</v>
      </c>
      <c r="E7">
        <v>4914</v>
      </c>
    </row>
    <row r="8" spans="1:12">
      <c r="A8" t="s">
        <v>1802</v>
      </c>
      <c r="E8">
        <v>86</v>
      </c>
      <c r="F8">
        <v>9914</v>
      </c>
    </row>
    <row r="9" spans="1:12">
      <c r="A9" t="s">
        <v>1803</v>
      </c>
      <c r="F9">
        <v>86</v>
      </c>
      <c r="G9">
        <v>914</v>
      </c>
    </row>
    <row r="10" spans="1:12">
      <c r="A10" t="s">
        <v>1815</v>
      </c>
      <c r="G10">
        <v>1000</v>
      </c>
      <c r="H10">
        <v>3000</v>
      </c>
    </row>
    <row r="11" spans="1:12">
      <c r="A11" t="s">
        <v>1816</v>
      </c>
      <c r="I11">
        <v>2000</v>
      </c>
      <c r="J11">
        <v>2000</v>
      </c>
    </row>
    <row r="12" spans="1:12">
      <c r="A12" t="s">
        <v>1817</v>
      </c>
      <c r="J12">
        <v>2000</v>
      </c>
      <c r="K12">
        <v>2000</v>
      </c>
    </row>
    <row r="13" spans="1:12">
      <c r="A13" t="s">
        <v>1818</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CU29" sqref="CU29"/>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936</v>
      </c>
      <c r="B3" s="1110" t="s">
        <v>0</v>
      </c>
      <c r="C3" s="1110" t="s">
        <v>838</v>
      </c>
      <c r="D3" s="1110" t="s">
        <v>547</v>
      </c>
      <c r="E3" s="1110" t="s">
        <v>1</v>
      </c>
      <c r="F3" s="1110" t="s">
        <v>839</v>
      </c>
      <c r="G3" s="1110" t="s">
        <v>550</v>
      </c>
      <c r="H3" s="1110" t="s">
        <v>2</v>
      </c>
      <c r="I3" s="1110" t="s">
        <v>840</v>
      </c>
      <c r="J3" s="1110" t="s">
        <v>551</v>
      </c>
      <c r="K3" s="1110" t="s">
        <v>3</v>
      </c>
      <c r="L3" s="1110" t="s">
        <v>841</v>
      </c>
      <c r="M3" s="1110" t="s">
        <v>552</v>
      </c>
      <c r="N3" s="1110" t="s">
        <v>4</v>
      </c>
      <c r="O3" s="1110" t="s">
        <v>842</v>
      </c>
      <c r="P3" s="1110" t="s">
        <v>553</v>
      </c>
      <c r="Q3" s="1110" t="s">
        <v>32</v>
      </c>
      <c r="R3" s="1110" t="s">
        <v>870</v>
      </c>
      <c r="S3" s="1110" t="s">
        <v>581</v>
      </c>
      <c r="T3" s="1110" t="s">
        <v>46</v>
      </c>
      <c r="U3" s="1110" t="s">
        <v>883</v>
      </c>
      <c r="V3" s="1110" t="s">
        <v>593</v>
      </c>
      <c r="W3" s="1110" t="s">
        <v>5</v>
      </c>
      <c r="X3" s="1110" t="s">
        <v>843</v>
      </c>
      <c r="Y3" s="1110" t="s">
        <v>554</v>
      </c>
      <c r="Z3" s="1110" t="s">
        <v>6</v>
      </c>
      <c r="AA3" s="1110" t="s">
        <v>844</v>
      </c>
      <c r="AB3" s="1110" t="s">
        <v>555</v>
      </c>
      <c r="AC3" s="1110" t="s">
        <v>7</v>
      </c>
      <c r="AD3" s="1110" t="s">
        <v>845</v>
      </c>
      <c r="AE3" s="1110" t="s">
        <v>556</v>
      </c>
      <c r="AF3" s="1110" t="s">
        <v>8</v>
      </c>
      <c r="AG3" s="1110" t="s">
        <v>846</v>
      </c>
      <c r="AH3" s="1110" t="s">
        <v>557</v>
      </c>
      <c r="AI3" s="1110" t="s">
        <v>9</v>
      </c>
      <c r="AJ3" s="1110" t="s">
        <v>847</v>
      </c>
      <c r="AK3" s="1110" t="s">
        <v>558</v>
      </c>
      <c r="AL3" s="1110" t="s">
        <v>10</v>
      </c>
      <c r="AM3" s="1110" t="s">
        <v>848</v>
      </c>
      <c r="AN3" s="1110" t="s">
        <v>559</v>
      </c>
      <c r="AO3" s="1110" t="s">
        <v>11</v>
      </c>
      <c r="AP3" s="1110" t="s">
        <v>849</v>
      </c>
      <c r="AQ3" s="1110" t="s">
        <v>560</v>
      </c>
      <c r="AR3" s="1110" t="s">
        <v>12</v>
      </c>
      <c r="AS3" s="1110" t="s">
        <v>850</v>
      </c>
      <c r="AT3" s="1110" t="s">
        <v>561</v>
      </c>
      <c r="AU3" s="1110" t="s">
        <v>13</v>
      </c>
      <c r="AV3" s="1110" t="s">
        <v>851</v>
      </c>
      <c r="AW3" s="1110" t="s">
        <v>562</v>
      </c>
      <c r="AX3" s="1110" t="s">
        <v>14</v>
      </c>
      <c r="AY3" s="1110" t="s">
        <v>852</v>
      </c>
      <c r="AZ3" s="1110" t="s">
        <v>563</v>
      </c>
      <c r="BA3" s="1110" t="s">
        <v>15</v>
      </c>
      <c r="BB3" s="1110" t="s">
        <v>853</v>
      </c>
      <c r="BC3" s="1110" t="s">
        <v>564</v>
      </c>
      <c r="BD3" s="1110" t="s">
        <v>16</v>
      </c>
      <c r="BE3" s="1110" t="s">
        <v>854</v>
      </c>
      <c r="BF3" s="1110" t="s">
        <v>565</v>
      </c>
      <c r="BG3" s="1110" t="s">
        <v>17</v>
      </c>
      <c r="BH3" s="1110" t="s">
        <v>855</v>
      </c>
      <c r="BI3" s="1110" t="s">
        <v>566</v>
      </c>
      <c r="BJ3" s="1110" t="s">
        <v>19</v>
      </c>
      <c r="BK3" s="1110" t="s">
        <v>857</v>
      </c>
      <c r="BL3" s="1110" t="s">
        <v>568</v>
      </c>
      <c r="BM3" s="1110" t="s">
        <v>20</v>
      </c>
      <c r="BN3" s="1110" t="s">
        <v>858</v>
      </c>
      <c r="BO3" s="1110" t="s">
        <v>569</v>
      </c>
      <c r="BP3" s="1110" t="s">
        <v>21</v>
      </c>
      <c r="BQ3" s="1110" t="s">
        <v>859</v>
      </c>
      <c r="BR3" s="1110" t="s">
        <v>570</v>
      </c>
      <c r="BS3" s="1110" t="s">
        <v>22</v>
      </c>
      <c r="BT3" s="1110" t="s">
        <v>860</v>
      </c>
      <c r="BU3" s="1110" t="s">
        <v>571</v>
      </c>
      <c r="BV3" s="1110" t="s">
        <v>23</v>
      </c>
      <c r="BW3" s="1110" t="s">
        <v>861</v>
      </c>
      <c r="BX3" s="1110" t="s">
        <v>572</v>
      </c>
      <c r="BY3" s="1110" t="s">
        <v>24</v>
      </c>
      <c r="BZ3" s="1110" t="s">
        <v>862</v>
      </c>
      <c r="CA3" s="1110" t="s">
        <v>573</v>
      </c>
      <c r="CB3" s="1110" t="s">
        <v>25</v>
      </c>
      <c r="CC3" s="1110" t="s">
        <v>863</v>
      </c>
      <c r="CD3" s="1110" t="s">
        <v>574</v>
      </c>
      <c r="CE3" s="1110" t="s">
        <v>26</v>
      </c>
      <c r="CF3" s="1110" t="s">
        <v>864</v>
      </c>
      <c r="CG3" s="1110" t="s">
        <v>575</v>
      </c>
      <c r="CH3" s="1110" t="s">
        <v>27</v>
      </c>
      <c r="CI3" s="1110" t="s">
        <v>865</v>
      </c>
      <c r="CJ3" s="1110" t="s">
        <v>576</v>
      </c>
      <c r="CK3" s="1110" t="s">
        <v>28</v>
      </c>
      <c r="CL3" s="1110" t="s">
        <v>866</v>
      </c>
      <c r="CM3" s="1110" t="s">
        <v>577</v>
      </c>
      <c r="CN3" s="1110" t="s">
        <v>29</v>
      </c>
      <c r="CO3" s="1110" t="s">
        <v>867</v>
      </c>
      <c r="CP3" s="1110" t="s">
        <v>578</v>
      </c>
      <c r="CQ3" s="1110" t="s">
        <v>30</v>
      </c>
      <c r="CR3" s="1110" t="s">
        <v>868</v>
      </c>
      <c r="CS3" s="1110" t="s">
        <v>579</v>
      </c>
      <c r="CT3" s="1110" t="s">
        <v>53</v>
      </c>
      <c r="CU3" s="1110" t="s">
        <v>890</v>
      </c>
      <c r="CV3" s="1110" t="s">
        <v>600</v>
      </c>
      <c r="CW3" s="1110" t="s">
        <v>31</v>
      </c>
      <c r="CX3" s="1110" t="s">
        <v>869</v>
      </c>
      <c r="CY3" s="1110" t="s">
        <v>580</v>
      </c>
      <c r="CZ3" s="1110" t="s">
        <v>33</v>
      </c>
      <c r="DA3" s="1110" t="s">
        <v>871</v>
      </c>
      <c r="DB3" s="1110" t="s">
        <v>582</v>
      </c>
      <c r="DC3" s="1110" t="s">
        <v>1087</v>
      </c>
      <c r="DD3" s="1110" t="s">
        <v>1088</v>
      </c>
      <c r="DE3" s="1110" t="s">
        <v>1089</v>
      </c>
      <c r="DF3" s="1110" t="s">
        <v>34</v>
      </c>
      <c r="DG3" s="1110" t="s">
        <v>872</v>
      </c>
      <c r="DH3" s="1110" t="s">
        <v>583</v>
      </c>
      <c r="DI3" s="1110" t="s">
        <v>35</v>
      </c>
      <c r="DJ3" s="1110" t="s">
        <v>873</v>
      </c>
      <c r="DK3" s="1110" t="s">
        <v>584</v>
      </c>
      <c r="DL3" s="1110" t="s">
        <v>37</v>
      </c>
      <c r="DM3" s="1110" t="s">
        <v>875</v>
      </c>
      <c r="DN3" s="1110" t="s">
        <v>586</v>
      </c>
      <c r="DO3" s="1110" t="s">
        <v>38</v>
      </c>
      <c r="DP3" s="1110" t="s">
        <v>876</v>
      </c>
      <c r="DQ3" s="1110" t="s">
        <v>587</v>
      </c>
      <c r="DR3" s="1110" t="s">
        <v>39</v>
      </c>
      <c r="DS3" s="1110" t="s">
        <v>877</v>
      </c>
      <c r="DT3" s="1110" t="s">
        <v>588</v>
      </c>
      <c r="DU3" s="1110" t="s">
        <v>40</v>
      </c>
      <c r="DV3" s="1110" t="s">
        <v>878</v>
      </c>
      <c r="DW3" s="1110" t="s">
        <v>589</v>
      </c>
      <c r="DX3" s="1110" t="s">
        <v>36</v>
      </c>
      <c r="DY3" s="1110" t="s">
        <v>874</v>
      </c>
      <c r="DZ3" s="1110" t="s">
        <v>585</v>
      </c>
      <c r="EA3" s="1110" t="s">
        <v>43</v>
      </c>
      <c r="EB3" s="1110" t="s">
        <v>881</v>
      </c>
      <c r="EC3" s="1110" t="s">
        <v>591</v>
      </c>
      <c r="ED3" s="1110" t="s">
        <v>44</v>
      </c>
      <c r="EE3" s="1110" t="s">
        <v>180</v>
      </c>
      <c r="EF3" s="1110" t="s">
        <v>662</v>
      </c>
      <c r="EG3" s="1110" t="s">
        <v>45</v>
      </c>
      <c r="EH3" s="1110" t="s">
        <v>882</v>
      </c>
      <c r="EI3" s="1110" t="s">
        <v>592</v>
      </c>
      <c r="EJ3" s="1110" t="s">
        <v>1014</v>
      </c>
      <c r="EK3" s="1110" t="s">
        <v>2455</v>
      </c>
      <c r="EL3" s="1110" t="s">
        <v>2456</v>
      </c>
      <c r="EM3" s="1110" t="s">
        <v>47</v>
      </c>
      <c r="EN3" s="1110" t="s">
        <v>884</v>
      </c>
      <c r="EO3" s="1110" t="s">
        <v>594</v>
      </c>
      <c r="EP3" s="1110" t="s">
        <v>48</v>
      </c>
      <c r="EQ3" s="1110" t="s">
        <v>885</v>
      </c>
      <c r="ER3" s="1110" t="s">
        <v>595</v>
      </c>
      <c r="ES3" s="1110" t="s">
        <v>49</v>
      </c>
      <c r="ET3" s="1110" t="s">
        <v>886</v>
      </c>
      <c r="EU3" s="1110" t="s">
        <v>596</v>
      </c>
      <c r="EV3" s="1110" t="s">
        <v>50</v>
      </c>
      <c r="EW3" s="1110" t="s">
        <v>887</v>
      </c>
      <c r="EX3" s="1110" t="s">
        <v>597</v>
      </c>
      <c r="EY3" s="1110" t="s">
        <v>51</v>
      </c>
      <c r="EZ3" s="1110" t="s">
        <v>888</v>
      </c>
      <c r="FA3" s="1110" t="s">
        <v>598</v>
      </c>
      <c r="FB3" s="1110" t="s">
        <v>52</v>
      </c>
      <c r="FC3" s="1110" t="s">
        <v>889</v>
      </c>
      <c r="FD3" s="1110" t="s">
        <v>599</v>
      </c>
      <c r="FE3" s="1110" t="s">
        <v>54</v>
      </c>
      <c r="FF3" s="1110" t="s">
        <v>891</v>
      </c>
      <c r="FG3" s="1110" t="s">
        <v>601</v>
      </c>
      <c r="FH3" s="1110" t="s">
        <v>55</v>
      </c>
      <c r="FI3" s="1110" t="s">
        <v>892</v>
      </c>
      <c r="FJ3" s="1110" t="s">
        <v>602</v>
      </c>
      <c r="FK3" s="1110" t="s">
        <v>56</v>
      </c>
      <c r="FL3" s="1110" t="s">
        <v>893</v>
      </c>
      <c r="FM3" s="1110" t="s">
        <v>603</v>
      </c>
      <c r="FN3" s="1110" t="s">
        <v>57</v>
      </c>
      <c r="FO3" s="1110" t="s">
        <v>894</v>
      </c>
      <c r="FP3" s="1110" t="s">
        <v>604</v>
      </c>
      <c r="FQ3" s="1110" t="s">
        <v>58</v>
      </c>
      <c r="FR3" s="1110" t="s">
        <v>895</v>
      </c>
      <c r="FS3" s="1110" t="s">
        <v>605</v>
      </c>
      <c r="FT3" s="1110" t="s">
        <v>41</v>
      </c>
      <c r="FU3" s="1110" t="s">
        <v>879</v>
      </c>
      <c r="FV3" s="1110" t="s">
        <v>590</v>
      </c>
      <c r="FW3" s="1110" t="s">
        <v>60</v>
      </c>
      <c r="FX3" s="1110" t="s">
        <v>897</v>
      </c>
      <c r="FY3" s="1110" t="s">
        <v>607</v>
      </c>
      <c r="FZ3" s="1110" t="s">
        <v>42</v>
      </c>
      <c r="GA3" s="1110" t="s">
        <v>880</v>
      </c>
      <c r="GB3" s="1110" t="s">
        <v>664</v>
      </c>
      <c r="GC3" s="1110" t="s">
        <v>59</v>
      </c>
      <c r="GD3" s="1110" t="s">
        <v>896</v>
      </c>
      <c r="GE3" s="1110" t="s">
        <v>606</v>
      </c>
      <c r="GF3" s="1110" t="s">
        <v>62</v>
      </c>
      <c r="GG3" s="1110" t="s">
        <v>899</v>
      </c>
      <c r="GH3" s="1110" t="s">
        <v>608</v>
      </c>
      <c r="GI3" s="1110" t="s">
        <v>61</v>
      </c>
      <c r="GJ3" s="1110" t="s">
        <v>898</v>
      </c>
      <c r="GK3" s="1110" t="s">
        <v>663</v>
      </c>
      <c r="GL3" s="1110" t="s">
        <v>66</v>
      </c>
      <c r="GM3" s="1110" t="s">
        <v>903</v>
      </c>
      <c r="GN3" s="1110" t="s">
        <v>612</v>
      </c>
      <c r="GO3" s="1110" t="s">
        <v>65</v>
      </c>
      <c r="GP3" s="1110" t="s">
        <v>902</v>
      </c>
      <c r="GQ3" s="1110" t="s">
        <v>611</v>
      </c>
      <c r="GR3" s="1110" t="s">
        <v>73</v>
      </c>
      <c r="GS3" s="1110" t="s">
        <v>910</v>
      </c>
      <c r="GT3" s="1110" t="s">
        <v>619</v>
      </c>
      <c r="GU3" s="1110" t="s">
        <v>64</v>
      </c>
      <c r="GV3" s="1110" t="s">
        <v>901</v>
      </c>
      <c r="GW3" s="1110" t="s">
        <v>610</v>
      </c>
      <c r="GX3" s="1110" t="s">
        <v>69</v>
      </c>
      <c r="GY3" s="1110" t="s">
        <v>906</v>
      </c>
      <c r="GZ3" s="1110" t="s">
        <v>615</v>
      </c>
      <c r="HA3" s="1110" t="s">
        <v>67</v>
      </c>
      <c r="HB3" s="1110" t="s">
        <v>904</v>
      </c>
      <c r="HC3" s="1110" t="s">
        <v>613</v>
      </c>
      <c r="HD3" s="1110" t="s">
        <v>63</v>
      </c>
      <c r="HE3" s="1110" t="s">
        <v>900</v>
      </c>
      <c r="HF3" s="1110" t="s">
        <v>609</v>
      </c>
      <c r="HG3" s="1110" t="s">
        <v>68</v>
      </c>
      <c r="HH3" s="1110" t="s">
        <v>905</v>
      </c>
      <c r="HI3" s="1110" t="s">
        <v>614</v>
      </c>
      <c r="HJ3" s="1110" t="s">
        <v>78</v>
      </c>
      <c r="HK3" s="1110" t="s">
        <v>915</v>
      </c>
      <c r="HL3" s="1110" t="s">
        <v>624</v>
      </c>
      <c r="HM3" s="1110" t="s">
        <v>74</v>
      </c>
      <c r="HN3" s="1110" t="s">
        <v>911</v>
      </c>
      <c r="HO3" s="1110" t="s">
        <v>620</v>
      </c>
      <c r="HP3" s="1110" t="s">
        <v>77</v>
      </c>
      <c r="HQ3" s="1110" t="s">
        <v>914</v>
      </c>
      <c r="HR3" s="1110" t="s">
        <v>623</v>
      </c>
      <c r="HS3" s="1110" t="s">
        <v>79</v>
      </c>
      <c r="HT3" s="1110" t="s">
        <v>917</v>
      </c>
      <c r="HU3" s="1110" t="s">
        <v>625</v>
      </c>
      <c r="HV3" s="1110" t="s">
        <v>76</v>
      </c>
      <c r="HW3" s="1110" t="s">
        <v>913</v>
      </c>
      <c r="HX3" s="1110" t="s">
        <v>622</v>
      </c>
      <c r="HY3" s="1110" t="s">
        <v>80</v>
      </c>
      <c r="HZ3" s="1110" t="s">
        <v>918</v>
      </c>
      <c r="IA3" s="1110" t="s">
        <v>626</v>
      </c>
      <c r="IB3" s="1110" t="s">
        <v>70</v>
      </c>
      <c r="IC3" s="1110" t="s">
        <v>907</v>
      </c>
      <c r="ID3" s="1110" t="s">
        <v>616</v>
      </c>
      <c r="IE3" s="1110" t="s">
        <v>81</v>
      </c>
      <c r="IF3" s="1110" t="s">
        <v>919</v>
      </c>
      <c r="IG3" s="1110" t="s">
        <v>627</v>
      </c>
      <c r="IH3" s="1110" t="s">
        <v>87</v>
      </c>
      <c r="II3" s="1110" t="s">
        <v>925</v>
      </c>
      <c r="IJ3" s="1110" t="s">
        <v>633</v>
      </c>
      <c r="IK3" s="1110" t="s">
        <v>82</v>
      </c>
      <c r="IL3" s="1110" t="s">
        <v>920</v>
      </c>
      <c r="IM3" s="1110" t="s">
        <v>628</v>
      </c>
      <c r="IN3" s="1110" t="s">
        <v>83</v>
      </c>
      <c r="IO3" s="1110" t="s">
        <v>921</v>
      </c>
      <c r="IP3" s="1110" t="s">
        <v>629</v>
      </c>
      <c r="IQ3" s="1110" t="s">
        <v>72</v>
      </c>
      <c r="IR3" s="1110" t="s">
        <v>909</v>
      </c>
      <c r="IS3" s="1110" t="s">
        <v>618</v>
      </c>
      <c r="IT3" s="1110" t="s">
        <v>75</v>
      </c>
      <c r="IU3" s="1110" t="s">
        <v>912</v>
      </c>
      <c r="IV3" s="1110" t="s">
        <v>621</v>
      </c>
      <c r="IW3" s="1110" t="s">
        <v>84</v>
      </c>
      <c r="IX3" s="1110" t="s">
        <v>922</v>
      </c>
      <c r="IY3" s="1110" t="s">
        <v>630</v>
      </c>
      <c r="IZ3" s="1110" t="s">
        <v>85</v>
      </c>
      <c r="JA3" s="1110" t="s">
        <v>923</v>
      </c>
      <c r="JB3" s="1110" t="s">
        <v>631</v>
      </c>
      <c r="JC3" s="1110" t="s">
        <v>71</v>
      </c>
      <c r="JD3" s="1110" t="s">
        <v>908</v>
      </c>
      <c r="JE3" s="1110" t="s">
        <v>617</v>
      </c>
      <c r="JF3" s="1110" t="s">
        <v>86</v>
      </c>
      <c r="JG3" s="1110" t="s">
        <v>924</v>
      </c>
      <c r="JH3" s="1110" t="s">
        <v>632</v>
      </c>
      <c r="JI3" s="1110" t="s">
        <v>665</v>
      </c>
      <c r="JJ3" s="1110" t="s">
        <v>916</v>
      </c>
      <c r="JK3" s="1110" t="s">
        <v>666</v>
      </c>
      <c r="JL3" s="1110" t="s">
        <v>88</v>
      </c>
      <c r="JM3" s="1110" t="s">
        <v>926</v>
      </c>
      <c r="JN3" s="1110" t="s">
        <v>634</v>
      </c>
      <c r="JO3" s="1110" t="s">
        <v>89</v>
      </c>
      <c r="JP3" s="1110" t="s">
        <v>927</v>
      </c>
      <c r="JQ3" s="1110" t="s">
        <v>635</v>
      </c>
      <c r="JR3" s="1110" t="s">
        <v>1542</v>
      </c>
      <c r="JS3" s="1110" t="s">
        <v>1547</v>
      </c>
      <c r="JT3" s="1110" t="s">
        <v>1546</v>
      </c>
      <c r="JU3" s="1110" t="s">
        <v>2499</v>
      </c>
      <c r="JV3" s="1110" t="s">
        <v>2501</v>
      </c>
      <c r="JW3" s="1110" t="s">
        <v>2500</v>
      </c>
      <c r="JX3" s="1110" t="s">
        <v>18</v>
      </c>
      <c r="JY3" s="1110" t="s">
        <v>856</v>
      </c>
      <c r="JZ3" s="1110" t="s">
        <v>567</v>
      </c>
    </row>
    <row r="4" spans="1:301" ht="22" customHeight="1">
      <c r="A4" cm="1">
        <f t="array" ref="A4:A53">_xlfn.SEQUENCE(50,,1,1)</f>
        <v>1</v>
      </c>
      <c r="B4" s="1099">
        <f ca="1">C4*(_xlfn.XLOOKUP(B$3,TabCalc[Ticker],TabCalc[M])+D4)</f>
        <v>6.5460055601473661E-5</v>
      </c>
      <c r="C4" s="1095">
        <v>9.9999999999999995E-7</v>
      </c>
      <c r="D4" s="1096">
        <v>-212.5699443985263</v>
      </c>
      <c r="E4" s="1099">
        <f ca="1">F4*(_xlfn.XLOOKUP(E$3,TabCalc[Ticker],TabCalc[M])+G4)</f>
        <v>4.5122557200000199E-7</v>
      </c>
      <c r="F4" s="1095">
        <v>9.9999999999999995E-7</v>
      </c>
      <c r="G4" s="1096">
        <v>-13.108774427999998</v>
      </c>
      <c r="H4" s="1099">
        <f ca="1">I4*(_xlfn.XLOOKUP(H$3,TabCalc[Ticker],TabCalc[M])+J4)</f>
        <v>-1.0365044175841241E-5</v>
      </c>
      <c r="I4" s="1095">
        <v>9.9999999999999995E-7</v>
      </c>
      <c r="J4" s="1096">
        <v>-49.365044175841241</v>
      </c>
      <c r="K4" s="1099">
        <f ca="1">L4*(_xlfn.XLOOKUP(K$3,TabCalc[Ticker],TabCalc[M])+M4)</f>
        <v>2.6593222730999996E-5</v>
      </c>
      <c r="L4" s="1095">
        <v>9.9999999999999995E-7</v>
      </c>
      <c r="M4" s="1096">
        <v>-203.686777269</v>
      </c>
      <c r="N4" s="1099">
        <f ca="1">O4*(_xlfn.XLOOKUP(N$3,TabCalc[Ticker],TabCalc[M])+P4)</f>
        <v>-6.1999894702411162E-7</v>
      </c>
      <c r="O4" s="1095">
        <v>9.9999999999999995E-7</v>
      </c>
      <c r="P4" s="1096">
        <v>-1.1699989470241117</v>
      </c>
      <c r="Q4" s="1099">
        <f ca="1">R4*(_xlfn.XLOOKUP(Q$3,TabCalc[Ticker],TabCalc[M])+S4)</f>
        <v>2.7832820928571424E-4</v>
      </c>
      <c r="R4" s="1095">
        <v>9.9999999999999995E-7</v>
      </c>
      <c r="S4" s="1096">
        <v>-662.57179071428573</v>
      </c>
      <c r="T4" s="1099">
        <f ca="1">U4*(_xlfn.XLOOKUP(T$3,TabCalc[Ticker],TabCalc[M])+V4)</f>
        <v>7.3877762000000016E-5</v>
      </c>
      <c r="U4" s="1245">
        <v>9.9999999999999995E-7</v>
      </c>
      <c r="V4" s="1097">
        <v>-332.49223799999999</v>
      </c>
      <c r="W4" s="1099">
        <f ca="1">X4*(_xlfn.XLOOKUP(W$3,TabCalc[Ticker],TabCalc[M])+Y4)</f>
        <v>2.0268416000000001E-5</v>
      </c>
      <c r="X4" s="1095">
        <v>9.9999999999999995E-7</v>
      </c>
      <c r="Y4" s="1096">
        <v>-70.021584000000004</v>
      </c>
      <c r="Z4" s="1099">
        <f ca="1">AA4*(_xlfn.XLOOKUP(Z$3,TabCalc[Ticker],TabCalc[M])+AB4)</f>
        <v>7.4042560000000047E-7</v>
      </c>
      <c r="AA4" s="1095">
        <v>9.9999999999999995E-7</v>
      </c>
      <c r="AB4" s="1096">
        <v>-2.1495743999999997</v>
      </c>
      <c r="AC4" s="1099">
        <f ca="1">AD4*(_xlfn.XLOOKUP(AC$3,TabCalc[Ticker],TabCalc[M])+AE4)</f>
        <v>-1.016267096E-5</v>
      </c>
      <c r="AD4" s="1095">
        <v>9.9999999999999995E-7</v>
      </c>
      <c r="AE4" s="1096">
        <v>-12.75267096</v>
      </c>
      <c r="AF4" s="1099">
        <f ca="1">AG4*(_xlfn.XLOOKUP(AF$3,TabCalc[Ticker],TabCalc[M])+AH4)</f>
        <v>1.2380404285714291E-5</v>
      </c>
      <c r="AG4" s="1095">
        <v>9.9999999999999995E-7</v>
      </c>
      <c r="AH4" s="1096">
        <v>-99.369595714285708</v>
      </c>
      <c r="AI4" s="1099">
        <f ca="1">AJ4*(_xlfn.XLOOKUP(AI$3,TabCalc[Ticker],TabCalc[M])+AK4)</f>
        <v>1.189528E-5</v>
      </c>
      <c r="AJ4" s="1095">
        <v>9.9999999999999995E-7</v>
      </c>
      <c r="AK4" s="1096">
        <v>-67.374719999999996</v>
      </c>
      <c r="AL4" s="1099">
        <f ca="1">AM4*(_xlfn.XLOOKUP(AL$3,TabCalc[Ticker],TabCalc[M])+AN4)</f>
        <v>2.4628063906000001E-5</v>
      </c>
      <c r="AM4" s="1095">
        <v>9.9999999999999995E-7</v>
      </c>
      <c r="AN4" s="1096">
        <v>-56.201936093999997</v>
      </c>
      <c r="AO4" s="1099">
        <f ca="1">AP4*(_xlfn.XLOOKUP(AO$3,TabCalc[Ticker],TabCalc[M])+AQ4)</f>
        <v>-1.0298251764705879E-6</v>
      </c>
      <c r="AP4" s="1095">
        <v>9.9999999999999995E-7</v>
      </c>
      <c r="AQ4" s="1096">
        <v>-2.994825176470588</v>
      </c>
      <c r="AR4" s="1099">
        <f ca="1">AS4*(_xlfn.XLOOKUP(AR$3,TabCalc[Ticker],TabCalc[M])+AT4)</f>
        <v>-3.391892399999989E-6</v>
      </c>
      <c r="AS4" s="1095">
        <v>9.9999999999999995E-7</v>
      </c>
      <c r="AT4" s="1096">
        <v>-114.87189239999999</v>
      </c>
      <c r="AU4" s="1099">
        <f ca="1">AV4*(_xlfn.XLOOKUP(AU$3,TabCalc[Ticker],TabCalc[M])+AW4)</f>
        <v>-7.0206884999999981E-6</v>
      </c>
      <c r="AV4" s="1095">
        <v>9.9999999999999995E-7</v>
      </c>
      <c r="AW4" s="1096">
        <v>-30.150688499999998</v>
      </c>
      <c r="AX4" s="1099">
        <f ca="1">AY4*(_xlfn.XLOOKUP(AX$3,TabCalc[Ticker],TabCalc[M])+AZ4)</f>
        <v>-1.0736399999998979E-7</v>
      </c>
      <c r="AY4" s="1095">
        <v>9.9999999999999995E-7</v>
      </c>
      <c r="AZ4" s="1096">
        <v>-120.45236399999999</v>
      </c>
      <c r="BA4" s="1099">
        <f ca="1">BB4*(_xlfn.XLOOKUP(BA$3,TabCalc[Ticker],TabCalc[M])+BC4)</f>
        <v>-6.4369049999999992E-7</v>
      </c>
      <c r="BB4" s="1095">
        <v>9.9999999999999995E-7</v>
      </c>
      <c r="BC4" s="1096">
        <v>-15.8836905</v>
      </c>
      <c r="BD4" s="1099">
        <f ca="1">BE4*(_xlfn.XLOOKUP(BD$3,TabCalc[Ticker],TabCalc[M])+BF4)</f>
        <v>-1.0003838799999974E-6</v>
      </c>
      <c r="BE4" s="1095">
        <v>9.9999999999999995E-7</v>
      </c>
      <c r="BF4" s="1096">
        <v>-16.035383879999998</v>
      </c>
      <c r="BG4" s="1099">
        <f ca="1">BH4*(_xlfn.XLOOKUP(BG$3,TabCalc[Ticker],TabCalc[M])+BI4)</f>
        <v>-1.9312098880000001E-6</v>
      </c>
      <c r="BH4" s="1095">
        <v>9.9999999999999995E-7</v>
      </c>
      <c r="BI4" s="1096">
        <v>-2.1324098880000002</v>
      </c>
      <c r="BJ4" s="1099">
        <f ca="1">BK4*(_xlfn.XLOOKUP(BJ$3,TabCalc[Ticker],TabCalc[M])+BL4)</f>
        <v>3.4047642399999997E-5</v>
      </c>
      <c r="BK4" s="1095">
        <v>9.9999999999999995E-7</v>
      </c>
      <c r="BL4" s="1096">
        <v>-46.797357599999998</v>
      </c>
      <c r="BM4" s="1099">
        <f ca="1">BN4*(_xlfn.XLOOKUP(BM$3,TabCalc[Ticker],TabCalc[M])+BO4)</f>
        <v>3.5452854392112661E-6</v>
      </c>
      <c r="BN4" s="1095">
        <v>9.9999999999999995E-7</v>
      </c>
      <c r="BO4" s="1096">
        <v>-20.994714560788733</v>
      </c>
      <c r="BP4" s="1099">
        <f ca="1">BQ4*(_xlfn.XLOOKUP(BP$3,TabCalc[Ticker],TabCalc[M])+BR4)</f>
        <v>-3.9635399999999876E-7</v>
      </c>
      <c r="BQ4" s="1095">
        <v>9.9999999999999995E-7</v>
      </c>
      <c r="BR4" s="1096">
        <v>-25.801354</v>
      </c>
      <c r="BS4" s="1099">
        <f ca="1">BT4*(_xlfn.XLOOKUP(BS$3,TabCalc[Ticker],TabCalc[M])+BU4)</f>
        <v>1.02945906052E-4</v>
      </c>
      <c r="BT4" s="1095">
        <v>9.9999999999999995E-7</v>
      </c>
      <c r="BU4" s="1096">
        <v>-294.65409394800002</v>
      </c>
      <c r="BV4" s="1099">
        <f ca="1">BW4*(_xlfn.XLOOKUP(BV$3,TabCalc[Ticker],TabCalc[M])+BX4)</f>
        <v>-2.9693254571428441E-6</v>
      </c>
      <c r="BW4" s="1095">
        <v>9.9999999999999995E-7</v>
      </c>
      <c r="BX4" s="1096">
        <v>-65.184325457142847</v>
      </c>
      <c r="BY4" s="1099">
        <f ca="1">BZ4*(_xlfn.XLOOKUP(BY$3,TabCalc[Ticker],TabCalc[M])+CA4)</f>
        <v>1.15E-5</v>
      </c>
      <c r="BZ4" s="1095">
        <v>9.9999999999999995E-7</v>
      </c>
      <c r="CA4" s="1096"/>
      <c r="CB4" s="1099">
        <f ca="1">CC4*(_xlfn.XLOOKUP(CB$3,TabCalc[Ticker],TabCalc[M])+CD4)</f>
        <v>3.5685224200000007E-6</v>
      </c>
      <c r="CC4" s="1095">
        <v>9.9999999999999995E-7</v>
      </c>
      <c r="CD4" s="1096">
        <v>-5.0814775799999996</v>
      </c>
      <c r="CE4" s="1099">
        <f ca="1">CF4*(_xlfn.XLOOKUP(CE$3,TabCalc[Ticker],TabCalc[M])+CG4)</f>
        <v>-4.2201614542000002E-5</v>
      </c>
      <c r="CF4" s="1095">
        <v>9.9999999999999995E-7</v>
      </c>
      <c r="CG4" s="1096">
        <v>-71.831614541999997</v>
      </c>
      <c r="CH4" s="1099">
        <f ca="1">CI4*(_xlfn.XLOOKUP(CH$3,TabCalc[Ticker],TabCalc[M])+CJ4)</f>
        <v>1.4571515470400003E-4</v>
      </c>
      <c r="CI4" s="1095">
        <v>9.9999999999999995E-7</v>
      </c>
      <c r="CJ4" s="1096">
        <v>-337.75484529599998</v>
      </c>
      <c r="CK4" s="1099">
        <f ca="1">CL4*(_xlfn.XLOOKUP(CK$3,TabCalc[Ticker],TabCalc[M])+CM4)</f>
        <v>-2.7735584952188503E-6</v>
      </c>
      <c r="CL4" s="1095">
        <v>9.9999999999999995E-7</v>
      </c>
      <c r="CM4" s="1096">
        <v>-83.993558495218849</v>
      </c>
      <c r="CN4" s="1099">
        <f ca="1">CO4*(_xlfn.XLOOKUP(CN$3,TabCalc[Ticker],TabCalc[M])+CP4)</f>
        <v>3.2420221092117668E-5</v>
      </c>
      <c r="CO4" s="1095">
        <v>9.9999999999999995E-7</v>
      </c>
      <c r="CP4" s="1096">
        <v>-67.009778907882335</v>
      </c>
      <c r="CQ4" s="1099">
        <f ca="1">CR4*(_xlfn.XLOOKUP(CQ$3,TabCalc[Ticker],TabCalc[M])+CS4)</f>
        <v>-1.7298315731428557E-5</v>
      </c>
      <c r="CR4" s="1095">
        <v>9.9999999999999995E-7</v>
      </c>
      <c r="CS4" s="1096">
        <v>-111.38831573142856</v>
      </c>
      <c r="CT4" s="1099">
        <f ca="1">CU4*(_xlfn.XLOOKUP(CT$3,TabCalc[Ticker],TabCalc[M])+CV4)</f>
        <v>-4.1504318169951997E-6</v>
      </c>
      <c r="CU4" s="1512">
        <v>9.9999999999999995E-7</v>
      </c>
      <c r="CV4" s="160">
        <v>-6.0004318169951993</v>
      </c>
      <c r="CW4" s="1099">
        <f ca="1">CX4*(_xlfn.XLOOKUP(CW$3,TabCalc[Ticker],TabCalc[M])+CY4)</f>
        <v>1.4527128000000004E-5</v>
      </c>
      <c r="CX4" s="1095">
        <v>9.9999999999999995E-7</v>
      </c>
      <c r="CY4" s="1096">
        <v>-35.812871999999999</v>
      </c>
      <c r="CZ4" s="1099">
        <f ca="1">DA4*(_xlfn.XLOOKUP(CZ$3,TabCalc[Ticker],TabCalc[M])+DB4)</f>
        <v>2.2265059999999995E-6</v>
      </c>
      <c r="DA4" s="1095">
        <v>9.9999999999999995E-7</v>
      </c>
      <c r="DB4" s="1096">
        <v>-5.2034940000000001</v>
      </c>
      <c r="DC4" s="1100">
        <v>9.9999999999999995E-7</v>
      </c>
      <c r="DD4" s="1095">
        <v>9.9999999999999995E-7</v>
      </c>
      <c r="DE4" s="1096">
        <v>-5.7007045880842098</v>
      </c>
      <c r="DF4" s="1099">
        <f ca="1">DG4*(_xlfn.XLOOKUP(DF$3,TabCalc[Ticker],TabCalc[M])+DH4)</f>
        <v>-8.5512504051999942E-8</v>
      </c>
      <c r="DG4" s="1095">
        <v>9.9999999999999995E-7</v>
      </c>
      <c r="DH4" s="1096">
        <v>-1.069112504052</v>
      </c>
      <c r="DI4" s="1099">
        <f ca="1">DJ4*(_xlfn.XLOOKUP(DI$3,TabCalc[Ticker],TabCalc[M])+DK4)</f>
        <v>1.3646342E-5</v>
      </c>
      <c r="DJ4" s="1095">
        <v>9.9999999999999995E-7</v>
      </c>
      <c r="DK4" s="1096">
        <v>-28.403657999999997</v>
      </c>
      <c r="DL4" s="1099">
        <f ca="1">DM4*(_xlfn.XLOOKUP(DL$3,TabCalc[Ticker],TabCalc[M])+DN4)</f>
        <v>1.4846238000000003E-5</v>
      </c>
      <c r="DM4" s="1095">
        <v>9.9999999999999995E-7</v>
      </c>
      <c r="DN4" s="1096">
        <v>-28.443761999999996</v>
      </c>
      <c r="DO4" s="1099">
        <f ca="1">DP4*(_xlfn.XLOOKUP(DO$3,TabCalc[Ticker],TabCalc[M])+DQ4)</f>
        <v>-3.1858398992105209E-5</v>
      </c>
      <c r="DP4" s="1095">
        <v>9.9999999999999995E-7</v>
      </c>
      <c r="DQ4" s="1096">
        <v>-241.15839899210522</v>
      </c>
      <c r="DR4" s="1099">
        <f ca="1">DS4*(_xlfn.XLOOKUP(DR$3,TabCalc[Ticker],TabCalc[M])+DT4)</f>
        <v>-1.9486532294400011E-6</v>
      </c>
      <c r="DS4" s="1095">
        <v>9.9999999999999995E-7</v>
      </c>
      <c r="DT4" s="1096">
        <v>-16.858653229440002</v>
      </c>
      <c r="DU4" s="1099">
        <f ca="1">DV4*(_xlfn.XLOOKUP(DU$3,TabCalc[Ticker],TabCalc[M])+DW4)</f>
        <v>-1.9832529332124996E-5</v>
      </c>
      <c r="DV4" s="1095">
        <v>9.9999999999999995E-7</v>
      </c>
      <c r="DW4" s="1096">
        <v>-29.272529332125</v>
      </c>
      <c r="DX4" s="1099">
        <f ca="1">DY4*(_xlfn.XLOOKUP(DX$3,TabCalc[Ticker],TabCalc[M])+DZ4)</f>
        <v>1.0948097400000005E-4</v>
      </c>
      <c r="DY4" s="1095">
        <v>9.9999999999999995E-7</v>
      </c>
      <c r="DZ4" s="1096">
        <v>-337.38492599999995</v>
      </c>
      <c r="EA4" s="1099">
        <f ca="1">EB4*(_xlfn.XLOOKUP(EA$3,TabCalc[Ticker],TabCalc[M])+EC4)</f>
        <v>9.853434440000003E-5</v>
      </c>
      <c r="EB4" s="1095">
        <v>9.9999999999999995E-7</v>
      </c>
      <c r="EC4" s="1096">
        <v>-206.38565559999998</v>
      </c>
      <c r="ED4" s="1099">
        <f ca="1">EE4*(_xlfn.XLOOKUP(ED$3,TabCalc[Ticker],TabCalc[M])+EF4)</f>
        <v>-3.9575083100000014E-6</v>
      </c>
      <c r="EE4" s="1095">
        <v>9.9999999999999995E-7</v>
      </c>
      <c r="EF4" s="1096">
        <v>-41.707508310000001</v>
      </c>
      <c r="EG4" s="1099">
        <f ca="1">EH4*(_xlfn.XLOOKUP(EG$3,TabCalc[Ticker],TabCalc[M])+EI4)</f>
        <v>-2.0841799999999998E-6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5.6052811538461563E-6</v>
      </c>
      <c r="EN4" s="1095">
        <v>9.9999999999999995E-7</v>
      </c>
      <c r="EO4" s="1096">
        <v>-26.439718846153845</v>
      </c>
      <c r="EP4" s="1099">
        <f ca="1">EQ4*(_xlfn.XLOOKUP(EP$3,TabCalc[Ticker],TabCalc[M])+ER4)</f>
        <v>1.7436494545454551E-6</v>
      </c>
      <c r="EQ4" s="1095">
        <v>9.9999999999999995E-7</v>
      </c>
      <c r="ER4" s="1096">
        <v>-59.356350545454546</v>
      </c>
      <c r="ES4" s="1099">
        <f ca="1">ET4*(_xlfn.XLOOKUP(ES$3,TabCalc[Ticker],TabCalc[M])+EU4)</f>
        <v>2.1054039999999999E-6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6.3263820000000094E-6</v>
      </c>
      <c r="EZ4" s="1095">
        <v>9.9999999999999995E-7</v>
      </c>
      <c r="FA4" s="1096">
        <v>-113.22361799999999</v>
      </c>
      <c r="FB4" s="1099">
        <f ca="1">FC4*(_xlfn.XLOOKUP(FB$3,TabCalc[Ticker],TabCalc[M])+FD4)</f>
        <v>-2.1282936799999987E-6</v>
      </c>
      <c r="FC4" s="1095">
        <v>9.9999999999999995E-7</v>
      </c>
      <c r="FD4" s="1096">
        <v>-8.2882936799999989</v>
      </c>
      <c r="FE4" s="1099">
        <f ca="1">FF4*(_xlfn.XLOOKUP(FE$3,TabCalc[Ticker],TabCalc[M])+FG4)</f>
        <v>-7.1749445850770766E-7</v>
      </c>
      <c r="FF4" s="1095">
        <v>9.9999999999999995E-7</v>
      </c>
      <c r="FG4" s="1096">
        <v>-1.2674944585077077</v>
      </c>
      <c r="FH4" s="1099">
        <f ca="1">FI4*(_xlfn.XLOOKUP(FH$3,TabCalc[Ticker],TabCalc[M])+FJ4)</f>
        <v>-4.9136999999999967E-7</v>
      </c>
      <c r="FI4" s="1095">
        <v>9.9999999999999995E-7</v>
      </c>
      <c r="FJ4" s="1096">
        <v>-2.4563699999999997</v>
      </c>
      <c r="FK4" s="1099">
        <f ca="1">FL4*(_xlfn.XLOOKUP(FK$3,TabCalc[Ticker],TabCalc[M])+FM4)</f>
        <v>-1.0594957500000003E-5</v>
      </c>
      <c r="FL4" s="1095">
        <v>9.9999999999999995E-7</v>
      </c>
      <c r="FM4" s="1096">
        <v>-33.724957500000002</v>
      </c>
      <c r="FN4" s="1099">
        <f ca="1">FO4*(_xlfn.XLOOKUP(FN$3,TabCalc[Ticker],TabCalc[M])+FP4)</f>
        <v>3.946244E-6</v>
      </c>
      <c r="FO4" s="1095">
        <v>9.9999999999999995E-7</v>
      </c>
      <c r="FP4" s="1096">
        <v>-11.088756</v>
      </c>
      <c r="FQ4" s="1099">
        <f ca="1">FR4*(_xlfn.XLOOKUP(FQ$3,TabCalc[Ticker],TabCalc[M])+FS4)</f>
        <v>2.5417733050000013E-6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7.6579570000000026E-6</v>
      </c>
      <c r="FX4" s="1095">
        <v>9.9999999999999995E-7</v>
      </c>
      <c r="FY4" s="1096">
        <v>-56.702042999999996</v>
      </c>
      <c r="FZ4" s="1099">
        <f ca="1">GA4*(_xlfn.XLOOKUP(FZ$3,TabCalc[Ticker],TabCalc[M])+GB4)</f>
        <v>1.588652909090909E-6</v>
      </c>
      <c r="GA4" s="1095">
        <v>9.9999999999999995E-7</v>
      </c>
      <c r="GB4" s="1096">
        <v>-12.14634709090909</v>
      </c>
      <c r="GC4" s="1099">
        <f ca="1">GD4*(_xlfn.XLOOKUP(GC$3,TabCalc[Ticker],TabCalc[M])+GE4)</f>
        <v>1.0108952999999999E-5</v>
      </c>
      <c r="GD4" s="1095">
        <v>9.9999999999999995E-7</v>
      </c>
      <c r="GE4" s="1096">
        <v>-33.181047</v>
      </c>
      <c r="GF4" s="1099">
        <f ca="1">GG4*(_xlfn.XLOOKUP(GF$3,TabCalc[Ticker],TabCalc[M])+GH4)</f>
        <v>-1.9483795299999969E-5</v>
      </c>
      <c r="GG4" s="1095">
        <v>9.9999999999999995E-7</v>
      </c>
      <c r="GH4" s="1096">
        <v>-228.78379529999998</v>
      </c>
      <c r="GI4" s="1099">
        <f ca="1">GJ4*(_xlfn.XLOOKUP(GI$3,TabCalc[Ticker],TabCalc[M])+GK4)</f>
        <v>-4.2996795767857138E-6</v>
      </c>
      <c r="GJ4" s="1095">
        <v>9.9999999999999995E-7</v>
      </c>
      <c r="GK4" s="1096">
        <v>-42.049679576785714</v>
      </c>
      <c r="GL4" s="1099">
        <f ca="1">GM4*(_xlfn.XLOOKUP(GL$3,TabCalc[Ticker],TabCalc[M])+GN4)</f>
        <v>7.7656210017371444E-5</v>
      </c>
      <c r="GM4" s="1095">
        <v>9.9999999999999995E-7</v>
      </c>
      <c r="GN4" s="1096">
        <v>-200.37378998262852</v>
      </c>
      <c r="GO4" s="1099">
        <f ca="1">GP4*(_xlfn.XLOOKUP(GO$3,TabCalc[Ticker],TabCalc[M])+GQ4)</f>
        <v>2.5047780000000017E-5</v>
      </c>
      <c r="GP4" s="1095">
        <v>9.9999999999999995E-7</v>
      </c>
      <c r="GQ4" s="1096">
        <v>-205.23221999999998</v>
      </c>
      <c r="GR4" s="1099">
        <f ca="1">GS4*(_xlfn.XLOOKUP(GR$3,TabCalc[Ticker],TabCalc[M])+GT4)</f>
        <v>9.4089999999999994E-4</v>
      </c>
      <c r="GS4" s="1095">
        <v>9.9999999999999995E-7</v>
      </c>
      <c r="GT4" s="1096"/>
      <c r="GU4" s="1099">
        <f ca="1">GV4*(_xlfn.XLOOKUP(GU$3,TabCalc[Ticker],TabCalc[M])+GW4)</f>
        <v>-1.3267317627272728E-6</v>
      </c>
      <c r="GV4" s="1095">
        <v>9.9999999999999995E-7</v>
      </c>
      <c r="GW4" s="1096">
        <v>-3.2917317627272729</v>
      </c>
      <c r="GX4" s="1099">
        <f ca="1">GY4*(_xlfn.XLOOKUP(GX$3,TabCalc[Ticker],TabCalc[M])+GZ4)</f>
        <v>6.5251245000000323E-7</v>
      </c>
      <c r="GY4" s="1095">
        <v>9.9999999999999995E-7</v>
      </c>
      <c r="GZ4" s="1096">
        <v>-110.82748755</v>
      </c>
      <c r="HA4" s="1099">
        <f ca="1">HB4*(_xlfn.XLOOKUP(HA$3,TabCalc[Ticker],TabCalc[M])+HC4)</f>
        <v>8.0844999999999989E-5</v>
      </c>
      <c r="HB4" s="1095">
        <v>9.9999999999999995E-7</v>
      </c>
      <c r="HC4" s="1096"/>
      <c r="HD4" s="1099">
        <f ca="1">HE4*(_xlfn.XLOOKUP(HD$3,TabCalc[Ticker],TabCalc[M])+HF4)</f>
        <v>3.9760000000000002E-4</v>
      </c>
      <c r="HE4" s="1095">
        <v>9.9999999999999995E-7</v>
      </c>
      <c r="HF4" s="1096"/>
      <c r="HG4" s="1099">
        <f ca="1">HH4*(_xlfn.XLOOKUP(HG$3,TabCalc[Ticker],TabCalc[M])+HI4)</f>
        <v>-3.2264623799260003E-5</v>
      </c>
      <c r="HH4" s="1095">
        <v>9.9999999999999995E-7</v>
      </c>
      <c r="HI4" s="1096">
        <v>-61.89462379926001</v>
      </c>
      <c r="HJ4" s="1099">
        <f ca="1">HK4*(_xlfn.XLOOKUP(HJ$3,TabCalc[Ticker],TabCalc[M])+HL4)</f>
        <v>-1.3166949699999994E-6</v>
      </c>
      <c r="HK4" s="1095">
        <v>9.9999999999999995E-7</v>
      </c>
      <c r="HL4" s="1096">
        <v>-2.2024949699999996</v>
      </c>
      <c r="HM4" s="1099">
        <f ca="1">HN4*(_xlfn.XLOOKUP(HM$3,TabCalc[Ticker],TabCalc[M])+HO4)</f>
        <v>9.9533800000000023E-7</v>
      </c>
      <c r="HN4" s="1095">
        <v>9.9999999999999995E-7</v>
      </c>
      <c r="HO4" s="1096">
        <v>-14.908662</v>
      </c>
      <c r="HP4" s="1099">
        <f ca="1">HQ4*(_xlfn.XLOOKUP(HP$3,TabCalc[Ticker],TabCalc[M])+HR4)</f>
        <v>2.2928136000000051E-5</v>
      </c>
      <c r="HQ4" s="1095">
        <v>9.9999999999999995E-7</v>
      </c>
      <c r="HR4" s="1096">
        <v>-462.17186399999997</v>
      </c>
      <c r="HS4" s="1099">
        <f ca="1">HT4*(_xlfn.XLOOKUP(HS$3,TabCalc[Ticker],TabCalc[M])+HU4)</f>
        <v>1.3624999999999999E-5</v>
      </c>
      <c r="HT4" s="1095">
        <v>9.9999999999999995E-7</v>
      </c>
      <c r="HU4" s="1096"/>
      <c r="HV4" s="1099">
        <f ca="1">HW4*(_xlfn.XLOOKUP(HV$3,TabCalc[Ticker],TabCalc[M])+HX4)</f>
        <v>6.436E-5</v>
      </c>
      <c r="HW4" s="1098">
        <v>9.9999999999999995E-7</v>
      </c>
      <c r="HX4" s="1096"/>
      <c r="HY4" s="1099">
        <f ca="1">HZ4*(_xlfn.XLOOKUP(HY$3,TabCalc[Ticker],TabCalc[M])+IA4)</f>
        <v>-1.3678215999999991E-5</v>
      </c>
      <c r="HZ4" s="1095">
        <v>9.9999999999999995E-7</v>
      </c>
      <c r="IA4" s="1096">
        <v>-181.40821599999998</v>
      </c>
      <c r="IB4" s="1099">
        <f ca="1">IC4*(_xlfn.XLOOKUP(IB$3,TabCalc[Ticker],TabCalc[M])+ID4)</f>
        <v>9.1094000000000006E-4</v>
      </c>
      <c r="IC4" s="1095">
        <v>9.9999999999999995E-7</v>
      </c>
      <c r="ID4" s="1096"/>
      <c r="IE4" s="1099">
        <f ca="1">IF4*(_xlfn.XLOOKUP(IE$3,TabCalc[Ticker],TabCalc[M])+IG4)</f>
        <v>-2.0767493193968287E-5</v>
      </c>
      <c r="IF4" s="1095">
        <v>9.9999999999999995E-7</v>
      </c>
      <c r="IG4" s="1096">
        <v>-21.733693193968289</v>
      </c>
      <c r="IH4" s="1099">
        <f ca="1">II4*(_xlfn.XLOOKUP(IH$3,TabCalc[Ticker],TabCalc[M])+IJ4)</f>
        <v>6.9066041485714248E-6</v>
      </c>
      <c r="II4" s="1095">
        <v>9.9999999999999995E-7</v>
      </c>
      <c r="IJ4" s="1096">
        <v>-33.833395851428577</v>
      </c>
      <c r="IK4" s="1099">
        <f ca="1">IL4*(_xlfn.XLOOKUP(IK$3,TabCalc[Ticker],TabCalc[M])+IM4)</f>
        <v>5.7734900000000381E-6</v>
      </c>
      <c r="IL4" s="1095">
        <v>9.9999999999999995E-7</v>
      </c>
      <c r="IM4" s="1096">
        <v>-557.79651000000001</v>
      </c>
      <c r="IN4" s="1099">
        <f ca="1">IO4*(_xlfn.XLOOKUP(IN$3,TabCalc[Ticker],TabCalc[M])+IP4)</f>
        <v>-3.0841468799999975E-6</v>
      </c>
      <c r="IO4" s="1095">
        <v>9.9999999999999995E-7</v>
      </c>
      <c r="IP4" s="1096">
        <v>-9.7741468799999982</v>
      </c>
      <c r="IQ4" s="1099">
        <f ca="1">IR4*(_xlfn.XLOOKUP(IQ$3,TabCalc[Ticker],TabCalc[M]))</f>
        <v>1.3236000000000001E-4</v>
      </c>
      <c r="IR4" s="1095">
        <v>9.9999999999999995E-7</v>
      </c>
      <c r="IS4" s="1096"/>
      <c r="IT4" s="1099">
        <f ca="1">IU4*(_xlfn.XLOOKUP(IT$3,TabCalc[Ticker],TabCalc[M])+IV4)</f>
        <v>-4.5736999999999028E-8</v>
      </c>
      <c r="IU4" s="1095">
        <v>9.9999999999999995E-7</v>
      </c>
      <c r="IV4" s="1096">
        <v>-13.780736999999998</v>
      </c>
      <c r="IW4" s="1099">
        <f ca="1">IX4*(_xlfn.XLOOKUP(IW$3,TabCalc[Ticker],TabCalc[M])+IY4)</f>
        <v>-1.3275744634999995E-5</v>
      </c>
      <c r="IX4" s="1095">
        <v>9.9999999999999995E-7</v>
      </c>
      <c r="IY4" s="1096">
        <v>-54.475744634999998</v>
      </c>
      <c r="IZ4" s="1099">
        <f ca="1">JA4*(_xlfn.XLOOKUP(IZ$3,TabCalc[Ticker],TabCalc[M])+JB4)</f>
        <v>1.3101999999999946E-8</v>
      </c>
      <c r="JA4" s="1095">
        <v>9.9999999999999995E-7</v>
      </c>
      <c r="JB4" s="1096">
        <v>-25.796897999999999</v>
      </c>
      <c r="JC4" s="1099">
        <f ca="1">JD4*(_xlfn.XLOOKUP(JC$3,TabCalc[Ticker],TabCalc[M])+JE4)</f>
        <v>1.0759508363636367E-6</v>
      </c>
      <c r="JD4" s="1095">
        <v>9.9999999999999995E-7</v>
      </c>
      <c r="JE4" s="1096">
        <v>-3.2090491636363634</v>
      </c>
      <c r="JF4" s="1099">
        <f ca="1">JG4*(_xlfn.XLOOKUP(JF$3,TabCalc[Ticker],TabCalc[M])+JH4)</f>
        <v>3.6299999999999995E-5</v>
      </c>
      <c r="JG4" s="1095">
        <v>9.9999999999999995E-7</v>
      </c>
      <c r="JH4" s="1096"/>
      <c r="JI4" s="1099">
        <f ca="1">JJ4*(_xlfn.XLOOKUP(JI$3,TabCalc[Ticker],TabCalc[M])+JK4)</f>
        <v>-1.3540043999999988E-5</v>
      </c>
      <c r="JJ4" s="1095">
        <v>9.9999999999999995E-7</v>
      </c>
      <c r="JK4" s="1096">
        <v>-77.140043999999989</v>
      </c>
      <c r="JL4" s="1099">
        <f ca="1">JM4*(_xlfn.XLOOKUP(JL$3,TabCalc[Ticker],TabCalc[M])+JN4)</f>
        <v>3.6696492066000016E-5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4.9741159999999991E-6</v>
      </c>
      <c r="JS4" s="1100">
        <v>9.9999999999999995E-7</v>
      </c>
      <c r="JT4" s="1096">
        <v>-5.3538839999999999</v>
      </c>
      <c r="JU4" s="1099">
        <f ca="1">JV4*(_xlfn.XLOOKUP(JU$3,TabCalc[Ticker],TabCalc[M])+JW4)</f>
        <v>9.4089999999999994E-4</v>
      </c>
      <c r="JV4" s="81">
        <v>9.9999999999999995E-7</v>
      </c>
      <c r="JW4" s="1096"/>
      <c r="JX4" s="1099">
        <f ca="1">JY4*(_xlfn.XLOOKUP(JX$3,TabCalc[Ticker],TabCalc[M])+JZ4)</f>
        <v>5.4420549517142903E-7</v>
      </c>
      <c r="JY4" s="1095">
        <v>9.9999999999999995E-7</v>
      </c>
      <c r="JZ4" s="1096">
        <v>-14.490794504828571</v>
      </c>
    </row>
    <row r="5" spans="1:301" ht="22" customHeight="1">
      <c r="A5">
        <v>2</v>
      </c>
      <c r="B5" s="1099">
        <f ca="1">C5*(_xlfn.XLOOKUP(B$3,TabCalc[Ticker],TabCalc[M])+D5)</f>
        <v>41139.999999999985</v>
      </c>
      <c r="C5" s="1102">
        <v>500</v>
      </c>
      <c r="D5" s="1096">
        <v>-195.75</v>
      </c>
      <c r="E5" s="1099">
        <f ca="1">F5*(_xlfn.XLOOKUP(E$3,TabCalc[Ticker],TabCalc[M])+G5)</f>
        <v>1512.0000000000025</v>
      </c>
      <c r="F5" s="1102">
        <v>2800</v>
      </c>
      <c r="G5" s="1096">
        <v>-13.02</v>
      </c>
      <c r="H5" s="1099">
        <f ca="1">I5*(_xlfn.XLOOKUP(H$3,TabCalc[Ticker],TabCalc[M])+J5)</f>
        <v>-33025.999999999964</v>
      </c>
      <c r="I5" s="1102">
        <v>23590</v>
      </c>
      <c r="J5" s="1096">
        <v>-40.4</v>
      </c>
      <c r="K5" s="1099">
        <f ca="1">L5*(_xlfn.XLOOKUP(K$3,TabCalc[Ticker],TabCalc[M])+M5)</f>
        <v>11345.999999999998</v>
      </c>
      <c r="L5" s="1102">
        <v>200</v>
      </c>
      <c r="M5" s="1096">
        <v>-173.55</v>
      </c>
      <c r="N5" s="1099">
        <f ca="1">O5*(_xlfn.XLOOKUP(N$3,TabCalc[Ticker],TabCalc[M])+P5)</f>
        <v>-5700</v>
      </c>
      <c r="O5" s="1102">
        <v>15000</v>
      </c>
      <c r="P5" s="1096">
        <v>-0.93</v>
      </c>
      <c r="Q5" s="1099">
        <f ca="1">R5*(_xlfn.XLOOKUP(Q$3,TabCalc[Ticker],TabCalc[M])+S5)</f>
        <v>170800</v>
      </c>
      <c r="R5" s="1102">
        <v>500</v>
      </c>
      <c r="S5" s="1096">
        <v>-599.29999999999995</v>
      </c>
      <c r="T5" s="1099">
        <f ca="1">U5*(_xlfn.XLOOKUP(T$3,TabCalc[Ticker],TabCalc[M])+V5)</f>
        <v>14948.000000000002</v>
      </c>
      <c r="U5" s="1102">
        <v>200</v>
      </c>
      <c r="V5" s="1096">
        <v>-331.63</v>
      </c>
      <c r="W5" s="1099">
        <f ca="1">X5*(_xlfn.XLOOKUP(W$3,TabCalc[Ticker],TabCalc[M])+Y5)</f>
        <v>10225.000000000002</v>
      </c>
      <c r="X5" s="1102">
        <v>500</v>
      </c>
      <c r="Y5" s="1096">
        <v>-69.84</v>
      </c>
      <c r="Z5" s="1099">
        <f ca="1">AA5*(_xlfn.XLOOKUP(Z$3,TabCalc[Ticker],TabCalc[M])+AB5)</f>
        <v>10600</v>
      </c>
      <c r="AA5" s="1102">
        <v>10000</v>
      </c>
      <c r="AB5" s="1096">
        <v>-1.83</v>
      </c>
      <c r="AC5" s="1099">
        <f ca="1">AD5*(_xlfn.XLOOKUP(AC$3,TabCalc[Ticker],TabCalc[M])+AE5)</f>
        <v>-126620</v>
      </c>
      <c r="AD5" s="1102">
        <v>12500</v>
      </c>
      <c r="AE5" s="1096">
        <v>-12.7196</v>
      </c>
      <c r="AF5" s="1099">
        <f ca="1">AG5*(_xlfn.XLOOKUP(AF$3,TabCalc[Ticker],TabCalc[M])+AH5)</f>
        <v>245</v>
      </c>
      <c r="AG5" s="1102">
        <v>5</v>
      </c>
      <c r="AH5" s="1096">
        <v>-62.75</v>
      </c>
      <c r="AI5" s="1099">
        <f ca="1">AJ5*(_xlfn.XLOOKUP(AI$3,TabCalc[Ticker],TabCalc[M])+AK5)</f>
        <v>12069.999999999993</v>
      </c>
      <c r="AJ5" s="1102">
        <v>1000</v>
      </c>
      <c r="AK5" s="1096">
        <v>-67.2</v>
      </c>
      <c r="AL5" s="1099">
        <f ca="1">AM5*(_xlfn.XLOOKUP(AL$3,TabCalc[Ticker],TabCalc[M])+AN5)</f>
        <v>24.773809999999997</v>
      </c>
      <c r="AM5" s="1102">
        <v>1</v>
      </c>
      <c r="AN5" s="1096">
        <v>-56.056190000000001</v>
      </c>
      <c r="AO5" s="1099">
        <f ca="1">AP5*(_xlfn.XLOOKUP(AO$3,TabCalc[Ticker],TabCalc[M])+AQ5)</f>
        <v>1100.0000000000032</v>
      </c>
      <c r="AP5" s="1102">
        <v>20000</v>
      </c>
      <c r="AQ5" s="1096">
        <v>-1.91</v>
      </c>
      <c r="AR5" s="1099">
        <f ca="1">AS5*(_xlfn.XLOOKUP(AR$3,TabCalc[Ticker],TabCalc[M])+AT5)</f>
        <v>440.00000000000057</v>
      </c>
      <c r="AS5" s="1102">
        <v>200</v>
      </c>
      <c r="AT5" s="1096">
        <v>-109.28</v>
      </c>
      <c r="AU5" s="1099">
        <f ca="1">AV5*(_xlfn.XLOOKUP(AU$3,TabCalc[Ticker],TabCalc[M])+AW5)</f>
        <v>-7020.0000000000027</v>
      </c>
      <c r="AV5" s="1102">
        <v>2000</v>
      </c>
      <c r="AW5" s="1096">
        <v>-26.64</v>
      </c>
      <c r="AX5" s="1099">
        <f ca="1">AY5*(_xlfn.XLOOKUP(AX$3,TabCalc[Ticker],TabCalc[M])+AZ5)</f>
        <v>286.99999999999761</v>
      </c>
      <c r="AY5" s="1102">
        <v>1400</v>
      </c>
      <c r="AZ5" s="1096">
        <v>-120.14</v>
      </c>
      <c r="BA5" s="1099">
        <f ca="1">BB5*(_xlfn.XLOOKUP(BA$3,TabCalc[Ticker],TabCalc[M])+BC5)</f>
        <v>3039.9999999999991</v>
      </c>
      <c r="BB5" s="1102">
        <v>4000</v>
      </c>
      <c r="BC5" s="1096">
        <v>-14.48</v>
      </c>
      <c r="BD5" s="1099">
        <f ca="1">BE5*(_xlfn.XLOOKUP(BD$3,TabCalc[Ticker],TabCalc[M])+BF5)</f>
        <v>140.25000000000043</v>
      </c>
      <c r="BE5" s="1102">
        <v>550</v>
      </c>
      <c r="BF5" s="1096">
        <v>-14.78</v>
      </c>
      <c r="BG5" s="1099">
        <f ca="1">BH5*(_xlfn.XLOOKUP(BG$3,TabCalc[Ticker],TabCalc[M])+BI5)</f>
        <v>-18225.599999999999</v>
      </c>
      <c r="BH5" s="1102">
        <v>12000</v>
      </c>
      <c r="BI5" s="1096">
        <v>-1.72</v>
      </c>
      <c r="BJ5" s="1099">
        <f ca="1">BK5*(_xlfn.XLOOKUP(BJ$3,TabCalc[Ticker],TabCalc[M])+BL5)</f>
        <v>341.68999999999994</v>
      </c>
      <c r="BK5" s="1102">
        <v>10</v>
      </c>
      <c r="BL5" s="1096">
        <v>-46.676000000000002</v>
      </c>
      <c r="BM5" s="1099">
        <f ca="1">BN5*(_xlfn.XLOOKUP(BM$3,TabCalc[Ticker],TabCalc[M])+BO5)</f>
        <v>17560</v>
      </c>
      <c r="BN5" s="1102">
        <v>2000</v>
      </c>
      <c r="BO5" s="1096">
        <v>-15.76</v>
      </c>
      <c r="BP5" s="1099">
        <f ca="1">BQ5*(_xlfn.XLOOKUP(BP$3,TabCalc[Ticker],TabCalc[M])+BR5)</f>
        <v>500</v>
      </c>
      <c r="BQ5" s="1102">
        <v>4000</v>
      </c>
      <c r="BR5" s="1096">
        <v>-25.28</v>
      </c>
      <c r="BS5" s="1099">
        <f ca="1">BT5*(_xlfn.XLOOKUP(BS$3,TabCalc[Ticker],TabCalc[M])+BU5)</f>
        <v>2240800</v>
      </c>
      <c r="BT5" s="1102">
        <v>10000</v>
      </c>
      <c r="BU5" s="1096">
        <v>-173.52</v>
      </c>
      <c r="BV5" s="1099">
        <f ca="1">BW5*(_xlfn.XLOOKUP(BV$3,TabCalc[Ticker],TabCalc[M])+BX5)</f>
        <v>470.00000000001307</v>
      </c>
      <c r="BW5" s="1102">
        <v>2000</v>
      </c>
      <c r="BX5" s="1096">
        <v>-61.98</v>
      </c>
      <c r="BY5" s="1099">
        <f ca="1">BZ5*(_xlfn.XLOOKUP(BY$3,TabCalc[Ticker],TabCalc[M])+CA5)</f>
        <v>0</v>
      </c>
      <c r="BZ5" s="1102"/>
      <c r="CA5" s="1096"/>
      <c r="CB5" s="1099">
        <f ca="1">CC5*(_xlfn.XLOOKUP(CB$3,TabCalc[Ticker],TabCalc[M])+CD5)</f>
        <v>35.817000000000007</v>
      </c>
      <c r="CC5" s="1102">
        <v>10</v>
      </c>
      <c r="CD5" s="1096">
        <v>-5.0682999999999998</v>
      </c>
      <c r="CE5" s="1099">
        <f ca="1">CF5*(_xlfn.XLOOKUP(CE$3,TabCalc[Ticker],TabCalc[M])+CG5)</f>
        <v>-23092.000000000007</v>
      </c>
      <c r="CF5" s="1102">
        <v>2300</v>
      </c>
      <c r="CG5" s="1096">
        <v>-39.67</v>
      </c>
      <c r="CH5" s="1099">
        <f ca="1">CI5*(_xlfn.XLOOKUP(CH$3,TabCalc[Ticker],TabCalc[M])+CJ5)</f>
        <v>963874.5</v>
      </c>
      <c r="CI5" s="1102">
        <v>2550</v>
      </c>
      <c r="CJ5" s="1096">
        <v>-105.48</v>
      </c>
      <c r="CK5" s="1099">
        <f ca="1">CL5*(_xlfn.XLOOKUP(CK$3,TabCalc[Ticker],TabCalc[M])+CM5)</f>
        <v>10.219556999999995</v>
      </c>
      <c r="CL5" s="1102">
        <v>1</v>
      </c>
      <c r="CM5" s="1096">
        <v>-71.000443000000004</v>
      </c>
      <c r="CN5" s="1099">
        <f ca="1">CO5*(_xlfn.XLOOKUP(CN$3,TabCalc[Ticker],TabCalc[M])+CP5)</f>
        <v>111460.00000000001</v>
      </c>
      <c r="CO5" s="1102">
        <v>2000</v>
      </c>
      <c r="CP5" s="1096">
        <v>-43.7</v>
      </c>
      <c r="CQ5" s="1099">
        <f ca="1">CR5*(_xlfn.XLOOKUP(CQ$3,TabCalc[Ticker],TabCalc[M])+CS5)</f>
        <v>-3585.9999999999845</v>
      </c>
      <c r="CR5" s="1102">
        <v>2000</v>
      </c>
      <c r="CS5" s="1096">
        <v>-95.882999999999996</v>
      </c>
      <c r="CT5" s="1099">
        <f ca="1">CU5*(_xlfn.XLOOKUP(CT$3,TabCalc[Ticker],TabCalc[M])+CV5)</f>
        <v>-299.99999999999807</v>
      </c>
      <c r="CU5" s="577">
        <v>10000</v>
      </c>
      <c r="CV5" s="160">
        <v>-1.88</v>
      </c>
      <c r="CW5" s="1099">
        <f ca="1">CX5*(_xlfn.XLOOKUP(CW$3,TabCalc[Ticker],TabCalc[M])+CY5)</f>
        <v>14620.000000000004</v>
      </c>
      <c r="CX5" s="1102">
        <v>1000</v>
      </c>
      <c r="CY5" s="1096">
        <v>-35.72</v>
      </c>
      <c r="CZ5" s="1099">
        <f ca="1">DA5*(_xlfn.XLOOKUP(CZ$3,TabCalc[Ticker],TabCalc[M])+DB5)</f>
        <v>8959.9999999999982</v>
      </c>
      <c r="DA5" s="1102">
        <v>4000</v>
      </c>
      <c r="DB5" s="1096">
        <v>-5.19</v>
      </c>
      <c r="DC5" s="1104">
        <v>5000</v>
      </c>
      <c r="DD5" s="1102">
        <v>5000</v>
      </c>
      <c r="DE5" s="1096">
        <v>-3.5411999999999999</v>
      </c>
      <c r="DF5" s="1099">
        <f ca="1">DG5*(_xlfn.XLOOKUP(DF$3,TabCalc[Ticker],TabCalc[M])+DH5)</f>
        <v>401.60160000000013</v>
      </c>
      <c r="DG5" s="1102">
        <v>3006</v>
      </c>
      <c r="DH5" s="1096">
        <v>-0.85</v>
      </c>
      <c r="DI5" s="1099">
        <f ca="1">DJ5*(_xlfn.XLOOKUP(DI$3,TabCalc[Ticker],TabCalc[M])+DK5)</f>
        <v>13.719999999999999</v>
      </c>
      <c r="DJ5" s="1102">
        <v>1</v>
      </c>
      <c r="DK5" s="1096">
        <v>-28.33</v>
      </c>
      <c r="DL5" s="1099">
        <f ca="1">DM5*(_xlfn.XLOOKUP(DL$3,TabCalc[Ticker],TabCalc[M])+DN5)</f>
        <v>745.99999999999989</v>
      </c>
      <c r="DM5" s="1102">
        <v>50</v>
      </c>
      <c r="DN5" s="1096">
        <v>-28.37</v>
      </c>
      <c r="DO5" s="1099">
        <f ca="1">DP5*(_xlfn.XLOOKUP(DO$3,TabCalc[Ticker],TabCalc[M])+DQ5)</f>
        <v>-18250</v>
      </c>
      <c r="DP5" s="1102">
        <v>1000</v>
      </c>
      <c r="DQ5" s="1096">
        <v>-227.55</v>
      </c>
      <c r="DR5" s="1099">
        <f ca="1">DS5*(_xlfn.XLOOKUP(DR$3,TabCalc[Ticker],TabCalc[M])+DT5)</f>
        <v>2966.7999999999993</v>
      </c>
      <c r="DS5" s="1102">
        <v>4000</v>
      </c>
      <c r="DT5" s="1096">
        <v>-14.1683</v>
      </c>
      <c r="DU5" s="1099">
        <f ca="1">DV5*(_xlfn.XLOOKUP(DU$3,TabCalc[Ticker],TabCalc[M])+DW5)</f>
        <v>1293.9999999999968</v>
      </c>
      <c r="DV5" s="1102">
        <v>4000</v>
      </c>
      <c r="DW5" s="1096">
        <v>-9.1165000000000003</v>
      </c>
      <c r="DX5" s="1099">
        <f ca="1">DY5*(_xlfn.XLOOKUP(DX$3,TabCalc[Ticker],TabCalc[M])+DZ5)</f>
        <v>110.35590000000002</v>
      </c>
      <c r="DY5" s="1102">
        <v>1</v>
      </c>
      <c r="DZ5" s="1096">
        <v>-336.51</v>
      </c>
      <c r="EA5" s="1099">
        <f ca="1">EB5*(_xlfn.XLOOKUP(EA$3,TabCalc[Ticker],TabCalc[M])+EC5)</f>
        <v>152600.00000000003</v>
      </c>
      <c r="EB5" s="1102">
        <v>1000</v>
      </c>
      <c r="EC5" s="1096">
        <v>-152.32</v>
      </c>
      <c r="ED5" s="1099">
        <f ca="1">EE5*(_xlfn.XLOOKUP(ED$3,TabCalc[Ticker],TabCalc[M])+EF5)</f>
        <v>178.25500000000113</v>
      </c>
      <c r="EE5" s="1102">
        <v>350</v>
      </c>
      <c r="EF5" s="1096">
        <v>-37.240699999999997</v>
      </c>
      <c r="EG5" s="1099">
        <f ca="1">EH5*(_xlfn.XLOOKUP(EG$3,TabCalc[Ticker],TabCalc[M])+EI5)</f>
        <v>-14904.100000000004</v>
      </c>
      <c r="EH5" s="1102">
        <v>7235</v>
      </c>
      <c r="EI5" s="1096">
        <v>-9.3000000000000007</v>
      </c>
      <c r="EJ5" s="1099" t="e">
        <f ca="1">EK5*(_xlfn.XLOOKUP(EJ$3,TabCalc[Ticker],TabCalc[M])+EL5)</f>
        <v>#N/A</v>
      </c>
      <c r="EK5" s="1102">
        <v>240</v>
      </c>
      <c r="EL5" s="1096">
        <v>-109.65132</v>
      </c>
      <c r="EM5" s="1099">
        <f ca="1">EN5*(_xlfn.XLOOKUP(EM$3,TabCalc[Ticker],TabCalc[M])+EO5)</f>
        <v>8684.5000000000036</v>
      </c>
      <c r="EN5" s="1102">
        <v>1100</v>
      </c>
      <c r="EO5" s="1096">
        <v>-24.15</v>
      </c>
      <c r="EP5" s="1099">
        <f ca="1">EQ5*(_xlfn.XLOOKUP(EP$3,TabCalc[Ticker],TabCalc[M])+ER5)</f>
        <v>5299.9999999999973</v>
      </c>
      <c r="EQ5" s="1102">
        <v>2000</v>
      </c>
      <c r="ER5" s="1096">
        <v>-58.45</v>
      </c>
      <c r="ES5" s="1099">
        <f ca="1">ET5*(_xlfn.XLOOKUP(ES$3,TabCalc[Ticker],TabCalc[M])+EU5)</f>
        <v>10649.999999999995</v>
      </c>
      <c r="ET5" s="1102">
        <v>5000</v>
      </c>
      <c r="EU5" s="1096">
        <v>-9.4600000000000009</v>
      </c>
      <c r="EV5" s="1099">
        <f ca="1">EW5*(_xlfn.XLOOKUP(EV$3,TabCalc[Ticker],TabCalc[M])+EX5)</f>
        <v>5760.2999999999993</v>
      </c>
      <c r="EW5" s="1102">
        <v>3000</v>
      </c>
      <c r="EX5" s="1103">
        <v>-10.059900000000001</v>
      </c>
      <c r="EY5" s="1099">
        <f ca="1">EZ5*(_xlfn.XLOOKUP(EY$3,TabCalc[Ticker],TabCalc[M])+FA5)</f>
        <v>2691.9999999999986</v>
      </c>
      <c r="EZ5" s="1102">
        <v>200</v>
      </c>
      <c r="FA5" s="1103">
        <v>-106.09</v>
      </c>
      <c r="FB5" s="1099">
        <f ca="1">FC5*(_xlfn.XLOOKUP(FB$3,TabCalc[Ticker],TabCalc[M])+FD5)</f>
        <v>-2500</v>
      </c>
      <c r="FC5" s="1102">
        <v>5000</v>
      </c>
      <c r="FD5" s="1103">
        <v>-6.66</v>
      </c>
      <c r="FE5" s="1099">
        <f ca="1">FF5*(_xlfn.XLOOKUP(FE$3,TabCalc[Ticker],TabCalc[M])+FG5)</f>
        <v>-8165.73</v>
      </c>
      <c r="FF5" s="1102">
        <v>20000</v>
      </c>
      <c r="FG5" s="1096">
        <v>-0.95828650000000004</v>
      </c>
      <c r="FH5" s="1099">
        <f ca="1">FI5*(_xlfn.XLOOKUP(FH$3,TabCalc[Ticker],TabCalc[M])+FJ5)</f>
        <v>-4850.0000000000009</v>
      </c>
      <c r="FI5" s="1102">
        <v>10000</v>
      </c>
      <c r="FJ5" s="1096">
        <v>-2.4500000000000002</v>
      </c>
      <c r="FK5" s="1099">
        <f ca="1">FL5*(_xlfn.XLOOKUP(FK$3,TabCalc[Ticker],TabCalc[M])+FM5)</f>
        <v>-10635</v>
      </c>
      <c r="FL5" s="1102">
        <v>1500</v>
      </c>
      <c r="FM5" s="1096">
        <v>-30.22</v>
      </c>
      <c r="FN5" s="1099">
        <f ca="1">FO5*(_xlfn.XLOOKUP(FN$3,TabCalc[Ticker],TabCalc[M])+FP5)</f>
        <v>39.75</v>
      </c>
      <c r="FO5" s="1102">
        <v>10</v>
      </c>
      <c r="FP5" s="1096">
        <v>-11.06</v>
      </c>
      <c r="FQ5" s="1099">
        <f ca="1">FR5*(_xlfn.XLOOKUP(FQ$3,TabCalc[Ticker],TabCalc[M])+FS5)</f>
        <v>6628</v>
      </c>
      <c r="FR5" s="1102">
        <v>2000</v>
      </c>
      <c r="FS5" s="1096">
        <v>-12.59</v>
      </c>
      <c r="FT5" s="1099">
        <f ca="1">FU5*(_xlfn.XLOOKUP(FT$3,TabCalc[Ticker],TabCalc[M])+FV5)</f>
        <v>-15188</v>
      </c>
      <c r="FU5" s="1102">
        <v>10000</v>
      </c>
      <c r="FV5" s="1096">
        <v>-1.72</v>
      </c>
      <c r="FW5" s="1099">
        <f ca="1">FX5*(_xlfn.XLOOKUP(FW$3,TabCalc[Ticker],TabCalc[M])+FY5)</f>
        <v>10339.999999999996</v>
      </c>
      <c r="FX5" s="1102">
        <v>1000</v>
      </c>
      <c r="FY5" s="1096">
        <v>-54.02</v>
      </c>
      <c r="FZ5" s="1099">
        <f ca="1">GA5*(_xlfn.XLOOKUP(FZ$3,TabCalc[Ticker],TabCalc[M])+GB5)</f>
        <v>17190</v>
      </c>
      <c r="GA5" s="1102">
        <v>6000</v>
      </c>
      <c r="GB5" s="1096">
        <v>-10.87</v>
      </c>
      <c r="GC5" s="1099">
        <f ca="1">GD5*(_xlfn.XLOOKUP(GC$3,TabCalc[Ticker],TabCalc[M])+GE5)</f>
        <v>10.195</v>
      </c>
      <c r="GD5" s="1102">
        <v>1</v>
      </c>
      <c r="GE5" s="1096">
        <v>-33.094999999999999</v>
      </c>
      <c r="GF5" s="1099">
        <f ca="1">GG5*(_xlfn.XLOOKUP(GF$3,TabCalc[Ticker],TabCalc[M])+GH5)</f>
        <v>1432.1300000000024</v>
      </c>
      <c r="GG5" s="1102">
        <v>499</v>
      </c>
      <c r="GH5" s="1096">
        <v>-206.43</v>
      </c>
      <c r="GI5" s="1099">
        <f ca="1">GJ5*(_xlfn.XLOOKUP(GI$3,TabCalc[Ticker],TabCalc[M])+GK5)</f>
        <v>12.675000000000111</v>
      </c>
      <c r="GJ5" s="1102">
        <v>39</v>
      </c>
      <c r="GK5" s="1096">
        <v>-37.424999999999997</v>
      </c>
      <c r="GL5" s="1099">
        <f ca="1">GM5*(_xlfn.XLOOKUP(GL$3,TabCalc[Ticker],TabCalc[M])+GN5)</f>
        <v>22976.69999999999</v>
      </c>
      <c r="GM5" s="1102">
        <v>290</v>
      </c>
      <c r="GN5" s="1096">
        <v>-198.8</v>
      </c>
      <c r="GO5" s="1099">
        <f ca="1">GP5*(_xlfn.XLOOKUP(GO$3,TabCalc[Ticker],TabCalc[M])+GQ5)</f>
        <v>22314.999999999996</v>
      </c>
      <c r="GP5" s="1102">
        <v>500</v>
      </c>
      <c r="GQ5" s="1096">
        <v>-185.65</v>
      </c>
      <c r="GR5" s="1099">
        <f ca="1">GS5*(_xlfn.XLOOKUP(GR$3,TabCalc[Ticker],TabCalc[M])+GT5)</f>
        <v>0</v>
      </c>
      <c r="GS5" s="1102"/>
      <c r="GT5" s="1096"/>
      <c r="GU5" s="1099">
        <f ca="1">GV5*(_xlfn.XLOOKUP(GU$3,TabCalc[Ticker],TabCalc[M])+GW5)</f>
        <v>756.00000000000068</v>
      </c>
      <c r="GV5" s="1102">
        <v>21000</v>
      </c>
      <c r="GW5" s="1096">
        <v>-1.929</v>
      </c>
      <c r="GX5" s="1099">
        <f ca="1">GY5*(_xlfn.XLOOKUP(GX$3,TabCalc[Ticker],TabCalc[M])+GZ5)</f>
        <v>1922.900000000003</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-27547.800000000014</v>
      </c>
      <c r="HH5" s="1102">
        <v>3000</v>
      </c>
      <c r="HI5" s="1096">
        <v>-38.812600000000003</v>
      </c>
      <c r="HJ5" s="1099">
        <f ca="1">HK5*(_xlfn.XLOOKUP(HJ$3,TabCalc[Ticker],TabCalc[M])+HL5)</f>
        <v>-5047.9999999999991</v>
      </c>
      <c r="HK5" s="1102">
        <v>40000</v>
      </c>
      <c r="HL5" s="1096">
        <v>-1.012</v>
      </c>
      <c r="HM5" s="1099">
        <f ca="1">HN5*(_xlfn.XLOOKUP(HM$3,TabCalc[Ticker],TabCalc[M])+HO5)</f>
        <v>10340.000000000007</v>
      </c>
      <c r="HN5" s="1102">
        <v>10000</v>
      </c>
      <c r="HO5" s="1096">
        <v>-14.87</v>
      </c>
      <c r="HP5" s="1099">
        <f ca="1">HQ5*(_xlfn.XLOOKUP(HP$3,TabCalc[Ticker],TabCalc[M])+HR5)</f>
        <v>681800.00000000058</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206.00000000000023</v>
      </c>
      <c r="HZ5" s="1102">
        <v>200</v>
      </c>
      <c r="IA5" s="1096">
        <v>-166.7</v>
      </c>
      <c r="IB5" s="1099">
        <f ca="1">IC5*(_xlfn.XLOOKUP(IB$3,TabCalc[Ticker],TabCalc[M])+ID5)</f>
        <v>0</v>
      </c>
      <c r="IC5" s="1102"/>
      <c r="ID5" s="1096"/>
      <c r="IE5" s="1099">
        <f ca="1">IF5*(_xlfn.XLOOKUP(IE$3,TabCalc[Ticker],TabCalc[M])+IG5)</f>
        <v>-52805.748600000006</v>
      </c>
      <c r="IF5" s="1102">
        <v>9647</v>
      </c>
      <c r="IG5" s="1096">
        <v>-6.44</v>
      </c>
      <c r="IH5" s="1099">
        <f ca="1">II5*(_xlfn.XLOOKUP(IH$3,TabCalc[Ticker],TabCalc[M])+IJ5)</f>
        <v>12051.120000000004</v>
      </c>
      <c r="II5" s="1102">
        <v>1200</v>
      </c>
      <c r="IJ5" s="1096">
        <v>-30.697399999999998</v>
      </c>
      <c r="IK5" s="1099">
        <f ca="1">IL5*(_xlfn.XLOOKUP(IK$3,TabCalc[Ticker],TabCalc[M])+IM5)</f>
        <v>1676.0000000000105</v>
      </c>
      <c r="IL5" s="1102">
        <v>100</v>
      </c>
      <c r="IM5" s="1096">
        <v>-546.80999999999995</v>
      </c>
      <c r="IN5" s="1099">
        <f ca="1">IO5*(_xlfn.XLOOKUP(IN$3,TabCalc[Ticker],TabCalc[M])+IP5)</f>
        <v>-13764.599999999995</v>
      </c>
      <c r="IO5" s="1102">
        <v>4500</v>
      </c>
      <c r="IP5" s="1096">
        <v>-9.7487999999999992</v>
      </c>
      <c r="IQ5" s="1099">
        <f ca="1">IR5*(_xlfn.XLOOKUP(IQ$3,TabCalc[Ticker],TabCalc[M]))</f>
        <v>0</v>
      </c>
      <c r="IR5" s="1102"/>
      <c r="IS5" s="1096"/>
      <c r="IT5" s="1099">
        <f ca="1">IU5*(_xlfn.XLOOKUP(IT$3,TabCalc[Ticker],TabCalc[M])+IV5)</f>
        <v>-11.999999999999744</v>
      </c>
      <c r="IU5" s="1102">
        <v>1200</v>
      </c>
      <c r="IV5" s="1096">
        <v>-13.744999999999999</v>
      </c>
      <c r="IW5" s="1099">
        <f ca="1">IX5*(_xlfn.XLOOKUP(IW$3,TabCalc[Ticker],TabCalc[M])+IY5)</f>
        <v>-6039.9999999999991</v>
      </c>
      <c r="IX5" s="1102">
        <v>1000</v>
      </c>
      <c r="IY5" s="1096">
        <v>-47.24</v>
      </c>
      <c r="IZ5" s="1099">
        <f ca="1">JA5*(_xlfn.XLOOKUP(IZ$3,TabCalc[Ticker],TabCalc[M])+JB5)</f>
        <v>159.99999999999659</v>
      </c>
      <c r="JA5" s="1102">
        <v>2000</v>
      </c>
      <c r="JB5" s="1096">
        <v>-25.73</v>
      </c>
      <c r="JC5" s="1099">
        <f ca="1">JD5*(_xlfn.XLOOKUP(JC$3,TabCalc[Ticker],TabCalc[M])+JE5)</f>
        <v>18052.5</v>
      </c>
      <c r="JD5" s="1102">
        <v>14500</v>
      </c>
      <c r="JE5" s="1096">
        <v>-3.04</v>
      </c>
      <c r="JF5" s="1099">
        <f ca="1">JG5*(_xlfn.XLOOKUP(JF$3,TabCalc[Ticker],TabCalc[M])+JH5)</f>
        <v>0</v>
      </c>
      <c r="JG5" s="1102"/>
      <c r="JH5" s="1096"/>
      <c r="JI5" s="1099">
        <f ca="1">JJ5*(_xlfn.XLOOKUP(JI$3,TabCalc[Ticker],TabCalc[M])+JK5)</f>
        <v>-8003.9999999999982</v>
      </c>
      <c r="JJ5" s="1102">
        <v>600</v>
      </c>
      <c r="JK5" s="1096">
        <v>-76.94</v>
      </c>
      <c r="JL5" s="1099">
        <f ca="1">JM5*(_xlfn.XLOOKUP(JL$3,TabCalc[Ticker],TabCalc[M])+JN5)</f>
        <v>8570.2499999999982</v>
      </c>
      <c r="JM5" s="1102">
        <v>150</v>
      </c>
      <c r="JN5" s="1096">
        <v>-140.46</v>
      </c>
      <c r="JO5" s="1099">
        <f ca="1">JP5*(_xlfn.XLOOKUP(JO$3,TabCalc[Ticker],TabCalc[M])+JQ5)</f>
        <v>238.82794000000004</v>
      </c>
      <c r="JP5" s="1102">
        <v>10</v>
      </c>
      <c r="JQ5" s="1096">
        <v>-30.957205999999999</v>
      </c>
      <c r="JR5" s="1099">
        <f ca="1">JS5*(_xlfn.XLOOKUP(JR$3,TabCalc[Ticker],TabCalc[M])+JT5)</f>
        <v>384574.8</v>
      </c>
      <c r="JS5" s="1104">
        <v>77100</v>
      </c>
      <c r="JT5" s="1096">
        <v>-5.34</v>
      </c>
      <c r="JU5" s="1099">
        <f ca="1">JV5*(_xlfn.XLOOKUP(JU$3,TabCalc[Ticker],TabCalc[M])+JW5)</f>
        <v>0</v>
      </c>
      <c r="JV5" s="80"/>
      <c r="JW5" s="1096"/>
      <c r="JX5" s="1099">
        <f ca="1">JY5*(_xlfn.XLOOKUP(JX$3,TabCalc[Ticker],TabCalc[M])+JZ5)</f>
        <v>12089.999999999998</v>
      </c>
      <c r="JY5" s="1102">
        <v>3000</v>
      </c>
      <c r="JZ5" s="1096">
        <v>-11.005000000000001</v>
      </c>
    </row>
    <row r="6" spans="1:301" ht="22" customHeight="1">
      <c r="A6">
        <v>3</v>
      </c>
      <c r="B6" s="1099">
        <f ca="1">C6*(_xlfn.XLOOKUP(B$3,TabCalc[Ticker],TabCalc[M])+D6)</f>
        <v>24410.999999999993</v>
      </c>
      <c r="C6" s="1102">
        <v>300</v>
      </c>
      <c r="D6" s="1096">
        <v>-196.66</v>
      </c>
      <c r="E6" s="1099">
        <f ca="1">F6*(_xlfn.XLOOKUP(E$3,TabCalc[Ticker],TabCalc[M])+G6)</f>
        <v>1045.2000000000028</v>
      </c>
      <c r="F6" s="1102">
        <v>2010</v>
      </c>
      <c r="G6" s="1096">
        <v>-13.04</v>
      </c>
      <c r="H6" s="1099">
        <f ca="1">I6*(_xlfn.XLOOKUP(H$3,TabCalc[Ticker],TabCalc[M])+J6)</f>
        <v>-46666.880699999936</v>
      </c>
      <c r="I6" s="1102">
        <v>19410</v>
      </c>
      <c r="J6" s="1096">
        <v>-41.404269999999997</v>
      </c>
      <c r="K6" s="1099">
        <f ca="1">L6*(_xlfn.XLOOKUP(K$3,TabCalc[Ticker],TabCalc[M])+M6)</f>
        <v>42242.239999999991</v>
      </c>
      <c r="L6" s="1102">
        <v>800</v>
      </c>
      <c r="M6" s="1096">
        <v>-177.47720000000001</v>
      </c>
      <c r="N6" s="1099">
        <f ca="1">O6*(_xlfn.XLOOKUP(N$3,TabCalc[Ticker],TabCalc[M])+P6)</f>
        <v>-8853.75</v>
      </c>
      <c r="O6" s="1102">
        <v>19675</v>
      </c>
      <c r="P6" s="1096">
        <v>-1</v>
      </c>
      <c r="Q6" s="1099">
        <f ca="1">R6*(_xlfn.XLOOKUP(Q$3,TabCalc[Ticker],TabCalc[M])+S6)</f>
        <v>101505</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4080</v>
      </c>
      <c r="AA6" s="1102">
        <v>4000</v>
      </c>
      <c r="AB6" s="1096">
        <v>-1.87</v>
      </c>
      <c r="AC6" s="1099">
        <f ca="1">AD6*(_xlfn.XLOOKUP(AC$3,TabCalc[Ticker],TabCalc[M])+AE6)</f>
        <v>0</v>
      </c>
      <c r="AD6" s="1102"/>
      <c r="AE6" s="1096"/>
      <c r="AF6" s="1099">
        <f ca="1">AG6*(_xlfn.XLOOKUP(AF$3,TabCalc[Ticker],TabCalc[M])+AH6)</f>
        <v>1081.9999999999993</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-9899.9999999999982</v>
      </c>
      <c r="AP6" s="1102">
        <v>20000</v>
      </c>
      <c r="AQ6" s="1096">
        <v>-2.46</v>
      </c>
      <c r="AR6" s="1099">
        <f ca="1">AS6*(_xlfn.XLOOKUP(AR$3,TabCalc[Ticker],TabCalc[M])+AT6)</f>
        <v>-3533.9999999999918</v>
      </c>
      <c r="AS6" s="1102">
        <v>800</v>
      </c>
      <c r="AT6" s="1096">
        <v>-115.89749999999999</v>
      </c>
      <c r="AU6" s="1099">
        <f ca="1">AV6*(_xlfn.XLOOKUP(AU$3,TabCalc[Ticker],TabCalc[M])+AW6)</f>
        <v>-3910</v>
      </c>
      <c r="AV6" s="1102">
        <v>500</v>
      </c>
      <c r="AW6" s="1096">
        <v>-30.95</v>
      </c>
      <c r="AX6" s="1099">
        <f ca="1">AY6*(_xlfn.XLOOKUP(AX$3,TabCalc[Ticker],TabCalc[M])+AZ6)</f>
        <v>0</v>
      </c>
      <c r="AY6" s="1102"/>
      <c r="AZ6" s="1096"/>
      <c r="BA6" s="1099">
        <f ca="1">BB6*(_xlfn.XLOOKUP(BA$3,TabCalc[Ticker],TabCalc[M])+BC6)</f>
        <v>-6654.9999999999973</v>
      </c>
      <c r="BB6" s="1102">
        <v>2000</v>
      </c>
      <c r="BC6" s="1096">
        <v>-18.567499999999999</v>
      </c>
      <c r="BD6" s="1099">
        <f ca="1">BE6*(_xlfn.XLOOKUP(BD$3,TabCalc[Ticker],TabCalc[M])+BF6)</f>
        <v>-14522.249999999985</v>
      </c>
      <c r="BE6" s="1102">
        <v>14450</v>
      </c>
      <c r="BF6" s="1096">
        <v>-16.04</v>
      </c>
      <c r="BG6" s="1099">
        <f ca="1">BH6*(_xlfn.XLOOKUP(BG$3,TabCalc[Ticker],TabCalc[M])+BI6)</f>
        <v>-24282</v>
      </c>
      <c r="BH6" s="1102">
        <v>15000</v>
      </c>
      <c r="BI6" s="1096">
        <v>-1.82</v>
      </c>
      <c r="BJ6" s="1099">
        <f ca="1">BK6*(_xlfn.XLOOKUP(BJ$3,TabCalc[Ticker],TabCalc[M])+BL6)</f>
        <v>0</v>
      </c>
      <c r="BK6" s="1102"/>
      <c r="BL6" s="1096"/>
      <c r="BM6" s="1099">
        <f ca="1">BN6*(_xlfn.XLOOKUP(BM$3,TabCalc[Ticker],TabCalc[M])+BO6)</f>
        <v>17008.167999999998</v>
      </c>
      <c r="BN6" s="1102">
        <v>4000</v>
      </c>
      <c r="BO6" s="1096">
        <v>-20.287958</v>
      </c>
      <c r="BP6" s="1099">
        <f ca="1">BQ6*(_xlfn.XLOOKUP(BP$3,TabCalc[Ticker],TabCalc[M])+BR6)</f>
        <v>-1339.9999999999891</v>
      </c>
      <c r="BQ6" s="1102">
        <v>4000</v>
      </c>
      <c r="BR6" s="1096">
        <v>-25.74</v>
      </c>
      <c r="BS6" s="1099">
        <f ca="1">BT6*(_xlfn.XLOOKUP(BS$3,TabCalc[Ticker],TabCalc[M])+BU6)</f>
        <v>2971760.0000000005</v>
      </c>
      <c r="BT6" s="1102">
        <v>20000</v>
      </c>
      <c r="BU6" s="1096">
        <v>-249.012</v>
      </c>
      <c r="BV6" s="1099">
        <f ca="1">BW6*(_xlfn.XLOOKUP(BV$3,TabCalc[Ticker],TabCalc[M])+BX6)</f>
        <v>-2949.9999999999886</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-35160.000000000007</v>
      </c>
      <c r="CF6" s="1102">
        <v>3000</v>
      </c>
      <c r="CG6" s="1096">
        <v>-41.35</v>
      </c>
      <c r="CH6" s="1099">
        <f ca="1">CI6*(_xlfn.XLOOKUP(CH$3,TabCalc[Ticker],TabCalc[M])+CJ6)</f>
        <v>15756.000000000004</v>
      </c>
      <c r="CI6" s="1102">
        <v>150</v>
      </c>
      <c r="CJ6" s="1096">
        <v>-378.43</v>
      </c>
      <c r="CK6" s="1099">
        <f ca="1">CL6*(_xlfn.XLOOKUP(CK$3,TabCalc[Ticker],TabCalc[M])+CM6)</f>
        <v>-7680.0000000000073</v>
      </c>
      <c r="CL6" s="1102">
        <v>3000</v>
      </c>
      <c r="CM6" s="1096">
        <v>-83.78</v>
      </c>
      <c r="CN6" s="1099">
        <f ca="1">CO6*(_xlfn.XLOOKUP(CN$3,TabCalc[Ticker],TabCalc[M])+CP6)</f>
        <v>49450.000000000007</v>
      </c>
      <c r="CO6" s="1102">
        <v>1000</v>
      </c>
      <c r="CP6" s="1096">
        <v>-49.98</v>
      </c>
      <c r="CQ6" s="1099">
        <f ca="1">CR6*(_xlfn.XLOOKUP(CQ$3,TabCalc[Ticker],TabCalc[M])+CS6)</f>
        <v>-6789.9999999999918</v>
      </c>
      <c r="CR6" s="1102">
        <v>1000</v>
      </c>
      <c r="CS6" s="1096">
        <v>-100.88</v>
      </c>
      <c r="CT6" s="1099">
        <f ca="1">CU6*(_xlfn.XLOOKUP(CT$3,TabCalc[Ticker],TabCalc[M])+CV6)</f>
        <v>-1199.9999999999989</v>
      </c>
      <c r="CU6" s="577">
        <v>10000</v>
      </c>
      <c r="CV6" s="160">
        <v>-1.97</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43.669600000000017</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-11524.999999999991</v>
      </c>
      <c r="DP6" s="1102">
        <v>500</v>
      </c>
      <c r="DQ6" s="1096">
        <v>-232.35</v>
      </c>
      <c r="DR6" s="1099">
        <f ca="1">DS6*(_xlfn.XLOOKUP(DR$3,TabCalc[Ticker],TabCalc[M])+DT6)</f>
        <v>79.999999999998295</v>
      </c>
      <c r="DS6" s="1102">
        <v>4000</v>
      </c>
      <c r="DT6" s="1096">
        <v>-14.89</v>
      </c>
      <c r="DU6" s="1099">
        <f ca="1">DV6*(_xlfn.XLOOKUP(DU$3,TabCalc[Ticker],TabCalc[M])+DW6)</f>
        <v>569.99999999999852</v>
      </c>
      <c r="DV6" s="1102">
        <v>3000</v>
      </c>
      <c r="DW6" s="1096">
        <v>-9.25</v>
      </c>
      <c r="DX6" s="1099">
        <f ca="1">DY6*(_xlfn.XLOOKUP(DX$3,TabCalc[Ticker],TabCalc[M])+DZ6)</f>
        <v>0</v>
      </c>
      <c r="DY6" s="1102"/>
      <c r="DZ6" s="1096"/>
      <c r="EA6" s="1099">
        <f ca="1">EB6*(_xlfn.XLOOKUP(EA$3,TabCalc[Ticker],TabCalc[M])+EC6)</f>
        <v>176964.00000000003</v>
      </c>
      <c r="EB6" s="1102">
        <v>1200</v>
      </c>
      <c r="EC6" s="1096">
        <v>-157.44999999999999</v>
      </c>
      <c r="ED6" s="1099">
        <f ca="1">EE6*(_xlfn.XLOOKUP(ED$3,TabCalc[Ticker],TabCalc[M])+EF6)</f>
        <v>-495.93999999999966</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6067.5000000000027</v>
      </c>
      <c r="EN6" s="1102">
        <v>1500</v>
      </c>
      <c r="EO6" s="1096">
        <v>-28</v>
      </c>
      <c r="EP6" s="1099">
        <f ca="1">EQ6*(_xlfn.XLOOKUP(EP$3,TabCalc[Ticker],TabCalc[M])+ER6)</f>
        <v>4600.0000000000082</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618.00000000000068</v>
      </c>
      <c r="EZ6" s="1102">
        <v>300</v>
      </c>
      <c r="FA6" s="1105">
        <v>-117.49</v>
      </c>
      <c r="FB6" s="1099">
        <f ca="1">FC6*(_xlfn.XLOOKUP(FB$3,TabCalc[Ticker],TabCalc[M])+FD6)</f>
        <v>-2944</v>
      </c>
      <c r="FC6" s="1102">
        <v>800</v>
      </c>
      <c r="FD6" s="1105">
        <v>-9.84</v>
      </c>
      <c r="FE6" s="1099">
        <f ca="1">FF6*(_xlfn.XLOOKUP(FE$3,TabCalc[Ticker],TabCalc[M])+FG6)</f>
        <v>-9200</v>
      </c>
      <c r="FF6" s="1102">
        <v>20000</v>
      </c>
      <c r="FG6" s="1096">
        <v>-1.01</v>
      </c>
      <c r="FH6" s="1099">
        <f ca="1">FI6*(_xlfn.XLOOKUP(FH$3,TabCalc[Ticker],TabCalc[M])+FJ6)</f>
        <v>0</v>
      </c>
      <c r="FI6" s="1102"/>
      <c r="FJ6" s="1096"/>
      <c r="FK6" s="1099">
        <f ca="1">FL6*(_xlfn.XLOOKUP(FK$3,TabCalc[Ticker],TabCalc[M])+FM6)</f>
        <v>-4115</v>
      </c>
      <c r="FL6" s="1102">
        <v>500</v>
      </c>
      <c r="FM6" s="1096">
        <v>-31.36</v>
      </c>
      <c r="FN6" s="1099">
        <f ca="1">FO6*(_xlfn.XLOOKUP(FN$3,TabCalc[Ticker],TabCalc[M])+FP6)</f>
        <v>0</v>
      </c>
      <c r="FO6" s="1102"/>
      <c r="FP6" s="1096"/>
      <c r="FQ6" s="1099">
        <f ca="1">FR6*(_xlfn.XLOOKUP(FQ$3,TabCalc[Ticker],TabCalc[M])+FS6)</f>
        <v>25957.599999999999</v>
      </c>
      <c r="FR6" s="1102">
        <v>8000</v>
      </c>
      <c r="FS6" s="1096">
        <v>-12.6593</v>
      </c>
      <c r="FT6" s="1099">
        <f ca="1">FU6*(_xlfn.XLOOKUP(FT$3,TabCalc[Ticker],TabCalc[M])+FV6)</f>
        <v>-13457.599999999999</v>
      </c>
      <c r="FU6" s="1102">
        <v>2000</v>
      </c>
      <c r="FV6" s="1096">
        <v>-6.93</v>
      </c>
      <c r="FW6" s="1099">
        <f ca="1">FX6*(_xlfn.XLOOKUP(FW$3,TabCalc[Ticker],TabCalc[M])+FY6)</f>
        <v>5269.9999999999964</v>
      </c>
      <c r="FX6" s="1102">
        <v>1000</v>
      </c>
      <c r="FY6" s="1096">
        <v>-59.09</v>
      </c>
      <c r="FZ6" s="1099">
        <f ca="1">GA6*(_xlfn.XLOOKUP(FZ$3,TabCalc[Ticker],TabCalc[M])+GB6)</f>
        <v>13463.999999999998</v>
      </c>
      <c r="GA6" s="1102">
        <v>4800</v>
      </c>
      <c r="GB6" s="1096">
        <v>-10.93</v>
      </c>
      <c r="GC6" s="1099">
        <f ca="1">GD6*(_xlfn.XLOOKUP(GC$3,TabCalc[Ticker],TabCalc[M])+GE6)</f>
        <v>0</v>
      </c>
      <c r="GD6" s="1102"/>
      <c r="GE6" s="1096"/>
      <c r="GF6" s="1099">
        <f ca="1">GG6*(_xlfn.XLOOKUP(GF$3,TabCalc[Ticker],TabCalc[M])+GH6)</f>
        <v>-8319.9999999999982</v>
      </c>
      <c r="GG6" s="1102">
        <v>200</v>
      </c>
      <c r="GH6" s="1096">
        <v>-250.9</v>
      </c>
      <c r="GI6" s="1099">
        <f ca="1">GJ6*(_xlfn.XLOOKUP(GI$3,TabCalc[Ticker],TabCalc[M])+GK6)</f>
        <v>-1.3499999999999872</v>
      </c>
      <c r="GJ6" s="1102">
        <v>9</v>
      </c>
      <c r="GK6" s="1096">
        <v>-37.9</v>
      </c>
      <c r="GL6" s="1099">
        <f ca="1">GM6*(_xlfn.XLOOKUP(GL$3,TabCalc[Ticker],TabCalc[M])+GN6)</f>
        <v>4384.8407999999981</v>
      </c>
      <c r="GM6" s="1102">
        <v>60</v>
      </c>
      <c r="GN6" s="1096">
        <v>-204.94932</v>
      </c>
      <c r="GO6" s="1099">
        <f ca="1">GP6*(_xlfn.XLOOKUP(GO$3,TabCalc[Ticker],TabCalc[M])+GQ6)</f>
        <v>9197.4999999999982</v>
      </c>
      <c r="GP6" s="1102">
        <v>250</v>
      </c>
      <c r="GQ6" s="1096">
        <v>-193.49</v>
      </c>
      <c r="GR6" s="1099">
        <f ca="1">GS6*(_xlfn.XLOOKUP(GR$3,TabCalc[Ticker],TabCalc[M])+GT6)</f>
        <v>0</v>
      </c>
      <c r="GS6" s="1102"/>
      <c r="GT6" s="1096"/>
      <c r="GU6" s="1099">
        <f ca="1">GV6*(_xlfn.XLOOKUP(GU$3,TabCalc[Ticker],TabCalc[M])+GW6)</f>
        <v>-18157.5</v>
      </c>
      <c r="GV6" s="1102">
        <v>25000</v>
      </c>
      <c r="GW6" s="1096">
        <v>-2.6913</v>
      </c>
      <c r="GX6" s="1099">
        <f ca="1">GY6*(_xlfn.XLOOKUP(GX$3,TabCalc[Ticker],TabCalc[M])+GZ6)</f>
        <v>-795</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-42911.700000000012</v>
      </c>
      <c r="HH6" s="1102">
        <v>1000</v>
      </c>
      <c r="HI6" s="1096">
        <v>-72.541700000000006</v>
      </c>
      <c r="HJ6" s="1099">
        <f ca="1">HK6*(_xlfn.XLOOKUP(HJ$3,TabCalc[Ticker],TabCalc[M])+HL6)</f>
        <v>-21083.999999999996</v>
      </c>
      <c r="HK6" s="1102">
        <v>20000</v>
      </c>
      <c r="HL6" s="1096">
        <v>-1.94</v>
      </c>
      <c r="HM6" s="1099">
        <f ca="1">HN6*(_xlfn.XLOOKUP(HM$3,TabCalc[Ticker],TabCalc[M])+HO6)</f>
        <v>0</v>
      </c>
      <c r="HN6" s="1102"/>
      <c r="HO6" s="1096"/>
      <c r="HP6" s="1099">
        <f ca="1">HQ6*(_xlfn.XLOOKUP(HP$3,TabCalc[Ticker],TabCalc[M])+HR6)</f>
        <v>42000.000000000451</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-4629.0000000000018</v>
      </c>
      <c r="HZ6" s="1102">
        <v>300</v>
      </c>
      <c r="IA6" s="1096">
        <v>-183.16</v>
      </c>
      <c r="IB6" s="1099">
        <f ca="1">IC6*(_xlfn.XLOOKUP(IB$3,TabCalc[Ticker],TabCalc[M])+ID6)</f>
        <v>0</v>
      </c>
      <c r="IC6" s="1101"/>
      <c r="ID6" s="1096"/>
      <c r="IE6" s="1099">
        <f ca="1">IF6*(_xlfn.XLOOKUP(IE$3,TabCalc[Ticker],TabCalc[M])+IG6)</f>
        <v>-21742.428399999997</v>
      </c>
      <c r="IF6" s="1102">
        <v>518</v>
      </c>
      <c r="IG6" s="1096">
        <v>-42.94</v>
      </c>
      <c r="IH6" s="1099">
        <f ca="1">II6*(_xlfn.XLOOKUP(IH$3,TabCalc[Ticker],TabCalc[M])+IJ6)</f>
        <v>2636.9999999999995</v>
      </c>
      <c r="II6" s="1102">
        <v>900</v>
      </c>
      <c r="IJ6" s="1096">
        <v>-37.81</v>
      </c>
      <c r="IK6" s="1099">
        <f ca="1">IL6*(_xlfn.XLOOKUP(IK$3,TabCalc[Ticker],TabCalc[M])+IM6)</f>
        <v>-231.99999999999363</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-6201.0000000000009</v>
      </c>
      <c r="IX6" s="1102">
        <v>900</v>
      </c>
      <c r="IY6" s="1096">
        <v>-48.09</v>
      </c>
      <c r="IZ6" s="1099">
        <f ca="1">JA6*(_xlfn.XLOOKUP(IZ$3,TabCalc[Ticker],TabCalc[M])+JB6)</f>
        <v>0</v>
      </c>
      <c r="JA6" s="1102"/>
      <c r="JB6" s="1096"/>
      <c r="JC6" s="1099">
        <f ca="1">JD6*(_xlfn.XLOOKUP(JC$3,TabCalc[Ticker],TabCalc[M])+JE6)</f>
        <v>11765.000000000004</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2778.8650000000002</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609.99999999999943</v>
      </c>
      <c r="JY6" s="1102">
        <v>2000</v>
      </c>
      <c r="JZ6" s="1096">
        <v>-14.73</v>
      </c>
    </row>
    <row r="7" spans="1:301" ht="22" customHeight="1">
      <c r="A7">
        <v>4</v>
      </c>
      <c r="B7" s="1099">
        <f ca="1">C7*(_xlfn.XLOOKUP(B$3,TabCalc[Ticker],TabCalc[M])+D7)</f>
        <v>40304.999999999993</v>
      </c>
      <c r="C7" s="1102">
        <v>500</v>
      </c>
      <c r="D7" s="1096">
        <v>-197.42</v>
      </c>
      <c r="E7" s="1099">
        <f ca="1">F7*(_xlfn.XLOOKUP(E$3,TabCalc[Ticker],TabCalc[M])+G7)</f>
        <v>-131.09999999999991</v>
      </c>
      <c r="F7" s="1102">
        <v>190</v>
      </c>
      <c r="G7" s="1096">
        <v>-14.25</v>
      </c>
      <c r="H7" s="1099">
        <f ca="1">I7*(_xlfn.XLOOKUP(H$3,TabCalc[Ticker],TabCalc[M])+J7)</f>
        <v>-66000.000000000015</v>
      </c>
      <c r="I7" s="1102">
        <v>10000</v>
      </c>
      <c r="J7" s="1096">
        <v>-45.6</v>
      </c>
      <c r="K7" s="1099">
        <f ca="1">L7*(_xlfn.XLOOKUP(K$3,TabCalc[Ticker],TabCalc[M])+M7)</f>
        <v>93693.2</v>
      </c>
      <c r="L7" s="1102">
        <v>2000</v>
      </c>
      <c r="M7" s="1096">
        <v>-183.43340000000001</v>
      </c>
      <c r="N7" s="1099">
        <f ca="1">O7*(_xlfn.XLOOKUP(N$3,TabCalc[Ticker],TabCalc[M])+P7)</f>
        <v>-11919.51</v>
      </c>
      <c r="O7" s="1102">
        <v>20000</v>
      </c>
      <c r="P7" s="1096">
        <v>-1.1459755</v>
      </c>
      <c r="Q7" s="1099">
        <f ca="1">R7*(_xlfn.XLOOKUP(Q$3,TabCalc[Ticker],TabCalc[M])+S7)</f>
        <v>67420</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240.00000000000023</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-5775</v>
      </c>
      <c r="AP7" s="1102">
        <v>5000</v>
      </c>
      <c r="AQ7" s="1096">
        <v>-3.12</v>
      </c>
      <c r="AR7" s="1099">
        <f ca="1">AS7*(_xlfn.XLOOKUP(AR$3,TabCalc[Ticker],TabCalc[M])+AT7)</f>
        <v>0</v>
      </c>
      <c r="AS7" s="1102"/>
      <c r="AT7" s="1096"/>
      <c r="AU7" s="1099">
        <f ca="1">AV7*(_xlfn.XLOOKUP(AU$3,TabCalc[Ticker],TabCalc[M])+AW7)</f>
        <v>-4105</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0</v>
      </c>
      <c r="BE7" s="1102"/>
      <c r="BF7" s="1096"/>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665.99999999999966</v>
      </c>
      <c r="BN7" s="1102">
        <v>200</v>
      </c>
      <c r="BO7" s="1096">
        <v>-21.21</v>
      </c>
      <c r="BP7" s="1099">
        <f ca="1">BQ7*(_xlfn.XLOOKUP(BP$3,TabCalc[Ticker],TabCalc[M])+BR7)</f>
        <v>-2125</v>
      </c>
      <c r="BQ7" s="1102">
        <v>1000</v>
      </c>
      <c r="BR7" s="1096">
        <v>-27.53</v>
      </c>
      <c r="BS7" s="1099">
        <f ca="1">BT7*(_xlfn.XLOOKUP(BS$3,TabCalc[Ticker],TabCalc[M])+BU7)</f>
        <v>2262442.0000000009</v>
      </c>
      <c r="BT7" s="1102">
        <v>20000</v>
      </c>
      <c r="BU7" s="1096">
        <v>-284.47789999999998</v>
      </c>
      <c r="BV7" s="1099">
        <f ca="1">BW7*(_xlfn.XLOOKUP(BV$3,TabCalc[Ticker],TabCalc[M])+BX7)</f>
        <v>-4780.0000000000009</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-17500.000000000004</v>
      </c>
      <c r="CF7" s="1102">
        <v>1000</v>
      </c>
      <c r="CG7" s="1096">
        <v>-47.13</v>
      </c>
      <c r="CH7" s="1099">
        <f ca="1">CI7*(_xlfn.XLOOKUP(CH$3,TabCalc[Ticker],TabCalc[M])+CJ7)</f>
        <v>15706.500000000005</v>
      </c>
      <c r="CI7" s="1102">
        <v>150</v>
      </c>
      <c r="CJ7" s="1096">
        <v>-378.76</v>
      </c>
      <c r="CK7" s="1099">
        <f ca="1">CL7*(_xlfn.XLOOKUP(CK$3,TabCalc[Ticker],TabCalc[M])+CM7)</f>
        <v>0</v>
      </c>
      <c r="CL7" s="1102"/>
      <c r="CM7" s="1096"/>
      <c r="CN7" s="1099">
        <f ca="1">CO7*(_xlfn.XLOOKUP(CN$3,TabCalc[Ticker],TabCalc[M])+CP7)</f>
        <v>97600.000000000015</v>
      </c>
      <c r="CO7" s="1102">
        <v>2000</v>
      </c>
      <c r="CP7" s="1096">
        <v>-50.63</v>
      </c>
      <c r="CQ7" s="1099">
        <f ca="1">CR7*(_xlfn.XLOOKUP(CQ$3,TabCalc[Ticker],TabCalc[M])+CS7)</f>
        <v>-18521.999999999985</v>
      </c>
      <c r="CR7" s="1102">
        <v>1800</v>
      </c>
      <c r="CS7" s="1096">
        <v>-104.38</v>
      </c>
      <c r="CT7" s="1099">
        <f ca="1">CU7*(_xlfn.XLOOKUP(CT$3,TabCalc[Ticker],TabCalc[M])+CV7)</f>
        <v>-3033.0299999999988</v>
      </c>
      <c r="CU7" s="577">
        <v>3333</v>
      </c>
      <c r="CV7" s="160">
        <v>-2.76</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-1272.6713999999999</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-11551.849999999989</v>
      </c>
      <c r="DP7" s="1102">
        <v>499</v>
      </c>
      <c r="DQ7" s="1096">
        <v>-232.45</v>
      </c>
      <c r="DR7" s="1099">
        <f ca="1">DS7*(_xlfn.XLOOKUP(DR$3,TabCalc[Ticker],TabCalc[M])+DT7)</f>
        <v>-763.2799999999977</v>
      </c>
      <c r="DS7" s="1102">
        <v>2632</v>
      </c>
      <c r="DT7" s="1096">
        <v>-15.2</v>
      </c>
      <c r="DU7" s="1099">
        <f ca="1">DV7*(_xlfn.XLOOKUP(DU$3,TabCalc[Ticker],TabCalc[M])+DW7)</f>
        <v>-1146.5999999999995</v>
      </c>
      <c r="DV7" s="1102">
        <v>2000</v>
      </c>
      <c r="DW7" s="1096">
        <v>-10.013299999999999</v>
      </c>
      <c r="DX7" s="1099">
        <f ca="1">DY7*(_xlfn.XLOOKUP(DX$3,TabCalc[Ticker],TabCalc[M])+DZ7)</f>
        <v>0</v>
      </c>
      <c r="DY7" s="1102"/>
      <c r="DZ7" s="1096"/>
      <c r="EA7" s="1099">
        <f ca="1">EB7*(_xlfn.XLOOKUP(EA$3,TabCalc[Ticker],TabCalc[M])+EC7)</f>
        <v>69670.000000000015</v>
      </c>
      <c r="EB7" s="1102">
        <v>1000</v>
      </c>
      <c r="EC7" s="1096">
        <v>-235.25</v>
      </c>
      <c r="ED7" s="1099">
        <f ca="1">EE7*(_xlfn.XLOOKUP(ED$3,TabCalc[Ticker],TabCalc[M])+EF7)</f>
        <v>-1615.350000000001</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2210.0000000000009</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-15624.000000000002</v>
      </c>
      <c r="FC7" s="1102">
        <v>4200</v>
      </c>
      <c r="FD7" s="1103">
        <v>-9.8800000000000008</v>
      </c>
      <c r="FE7" s="1099">
        <f ca="1">FF7*(_xlfn.XLOOKUP(FE$3,TabCalc[Ticker],TabCalc[M])+FG7)</f>
        <v>-10400</v>
      </c>
      <c r="FF7" s="1102">
        <v>20000</v>
      </c>
      <c r="FG7" s="1096">
        <v>-1.07</v>
      </c>
      <c r="FH7" s="1099">
        <f ca="1">FI7*(_xlfn.XLOOKUP(FH$3,TabCalc[Ticker],TabCalc[M])+FJ7)</f>
        <v>0</v>
      </c>
      <c r="FI7" s="1102"/>
      <c r="FJ7" s="1096"/>
      <c r="FK7" s="1099">
        <f ca="1">FL7*(_xlfn.XLOOKUP(FK$3,TabCalc[Ticker],TabCalc[M])+FM7)</f>
        <v>-39280.000000000015</v>
      </c>
      <c r="FL7" s="1102">
        <v>4000</v>
      </c>
      <c r="FM7" s="1096">
        <v>-32.950000000000003</v>
      </c>
      <c r="FN7" s="1099">
        <f ca="1">FO7*(_xlfn.XLOOKUP(FN$3,TabCalc[Ticker],TabCalc[M])+FP7)</f>
        <v>0</v>
      </c>
      <c r="FO7" s="1102"/>
      <c r="FP7" s="1096"/>
      <c r="FQ7" s="1099">
        <f ca="1">FR7*(_xlfn.XLOOKUP(FQ$3,TabCalc[Ticker],TabCalc[M])+FS7)</f>
        <v>23551.999999999993</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3269.9999999999995</v>
      </c>
      <c r="GA7" s="1102">
        <v>6000</v>
      </c>
      <c r="GB7" s="1096">
        <v>-13.19</v>
      </c>
      <c r="GC7" s="1099">
        <f ca="1">GD7*(_xlfn.XLOOKUP(GC$3,TabCalc[Ticker],TabCalc[M])+GE7)</f>
        <v>0</v>
      </c>
      <c r="GD7" s="1102"/>
      <c r="GE7" s="1096"/>
      <c r="GF7" s="1099">
        <f ca="1">GG7*(_xlfn.XLOOKUP(GF$3,TabCalc[Ticker],TabCalc[M])+GH7)</f>
        <v>-10060.000000000002</v>
      </c>
      <c r="GG7" s="1102">
        <v>200</v>
      </c>
      <c r="GH7" s="1096">
        <v>-259.60000000000002</v>
      </c>
      <c r="GI7" s="1099">
        <f ca="1">GJ7*(_xlfn.XLOOKUP(GI$3,TabCalc[Ticker],TabCalc[M])+GK7)</f>
        <v>-2225.0000000000014</v>
      </c>
      <c r="GJ7" s="1102">
        <v>500</v>
      </c>
      <c r="GK7" s="1096">
        <v>-42.2</v>
      </c>
      <c r="GL7" s="1099">
        <f ca="1">GM7*(_xlfn.XLOOKUP(GL$3,TabCalc[Ticker],TabCalc[M])+GN7)</f>
        <v>0</v>
      </c>
      <c r="GM7" s="1102"/>
      <c r="GN7" s="1096"/>
      <c r="GO7" s="1099">
        <f ca="1">GP7*(_xlfn.XLOOKUP(GO$3,TabCalc[Ticker],TabCalc[M])+GQ7)</f>
        <v>8515</v>
      </c>
      <c r="GP7" s="1102">
        <v>500</v>
      </c>
      <c r="GQ7" s="1096">
        <v>-213.25</v>
      </c>
      <c r="GR7" s="1099">
        <f ca="1">GS7*(_xlfn.XLOOKUP(GR$3,TabCalc[Ticker],TabCalc[M])+GT7)</f>
        <v>0</v>
      </c>
      <c r="GS7" s="1102"/>
      <c r="GT7" s="1096"/>
      <c r="GU7" s="1099">
        <f ca="1">GV7*(_xlfn.XLOOKUP(GU$3,TabCalc[Ticker],TabCalc[M])+GW7)</f>
        <v>-36900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-35045.965500000006</v>
      </c>
      <c r="HH7" s="1102">
        <v>399</v>
      </c>
      <c r="HI7" s="1096">
        <v>-117.4645</v>
      </c>
      <c r="HJ7" s="1099">
        <f ca="1">HK7*(_xlfn.XLOOKUP(HJ$3,TabCalc[Ticker],TabCalc[M])+HL7)</f>
        <v>-40484</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-7463.9999999999982</v>
      </c>
      <c r="HZ7" s="1102">
        <v>400</v>
      </c>
      <c r="IA7" s="1096">
        <v>-186.39</v>
      </c>
      <c r="IB7" s="1099">
        <f ca="1">IC7*(_xlfn.XLOOKUP(IB$3,TabCalc[Ticker],TabCalc[M])+ID7)</f>
        <v>0</v>
      </c>
      <c r="IC7" s="1101"/>
      <c r="ID7" s="1096"/>
      <c r="IE7" s="1099">
        <f ca="1">IF7*(_xlfn.XLOOKUP(IE$3,TabCalc[Ticker],TabCalc[M])+IG7)</f>
        <v>-246847.17139999999</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-19116.899999999998</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45414.999999999993</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1074.9999999999993</v>
      </c>
      <c r="JY7" s="1102">
        <v>5000</v>
      </c>
      <c r="JZ7" s="1096">
        <v>-14.82</v>
      </c>
    </row>
    <row r="8" spans="1:301">
      <c r="A8">
        <v>5</v>
      </c>
      <c r="B8" s="1099">
        <f ca="1">C8*(_xlfn.XLOOKUP(B$3,TabCalc[Ticker],TabCalc[M])+D8)</f>
        <v>23198.999999999996</v>
      </c>
      <c r="C8" s="1102">
        <v>300</v>
      </c>
      <c r="D8" s="1096">
        <v>-200.7</v>
      </c>
      <c r="E8" s="1099">
        <f ca="1">F8*(_xlfn.XLOOKUP(E$3,TabCalc[Ticker],TabCalc[M])+G8)</f>
        <v>0</v>
      </c>
      <c r="F8" s="1102"/>
      <c r="G8" s="1096"/>
      <c r="H8" s="1099">
        <f ca="1">I8*(_xlfn.XLOOKUP(H$3,TabCalc[Ticker],TabCalc[M])+J8)</f>
        <v>-67999.999999999971</v>
      </c>
      <c r="I8" s="1102">
        <v>10000</v>
      </c>
      <c r="J8" s="1096">
        <v>-45.8</v>
      </c>
      <c r="K8" s="1099">
        <f ca="1">L8*(_xlfn.XLOOKUP(K$3,TabCalc[Ticker],TabCalc[M])+M8)</f>
        <v>67500</v>
      </c>
      <c r="L8" s="1102">
        <v>1500</v>
      </c>
      <c r="M8" s="1096">
        <v>-185.28</v>
      </c>
      <c r="N8" s="1099">
        <f ca="1">O8*(_xlfn.XLOOKUP(N$3,TabCalc[Ticker],TabCalc[M])+P8)</f>
        <v>-5999.9999999999991</v>
      </c>
      <c r="O8" s="1102">
        <v>10000</v>
      </c>
      <c r="P8" s="1096">
        <v>-1.1499999999999999</v>
      </c>
      <c r="Q8" s="1099">
        <f ca="1">R8*(_xlfn.XLOOKUP(Q$3,TabCalc[Ticker],TabCalc[M])+S8)</f>
        <v>159349.99999999997</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-25425</v>
      </c>
      <c r="AP8" s="1102">
        <v>15000</v>
      </c>
      <c r="AQ8" s="1096">
        <v>-3.66</v>
      </c>
      <c r="AR8" s="1099">
        <f ca="1">AS8*(_xlfn.XLOOKUP(AR$3,TabCalc[Ticker],TabCalc[M])+AT8)</f>
        <v>0</v>
      </c>
      <c r="AS8" s="1102"/>
      <c r="AT8" s="1096"/>
      <c r="AU8" s="1099">
        <f ca="1">AV8*(_xlfn.XLOOKUP(AU$3,TabCalc[Ticker],TabCalc[M])+AW8)</f>
        <v>-4910.0000000000018</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0</v>
      </c>
      <c r="BE8" s="1102"/>
      <c r="BF8" s="1096"/>
      <c r="BG8" s="1099">
        <f ca="1">BH8*(_xlfn.XLOOKUP(BG$3,TabCalc[Ticker],TabCalc[M])+BI8)</f>
        <v>0</v>
      </c>
      <c r="BH8" s="1101"/>
      <c r="BI8" s="1096"/>
      <c r="BJ8" s="1099">
        <f ca="1">BK8*(_xlfn.XLOOKUP(BJ$3,TabCalc[Ticker],TabCalc[M])+BL8)</f>
        <v>0</v>
      </c>
      <c r="BK8" s="1101"/>
      <c r="BL8" s="1096"/>
      <c r="BM8" s="1099">
        <f ca="1">BN8*(_xlfn.XLOOKUP(BM$3,TabCalc[Ticker],TabCalc[M])+BO8)</f>
        <v>12899.999999999991</v>
      </c>
      <c r="BN8" s="1102">
        <v>5000</v>
      </c>
      <c r="BO8" s="1096">
        <v>-21.96</v>
      </c>
      <c r="BP8" s="1099">
        <f ca="1">BQ8*(_xlfn.XLOOKUP(BP$3,TabCalc[Ticker],TabCalc[M])+BR8)</f>
        <v>0</v>
      </c>
      <c r="BQ8" s="1102"/>
      <c r="BR8" s="1096"/>
      <c r="BS8" s="1099">
        <f ca="1">BT8*(_xlfn.XLOOKUP(BS$3,TabCalc[Ticker],TabCalc[M])+BU8)</f>
        <v>1560000</v>
      </c>
      <c r="BT8" s="1102">
        <v>20000</v>
      </c>
      <c r="BU8" s="1096">
        <v>-319.60000000000002</v>
      </c>
      <c r="BV8" s="1099">
        <f ca="1">BW8*(_xlfn.XLOOKUP(BV$3,TabCalc[Ticker],TabCalc[M])+BX8)</f>
        <v>-3276.9000000000024</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-84840</v>
      </c>
      <c r="CF8" s="1102">
        <v>2000</v>
      </c>
      <c r="CG8" s="1096">
        <v>-72.05</v>
      </c>
      <c r="CH8" s="1099">
        <f ca="1">CI8*(_xlfn.XLOOKUP(CH$3,TabCalc[Ticker],TabCalc[M])+CJ8)</f>
        <v>17626.000000000011</v>
      </c>
      <c r="CI8" s="1102">
        <v>200</v>
      </c>
      <c r="CJ8" s="1096">
        <v>-395.34</v>
      </c>
      <c r="CK8" s="1099">
        <f ca="1">CL8*(_xlfn.XLOOKUP(CK$3,TabCalc[Ticker],TabCalc[M])+CM8)</f>
        <v>0</v>
      </c>
      <c r="CL8" s="1102"/>
      <c r="CM8" s="1096"/>
      <c r="CN8" s="1099">
        <f ca="1">CO8*(_xlfn.XLOOKUP(CN$3,TabCalc[Ticker],TabCalc[M])+CP8)</f>
        <v>95200.250000000015</v>
      </c>
      <c r="CO8" s="1102">
        <v>2000</v>
      </c>
      <c r="CP8" s="1096">
        <v>-51.829875000000001</v>
      </c>
      <c r="CQ8" s="1099">
        <f ca="1">CR8*(_xlfn.XLOOKUP(CQ$3,TabCalc[Ticker],TabCalc[M])+CS8)</f>
        <v>-2328</v>
      </c>
      <c r="CR8" s="1102">
        <v>200</v>
      </c>
      <c r="CS8" s="1096">
        <v>-105.73</v>
      </c>
      <c r="CT8" s="1099">
        <f ca="1">CU8*(_xlfn.XLOOKUP(CT$3,TabCalc[Ticker],TabCalc[M])+CV8)</f>
        <v>-202210.52760000003</v>
      </c>
      <c r="CU8" s="1102">
        <v>26667</v>
      </c>
      <c r="CV8" s="1096">
        <v>-9.4328000000000003</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-40449.999999999985</v>
      </c>
      <c r="DP8" s="1102">
        <v>1000</v>
      </c>
      <c r="DQ8" s="1096">
        <v>-249.75</v>
      </c>
      <c r="DR8" s="1099">
        <f ca="1">DS8*(_xlfn.XLOOKUP(DR$3,TabCalc[Ticker],TabCalc[M])+DT8)</f>
        <v>-1619.9999999999975</v>
      </c>
      <c r="DS8" s="1102">
        <v>3000</v>
      </c>
      <c r="DT8" s="1096">
        <v>-15.45</v>
      </c>
      <c r="DU8" s="1099">
        <f ca="1">DV8*(_xlfn.XLOOKUP(DU$3,TabCalc[Ticker],TabCalc[M])+DW8)</f>
        <v>-316823.29000000004</v>
      </c>
      <c r="DV8" s="1102">
        <v>7000</v>
      </c>
      <c r="DW8" s="1096">
        <v>-54.700470000000003</v>
      </c>
      <c r="DX8" s="1099">
        <f ca="1">DY8*(_xlfn.XLOOKUP(DX$3,TabCalc[Ticker],TabCalc[M])+DZ8)</f>
        <v>0</v>
      </c>
      <c r="DY8" s="1101"/>
      <c r="DZ8" s="1096"/>
      <c r="EA8" s="1099">
        <f ca="1">EB8*(_xlfn.XLOOKUP(EA$3,TabCalc[Ticker],TabCalc[M])+EC8)</f>
        <v>31765.000000000015</v>
      </c>
      <c r="EB8" s="1102">
        <v>500</v>
      </c>
      <c r="EC8" s="1096">
        <v>-241.39</v>
      </c>
      <c r="ED8" s="1099">
        <f ca="1">EE8*(_xlfn.XLOOKUP(ED$3,TabCalc[Ticker],TabCalc[M])+EF8)</f>
        <v>-9615.014999999994</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4000</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-1541.6080000000002</v>
      </c>
      <c r="FF8" s="1102">
        <v>2942</v>
      </c>
      <c r="FG8" s="1096">
        <v>-1.0740000000000001</v>
      </c>
      <c r="FH8" s="1099">
        <f ca="1">FI8*(_xlfn.XLOOKUP(FH$3,TabCalc[Ticker],TabCalc[M])+FJ8)</f>
        <v>0</v>
      </c>
      <c r="FI8" s="1102"/>
      <c r="FJ8" s="1096"/>
      <c r="FK8" s="1099">
        <f ca="1">FL8*(_xlfn.XLOOKUP(FK$3,TabCalc[Ticker],TabCalc[M])+FM8)</f>
        <v>-47440.000000000015</v>
      </c>
      <c r="FL8" s="1102">
        <v>4000</v>
      </c>
      <c r="FM8" s="1096">
        <v>-34.99</v>
      </c>
      <c r="FN8" s="1099">
        <f ca="1">FO8*(_xlfn.XLOOKUP(FN$3,TabCalc[Ticker],TabCalc[M])+FP8)</f>
        <v>0</v>
      </c>
      <c r="FO8" s="1102"/>
      <c r="FP8" s="1096"/>
      <c r="FQ8" s="1099">
        <f ca="1">FR8*(_xlfn.XLOOKUP(FQ$3,TabCalc[Ticker],TabCalc[M])+FS8)</f>
        <v>9496.0000000000018</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-1845.0000000000007</v>
      </c>
      <c r="GA8" s="1102">
        <v>3000</v>
      </c>
      <c r="GB8" s="1096">
        <v>-14.35</v>
      </c>
      <c r="GC8" s="1099">
        <f ca="1">GD8*(_xlfn.XLOOKUP(GC$3,TabCalc[Ticker],TabCalc[M])+GE8)</f>
        <v>0</v>
      </c>
      <c r="GD8" s="1101"/>
      <c r="GE8" s="1096"/>
      <c r="GF8" s="1099">
        <f ca="1">GG8*(_xlfn.XLOOKUP(GF$3,TabCalc[Ticker],TabCalc[M])+GH8)</f>
        <v>-53.579999999999984</v>
      </c>
      <c r="GG8" s="1102">
        <v>1</v>
      </c>
      <c r="GH8" s="1096">
        <v>-262.88</v>
      </c>
      <c r="GI8" s="1099">
        <f ca="1">GJ8*(_xlfn.XLOOKUP(GI$3,TabCalc[Ticker],TabCalc[M])+GK8)</f>
        <v>-133.08000000000004</v>
      </c>
      <c r="GJ8" s="1102">
        <v>12</v>
      </c>
      <c r="GK8" s="1096">
        <v>-48.84</v>
      </c>
      <c r="GL8" s="1099">
        <f ca="1">GM8*(_xlfn.XLOOKUP(GL$3,TabCalc[Ticker],TabCalc[M])+GN8)</f>
        <v>0</v>
      </c>
      <c r="GM8" s="1101"/>
      <c r="GN8" s="1096"/>
      <c r="GO8" s="1099">
        <f ca="1">GP8*(_xlfn.XLOOKUP(GO$3,TabCalc[Ticker],TabCalc[M])+GQ8)</f>
        <v>-1657.4999999999989</v>
      </c>
      <c r="GP8" s="1102">
        <v>250</v>
      </c>
      <c r="GQ8" s="1096">
        <v>-236.91</v>
      </c>
      <c r="GR8" s="1099">
        <f ca="1">GS8*(_xlfn.XLOOKUP(GR$3,TabCalc[Ticker],TabCalc[M])+GT8)</f>
        <v>0</v>
      </c>
      <c r="GS8" s="1101"/>
      <c r="GT8" s="1096"/>
      <c r="GU8" s="1099">
        <f ca="1">GV8*(_xlfn.XLOOKUP(GU$3,TabCalc[Ticker],TabCalc[M])+GW8)</f>
        <v>-27930</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-9000.11</v>
      </c>
      <c r="HH8" s="1102">
        <v>101</v>
      </c>
      <c r="HI8" s="1096">
        <v>-118.74</v>
      </c>
      <c r="HJ8" s="1099">
        <f ca="1">HK8*(_xlfn.XLOOKUP(HJ$3,TabCalc[Ticker],TabCalc[M])+HL8)</f>
        <v>-32096.999999999996</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-21180</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-1093.5000000000032</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324.9999999999975</v>
      </c>
      <c r="JY8" s="1102">
        <v>5000</v>
      </c>
      <c r="JZ8" s="1103">
        <v>-14.97</v>
      </c>
    </row>
    <row r="9" spans="1:301">
      <c r="A9">
        <v>6</v>
      </c>
      <c r="B9" s="1099">
        <f ca="1">C9*(_xlfn.XLOOKUP(B$3,TabCalc[Ticker],TabCalc[M])+D9)</f>
        <v>228837.38999999996</v>
      </c>
      <c r="C9" s="1102">
        <v>3000</v>
      </c>
      <c r="D9" s="1096">
        <v>-201.75086999999999</v>
      </c>
      <c r="E9" s="1099">
        <f ca="1">F9*(_xlfn.XLOOKUP(E$3,TabCalc[Ticker],TabCalc[M])+G9)</f>
        <v>0</v>
      </c>
      <c r="F9" s="1102"/>
      <c r="G9" s="1096"/>
      <c r="H9" s="1099">
        <f ca="1">I9*(_xlfn.XLOOKUP(H$3,TabCalc[Ticker],TabCalc[M])+J9)</f>
        <v>-140000</v>
      </c>
      <c r="I9" s="1102">
        <v>20000</v>
      </c>
      <c r="J9" s="1096">
        <v>-46</v>
      </c>
      <c r="K9" s="1099">
        <f ca="1">L9*(_xlfn.XLOOKUP(K$3,TabCalc[Ticker],TabCalc[M])+M9)</f>
        <v>18730.000000000004</v>
      </c>
      <c r="L9" s="1102">
        <v>500</v>
      </c>
      <c r="M9" s="1096">
        <v>-192.82</v>
      </c>
      <c r="N9" s="1099">
        <f ca="1">O9*(_xlfn.XLOOKUP(N$3,TabCalc[Ticker],TabCalc[M])+P9)</f>
        <v>-1512276.1387637169</v>
      </c>
      <c r="O9" s="1102">
        <v>2448050</v>
      </c>
      <c r="P9" s="1096">
        <v>-1.1677472432195899</v>
      </c>
      <c r="Q9" s="1099">
        <f ca="1">R9*(_xlfn.XLOOKUP(Q$3,TabCalc[Ticker],TabCalc[M])+S9)</f>
        <v>30794.999999999993</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-27824.999999999996</v>
      </c>
      <c r="AP9" s="1102">
        <v>15000</v>
      </c>
      <c r="AQ9" s="1096">
        <v>-3.82</v>
      </c>
      <c r="AR9" s="1099">
        <f ca="1">AS9*(_xlfn.XLOOKUP(AR$3,TabCalc[Ticker],TabCalc[M])+AT9)</f>
        <v>0</v>
      </c>
      <c r="AS9" s="1102"/>
      <c r="AT9" s="1096"/>
      <c r="AU9" s="1099">
        <f ca="1">AV9*(_xlfn.XLOOKUP(AU$3,TabCalc[Ticker],TabCalc[M])+AW9)</f>
        <v>-7825.0000000000009</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3438.0000000000005</v>
      </c>
      <c r="BN9" s="1102">
        <v>1800</v>
      </c>
      <c r="BO9" s="1096">
        <v>-22.63</v>
      </c>
      <c r="BP9" s="1099">
        <f ca="1">BQ9*(_xlfn.XLOOKUP(BP$3,TabCalc[Ticker],TabCalc[M])+BR9)</f>
        <v>0</v>
      </c>
      <c r="BQ9" s="1101"/>
      <c r="BR9" s="1096"/>
      <c r="BS9" s="1099">
        <f ca="1">BT9*(_xlfn.XLOOKUP(BS$3,TabCalc[Ticker],TabCalc[M])+BU9)</f>
        <v>606000.00000000023</v>
      </c>
      <c r="BT9" s="1102">
        <v>10000</v>
      </c>
      <c r="BU9" s="1096">
        <v>-337</v>
      </c>
      <c r="BV9" s="1099">
        <f ca="1">BW9*(_xlfn.XLOOKUP(BV$3,TabCalc[Ticker],TabCalc[M])+BX9)</f>
        <v>-9065.1</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-92341.000000000015</v>
      </c>
      <c r="CF9" s="1102">
        <v>1000</v>
      </c>
      <c r="CG9" s="1096">
        <v>-121.971</v>
      </c>
      <c r="CH9" s="1099">
        <f ca="1">CI9*(_xlfn.XLOOKUP(CH$3,TabCalc[Ticker],TabCalc[M])+CJ9)</f>
        <v>86622.000000000015</v>
      </c>
      <c r="CI9" s="1102">
        <v>1000</v>
      </c>
      <c r="CJ9" s="1096">
        <v>-396.84800000000001</v>
      </c>
      <c r="CK9" s="1099">
        <f ca="1">CL9*(_xlfn.XLOOKUP(CK$3,TabCalc[Ticker],TabCalc[M])+CM9)</f>
        <v>0</v>
      </c>
      <c r="CL9" s="1102"/>
      <c r="CM9" s="1096"/>
      <c r="CN9" s="1099">
        <f ca="1">CO9*(_xlfn.XLOOKUP(CN$3,TabCalc[Ticker],TabCalc[M])+CP9)</f>
        <v>43460.000000000007</v>
      </c>
      <c r="CO9" s="1102">
        <v>1000</v>
      </c>
      <c r="CP9" s="1096">
        <v>-55.97</v>
      </c>
      <c r="CQ9" s="1099">
        <f ca="1">CR9*(_xlfn.XLOOKUP(CQ$3,TabCalc[Ticker],TabCalc[M])+CS9)</f>
        <v>-77990.000000000073</v>
      </c>
      <c r="CR9" s="1102">
        <v>5000</v>
      </c>
      <c r="CS9" s="1096">
        <v>-109.68800000000002</v>
      </c>
      <c r="CT9" s="1099">
        <f ca="1">CU9*(_xlfn.XLOOKUP(CT$3,TabCalc[Ticker],TabCalc[M])+CV9)</f>
        <v>0</v>
      </c>
      <c r="CU9" s="1102"/>
      <c r="CV9" s="1096"/>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-20774.999999999993</v>
      </c>
      <c r="DP9" s="1102">
        <v>500</v>
      </c>
      <c r="DQ9" s="1096">
        <v>-250.85</v>
      </c>
      <c r="DR9" s="1099">
        <f ca="1">DS9*(_xlfn.XLOOKUP(DR$3,TabCalc[Ticker],TabCalc[M])+DT9)</f>
        <v>-4500</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14814.000000000033</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3799.9999999999973</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-2650</v>
      </c>
      <c r="FF9" s="1102">
        <v>5000</v>
      </c>
      <c r="FG9" s="1096">
        <v>-1.08</v>
      </c>
      <c r="FH9" s="1099">
        <f ca="1">FI9*(_xlfn.XLOOKUP(FH$3,TabCalc[Ticker],TabCalc[M])+FJ9)</f>
        <v>0</v>
      </c>
      <c r="FI9" s="1102"/>
      <c r="FJ9" s="1096"/>
      <c r="FK9" s="1099">
        <f ca="1">FL9*(_xlfn.XLOOKUP(FK$3,TabCalc[Ticker],TabCalc[M])+FM9)</f>
        <v>-24619.999999999996</v>
      </c>
      <c r="FL9" s="1102">
        <v>2000</v>
      </c>
      <c r="FM9" s="1096">
        <v>-35.44</v>
      </c>
      <c r="FN9" s="1099">
        <f ca="1">FO9*(_xlfn.XLOOKUP(FN$3,TabCalc[Ticker],TabCalc[M])+FP9)</f>
        <v>0</v>
      </c>
      <c r="FO9" s="1101"/>
      <c r="FP9" s="1096"/>
      <c r="FQ9" s="1099">
        <f ca="1">FR9*(_xlfn.XLOOKUP(FQ$3,TabCalc[Ticker],TabCalc[M])+FS9)</f>
        <v>14512</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-41070.000000000015</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-46015</v>
      </c>
      <c r="HH9" s="1102">
        <v>500</v>
      </c>
      <c r="HI9" s="1096">
        <v>-121.66</v>
      </c>
      <c r="HJ9" s="1099">
        <f ca="1">HK9*(_xlfn.XLOOKUP(HJ$3,TabCalc[Ticker],TabCalc[M])+HL9)</f>
        <v>-11320.999999999998</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-345.00000000000063</v>
      </c>
      <c r="JY9" s="1102">
        <v>3000</v>
      </c>
      <c r="JZ9" s="1103">
        <v>-15.15</v>
      </c>
    </row>
    <row r="10" spans="1:301">
      <c r="A10">
        <v>7</v>
      </c>
      <c r="B10" s="1099">
        <f ca="1">C10*(_xlfn.XLOOKUP(B$3,TabCalc[Ticker],TabCalc[M])+D10)</f>
        <v>71299.999999999985</v>
      </c>
      <c r="C10" s="1102">
        <v>1000</v>
      </c>
      <c r="D10" s="1096">
        <v>-206.73</v>
      </c>
      <c r="E10" s="1099">
        <f ca="1">F10*(_xlfn.XLOOKUP(E$3,TabCalc[Ticker],TabCalc[M])+G10)</f>
        <v>0</v>
      </c>
      <c r="F10" s="1102"/>
      <c r="G10" s="1096"/>
      <c r="H10" s="1099">
        <f ca="1">I10*(_xlfn.XLOOKUP(H$3,TabCalc[Ticker],TabCalc[M])+J10)</f>
        <v>-52500</v>
      </c>
      <c r="I10" s="1102">
        <v>7000</v>
      </c>
      <c r="J10" s="1096">
        <v>-46.5</v>
      </c>
      <c r="K10" s="1099">
        <f ca="1">L10*(_xlfn.XLOOKUP(K$3,TabCalc[Ticker],TabCalc[M])+M10)</f>
        <v>26182.500000000004</v>
      </c>
      <c r="L10" s="1102">
        <v>1000</v>
      </c>
      <c r="M10" s="1096">
        <v>-204.0975</v>
      </c>
      <c r="N10" s="1099">
        <f ca="1">O10*(_xlfn.XLOOKUP(N$3,TabCalc[Ticker],TabCalc[M])+P10)</f>
        <v>-9749.9999999999982</v>
      </c>
      <c r="O10" s="1102">
        <v>15000</v>
      </c>
      <c r="P10" s="1096">
        <v>-1.2</v>
      </c>
      <c r="Q10" s="1099">
        <f ca="1">R10*(_xlfn.XLOOKUP(Q$3,TabCalc[Ticker],TabCalc[M])+S10)</f>
        <v>59079.999999999993</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-19050</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-456.00000000000307</v>
      </c>
      <c r="BN10" s="1102">
        <v>1200</v>
      </c>
      <c r="BO10" s="1096">
        <v>-24.92</v>
      </c>
      <c r="BP10" s="1099">
        <f ca="1">BQ10*(_xlfn.XLOOKUP(BP$3,TabCalc[Ticker],TabCalc[M])+BR10)</f>
        <v>0</v>
      </c>
      <c r="BQ10" s="1101"/>
      <c r="BR10" s="1096"/>
      <c r="BS10" s="1099">
        <f ca="1">BT10*(_xlfn.XLOOKUP(BS$3,TabCalc[Ticker],TabCalc[M])+BU10)</f>
        <v>506000.00000000023</v>
      </c>
      <c r="BT10" s="1102">
        <v>10000</v>
      </c>
      <c r="BU10" s="1096">
        <v>-347</v>
      </c>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-232350</v>
      </c>
      <c r="CF10" s="1102">
        <v>2500</v>
      </c>
      <c r="CG10" s="1096">
        <v>-122.57</v>
      </c>
      <c r="CH10" s="1099">
        <f ca="1">CI10*(_xlfn.XLOOKUP(CH$3,TabCalc[Ticker],TabCalc[M])+CJ10)</f>
        <v>166579.40000000008</v>
      </c>
      <c r="CI10" s="1102">
        <v>2000</v>
      </c>
      <c r="CJ10" s="1096">
        <v>-400.18029999999999</v>
      </c>
      <c r="CK10" s="1099">
        <f ca="1">CL10*(_xlfn.XLOOKUP(CK$3,TabCalc[Ticker],TabCalc[M])+CM10)</f>
        <v>0</v>
      </c>
      <c r="CL10" s="1102"/>
      <c r="CM10" s="1096"/>
      <c r="CN10" s="1099">
        <f ca="1">CO10*(_xlfn.XLOOKUP(CN$3,TabCalc[Ticker],TabCalc[M])+CP10)</f>
        <v>41100.000000000022</v>
      </c>
      <c r="CO10" s="1102">
        <v>2000</v>
      </c>
      <c r="CP10" s="1096">
        <v>-78.88</v>
      </c>
      <c r="CQ10" s="1099">
        <f ca="1">CR10*(_xlfn.XLOOKUP(CQ$3,TabCalc[Ticker],TabCalc[M])+CS10)</f>
        <v>-81329.999999999956</v>
      </c>
      <c r="CR10" s="1102">
        <v>5000</v>
      </c>
      <c r="CS10" s="1096">
        <v>-110.35599999999999</v>
      </c>
      <c r="CT10" s="1099">
        <f ca="1">CU10*(_xlfn.XLOOKUP(CT$3,TabCalc[Ticker],TabCalc[M])+CV10)</f>
        <v>0</v>
      </c>
      <c r="CU10" s="1102"/>
      <c r="CV10" s="1096"/>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-16133.599999999989</v>
      </c>
      <c r="DP10" s="1102">
        <v>301</v>
      </c>
      <c r="DQ10" s="1096">
        <v>-262.89999999999998</v>
      </c>
      <c r="DR10" s="1099">
        <f ca="1">DS10*(_xlfn.XLOOKUP(DR$3,TabCalc[Ticker],TabCalc[M])+DT10)</f>
        <v>-11626.880000000001</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1899.9999999999986</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-6589.1302739999983</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2300.0000000000009</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-21700</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-47284</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-1537.5390000000007</v>
      </c>
      <c r="JY10" s="1102">
        <v>3000</v>
      </c>
      <c r="JZ10" s="1103">
        <v>-15.547513</v>
      </c>
    </row>
    <row r="11" spans="1:301">
      <c r="A11">
        <v>8</v>
      </c>
      <c r="B11" s="1099">
        <f ca="1">C11*(_xlfn.XLOOKUP(B$3,TabCalc[Ticker],TabCalc[M])+D11)</f>
        <v>28834.999999999978</v>
      </c>
      <c r="C11" s="1102">
        <v>500</v>
      </c>
      <c r="D11" s="1096">
        <v>-220.36</v>
      </c>
      <c r="E11" s="1099">
        <f ca="1">F11*(_xlfn.XLOOKUP(E$3,TabCalc[Ticker],TabCalc[M])+G11)</f>
        <v>0</v>
      </c>
      <c r="F11" s="1102"/>
      <c r="G11" s="1096"/>
      <c r="H11" s="1099">
        <f ca="1">I11*(_xlfn.XLOOKUP(H$3,TabCalc[Ticker],TabCalc[M])+J11)</f>
        <v>-896000.00000000012</v>
      </c>
      <c r="I11" s="1102">
        <v>100000</v>
      </c>
      <c r="J11" s="1096">
        <v>-47.96</v>
      </c>
      <c r="K11" s="1099">
        <f ca="1">L11*(_xlfn.XLOOKUP(K$3,TabCalc[Ticker],TabCalc[M])+M11)</f>
        <v>19277.279999999995</v>
      </c>
      <c r="L11" s="1102">
        <v>800</v>
      </c>
      <c r="M11" s="1096">
        <v>-206.18340000000001</v>
      </c>
      <c r="N11" s="1099">
        <f ca="1">O11*(_xlfn.XLOOKUP(N$3,TabCalc[Ticker],TabCalc[M])+P11)</f>
        <v>-6421.6425000000008</v>
      </c>
      <c r="O11" s="1102">
        <v>2275</v>
      </c>
      <c r="P11" s="1096">
        <v>-3.3727</v>
      </c>
      <c r="Q11" s="1099">
        <f ca="1">R11*(_xlfn.XLOOKUP(Q$3,TabCalc[Ticker],TabCalc[M])+S11)</f>
        <v>88080</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224000.00000000035</v>
      </c>
      <c r="BT11" s="1102">
        <v>10000</v>
      </c>
      <c r="BU11" s="1096">
        <v>-375.2</v>
      </c>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-18901.04</v>
      </c>
      <c r="CF11" s="1102">
        <v>200</v>
      </c>
      <c r="CG11" s="1096">
        <v>-124.1352</v>
      </c>
      <c r="CH11" s="1099">
        <f ca="1">CI11*(_xlfn.XLOOKUP(CH$3,TabCalc[Ticker],TabCalc[M])+CJ11)</f>
        <v>24126.000000000004</v>
      </c>
      <c r="CI11" s="1102">
        <v>300</v>
      </c>
      <c r="CJ11" s="1096">
        <v>-403.05</v>
      </c>
      <c r="CK11" s="1099">
        <f ca="1">CL11*(_xlfn.XLOOKUP(CK$3,TabCalc[Ticker],TabCalc[M])+CM11)</f>
        <v>0</v>
      </c>
      <c r="CL11" s="1102"/>
      <c r="CM11" s="1096"/>
      <c r="CN11" s="1099">
        <f ca="1">CO11*(_xlfn.XLOOKUP(CN$3,TabCalc[Ticker],TabCalc[M])+CP11)</f>
        <v>19831.000000000004</v>
      </c>
      <c r="CO11" s="1102">
        <v>1000</v>
      </c>
      <c r="CP11" s="1096">
        <v>-79.599000000000004</v>
      </c>
      <c r="CQ11" s="1099">
        <f ca="1">CR11*(_xlfn.XLOOKUP(CQ$3,TabCalc[Ticker],TabCalc[M])+CS11)</f>
        <v>-229515.00000000003</v>
      </c>
      <c r="CR11" s="1102">
        <v>13000</v>
      </c>
      <c r="CS11" s="1096">
        <v>-111.745</v>
      </c>
      <c r="CT11" s="1099">
        <f ca="1">CU11*(_xlfn.XLOOKUP(CT$3,TabCalc[Ticker],TabCalc[M])+CV11)</f>
        <v>0</v>
      </c>
      <c r="CU11" s="1102"/>
      <c r="CV11" s="1096"/>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-32159.999999999996</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7200.0000000000064</v>
      </c>
      <c r="EQ11" s="1102">
        <v>4500</v>
      </c>
      <c r="ER11" s="1096">
        <v>-59.5</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-5500</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128855.99999999993</v>
      </c>
      <c r="C12" s="1102">
        <v>2400</v>
      </c>
      <c r="D12" s="1096">
        <v>-224.34</v>
      </c>
      <c r="E12" s="1099">
        <f ca="1">F12*(_xlfn.XLOOKUP(E$3,TabCalc[Ticker],TabCalc[M])+G12)</f>
        <v>0</v>
      </c>
      <c r="F12" s="1102"/>
      <c r="G12" s="1096"/>
      <c r="H12" s="1099">
        <f ca="1">I12*(_xlfn.XLOOKUP(H$3,TabCalc[Ticker],TabCalc[M])+J12)</f>
        <v>-1350000</v>
      </c>
      <c r="I12" s="1102">
        <v>150000</v>
      </c>
      <c r="J12" s="1096">
        <v>-48</v>
      </c>
      <c r="K12" s="1099">
        <f ca="1">L12*(_xlfn.XLOOKUP(K$3,TabCalc[Ticker],TabCalc[M])+M12)</f>
        <v>8650.0000000000055</v>
      </c>
      <c r="L12" s="1102">
        <v>500</v>
      </c>
      <c r="M12" s="1096">
        <v>-212.98</v>
      </c>
      <c r="N12" s="1099">
        <f ca="1">O12*(_xlfn.XLOOKUP(N$3,TabCalc[Ticker],TabCalc[M])+P12)</f>
        <v>0</v>
      </c>
      <c r="O12" s="1102"/>
      <c r="P12" s="1096"/>
      <c r="Q12" s="1099">
        <f ca="1">R12*(_xlfn.XLOOKUP(Q$3,TabCalc[Ticker],TabCalc[M])+S12)</f>
        <v>49079.999999999993</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74320.000000000044</v>
      </c>
      <c r="CI12" s="1102">
        <v>1000</v>
      </c>
      <c r="CJ12" s="1096">
        <v>-409.15</v>
      </c>
      <c r="CK12" s="1099">
        <f ca="1">CL12*(_xlfn.XLOOKUP(CK$3,TabCalc[Ticker],TabCalc[M])+CM12)</f>
        <v>0</v>
      </c>
      <c r="CL12" s="1102"/>
      <c r="CM12" s="1096"/>
      <c r="CN12" s="1099">
        <f ca="1">CO12*(_xlfn.XLOOKUP(CN$3,TabCalc[Ticker],TabCalc[M])+CP12)</f>
        <v>19550.000000000011</v>
      </c>
      <c r="CO12" s="1102">
        <v>1000</v>
      </c>
      <c r="CP12" s="1096">
        <v>-79.88</v>
      </c>
      <c r="CQ12" s="1099">
        <f ca="1">CR12*(_xlfn.XLOOKUP(CQ$3,TabCalc[Ticker],TabCalc[M])+CS12)</f>
        <v>-44158.000000000015</v>
      </c>
      <c r="CR12" s="1102">
        <v>2000</v>
      </c>
      <c r="CS12" s="1096">
        <v>-116.16900000000001</v>
      </c>
      <c r="CT12" s="1099">
        <f ca="1">CU12*(_xlfn.XLOOKUP(CT$3,TabCalc[Ticker],TabCalc[M])+CV12)</f>
        <v>0</v>
      </c>
      <c r="CU12" s="1102"/>
      <c r="CV12" s="1096"/>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1300.0000000000043</v>
      </c>
      <c r="EQ12" s="1102">
        <v>1000</v>
      </c>
      <c r="ER12" s="1096">
        <v>-59.8</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-244919.21999999994</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14198.999999999995</v>
      </c>
      <c r="C13" s="1102">
        <v>300</v>
      </c>
      <c r="D13" s="1096">
        <v>-230.7</v>
      </c>
      <c r="E13" s="1099">
        <f ca="1">F13*(_xlfn.XLOOKUP(E$3,TabCalc[Ticker],TabCalc[M])+G13)</f>
        <v>0</v>
      </c>
      <c r="F13" s="1102"/>
      <c r="G13" s="1096"/>
      <c r="H13" s="1099">
        <f ca="1">I13*(_xlfn.XLOOKUP(H$3,TabCalc[Ticker],TabCalc[M])+J13)</f>
        <v>-1350000</v>
      </c>
      <c r="I13" s="1102">
        <v>150000</v>
      </c>
      <c r="J13" s="1096">
        <v>-48</v>
      </c>
      <c r="K13" s="1099">
        <f ca="1">L13*(_xlfn.XLOOKUP(K$3,TabCalc[Ticker],TabCalc[M])+M13)</f>
        <v>30519.999999999982</v>
      </c>
      <c r="L13" s="1102">
        <v>2000</v>
      </c>
      <c r="M13" s="1096">
        <v>-215.02</v>
      </c>
      <c r="N13" s="1099">
        <f ca="1">O13*(_xlfn.XLOOKUP(N$3,TabCalc[Ticker],TabCalc[M])+P13)</f>
        <v>0</v>
      </c>
      <c r="O13" s="1102"/>
      <c r="P13" s="1096"/>
      <c r="Q13" s="1099">
        <f ca="1">R13*(_xlfn.XLOOKUP(Q$3,TabCalc[Ticker],TabCalc[M])+S13)</f>
        <v>27200</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20076.000000000004</v>
      </c>
      <c r="CI13" s="1102">
        <v>300</v>
      </c>
      <c r="CJ13" s="1096">
        <v>-416.55</v>
      </c>
      <c r="CK13" s="1099">
        <f ca="1">CL13*(_xlfn.XLOOKUP(CK$3,TabCalc[Ticker],TabCalc[M])+CM13)</f>
        <v>0</v>
      </c>
      <c r="CL13" s="1102"/>
      <c r="CM13" s="1096"/>
      <c r="CN13" s="1099">
        <f ca="1">CO13*(_xlfn.XLOOKUP(CN$3,TabCalc[Ticker],TabCalc[M])+CP13)</f>
        <v>18550.000000000011</v>
      </c>
      <c r="CO13" s="1102">
        <v>1000</v>
      </c>
      <c r="CP13" s="1096">
        <v>-80.88</v>
      </c>
      <c r="CQ13" s="1099">
        <f ca="1">CR13*(_xlfn.XLOOKUP(CQ$3,TabCalc[Ticker],TabCalc[M])+CS13)</f>
        <v>-23876.000000000004</v>
      </c>
      <c r="CR13" s="1102">
        <v>1000</v>
      </c>
      <c r="CS13" s="1096">
        <v>-117.96600000000001</v>
      </c>
      <c r="CT13" s="1099">
        <f ca="1">CU13*(_xlfn.XLOOKUP(CT$3,TabCalc[Ticker],TabCalc[M])+CV13)</f>
        <v>0</v>
      </c>
      <c r="CU13" s="1102"/>
      <c r="CV13" s="1096"/>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1000</v>
      </c>
      <c r="EQ13" s="1102">
        <v>1000</v>
      </c>
      <c r="ER13" s="1096">
        <v>-60.1</v>
      </c>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-14300.000000000002</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8815.9999999999964</v>
      </c>
      <c r="C14" s="1102">
        <v>200</v>
      </c>
      <c r="D14" s="1096">
        <v>-233.95</v>
      </c>
      <c r="E14" s="1099">
        <f ca="1">F14*(_xlfn.XLOOKUP(E$3,TabCalc[Ticker],TabCalc[M])+G14)</f>
        <v>0</v>
      </c>
      <c r="F14" s="1102"/>
      <c r="G14" s="1096"/>
      <c r="H14" s="1099">
        <f ca="1">I14*(_xlfn.XLOOKUP(H$3,TabCalc[Ticker],TabCalc[M])+J14)</f>
        <v>-500000</v>
      </c>
      <c r="I14" s="1102">
        <v>50000</v>
      </c>
      <c r="J14" s="1096">
        <v>-49</v>
      </c>
      <c r="K14" s="1099">
        <f ca="1">L14*(_xlfn.XLOOKUP(K$3,TabCalc[Ticker],TabCalc[M])+M14)</f>
        <v>7415.0000000000064</v>
      </c>
      <c r="L14" s="1102">
        <v>500</v>
      </c>
      <c r="M14" s="1096">
        <v>-215.45</v>
      </c>
      <c r="N14" s="1099">
        <f ca="1">O14*(_xlfn.XLOOKUP(N$3,TabCalc[Ticker],TabCalc[M])+P14)</f>
        <v>0</v>
      </c>
      <c r="O14" s="1102"/>
      <c r="P14" s="1096"/>
      <c r="Q14" s="1099">
        <f ca="1">R14*(_xlfn.XLOOKUP(Q$3,TabCalc[Ticker],TabCalc[M])+S14)</f>
        <v>25400</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84860.000000000015</v>
      </c>
      <c r="CI14" s="1102">
        <v>2000</v>
      </c>
      <c r="CJ14" s="1096">
        <v>-441.04</v>
      </c>
      <c r="CK14" s="1099">
        <f ca="1">CL14*(_xlfn.XLOOKUP(CK$3,TabCalc[Ticker],TabCalc[M])+CM14)</f>
        <v>0</v>
      </c>
      <c r="CL14" s="1101"/>
      <c r="CM14" s="1096"/>
      <c r="CN14" s="1099">
        <f ca="1">CO14*(_xlfn.XLOOKUP(CN$3,TabCalc[Ticker],TabCalc[M])+CP14)</f>
        <v>31856.660000000003</v>
      </c>
      <c r="CO14" s="1102">
        <v>2000</v>
      </c>
      <c r="CP14" s="1096">
        <v>-83.501670000000004</v>
      </c>
      <c r="CQ14" s="1099">
        <f ca="1">CR14*(_xlfn.XLOOKUP(CQ$3,TabCalc[Ticker],TabCalc[M])+CS14)</f>
        <v>-107235.99999999999</v>
      </c>
      <c r="CR14" s="1102">
        <v>4000</v>
      </c>
      <c r="CS14" s="1096">
        <v>-120.899</v>
      </c>
      <c r="CT14" s="1099">
        <f ca="1">CU14*(_xlfn.XLOOKUP(CT$3,TabCalc[Ticker],TabCalc[M])+CV14)</f>
        <v>0</v>
      </c>
      <c r="CU14" s="1102"/>
      <c r="CV14" s="1096"/>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-57409.108800000009</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11306.999999999991</v>
      </c>
      <c r="C15" s="1102">
        <v>300</v>
      </c>
      <c r="D15" s="1096">
        <v>-240.34</v>
      </c>
      <c r="E15" s="1099">
        <f ca="1">F15*(_xlfn.XLOOKUP(E$3,TabCalc[Ticker],TabCalc[M])+G15)</f>
        <v>0</v>
      </c>
      <c r="F15" s="1102"/>
      <c r="G15" s="1096"/>
      <c r="H15" s="1099">
        <f ca="1">I15*(_xlfn.XLOOKUP(H$3,TabCalc[Ticker],TabCalc[M])+J15)</f>
        <v>-1352190.0000000002</v>
      </c>
      <c r="I15" s="1102">
        <v>100000</v>
      </c>
      <c r="J15" s="1096">
        <v>-52.521900000000002</v>
      </c>
      <c r="K15" s="1099">
        <f ca="1">L15*(_xlfn.XLOOKUP(K$3,TabCalc[Ticker],TabCalc[M])+M15)</f>
        <v>1145.999999999998</v>
      </c>
      <c r="L15" s="1102">
        <v>200</v>
      </c>
      <c r="M15" s="1096">
        <v>-224.55</v>
      </c>
      <c r="N15" s="1099">
        <f ca="1">O15*(_xlfn.XLOOKUP(N$3,TabCalc[Ticker],TabCalc[M])+P15)</f>
        <v>0</v>
      </c>
      <c r="O15" s="1102"/>
      <c r="P15" s="1096"/>
      <c r="Q15" s="1099">
        <f ca="1">R15*(_xlfn.XLOOKUP(Q$3,TabCalc[Ticker],TabCalc[M])+S15)</f>
        <v>5419.9999999999927</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918.00000000000637</v>
      </c>
      <c r="CI15" s="1102">
        <v>200</v>
      </c>
      <c r="CJ15" s="1096">
        <v>-478.88</v>
      </c>
      <c r="CK15" s="1099">
        <f ca="1">CL15*(_xlfn.XLOOKUP(CK$3,TabCalc[Ticker],TabCalc[M])+CM15)</f>
        <v>0</v>
      </c>
      <c r="CL15" s="1101"/>
      <c r="CM15" s="1096"/>
      <c r="CN15" s="1099">
        <f ca="1">CO15*(_xlfn.XLOOKUP(CN$3,TabCalc[Ticker],TabCalc[M])+CP15)</f>
        <v>26040.000000000022</v>
      </c>
      <c r="CO15" s="1102">
        <v>2000</v>
      </c>
      <c r="CP15" s="1096">
        <v>-86.41</v>
      </c>
      <c r="CQ15" s="1099">
        <f ca="1">CR15*(_xlfn.XLOOKUP(CQ$3,TabCalc[Ticker],TabCalc[M])+CS15)</f>
        <v>0</v>
      </c>
      <c r="CR15" s="1101"/>
      <c r="CS15" s="1096"/>
      <c r="CT15" s="1099">
        <f ca="1">CU15*(_xlfn.XLOOKUP(CT$3,TabCalc[Ticker],TabCalc[M])+CV15)</f>
        <v>0</v>
      </c>
      <c r="CU15" s="1102"/>
      <c r="CV15" s="1096"/>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5901.9999999999927</v>
      </c>
      <c r="C16" s="1102">
        <v>200</v>
      </c>
      <c r="D16" s="1096">
        <v>-248.52</v>
      </c>
      <c r="E16" s="1099">
        <f ca="1">F16*(_xlfn.XLOOKUP(E$3,TabCalc[Ticker],TabCalc[M])+G16)</f>
        <v>0</v>
      </c>
      <c r="F16" s="1102"/>
      <c r="G16" s="1096"/>
      <c r="H16" s="1099">
        <f ca="1">I16*(_xlfn.XLOOKUP(H$3,TabCalc[Ticker],TabCalc[M])+J16)</f>
        <v>-2539979.9999999995</v>
      </c>
      <c r="I16" s="1102">
        <v>180000</v>
      </c>
      <c r="J16" s="1096">
        <v>-53.110999999999997</v>
      </c>
      <c r="K16" s="1099">
        <f ca="1">L16*(_xlfn.XLOOKUP(K$3,TabCalc[Ticker],TabCalc[M])+M16)</f>
        <v>870.00000000000455</v>
      </c>
      <c r="L16" s="1102">
        <v>500</v>
      </c>
      <c r="M16" s="1096">
        <v>-228.54</v>
      </c>
      <c r="N16" s="1099">
        <f ca="1">O16*(_xlfn.XLOOKUP(N$3,TabCalc[Ticker],TabCalc[M])+P16)</f>
        <v>0</v>
      </c>
      <c r="O16" s="1102"/>
      <c r="P16" s="1096"/>
      <c r="Q16" s="1099">
        <f ca="1">R16*(_xlfn.XLOOKUP(Q$3,TabCalc[Ticker],TabCalc[M])+S16)</f>
        <v>0</v>
      </c>
      <c r="R16" s="1102"/>
      <c r="S16" s="1096"/>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-4554.0000000000018</v>
      </c>
      <c r="CI16" s="1102">
        <v>150</v>
      </c>
      <c r="CJ16" s="1096">
        <v>-513.83000000000004</v>
      </c>
      <c r="CK16" s="1099">
        <f ca="1">CL16*(_xlfn.XLOOKUP(CK$3,TabCalc[Ticker],TabCalc[M])+CM16)</f>
        <v>0</v>
      </c>
      <c r="CL16" s="1101"/>
      <c r="CM16" s="1096"/>
      <c r="CN16" s="1099">
        <f ca="1">CO16*(_xlfn.XLOOKUP(CN$3,TabCalc[Ticker],TabCalc[M])+CP16)</f>
        <v>0</v>
      </c>
      <c r="CO16" s="1102"/>
      <c r="CP16" s="1096"/>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598.50000000000568</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510.00000000000227</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-652.49999999999636</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-2571.0000000000036</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627107.39006545988</v>
      </c>
      <c r="C37" s="1242">
        <f>SUBTOTAL(109,TabConsolid[AAPL1])</f>
        <v>9500.0000010000003</v>
      </c>
      <c r="D37" s="1243">
        <f>SUBTOTAL(101,TabConsolid[AAPL2])</f>
        <v>-216.13775495373281</v>
      </c>
      <c r="E37" s="1108">
        <f ca="1">SUBTOTAL(109,TabConsolid[ADEA])</f>
        <v>2426.1000004512312</v>
      </c>
      <c r="F37" s="1242">
        <f>SUBTOTAL(109,TabConsolid[ADEA1])</f>
        <v>5000.0000010000003</v>
      </c>
      <c r="G37" s="1243">
        <f>SUBTOTAL(101,TabConsolid[ADEA2])</f>
        <v>-13.354693607</v>
      </c>
      <c r="H37" s="1108">
        <f ca="1">SUBTOTAL(109,TabConsolid[AET])</f>
        <v>-8394362.8807103653</v>
      </c>
      <c r="I37" s="1242">
        <f>SUBTOTAL(109,TabConsolid[AET1])</f>
        <v>820000.00000100001</v>
      </c>
      <c r="J37" s="1243">
        <f>SUBTOTAL(101,TabConsolid[AET2])</f>
        <v>-47.204785705833942</v>
      </c>
      <c r="K37" s="1108">
        <f ca="1">SUBTOTAL(109,TabConsolid[AMZN])</f>
        <v>325457.22002659319</v>
      </c>
      <c r="L37" s="1242">
        <f>SUBTOTAL(109,TabConsolid[AMZN1])</f>
        <v>12000.000001</v>
      </c>
      <c r="M37" s="1243">
        <f>SUBTOTAL(101,TabConsolid[AMZN2])</f>
        <v>-208.86004572170589</v>
      </c>
      <c r="N37" s="1108">
        <f ca="1">SUBTOTAL(109,TabConsolid[ALDNE])</f>
        <v>-1560921.041264337</v>
      </c>
      <c r="O37" s="1242">
        <f>SUBTOTAL(109,TabConsolid[ALDNE1])</f>
        <v>2530000.0000009998</v>
      </c>
      <c r="P37" s="1243">
        <f>SUBTOTAL(101,TabConsolid[ALDNE2])</f>
        <v>-1.3920527112804628</v>
      </c>
      <c r="Q37" s="1108">
        <f ca="1">SUBTOTAL(109,TabConsolid[ASML])</f>
        <v>784130.0002783282</v>
      </c>
      <c r="R37" s="1242">
        <f>SUBTOTAL(109,TabConsolid[ASML1])</f>
        <v>2800.0000009999999</v>
      </c>
      <c r="S37" s="1243">
        <f>SUBTOTAL(101,TabConsolid[ASML2])</f>
        <v>-684.7643158928571</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27361.540877656196</v>
      </c>
      <c r="GM37" s="1242">
        <f>SUBTOTAL(109,TabConsolid[SAFAAPL1])</f>
        <v>350.000001</v>
      </c>
      <c r="GN37" s="1243">
        <f>SUBTOTAL(101,TabConsolid[SAFAAPL2])</f>
        <v>-201.3743699942095</v>
      </c>
      <c r="GO37" s="1108">
        <f ca="1">SUBTOTAL(109,TabConsolid[SAFAMZN])</f>
        <v>38370.000025047775</v>
      </c>
      <c r="GP37" s="1242">
        <f>SUBTOTAL(109,TabConsolid[SAFAMZN1])</f>
        <v>1500.0000009999999</v>
      </c>
      <c r="GQ37" s="1243">
        <f>SUBTOTAL(101,TabConsolid[SAFAMZN2])</f>
        <v>-206.90644400000002</v>
      </c>
      <c r="GR37" s="1108">
        <f ca="1">SUBTOTAL(109,TabConsolid[SAFASML])</f>
        <v>9.4089999999999994E-4</v>
      </c>
      <c r="GS37" s="1242">
        <f>SUBTOTAL(109,TabConsolid[SAFASML1])</f>
        <v>9.9999999999999995E-7</v>
      </c>
      <c r="GT37" s="1243" t="e">
        <f>SUBTOTAL(101,TabConsolid[SAFASML2])</f>
        <v>#DIV/0!</v>
      </c>
      <c r="GU37" s="1108">
        <f ca="1">SUBTOTAL(109,TabConsolid[SAFDDD])</f>
        <v>-145001.50000132673</v>
      </c>
      <c r="GV37" s="1242">
        <f>SUBTOTAL(109,TabConsolid[SAFDDD1])</f>
        <v>110000.00000100001</v>
      </c>
      <c r="GW37" s="1243">
        <f>SUBTOTAL(101,TabConsolid[SAFDDD2])</f>
        <v>-3.4050759661038961</v>
      </c>
      <c r="GX37" s="1108">
        <f ca="1">SUBTOTAL(109,TabConsolid[SAFDIS])</f>
        <v>1127.9000006525155</v>
      </c>
      <c r="GY37" s="1242">
        <f>SUBTOTAL(109,TabConsolid[SAFDIS1])</f>
        <v>1200.0000009999999</v>
      </c>
      <c r="GZ37" s="1243">
        <f>SUBTOTAL(101,TabConsolid[SAFDIS2])</f>
        <v>-110.80582918333334</v>
      </c>
      <c r="HA37" s="1108">
        <f ca="1">SUBTOTAL(109,TabConsolid[SAFGM])</f>
        <v>8.0844999999999989E-5</v>
      </c>
      <c r="HB37" s="1242">
        <f>SUBTOTAL(109,TabConsolid[SAFGM1])</f>
        <v>9.9999999999999995E-7</v>
      </c>
      <c r="HC37" s="1243" t="e">
        <f>SUBTOTAL(101,TabConsolid[SAFGM2])</f>
        <v>#DIV/0!</v>
      </c>
      <c r="HD37" s="1108">
        <f ca="1">SUBTOTAL(109,TabConsolid[SAFIAG])</f>
        <v>3.9760000000000002E-4</v>
      </c>
      <c r="HE37" s="1243">
        <f>SUBTOTAL(109,TabConsolid[SAFIAG1])</f>
        <v>9.9999999999999995E-7</v>
      </c>
      <c r="HF37" s="86" t="e">
        <f>SUBTOTAL(101,TabConsolid[SAFIAG2])</f>
        <v>#DIV/0!</v>
      </c>
      <c r="HG37" s="1108">
        <f ca="1">SUBTOTAL(109,TabConsolid[SAFMRNA])</f>
        <v>-160520.57553226466</v>
      </c>
      <c r="HH37" s="1242">
        <f>SUBTOTAL(109,TabConsolid[SAFMRNA1])</f>
        <v>5000.0000010000003</v>
      </c>
      <c r="HI37" s="1243">
        <f>SUBTOTAL(101,TabConsolid[SAFMRNA2])</f>
        <v>-88.518903966543334</v>
      </c>
      <c r="HJ37" s="1108">
        <f ca="1">SUBTOTAL(109,TabConsolid[BLNK])</f>
        <v>-157318.00000131669</v>
      </c>
      <c r="HK37" s="1242">
        <f>SUBTOTAL(109,TabConsolid[BLNK1])</f>
        <v>120000.00000100001</v>
      </c>
      <c r="HL37" s="1243">
        <f>SUBTOTAL(101,TabConsolid[BLNK2])</f>
        <v>-2.4985849957142858</v>
      </c>
      <c r="HM37" s="1108">
        <f ca="1">SUBTOTAL(109,TabConsolid[ENI])</f>
        <v>10340.000000995346</v>
      </c>
      <c r="HN37" s="1242">
        <f>SUBTOTAL(109,TabConsolid[ENI1])</f>
        <v>10000.000001</v>
      </c>
      <c r="HO37" s="1243">
        <f>SUBTOTAL(101,TabConsolid[ENI2])</f>
        <v>-14.889330999999999</v>
      </c>
      <c r="HP37" s="1108">
        <f ca="1">SUBTOTAL(109,TabConsolid[EZJ])</f>
        <v>723800.00002292916</v>
      </c>
      <c r="HQ37" s="1242">
        <f>SUBTOTAL(109,TabConsolid[EZJ1])</f>
        <v>30000.000001</v>
      </c>
      <c r="HR37" s="1243">
        <f>SUBTOTAL(101,TabConsolid[EZJ2])</f>
        <v>-464.69395466666657</v>
      </c>
      <c r="HS37" s="1108">
        <f ca="1">SUBTOTAL(109,TabConsolid[F])</f>
        <v>1.3624999999999999E-5</v>
      </c>
      <c r="HT37" s="1242">
        <f>SUBTOTAL(109,TabConsolid[F1])</f>
        <v>9.9999999999999995E-7</v>
      </c>
      <c r="HU37" s="1243" t="e">
        <f>SUBTOTAL(101,TabConsolid[F2])</f>
        <v>#DIV/0!</v>
      </c>
      <c r="HV37" s="1108">
        <f ca="1">SUBTOTAL(109,TabConsolid[GLE])</f>
        <v>6.436E-5</v>
      </c>
      <c r="HW37" s="1242">
        <f>SUBTOTAL(109,TabConsolid[GLE1])</f>
        <v>9.9999999999999995E-7</v>
      </c>
      <c r="HX37" s="1243" t="e">
        <f>SUBTOTAL(101,TabConsolid[GLE2])</f>
        <v>#DIV/0!</v>
      </c>
      <c r="HY37" s="1108">
        <f ca="1">SUBTOTAL(109,TabConsolid[GNRC])</f>
        <v>-11887.000013678215</v>
      </c>
      <c r="HZ37" s="1242">
        <f>SUBTOTAL(109,TabConsolid[GNRC1])</f>
        <v>900.000001</v>
      </c>
      <c r="IA37" s="1243">
        <f>SUBTOTAL(101,TabConsolid[GNRC2])</f>
        <v>-179.41455399999998</v>
      </c>
      <c r="IB37" s="1108">
        <f ca="1">SUBTOTAL(109,TabConsolid[GS])</f>
        <v>9.1094000000000006E-4</v>
      </c>
      <c r="IC37" s="1242">
        <f>SUBTOTAL(109,TabConsolid[GS1])</f>
        <v>9.9999999999999995E-7</v>
      </c>
      <c r="ID37" s="1243" t="e">
        <f>SUBTOTAL(101,TabConsolid[GS2])</f>
        <v>#DIV/0!</v>
      </c>
      <c r="IE37" s="1108">
        <f ca="1">SUBTOTAL(109,TabConsolid[LAZR])</f>
        <v>-321395.34842076746</v>
      </c>
      <c r="IF37" s="1242">
        <f>SUBTOTAL(109,TabConsolid[LAZR1])</f>
        <v>15518.000001</v>
      </c>
      <c r="IG37" s="1243">
        <f>SUBTOTAL(101,TabConsolid[LAZR2])</f>
        <v>-29.548423298492072</v>
      </c>
      <c r="IH37" s="1108">
        <f ca="1">SUBTOTAL(109,TabConsolid[LUV])</f>
        <v>14688.120006906609</v>
      </c>
      <c r="II37" s="1242">
        <f>SUBTOTAL(109,TabConsolid[LUV1])</f>
        <v>2100.0000010000003</v>
      </c>
      <c r="IJ37" s="1243">
        <f>SUBTOTAL(101,TabConsolid[LUV2])</f>
        <v>-34.113598617142863</v>
      </c>
      <c r="IK37" s="1108">
        <f ca="1">SUBTOTAL(109,TabConsolid[MA])</f>
        <v>1444.0000057735069</v>
      </c>
      <c r="IL37" s="1242">
        <f>SUBTOTAL(109,TabConsolid[MA1])</f>
        <v>200.000001</v>
      </c>
      <c r="IM37" s="1243">
        <f>SUBTOTAL(101,TabConsolid[MA2])</f>
        <v>-556.83217000000002</v>
      </c>
      <c r="IN37" s="1108">
        <f ca="1">SUBTOTAL(109,TabConsolid[NVAX])</f>
        <v>-13764.600003084142</v>
      </c>
      <c r="IO37" s="1242">
        <f>SUBTOTAL(109,TabConsolid[NVAX1])</f>
        <v>4500.0000010000003</v>
      </c>
      <c r="IP37" s="1243">
        <f>SUBTOTAL(101,TabConsolid[NVAX2])</f>
        <v>-9.7614734399999996</v>
      </c>
      <c r="IQ37" s="1108">
        <f ca="1">SUBTOTAL(109,TabConsolid[NVS])</f>
        <v>1.3236000000000001E-4</v>
      </c>
      <c r="IR37" s="1242">
        <f>SUBTOTAL(109,TabConsolid[NVS1])</f>
        <v>9.9999999999999995E-7</v>
      </c>
      <c r="IS37" s="1243" t="e">
        <f>SUBTOTAL(101,TabConsolid[NVS2])</f>
        <v>#DIV/0!</v>
      </c>
      <c r="IT37" s="1108">
        <f ca="1">SUBTOTAL(109,TabConsolid[ORA])</f>
        <v>-12.000000045736744</v>
      </c>
      <c r="IU37" s="1242">
        <f>SUBTOTAL(109,TabConsolid[ORA1])</f>
        <v>1200.0000010000001</v>
      </c>
      <c r="IV37" s="1243">
        <f>SUBTOTAL(101,TabConsolid[ORA2])</f>
        <v>-13.7628685</v>
      </c>
      <c r="IW37" s="1108">
        <f ca="1">SUBTOTAL(109,TabConsolid[OXY])</f>
        <v>-52537.900013275743</v>
      </c>
      <c r="IX37" s="1242">
        <f>SUBTOTAL(109,TabConsolid[OXY1])</f>
        <v>4000.0000009999999</v>
      </c>
      <c r="IY37" s="1243">
        <f>SUBTOTAL(101,TabConsolid[OXY2])</f>
        <v>-54.152948926999997</v>
      </c>
      <c r="IZ37" s="1108">
        <f ca="1">SUBTOTAL(109,TabConsolid[PFE])</f>
        <v>160.0000000130986</v>
      </c>
      <c r="JA37" s="1242">
        <f>SUBTOTAL(109,TabConsolid[PFE1])</f>
        <v>2000.0000010000001</v>
      </c>
      <c r="JB37" s="1243">
        <f>SUBTOTAL(101,TabConsolid[PFE2])</f>
        <v>-25.763449000000001</v>
      </c>
      <c r="JC37" s="1108">
        <f ca="1">SUBTOTAL(109,TabConsolid[RIG])</f>
        <v>29817.500001075954</v>
      </c>
      <c r="JD37" s="1242">
        <f>SUBTOTAL(109,TabConsolid[RIG1])</f>
        <v>27500.000001</v>
      </c>
      <c r="JE37" s="1243">
        <f>SUBTOTAL(109,TabConsolid[RIG2])</f>
        <v>-9.6290491636363633</v>
      </c>
      <c r="JF37" s="1108">
        <f ca="1">SUBTOTAL(109,TabConsolid[RRC])</f>
        <v>3.6299999999999995E-5</v>
      </c>
      <c r="JG37" s="1242">
        <f>SUBTOTAL(109,TabConsolid[RRC1])</f>
        <v>9.9999999999999995E-7</v>
      </c>
      <c r="JH37" s="1243" t="e">
        <f>SUBTOTAL(101,TabConsolid[RRC2])</f>
        <v>#DIV/0!</v>
      </c>
      <c r="JI37" s="1108">
        <f ca="1">SUBTOTAL(109,TabConsolid[XYZ])</f>
        <v>-8004.0000135400423</v>
      </c>
      <c r="JJ37" s="1242">
        <f>SUBTOTAL(109,TabConsolid[XYZ1])</f>
        <v>600.000001</v>
      </c>
      <c r="JK37" s="1243">
        <f>SUBTOTAL(101,TabConsolid[XYZ2])</f>
        <v>-77.040021999999993</v>
      </c>
      <c r="JL37" s="1108">
        <f ca="1">SUBTOTAL(109,TabConsolid[THC])</f>
        <v>55670.615036696487</v>
      </c>
      <c r="JM37" s="1242">
        <f>SUBTOTAL(109,TabConsolid[THC1])</f>
        <v>1500.0000009999999</v>
      </c>
      <c r="JN37" s="1243">
        <f>SUBTOTAL(101,TabConsolid[THC2])</f>
        <v>-159.35924158680001</v>
      </c>
      <c r="JO37" s="1108">
        <f ca="1">SUBTOTAL(109,TabConsolid[X])</f>
        <v>238.82796380230531</v>
      </c>
      <c r="JP37" s="1242">
        <f>SUBTOTAL(109,TabConsolid[X1])</f>
        <v>10.000000999999999</v>
      </c>
      <c r="JQ37" s="1243">
        <f>SUBTOTAL(101,TabConsolid[X2])</f>
        <v>-30.997450367799999</v>
      </c>
      <c r="JR37" s="1108">
        <f ca="1">SUBTOTAL(109,TabConsolid[LOCK])</f>
        <v>384574.80000497412</v>
      </c>
      <c r="JS37" s="1242">
        <f>SUBTOTAL(109,TabConsolid[LOCK1])</f>
        <v>77100.000000999993</v>
      </c>
      <c r="JT37" s="1243">
        <f>SUBTOTAL(101,TabConsolid[LOCK2])</f>
        <v>-5.3469420000000003</v>
      </c>
      <c r="JU37" s="1108">
        <f ca="1">SUBTOTAL(109,TabConsolid[JBASML])</f>
        <v>9.4089999999999994E-4</v>
      </c>
      <c r="JV37" s="1241">
        <f>SUBTOTAL(109,TabConsolid[JBASML1])</f>
        <v>9.9999999999999995E-7</v>
      </c>
      <c r="JW37" s="1243" t="e">
        <f>SUBTOTAL(101,TabConsolid[JBASML2])</f>
        <v>#DIV/0!</v>
      </c>
      <c r="JX37" s="1108">
        <f ca="1">SUBTOTAL(109,TabConsolid[JBEOAN])</f>
        <v>12217.461000544201</v>
      </c>
      <c r="JY37" s="1242">
        <f>SUBTOTAL(109,TabConsolid[JBEOAN1])</f>
        <v>21000.000001</v>
      </c>
      <c r="JZ37" s="1240">
        <f>SUBTOTAL(101,TabConsolid[JBEOAN2])</f>
        <v>-14.387615357832654</v>
      </c>
    </row>
    <row r="38" spans="1:289">
      <c r="A38">
        <v>35</v>
      </c>
      <c r="B38" s="1108"/>
      <c r="C38" s="1244">
        <f ca="1">C37*_xlfn.XLOOKUP(B$3,TabCalc[Ticker],TabCalc[M])</f>
        <v>2641285.0002780301</v>
      </c>
      <c r="D38" s="1097"/>
      <c r="E38" s="1108"/>
      <c r="F38" s="1244">
        <f ca="1">F37*_xlfn.XLOOKUP(E$3,TabCalc[Ticker],TabCalc[M])</f>
        <v>67800.000013560013</v>
      </c>
      <c r="G38" s="1097"/>
      <c r="H38" s="1108"/>
      <c r="I38" s="1244">
        <f ca="1">I37*_xlfn.XLOOKUP(H$3,TabCalc[Ticker],TabCalc[M])</f>
        <v>31980000.000039</v>
      </c>
      <c r="J38" s="1097"/>
      <c r="K38" s="1108"/>
      <c r="L38" s="1244">
        <f ca="1">L37*_xlfn.XLOOKUP(K$3,TabCalc[Ticker],TabCalc[M])</f>
        <v>2763360.0002302802</v>
      </c>
      <c r="M38" s="1097"/>
      <c r="N38" s="1108"/>
      <c r="O38" s="1244">
        <f ca="1">O37*_xlfn.XLOOKUP(N$3,TabCalc[Ticker],TabCalc[M])</f>
        <v>1391500.0000005499</v>
      </c>
      <c r="P38" s="1097"/>
      <c r="Q38" s="1108"/>
      <c r="R38" s="1244">
        <f ca="1">R37*_xlfn.XLOOKUP(Q$3,TabCalc[Ticker],TabCalc[M])</f>
        <v>2634520.0009408998</v>
      </c>
      <c r="S38" s="1097"/>
      <c r="T38" s="1108"/>
      <c r="U38" s="1244">
        <f ca="1">U37*_xlfn.XLOOKUP(T$3,TabCalc[Ticker],TabCalc[M])</f>
        <v>0</v>
      </c>
      <c r="V38" s="1097"/>
      <c r="W38" s="1108"/>
      <c r="X38" s="1244">
        <f ca="1">X37*_xlfn.XLOOKUP(W$3,TabCalc[Ticker],TabCalc[M])</f>
        <v>0</v>
      </c>
      <c r="Y38" s="1097"/>
      <c r="Z38" s="1108"/>
      <c r="AA38" s="1244">
        <f ca="1">AA37*_xlfn.XLOOKUP(Z$3,TabCalc[Ticker],TabCalc[M])</f>
        <v>0</v>
      </c>
      <c r="AB38" s="1097"/>
      <c r="AC38" s="1108"/>
      <c r="AD38" s="1244">
        <f ca="1">AD37*_xlfn.XLOOKUP(AC$3,TabCalc[Ticker],TabCalc[M])</f>
        <v>0</v>
      </c>
      <c r="AE38" s="1097"/>
      <c r="AF38" s="1108"/>
      <c r="AG38" s="1244">
        <f ca="1">AG37*_xlfn.XLOOKUP(AF$3,TabCalc[Ticker],TabCalc[M])</f>
        <v>0</v>
      </c>
      <c r="AH38" s="1097"/>
      <c r="AI38" s="1108"/>
      <c r="AJ38" s="1244">
        <f ca="1">AJ37*_xlfn.XLOOKUP(AI$3,TabCalc[Ticker],TabCalc[M])</f>
        <v>0</v>
      </c>
      <c r="AK38" s="1097"/>
      <c r="AL38" s="1108"/>
      <c r="AM38" s="1244">
        <f ca="1">AM37*_xlfn.XLOOKUP(AL$3,TabCalc[Ticker],TabCalc[M])</f>
        <v>0</v>
      </c>
      <c r="AN38" s="1097"/>
      <c r="AO38" s="1108"/>
      <c r="AP38" s="1244">
        <f ca="1">AP37*_xlfn.XLOOKUP(AO$3,TabCalc[Ticker],TabCalc[M])</f>
        <v>0</v>
      </c>
      <c r="AQ38" s="1097"/>
      <c r="AR38" s="1108"/>
      <c r="AS38" s="1244">
        <f ca="1">AS37*_xlfn.XLOOKUP(AR$3,TabCalc[Ticker],TabCalc[M])</f>
        <v>0</v>
      </c>
      <c r="AT38" s="1097"/>
      <c r="AU38" s="1108"/>
      <c r="AV38" s="1244">
        <f ca="1">AV37*_xlfn.XLOOKUP(AU$3,TabCalc[Ticker],TabCalc[M])</f>
        <v>0</v>
      </c>
      <c r="AW38" s="1097"/>
      <c r="AX38" s="1108"/>
      <c r="AY38" s="1244">
        <f ca="1">AY37*_xlfn.XLOOKUP(AX$3,TabCalc[Ticker],TabCalc[M])</f>
        <v>0</v>
      </c>
      <c r="AZ38" s="1097"/>
      <c r="BA38" s="1108"/>
      <c r="BB38" s="1244">
        <f ca="1">BB37*_xlfn.XLOOKUP(BA$3,TabCalc[Ticker],TabCalc[M])</f>
        <v>0</v>
      </c>
      <c r="BC38" s="1097"/>
      <c r="BD38" s="1108"/>
      <c r="BE38" s="1244">
        <f ca="1">BE37*_xlfn.XLOOKUP(BD$3,TabCalc[Ticker],TabCalc[M])</f>
        <v>0</v>
      </c>
      <c r="BF38" s="1097"/>
      <c r="BG38" s="1108"/>
      <c r="BH38" s="1244">
        <f ca="1">BH37*_xlfn.XLOOKUP(BG$3,TabCalc[Ticker],TabCalc[M])</f>
        <v>0</v>
      </c>
      <c r="BI38" s="1097"/>
      <c r="BJ38" s="1108"/>
      <c r="BK38" s="1244">
        <f ca="1">BK37*_xlfn.XLOOKUP(BJ$3,TabCalc[Ticker],TabCalc[M])</f>
        <v>0</v>
      </c>
      <c r="BL38" s="1097"/>
      <c r="BM38" s="1108"/>
      <c r="BN38" s="1244">
        <f ca="1">BN37*_xlfn.XLOOKUP(BM$3,TabCalc[Ticker],TabCalc[M])</f>
        <v>0</v>
      </c>
      <c r="BO38" s="1097"/>
      <c r="BP38" s="1108"/>
      <c r="BQ38" s="1244">
        <f ca="1">BQ37*_xlfn.XLOOKUP(BP$3,TabCalc[Ticker],TabCalc[M])</f>
        <v>0</v>
      </c>
      <c r="BR38" s="1097"/>
      <c r="BS38" s="1108"/>
      <c r="BT38" s="1244">
        <f ca="1">BT37*_xlfn.XLOOKUP(BS$3,TabCalc[Ticker],TabCalc[M])</f>
        <v>0</v>
      </c>
      <c r="BU38" s="1097"/>
      <c r="BV38" s="1108"/>
      <c r="BW38" s="1244">
        <f ca="1">BW37*_xlfn.XLOOKUP(BV$3,TabCalc[Ticker],TabCalc[M])</f>
        <v>0</v>
      </c>
      <c r="BX38" s="1097"/>
      <c r="BY38" s="1108"/>
      <c r="BZ38" s="1244">
        <f ca="1">BZ37*_xlfn.XLOOKUP(BY$3,TabCalc[Ticker],TabCalc[M])</f>
        <v>0</v>
      </c>
      <c r="CA38" s="1097"/>
      <c r="CB38" s="1108"/>
      <c r="CC38" s="1244">
        <f ca="1">CC37*_xlfn.XLOOKUP(CB$3,TabCalc[Ticker],TabCalc[M])</f>
        <v>0</v>
      </c>
      <c r="CD38" s="1097"/>
      <c r="CE38" s="1108"/>
      <c r="CF38" s="1244">
        <f ca="1">CF37*_xlfn.XLOOKUP(CE$3,TabCalc[Ticker],TabCalc[M])</f>
        <v>0</v>
      </c>
      <c r="CG38" s="1097"/>
      <c r="CH38" s="1108"/>
      <c r="CI38" s="1244">
        <f ca="1">CI37*_xlfn.XLOOKUP(CH$3,TabCalc[Ticker],TabCalc[M])</f>
        <v>0</v>
      </c>
      <c r="CJ38" s="1097"/>
      <c r="CK38" s="1108"/>
      <c r="CL38" s="1244">
        <f ca="1">CL37*_xlfn.XLOOKUP(CK$3,TabCalc[Ticker],TabCalc[M])</f>
        <v>0</v>
      </c>
      <c r="CM38" s="1097"/>
      <c r="CN38" s="1108"/>
      <c r="CO38" s="1244">
        <f ca="1">CO37*_xlfn.XLOOKUP(CN$3,TabCalc[Ticker],TabCalc[M])</f>
        <v>0</v>
      </c>
      <c r="CP38" s="1097"/>
      <c r="CQ38" s="1108"/>
      <c r="CR38" s="1244">
        <f ca="1">CR37*_xlfn.XLOOKUP(CQ$3,TabCalc[Ticker],TabCalc[M])</f>
        <v>0</v>
      </c>
      <c r="CS38" s="1097"/>
      <c r="CT38" s="1108"/>
      <c r="CU38" s="1244">
        <f ca="1">CU37*_xlfn.XLOOKUP(CT$3,TabCalc[Ticker],TabCalc[M])</f>
        <v>0</v>
      </c>
      <c r="CV38" s="1097"/>
      <c r="CW38" s="1108"/>
      <c r="CX38" s="1244">
        <f ca="1">CX37*_xlfn.XLOOKUP(CW$3,TabCalc[Ticker],TabCalc[M])</f>
        <v>0</v>
      </c>
      <c r="CY38" s="1097"/>
      <c r="CZ38" s="1108"/>
      <c r="DA38" s="1244">
        <f ca="1">DA37*_xlfn.XLOOKUP(CZ$3,TabCalc[Ticker],TabCalc[M])</f>
        <v>0</v>
      </c>
      <c r="DB38" s="1097"/>
      <c r="DC38" s="1108"/>
      <c r="DD38" s="1244">
        <f ca="1">DD37*_xlfn.XLOOKUP(DC$3,TabCalc[Ticker],TabCalc[M])</f>
        <v>0</v>
      </c>
      <c r="DE38" s="1097"/>
      <c r="DF38" s="1108"/>
      <c r="DG38" s="1244">
        <f ca="1">DG37*_xlfn.XLOOKUP(DF$3,TabCalc[Ticker],TabCalc[M])</f>
        <v>0</v>
      </c>
      <c r="DH38" s="1097"/>
      <c r="DI38" s="1108"/>
      <c r="DJ38" s="1244">
        <f ca="1">DJ37*_xlfn.XLOOKUP(DI$3,TabCalc[Ticker],TabCalc[M])</f>
        <v>0</v>
      </c>
      <c r="DK38" s="1097"/>
      <c r="DL38" s="1108"/>
      <c r="DM38" s="1244">
        <f ca="1">DM37*_xlfn.XLOOKUP(DL$3,TabCalc[Ticker],TabCalc[M])</f>
        <v>0</v>
      </c>
      <c r="DN38" s="1097"/>
      <c r="DO38" s="1108"/>
      <c r="DP38" s="1244">
        <f ca="1">DP37*_xlfn.XLOOKUP(DO$3,TabCalc[Ticker],TabCalc[M])</f>
        <v>0</v>
      </c>
      <c r="DQ38" s="1097"/>
      <c r="DR38" s="1108"/>
      <c r="DS38" s="1244">
        <f ca="1">DS37*_xlfn.XLOOKUP(DR$3,TabCalc[Ticker],TabCalc[M])</f>
        <v>0</v>
      </c>
      <c r="DT38" s="1097"/>
      <c r="DU38" s="1108"/>
      <c r="DV38" s="1244">
        <f ca="1">DV37*_xlfn.XLOOKUP(DU$3,TabCalc[Ticker],TabCalc[M])</f>
        <v>0</v>
      </c>
      <c r="DW38" s="1097"/>
      <c r="DX38" s="1108"/>
      <c r="DY38" s="1244">
        <f ca="1">DY37*_xlfn.XLOOKUP(DX$3,TabCalc[Ticker],TabCalc[M])</f>
        <v>0</v>
      </c>
      <c r="DZ38" s="1097"/>
      <c r="EA38" s="1108"/>
      <c r="EB38" s="1244">
        <f ca="1">EB37*_xlfn.XLOOKUP(EA$3,TabCalc[Ticker],TabCalc[M])</f>
        <v>0</v>
      </c>
      <c r="EC38" s="1097"/>
      <c r="ED38" s="1108"/>
      <c r="EE38" s="1244">
        <f ca="1">EE37*_xlfn.XLOOKUP(ED$3,TabCalc[Ticker],TabCalc[M])</f>
        <v>0</v>
      </c>
      <c r="EF38" s="1097"/>
      <c r="EG38" s="1108"/>
      <c r="EH38" s="1244">
        <f ca="1">EH37*_xlfn.XLOOKUP(EG$3,TabCalc[Ticker],TabCalc[M])</f>
        <v>0</v>
      </c>
      <c r="EI38" s="1097"/>
      <c r="EJ38" s="1108"/>
      <c r="EK38" s="1244" t="e">
        <f ca="1">EK37*_xlfn.XLOOKUP(EJ$3,TabCalc[Ticker],TabCalc[M])</f>
        <v>#N/A</v>
      </c>
      <c r="EL38" s="1097"/>
      <c r="EM38" s="1108"/>
      <c r="EN38" s="1244">
        <f ca="1">EN37*_xlfn.XLOOKUP(EM$3,TabCalc[Ticker],TabCalc[M])</f>
        <v>0</v>
      </c>
      <c r="EO38" s="1097"/>
      <c r="EP38" s="1108"/>
      <c r="EQ38" s="1244">
        <f ca="1">EQ37*_xlfn.XLOOKUP(EP$3,TabCalc[Ticker],TabCalc[M])</f>
        <v>0</v>
      </c>
      <c r="ER38" s="1097"/>
      <c r="ES38" s="1108"/>
      <c r="ET38" s="1244">
        <f ca="1">ET37*_xlfn.XLOOKUP(ES$3,TabCalc[Ticker],TabCalc[M])</f>
        <v>0</v>
      </c>
      <c r="EU38" s="1097"/>
      <c r="EV38" s="1108"/>
      <c r="EW38" s="1244">
        <f ca="1">EW37*_xlfn.XLOOKUP(EV$3,TabCalc[Ticker],TabCalc[M])</f>
        <v>0</v>
      </c>
      <c r="EX38" s="1097"/>
      <c r="EY38" s="1108"/>
      <c r="EZ38" s="1244">
        <f ca="1">EZ37*_xlfn.XLOOKUP(EY$3,TabCalc[Ticker],TabCalc[M])</f>
        <v>0</v>
      </c>
      <c r="FA38" s="1097"/>
      <c r="FB38" s="1108"/>
      <c r="FC38" s="1244">
        <f ca="1">FC37*_xlfn.XLOOKUP(FB$3,TabCalc[Ticker],TabCalc[M])</f>
        <v>0</v>
      </c>
      <c r="FD38" s="1097"/>
      <c r="FE38" s="1108"/>
      <c r="FF38" s="1244">
        <f ca="1">FF37*_xlfn.XLOOKUP(FE$3,TabCalc[Ticker],TabCalc[M])</f>
        <v>0</v>
      </c>
      <c r="FG38" s="1097"/>
      <c r="FH38" s="1108"/>
      <c r="FI38" s="1244">
        <f ca="1">FI37*_xlfn.XLOOKUP(FH$3,TabCalc[Ticker],TabCalc[M])</f>
        <v>0</v>
      </c>
      <c r="FJ38" s="1097"/>
      <c r="FK38" s="1108"/>
      <c r="FL38" s="1244">
        <f ca="1">FL37*_xlfn.XLOOKUP(FK$3,TabCalc[Ticker],TabCalc[M])</f>
        <v>0</v>
      </c>
      <c r="FM38" s="1097"/>
      <c r="FN38" s="1108"/>
      <c r="FO38" s="1244">
        <f ca="1">FO37*_xlfn.XLOOKUP(FN$3,TabCalc[Ticker],TabCalc[M])</f>
        <v>0</v>
      </c>
      <c r="FP38" s="1097"/>
      <c r="FQ38" s="1108"/>
      <c r="FR38" s="1244">
        <f ca="1">FR37*_xlfn.XLOOKUP(FQ$3,TabCalc[Ticker],TabCalc[M])</f>
        <v>0</v>
      </c>
      <c r="FS38" s="1097"/>
      <c r="FT38" s="1108"/>
      <c r="FU38" s="1244">
        <f ca="1">FU37*_xlfn.XLOOKUP(FT$3,TabCalc[Ticker],TabCalc[M])</f>
        <v>0</v>
      </c>
      <c r="FV38" s="1097"/>
      <c r="FW38" s="1108"/>
      <c r="FX38" s="1244">
        <f ca="1">FX37*_xlfn.XLOOKUP(FW$3,TabCalc[Ticker],TabCalc[M])</f>
        <v>0</v>
      </c>
      <c r="FY38" s="1097"/>
      <c r="FZ38" s="1108"/>
      <c r="GA38" s="1244">
        <f ca="1">GA37*_xlfn.XLOOKUP(FZ$3,TabCalc[Ticker],TabCalc[M])</f>
        <v>0</v>
      </c>
      <c r="GB38" s="1097"/>
      <c r="GC38" s="1108"/>
      <c r="GD38" s="1244">
        <f ca="1">GD37*_xlfn.XLOOKUP(GC$3,TabCalc[Ticker],TabCalc[M])</f>
        <v>0</v>
      </c>
      <c r="GE38" s="1097"/>
      <c r="GF38" s="1108"/>
      <c r="GG38" s="1244">
        <f ca="1">GG37*_xlfn.XLOOKUP(GF$3,TabCalc[Ticker],TabCalc[M])</f>
        <v>0</v>
      </c>
      <c r="GH38" s="1097"/>
      <c r="GI38" s="1108"/>
      <c r="GJ38" s="1244">
        <f ca="1">GJ37*_xlfn.XLOOKUP(GI$3,TabCalc[Ticker],TabCalc[M])</f>
        <v>0</v>
      </c>
      <c r="GK38" s="1097"/>
      <c r="GL38" s="1108"/>
      <c r="GM38" s="1244">
        <f ca="1">GM37*_xlfn.XLOOKUP(GL$3,TabCalc[Ticker],TabCalc[M])</f>
        <v>97310.500278029984</v>
      </c>
      <c r="GN38" s="1097"/>
      <c r="GO38" s="1108"/>
      <c r="GP38" s="1244">
        <f ca="1">GP37*_xlfn.XLOOKUP(GO$3,TabCalc[Ticker],TabCalc[M])</f>
        <v>345420.00023027998</v>
      </c>
      <c r="GQ38" s="1097"/>
      <c r="GR38" s="1108"/>
      <c r="GS38" s="1244">
        <f ca="1">GS37*_xlfn.XLOOKUP(GR$3,TabCalc[Ticker],TabCalc[M])</f>
        <v>9.4089999999999994E-4</v>
      </c>
      <c r="GT38" s="1097"/>
      <c r="GU38" s="1108"/>
      <c r="GV38" s="1244">
        <f ca="1">GV37*_xlfn.XLOOKUP(GU$3,TabCalc[Ticker],TabCalc[M])</f>
        <v>216150.00000196503</v>
      </c>
      <c r="GW38" s="1097"/>
      <c r="GX38" s="1108"/>
      <c r="GY38" s="1244">
        <f ca="1">GY37*_xlfn.XLOOKUP(GX$3,TabCalc[Ticker],TabCalc[M])</f>
        <v>133776.00011147998</v>
      </c>
      <c r="GZ38" s="1097"/>
      <c r="HA38" s="1108"/>
      <c r="HB38" s="1244">
        <f ca="1">HB37*_xlfn.XLOOKUP(HA$3,TabCalc[Ticker],TabCalc[M])</f>
        <v>8.0844999999999989E-5</v>
      </c>
      <c r="HC38" s="1097"/>
      <c r="HD38" s="1108"/>
      <c r="HE38" s="1244" t="e">
        <f ca="1">#REF!*_xlfn.XLOOKUP(HD$3,TabCalc[Ticker],TabCalc[M])</f>
        <v>#REF!</v>
      </c>
      <c r="HF38" s="1097"/>
      <c r="HG38" s="1108"/>
      <c r="HH38" s="1244">
        <f ca="1">HH37*_xlfn.XLOOKUP(HG$3,TabCalc[Ticker],TabCalc[M])</f>
        <v>148150.00002963</v>
      </c>
      <c r="HI38" s="1097"/>
      <c r="HJ38" s="1108"/>
      <c r="HK38" s="1244">
        <f ca="1">HK37*_xlfn.XLOOKUP(HJ$3,TabCalc[Ticker],TabCalc[M])</f>
        <v>106296.0000008858</v>
      </c>
      <c r="HL38" s="1097"/>
      <c r="HM38" s="1108"/>
      <c r="HN38" s="1244">
        <f ca="1">HN37*_xlfn.XLOOKUP(HM$3,TabCalc[Ticker],TabCalc[M])</f>
        <v>159040.00001590399</v>
      </c>
      <c r="HO38" s="1097"/>
      <c r="HP38" s="1108"/>
      <c r="HQ38" s="1244">
        <f ca="1">HQ37*_xlfn.XLOOKUP(HP$3,TabCalc[Ticker],TabCalc[M])</f>
        <v>14553000.000485102</v>
      </c>
      <c r="HR38" s="1097"/>
      <c r="HS38" s="1108"/>
      <c r="HT38" s="1244">
        <f ca="1">HT37*_xlfn.XLOOKUP(HS$3,TabCalc[Ticker],TabCalc[M])</f>
        <v>1.3624999999999999E-5</v>
      </c>
      <c r="HU38" s="1097"/>
      <c r="HV38" s="1108"/>
      <c r="HW38" s="1244">
        <f ca="1">HW37*_xlfn.XLOOKUP(HV$3,TabCalc[Ticker],TabCalc[M])</f>
        <v>6.436E-5</v>
      </c>
      <c r="HX38" s="1097"/>
      <c r="HY38" s="1108"/>
      <c r="HZ38" s="1244">
        <f ca="1">HZ37*_xlfn.XLOOKUP(HY$3,TabCalc[Ticker],TabCalc[M])</f>
        <v>150957.00016773</v>
      </c>
      <c r="IA38" s="1097"/>
      <c r="IB38" s="1108"/>
      <c r="IC38" s="1244">
        <f ca="1">IC37*_xlfn.XLOOKUP(IB$3,TabCalc[Ticker],TabCalc[M])</f>
        <v>9.1094000000000006E-4</v>
      </c>
      <c r="ID38" s="1097"/>
      <c r="IE38" s="1108"/>
      <c r="IF38" s="1244">
        <f ca="1">IF37*_xlfn.XLOOKUP(IE$3,TabCalc[Ticker],TabCalc[M])</f>
        <v>14993.491600966199</v>
      </c>
      <c r="IG38" s="1097"/>
      <c r="IH38" s="1108"/>
      <c r="II38" s="1244">
        <f ca="1">II37*_xlfn.XLOOKUP(IH$3,TabCalc[Ticker],TabCalc[M])</f>
        <v>85554.000040740022</v>
      </c>
      <c r="IJ38" s="1097"/>
      <c r="IK38" s="1108"/>
      <c r="IL38" s="1244">
        <f ca="1">IL37*_xlfn.XLOOKUP(IK$3,TabCalc[Ticker],TabCalc[M])</f>
        <v>112714.00056357001</v>
      </c>
      <c r="IM38" s="1097"/>
      <c r="IN38" s="1108"/>
      <c r="IO38" s="1244">
        <f ca="1">IO37*_xlfn.XLOOKUP(IN$3,TabCalc[Ticker],TabCalc[M])</f>
        <v>30105.000006690003</v>
      </c>
      <c r="IP38" s="1097"/>
      <c r="IQ38" s="1108"/>
      <c r="IR38" s="1244">
        <f ca="1">IR37*_xlfn.XLOOKUP(IQ$3,TabCalc[Ticker],TabCalc[M])</f>
        <v>1.3236000000000001E-4</v>
      </c>
      <c r="IS38" s="1097"/>
      <c r="IT38" s="1108"/>
      <c r="IU38" s="1244">
        <f ca="1">IU37*_xlfn.XLOOKUP(IT$3,TabCalc[Ticker],TabCalc[M])</f>
        <v>16482.000013735</v>
      </c>
      <c r="IV38" s="1097"/>
      <c r="IW38" s="1108"/>
      <c r="IX38" s="1244">
        <f ca="1">IX37*_xlfn.XLOOKUP(IW$3,TabCalc[Ticker],TabCalc[M])</f>
        <v>164800.00004119999</v>
      </c>
      <c r="IY38" s="1097"/>
      <c r="IZ38" s="1108"/>
      <c r="JA38" s="1244">
        <f ca="1">JA37*_xlfn.XLOOKUP(IZ$3,TabCalc[Ticker],TabCalc[M])</f>
        <v>51620.000025809997</v>
      </c>
      <c r="JB38" s="1097"/>
      <c r="JC38" s="1108"/>
      <c r="JD38" s="1244">
        <f ca="1">JD37*_xlfn.XLOOKUP(JC$3,TabCalc[Ticker],TabCalc[M])</f>
        <v>117837.500004285</v>
      </c>
      <c r="JE38" s="1097"/>
      <c r="JF38" s="1108"/>
      <c r="JG38" s="1244">
        <f ca="1">JG37*_xlfn.XLOOKUP(JF$3,TabCalc[Ticker],TabCalc[M])</f>
        <v>3.6299999999999995E-5</v>
      </c>
      <c r="JH38" s="1097"/>
      <c r="JI38" s="1108"/>
      <c r="JJ38" s="1244">
        <f ca="1">JJ37*_xlfn.XLOOKUP(JI$3,TabCalc[Ticker],TabCalc[M])</f>
        <v>38160.000063600004</v>
      </c>
      <c r="JK38" s="1097"/>
      <c r="JL38" s="1108"/>
      <c r="JM38" s="1244">
        <f ca="1">JM37*_xlfn.XLOOKUP(JL$3,TabCalc[Ticker],TabCalc[M])</f>
        <v>296392.50019759499</v>
      </c>
      <c r="JN38" s="1097"/>
      <c r="JO38" s="1108"/>
      <c r="JP38" s="1244">
        <f ca="1">JP37*_xlfn.XLOOKUP(JO$3,TabCalc[Ticker],TabCalc[M])</f>
        <v>548.40005483999994</v>
      </c>
      <c r="JQ38" s="1097"/>
      <c r="JR38" s="1108"/>
      <c r="JS38" s="1244">
        <f ca="1">JS37*_xlfn.XLOOKUP(JR$3,TabCalc[Ticker],TabCalc[M])</f>
        <v>796288.80001032783</v>
      </c>
      <c r="JT38" s="1097"/>
      <c r="JU38" s="1108"/>
      <c r="JV38" s="1244">
        <f ca="1">JV37*_xlfn.XLOOKUP(JU$3,TabCalc[Ticker],TabCalc[M])</f>
        <v>9.4089999999999994E-4</v>
      </c>
      <c r="JW38" s="1097"/>
      <c r="JX38" s="1108"/>
      <c r="JY38" s="1244">
        <f ca="1">JY37*_xlfn.XLOOKUP(JX$3,TabCalc[Ticker],TabCalc[M])</f>
        <v>315735.00001503498</v>
      </c>
      <c r="JZ38" s="1097"/>
      <c r="KA38" s="1108"/>
      <c r="KB38" s="1244"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2448</v>
      </c>
    </row>
    <row r="44" spans="1:289">
      <c r="A44">
        <v>41</v>
      </c>
      <c r="B44" s="1233">
        <v>500</v>
      </c>
      <c r="C44" s="1234">
        <v>-195.75</v>
      </c>
      <c r="D44" s="986">
        <v>-224.34</v>
      </c>
      <c r="E44" s="987">
        <v>2900</v>
      </c>
      <c r="F44" s="1238">
        <v>762178</v>
      </c>
    </row>
    <row r="45" spans="1:289">
      <c r="A45">
        <v>42</v>
      </c>
      <c r="B45" s="1235">
        <v>300</v>
      </c>
      <c r="C45" s="1236">
        <v>-196.66</v>
      </c>
      <c r="D45" s="984">
        <v>237.8</v>
      </c>
      <c r="E45" s="985"/>
      <c r="F45" s="1237"/>
    </row>
    <row r="46" spans="1:289">
      <c r="A46">
        <v>43</v>
      </c>
      <c r="B46" s="1233">
        <v>500</v>
      </c>
      <c r="C46" s="1234">
        <v>-197.42</v>
      </c>
      <c r="D46" s="986">
        <v>-220.36</v>
      </c>
      <c r="E46" s="987">
        <v>500</v>
      </c>
      <c r="F46" s="1238">
        <v>131410</v>
      </c>
    </row>
    <row r="47" spans="1:289">
      <c r="A47">
        <v>44</v>
      </c>
      <c r="B47" s="1235">
        <v>300</v>
      </c>
      <c r="C47" s="1236">
        <v>-200.7</v>
      </c>
      <c r="D47" s="984">
        <v>-233.95</v>
      </c>
      <c r="E47" s="985">
        <v>200</v>
      </c>
      <c r="F47" s="1237">
        <v>52564</v>
      </c>
    </row>
    <row r="48" spans="1:289">
      <c r="A48">
        <v>45</v>
      </c>
      <c r="B48" s="1233">
        <v>3000</v>
      </c>
      <c r="C48" s="1234">
        <v>-201.75086999999999</v>
      </c>
      <c r="D48" s="986">
        <v>-230.7</v>
      </c>
      <c r="E48" s="987">
        <v>300</v>
      </c>
      <c r="F48" s="1238">
        <v>78846</v>
      </c>
    </row>
    <row r="49" spans="1:6">
      <c r="A49">
        <v>46</v>
      </c>
      <c r="B49" s="1235">
        <v>1000</v>
      </c>
      <c r="C49" s="1236">
        <v>-206.73</v>
      </c>
      <c r="D49" s="984">
        <v>244.12</v>
      </c>
      <c r="E49" s="985"/>
      <c r="F49" s="1237"/>
    </row>
    <row r="50" spans="1:6">
      <c r="A50">
        <v>47</v>
      </c>
      <c r="B50" s="1233">
        <v>500</v>
      </c>
      <c r="C50" s="1234">
        <v>-220.36</v>
      </c>
      <c r="D50" s="986">
        <v>-240.34</v>
      </c>
      <c r="E50" s="987">
        <v>300</v>
      </c>
      <c r="F50" s="1238">
        <v>78846</v>
      </c>
    </row>
    <row r="51" spans="1:6">
      <c r="A51">
        <v>48</v>
      </c>
      <c r="B51" s="1235">
        <v>2900</v>
      </c>
      <c r="C51" s="1236">
        <v>-224.34</v>
      </c>
      <c r="D51" s="984">
        <v>-197.42</v>
      </c>
      <c r="E51" s="985">
        <v>500</v>
      </c>
      <c r="F51" s="1237">
        <v>131410</v>
      </c>
    </row>
    <row r="52" spans="1:6">
      <c r="A52">
        <v>49</v>
      </c>
      <c r="B52" s="1233">
        <v>300</v>
      </c>
      <c r="C52" s="1234">
        <v>-230.7</v>
      </c>
      <c r="D52" s="986">
        <v>-206.73</v>
      </c>
      <c r="E52" s="987">
        <v>1000</v>
      </c>
      <c r="F52" s="1238">
        <v>262820</v>
      </c>
    </row>
    <row r="53" spans="1:6">
      <c r="A53">
        <v>50</v>
      </c>
      <c r="B53" s="1235">
        <v>200</v>
      </c>
      <c r="C53" s="1236">
        <v>-233.95</v>
      </c>
      <c r="D53" s="984">
        <v>-201.75086999999999</v>
      </c>
      <c r="E53" s="985">
        <v>3000</v>
      </c>
      <c r="F53" s="1237">
        <v>788460</v>
      </c>
    </row>
    <row r="54" spans="1:6">
      <c r="B54" s="1233">
        <v>300</v>
      </c>
      <c r="C54" s="1234">
        <v>-240.34</v>
      </c>
      <c r="D54" s="986">
        <v>-195.75</v>
      </c>
      <c r="E54" s="987">
        <v>500</v>
      </c>
      <c r="F54" s="1238">
        <v>131410</v>
      </c>
    </row>
    <row r="55" spans="1:6">
      <c r="B55" s="1235">
        <v>200</v>
      </c>
      <c r="C55" s="1236">
        <v>-248.52</v>
      </c>
      <c r="D55" s="984">
        <v>-196.66</v>
      </c>
      <c r="E55" s="985">
        <v>300</v>
      </c>
      <c r="F55" s="1237">
        <v>78846</v>
      </c>
    </row>
    <row r="56" spans="1:6">
      <c r="B56" s="80">
        <f>SUM(B44:B55)</f>
        <v>10000</v>
      </c>
      <c r="D56" s="986">
        <v>-200.7</v>
      </c>
      <c r="E56" s="987">
        <v>300</v>
      </c>
      <c r="F56" s="1238">
        <v>78846</v>
      </c>
    </row>
    <row r="57" spans="1:6">
      <c r="D57" s="984">
        <v>230.35</v>
      </c>
      <c r="E57" s="985"/>
      <c r="F57" s="1237">
        <f>SUM(F39:F56)</f>
        <v>2575642</v>
      </c>
    </row>
    <row r="58" spans="1:6">
      <c r="D58" s="986">
        <v>245.49494999999999</v>
      </c>
      <c r="E58" s="987"/>
      <c r="F58" s="1237"/>
    </row>
    <row r="59" spans="1:6">
      <c r="D59" s="984">
        <v>253.62</v>
      </c>
      <c r="E59" s="985"/>
      <c r="F59" s="1238"/>
    </row>
    <row r="60" spans="1:6">
      <c r="D60" s="986">
        <v>-248.52</v>
      </c>
      <c r="E60" s="987">
        <v>200</v>
      </c>
      <c r="F60" s="1237"/>
    </row>
    <row r="61" spans="1:6">
      <c r="D61" s="984">
        <v>263.58</v>
      </c>
      <c r="E61" s="985"/>
      <c r="F61" s="1238"/>
    </row>
    <row r="62" spans="1:6">
      <c r="D62" s="1231"/>
      <c r="E62" s="1232">
        <f>SUBTOTAL(109,TabFIFO[Remaining])</f>
        <v>17000</v>
      </c>
      <c r="F62" s="1237"/>
    </row>
    <row r="63" spans="1:6">
      <c r="F63" s="1238"/>
    </row>
    <row r="64" spans="1:6">
      <c r="F64" s="1237"/>
    </row>
    <row r="65" spans="6:6">
      <c r="F65" s="1238">
        <v>52564</v>
      </c>
    </row>
    <row r="66" spans="6:6">
      <c r="F66" s="1237"/>
    </row>
    <row r="67" spans="6:6">
      <c r="F67" s="1239">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59" zoomScale="135" zoomScaleNormal="90" workbookViewId="0">
      <selection activeCell="Y38" sqref="Y38"/>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2937</v>
      </c>
      <c r="C1" s="286" t="s">
        <v>1116</v>
      </c>
      <c r="D1" s="286" t="s">
        <v>1117</v>
      </c>
      <c r="E1" s="286" t="s">
        <v>1118</v>
      </c>
      <c r="F1" s="286" t="s">
        <v>1769</v>
      </c>
      <c r="G1" s="286" t="s">
        <v>1119</v>
      </c>
      <c r="H1" s="286" t="s">
        <v>1120</v>
      </c>
      <c r="I1" s="286" t="s">
        <v>1121</v>
      </c>
      <c r="J1" s="286" t="s">
        <v>1122</v>
      </c>
      <c r="K1" s="286" t="s">
        <v>1123</v>
      </c>
      <c r="L1" s="286" t="s">
        <v>1122</v>
      </c>
      <c r="M1" s="286" t="s">
        <v>1124</v>
      </c>
      <c r="N1" s="286" t="s">
        <v>1125</v>
      </c>
      <c r="O1" s="286" t="s">
        <v>1126</v>
      </c>
      <c r="P1" s="286" t="s">
        <v>1127</v>
      </c>
      <c r="Q1" s="286" t="s">
        <v>1682</v>
      </c>
      <c r="R1" s="286" t="s">
        <v>1129</v>
      </c>
    </row>
    <row r="2" spans="2:25">
      <c r="B2" s="286" t="s">
        <v>1134</v>
      </c>
      <c r="C2" s="286" t="s">
        <v>1135</v>
      </c>
      <c r="D2" s="287">
        <v>1199260.94</v>
      </c>
      <c r="E2" s="286" t="s">
        <v>1132</v>
      </c>
      <c r="F2" s="286" t="s">
        <v>1132</v>
      </c>
      <c r="G2" s="286" t="s">
        <v>1131</v>
      </c>
      <c r="H2" s="286" t="s">
        <v>1131</v>
      </c>
      <c r="I2" s="286" t="s">
        <v>1683</v>
      </c>
      <c r="J2" s="561">
        <v>0.84109999999999996</v>
      </c>
      <c r="K2" s="286" t="s">
        <v>1683</v>
      </c>
      <c r="L2" s="562">
        <v>0.80700000000000005</v>
      </c>
      <c r="M2" s="287">
        <v>1199260.94</v>
      </c>
      <c r="N2" s="287">
        <v>0</v>
      </c>
      <c r="O2" s="286" t="s">
        <v>1683</v>
      </c>
      <c r="P2" s="286" t="s">
        <v>1683</v>
      </c>
      <c r="Q2" s="287">
        <v>1486073.04</v>
      </c>
      <c r="R2" s="289">
        <v>4.1265572531540291E-2</v>
      </c>
    </row>
    <row r="3" spans="2:25">
      <c r="B3" s="286" t="s">
        <v>1137</v>
      </c>
      <c r="C3" s="286" t="s">
        <v>1138</v>
      </c>
      <c r="D3" s="287">
        <v>1407598.39</v>
      </c>
      <c r="E3" s="286" t="s">
        <v>1139</v>
      </c>
      <c r="F3" s="286" t="s">
        <v>1139</v>
      </c>
      <c r="G3" s="286" t="s">
        <v>1131</v>
      </c>
      <c r="H3" s="286" t="s">
        <v>1131</v>
      </c>
      <c r="I3" s="286" t="s">
        <v>1683</v>
      </c>
      <c r="J3" s="562">
        <v>1.325</v>
      </c>
      <c r="K3" s="286" t="s">
        <v>1683</v>
      </c>
      <c r="L3" s="561">
        <v>1.3298000000000001</v>
      </c>
      <c r="M3" s="287">
        <v>1407598.39</v>
      </c>
      <c r="N3" s="287">
        <v>0</v>
      </c>
      <c r="O3" s="286" t="s">
        <v>1683</v>
      </c>
      <c r="P3" s="286" t="s">
        <v>1683</v>
      </c>
      <c r="Q3" s="287">
        <v>1871757.01</v>
      </c>
      <c r="R3" s="289">
        <v>5.1975321924670664E-2</v>
      </c>
    </row>
    <row r="4" spans="2:25">
      <c r="B4" s="286" t="s">
        <v>1140</v>
      </c>
      <c r="C4" s="286" t="s">
        <v>1141</v>
      </c>
      <c r="D4" s="287">
        <v>647431.56000000006</v>
      </c>
      <c r="E4" s="286" t="s">
        <v>1130</v>
      </c>
      <c r="F4" s="286" t="s">
        <v>1130</v>
      </c>
      <c r="G4" s="286" t="s">
        <v>1131</v>
      </c>
      <c r="H4" s="286" t="s">
        <v>1131</v>
      </c>
      <c r="I4" s="286" t="s">
        <v>1683</v>
      </c>
      <c r="J4" s="286" t="s">
        <v>1683</v>
      </c>
      <c r="K4" s="286" t="s">
        <v>1683</v>
      </c>
      <c r="L4" s="286" t="s">
        <v>1683</v>
      </c>
      <c r="M4" s="287">
        <v>645970</v>
      </c>
      <c r="N4" s="287">
        <v>-1461.56</v>
      </c>
      <c r="O4" s="286" t="s">
        <v>1683</v>
      </c>
      <c r="P4" s="286" t="s">
        <v>1683</v>
      </c>
      <c r="Q4" s="287">
        <v>645970</v>
      </c>
      <c r="R4" s="289">
        <v>1.7937423781134661E-2</v>
      </c>
    </row>
    <row r="5" spans="2:25">
      <c r="B5" s="286" t="s">
        <v>1142</v>
      </c>
      <c r="C5" s="286" t="s">
        <v>1143</v>
      </c>
      <c r="D5" s="287">
        <v>0</v>
      </c>
      <c r="E5" s="286" t="s">
        <v>1144</v>
      </c>
      <c r="F5" s="286" t="s">
        <v>1144</v>
      </c>
      <c r="G5" s="286" t="s">
        <v>1131</v>
      </c>
      <c r="H5" s="286" t="s">
        <v>1131</v>
      </c>
      <c r="I5" s="286" t="s">
        <v>1683</v>
      </c>
      <c r="J5" s="286" t="s">
        <v>1131</v>
      </c>
      <c r="K5" s="286" t="s">
        <v>1683</v>
      </c>
      <c r="L5" s="561">
        <v>0.66439999999999999</v>
      </c>
      <c r="M5" s="287">
        <v>0</v>
      </c>
      <c r="N5" s="287">
        <v>0</v>
      </c>
      <c r="O5" s="286" t="s">
        <v>1683</v>
      </c>
      <c r="P5" s="286" t="s">
        <v>1683</v>
      </c>
      <c r="Q5" s="287">
        <v>0</v>
      </c>
      <c r="R5" s="289">
        <v>0</v>
      </c>
    </row>
    <row r="6" spans="2:25">
      <c r="B6" s="286" t="s">
        <v>1145</v>
      </c>
      <c r="C6" s="286" t="s">
        <v>1146</v>
      </c>
      <c r="D6" s="287">
        <v>2662500.9300000002</v>
      </c>
      <c r="E6" s="286" t="s">
        <v>1133</v>
      </c>
      <c r="F6" s="286" t="s">
        <v>1133</v>
      </c>
      <c r="G6" s="286" t="s">
        <v>1131</v>
      </c>
      <c r="H6" s="286" t="s">
        <v>1131</v>
      </c>
      <c r="I6" s="286" t="s">
        <v>1683</v>
      </c>
      <c r="J6" s="561">
        <v>1.1634</v>
      </c>
      <c r="K6" s="286" t="s">
        <v>1683</v>
      </c>
      <c r="L6" s="561">
        <v>1.1629</v>
      </c>
      <c r="M6" s="287">
        <v>2662500.9300000002</v>
      </c>
      <c r="N6" s="287">
        <v>0</v>
      </c>
      <c r="O6" s="286" t="s">
        <v>1683</v>
      </c>
      <c r="P6" s="286" t="s">
        <v>1683</v>
      </c>
      <c r="Q6" s="287">
        <v>3096221.35</v>
      </c>
      <c r="R6" s="289">
        <v>8.5976491903876143E-2</v>
      </c>
    </row>
    <row r="7" spans="2:25">
      <c r="B7" s="286" t="s">
        <v>1147</v>
      </c>
      <c r="C7" s="286" t="s">
        <v>1148</v>
      </c>
      <c r="D7" s="287">
        <v>363468</v>
      </c>
      <c r="E7" s="286" t="s">
        <v>1149</v>
      </c>
      <c r="F7" s="286" t="s">
        <v>1149</v>
      </c>
      <c r="G7" s="286" t="s">
        <v>1131</v>
      </c>
      <c r="H7" s="286" t="s">
        <v>1131</v>
      </c>
      <c r="I7" s="286" t="s">
        <v>1683</v>
      </c>
      <c r="J7" s="561">
        <v>150.4203</v>
      </c>
      <c r="K7" s="286" t="s">
        <v>1683</v>
      </c>
      <c r="L7" s="561">
        <v>156.88489999999999</v>
      </c>
      <c r="M7" s="287">
        <v>359106</v>
      </c>
      <c r="N7" s="287">
        <v>-4362</v>
      </c>
      <c r="O7" s="286" t="s">
        <v>1683</v>
      </c>
      <c r="P7" s="286" t="s">
        <v>1683</v>
      </c>
      <c r="Q7" s="287">
        <v>2288.98</v>
      </c>
      <c r="R7" s="289">
        <v>6.3560853114760159E-5</v>
      </c>
    </row>
    <row r="8" spans="2:25">
      <c r="B8" s="286" t="s">
        <v>2584</v>
      </c>
      <c r="C8" s="286" t="s">
        <v>1683</v>
      </c>
      <c r="D8" s="287">
        <v>300000</v>
      </c>
      <c r="E8" s="286" t="s">
        <v>1130</v>
      </c>
      <c r="F8" s="286" t="s">
        <v>1130</v>
      </c>
      <c r="G8" s="286" t="s">
        <v>1131</v>
      </c>
      <c r="H8" s="286" t="s">
        <v>1131</v>
      </c>
      <c r="I8" s="290">
        <v>1</v>
      </c>
      <c r="J8" s="286" t="s">
        <v>1683</v>
      </c>
      <c r="K8" s="286" t="s">
        <v>1131</v>
      </c>
      <c r="L8" s="286" t="s">
        <v>1683</v>
      </c>
      <c r="M8" s="287">
        <v>302038.75</v>
      </c>
      <c r="N8" s="287">
        <v>2038.75</v>
      </c>
      <c r="O8" s="289">
        <v>0</v>
      </c>
      <c r="P8" s="287">
        <v>0</v>
      </c>
      <c r="Q8" s="287">
        <v>302038.75</v>
      </c>
      <c r="R8" s="289">
        <v>8.3870722434078778E-3</v>
      </c>
      <c r="W8" s="1" t="s">
        <v>956</v>
      </c>
      <c r="X8" s="1" t="s">
        <v>1774</v>
      </c>
      <c r="Y8" s="488"/>
    </row>
    <row r="9" spans="2:25">
      <c r="B9" s="286" t="s">
        <v>1150</v>
      </c>
      <c r="C9" s="286" t="s">
        <v>1151</v>
      </c>
      <c r="D9" s="290">
        <v>85000</v>
      </c>
      <c r="E9" s="286" t="s">
        <v>1130</v>
      </c>
      <c r="F9" s="286" t="s">
        <v>1130</v>
      </c>
      <c r="G9" s="286" t="s">
        <v>1131</v>
      </c>
      <c r="H9" s="286" t="s">
        <v>1131</v>
      </c>
      <c r="I9" s="287">
        <v>4.4157116470588234</v>
      </c>
      <c r="J9" s="286" t="s">
        <v>1683</v>
      </c>
      <c r="K9" s="287">
        <v>1.77</v>
      </c>
      <c r="L9" s="286" t="s">
        <v>1683</v>
      </c>
      <c r="M9" s="287">
        <v>150450</v>
      </c>
      <c r="N9" s="287">
        <v>0</v>
      </c>
      <c r="O9" s="289">
        <v>-0.59915860874227489</v>
      </c>
      <c r="P9" s="287">
        <v>-224885.49</v>
      </c>
      <c r="Q9" s="287">
        <v>150450</v>
      </c>
      <c r="R9" s="289">
        <v>4.1777256031575918E-3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1152</v>
      </c>
      <c r="C10" s="286" t="s">
        <v>1153</v>
      </c>
      <c r="D10" s="290">
        <v>5000</v>
      </c>
      <c r="E10" s="286" t="s">
        <v>1130</v>
      </c>
      <c r="F10" s="286" t="s">
        <v>1130</v>
      </c>
      <c r="G10" s="286" t="s">
        <v>1131</v>
      </c>
      <c r="H10" s="286" t="s">
        <v>1131</v>
      </c>
      <c r="I10" s="287">
        <v>13.089854000000001</v>
      </c>
      <c r="J10" s="286" t="s">
        <v>1683</v>
      </c>
      <c r="K10" s="287">
        <v>12.8</v>
      </c>
      <c r="L10" s="286" t="s">
        <v>1683</v>
      </c>
      <c r="M10" s="287">
        <v>64000</v>
      </c>
      <c r="N10" s="287">
        <v>0</v>
      </c>
      <c r="O10" s="289">
        <v>-2.2143409697312131E-2</v>
      </c>
      <c r="P10" s="287">
        <v>-1449.27</v>
      </c>
      <c r="Q10" s="287">
        <v>64000</v>
      </c>
      <c r="R10" s="289">
        <v>1.7771647630580652E-3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1154</v>
      </c>
      <c r="C11" s="286" t="s">
        <v>1155</v>
      </c>
      <c r="D11" s="290">
        <v>820000</v>
      </c>
      <c r="E11" s="286" t="s">
        <v>1139</v>
      </c>
      <c r="F11" s="286" t="s">
        <v>1139</v>
      </c>
      <c r="G11" s="286" t="s">
        <v>1131</v>
      </c>
      <c r="H11" s="286" t="s">
        <v>1131</v>
      </c>
      <c r="I11" s="287">
        <v>0.49017041463414635</v>
      </c>
      <c r="J11" s="561">
        <v>1.2855000000000001</v>
      </c>
      <c r="K11" s="287">
        <v>0.38600000000000001</v>
      </c>
      <c r="L11" s="561">
        <v>1.3298000000000001</v>
      </c>
      <c r="M11" s="287">
        <v>316520</v>
      </c>
      <c r="N11" s="287">
        <v>0</v>
      </c>
      <c r="O11" s="289">
        <v>-0.18543057854277026</v>
      </c>
      <c r="P11" s="287">
        <v>-95813.15</v>
      </c>
      <c r="Q11" s="287">
        <v>420893.16</v>
      </c>
      <c r="R11" s="289">
        <v>1.1687445202565004E-2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1156</v>
      </c>
      <c r="C12" s="286" t="s">
        <v>1157</v>
      </c>
      <c r="D12" s="290">
        <v>12000</v>
      </c>
      <c r="E12" s="286" t="s">
        <v>1130</v>
      </c>
      <c r="F12" s="286" t="s">
        <v>1130</v>
      </c>
      <c r="G12" s="286" t="s">
        <v>1131</v>
      </c>
      <c r="H12" s="286" t="s">
        <v>1131</v>
      </c>
      <c r="I12" s="287">
        <v>196.75931750000001</v>
      </c>
      <c r="J12" s="286" t="s">
        <v>1683</v>
      </c>
      <c r="K12" s="287">
        <v>227.92</v>
      </c>
      <c r="L12" s="286" t="s">
        <v>1683</v>
      </c>
      <c r="M12" s="287">
        <v>2735040</v>
      </c>
      <c r="N12" s="287">
        <v>0</v>
      </c>
      <c r="O12" s="289">
        <v>0.15836953947555749</v>
      </c>
      <c r="P12" s="287">
        <v>373928.19</v>
      </c>
      <c r="Q12" s="287">
        <v>2735040</v>
      </c>
      <c r="R12" s="289">
        <v>7.5947136149286415E-2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1158</v>
      </c>
      <c r="C13" s="286" t="s">
        <v>1159</v>
      </c>
      <c r="D13" s="290">
        <v>9500</v>
      </c>
      <c r="E13" s="286" t="s">
        <v>1130</v>
      </c>
      <c r="F13" s="286" t="s">
        <v>1130</v>
      </c>
      <c r="G13" s="286" t="s">
        <v>1131</v>
      </c>
      <c r="H13" s="286" t="s">
        <v>1131</v>
      </c>
      <c r="I13" s="287">
        <v>196.71171789473684</v>
      </c>
      <c r="J13" s="286" t="s">
        <v>1683</v>
      </c>
      <c r="K13" s="287">
        <v>277.18</v>
      </c>
      <c r="L13" s="286" t="s">
        <v>1683</v>
      </c>
      <c r="M13" s="287">
        <v>2633210</v>
      </c>
      <c r="N13" s="287">
        <v>0</v>
      </c>
      <c r="O13" s="289">
        <v>0.40906704982528214</v>
      </c>
      <c r="P13" s="287">
        <v>764448.68</v>
      </c>
      <c r="Q13" s="287">
        <v>2633210</v>
      </c>
      <c r="R13" s="289">
        <v>7.3119500402064497E-2</v>
      </c>
      <c r="S13" t="s">
        <v>11</v>
      </c>
      <c r="T13" s="286" t="s">
        <v>1150</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1160</v>
      </c>
      <c r="C14" s="286" t="s">
        <v>1161</v>
      </c>
      <c r="D14" s="290">
        <v>2700</v>
      </c>
      <c r="E14" s="286" t="s">
        <v>1133</v>
      </c>
      <c r="F14" s="286" t="s">
        <v>1133</v>
      </c>
      <c r="G14" s="286" t="s">
        <v>1131</v>
      </c>
      <c r="H14" s="286" t="s">
        <v>1131</v>
      </c>
      <c r="I14" s="287">
        <v>708.40494814814815</v>
      </c>
      <c r="J14" s="561">
        <v>1.1071</v>
      </c>
      <c r="K14" s="287">
        <v>952.9</v>
      </c>
      <c r="L14" s="561">
        <v>1.1629</v>
      </c>
      <c r="M14" s="287">
        <v>2572830</v>
      </c>
      <c r="N14" s="287">
        <v>0</v>
      </c>
      <c r="O14" s="289">
        <v>0.41289242405414661</v>
      </c>
      <c r="P14" s="287">
        <v>874341.6</v>
      </c>
      <c r="Q14" s="287">
        <v>2991943.06</v>
      </c>
      <c r="R14" s="289">
        <v>8.3080871551689417E-2</v>
      </c>
      <c r="S14" t="s">
        <v>1</v>
      </c>
      <c r="T14" s="286" t="s">
        <v>1152</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1162</v>
      </c>
      <c r="C15" s="286" t="s">
        <v>1163</v>
      </c>
      <c r="D15" s="290">
        <v>500</v>
      </c>
      <c r="E15" s="286" t="s">
        <v>1130</v>
      </c>
      <c r="F15" s="286" t="s">
        <v>1130</v>
      </c>
      <c r="G15" s="286" t="s">
        <v>1131</v>
      </c>
      <c r="H15" s="286" t="s">
        <v>1131</v>
      </c>
      <c r="I15" s="287">
        <v>71.100239999999999</v>
      </c>
      <c r="J15" s="286" t="s">
        <v>1683</v>
      </c>
      <c r="K15" s="287">
        <v>89.82</v>
      </c>
      <c r="L15" s="286" t="s">
        <v>1683</v>
      </c>
      <c r="M15" s="287">
        <v>44910</v>
      </c>
      <c r="N15" s="287">
        <v>0</v>
      </c>
      <c r="O15" s="289">
        <v>0.26328687498101272</v>
      </c>
      <c r="P15" s="287">
        <v>9359.8799999999992</v>
      </c>
      <c r="Q15" s="287">
        <v>44910</v>
      </c>
      <c r="R15" s="289">
        <v>1.2470698360771517E-3</v>
      </c>
      <c r="S15" t="s">
        <v>2</v>
      </c>
      <c r="T15" s="286" t="s">
        <v>1154</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1164</v>
      </c>
      <c r="C16" s="286" t="s">
        <v>1165</v>
      </c>
      <c r="D16" s="290">
        <v>20000</v>
      </c>
      <c r="E16" s="286" t="s">
        <v>1136</v>
      </c>
      <c r="F16" s="286" t="s">
        <v>1130</v>
      </c>
      <c r="G16" s="286" t="s">
        <v>1131</v>
      </c>
      <c r="H16" s="286" t="s">
        <v>1131</v>
      </c>
      <c r="I16" s="287">
        <v>1.9096820000000001</v>
      </c>
      <c r="J16" s="286" t="s">
        <v>1683</v>
      </c>
      <c r="K16" s="287">
        <v>2.82</v>
      </c>
      <c r="L16" s="286" t="s">
        <v>1683</v>
      </c>
      <c r="M16" s="287">
        <v>56400</v>
      </c>
      <c r="N16" s="287">
        <v>0</v>
      </c>
      <c r="O16" s="289">
        <v>0.47668564713915723</v>
      </c>
      <c r="P16" s="287">
        <v>18206.36</v>
      </c>
      <c r="Q16" s="287">
        <v>56400</v>
      </c>
      <c r="R16" s="289">
        <v>1.5661264474449198E-3</v>
      </c>
      <c r="S16" t="s">
        <v>3</v>
      </c>
      <c r="T16" s="286" t="s">
        <v>1156</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1166</v>
      </c>
      <c r="C17" s="286" t="s">
        <v>1771</v>
      </c>
      <c r="D17" s="290">
        <v>12500</v>
      </c>
      <c r="E17" s="286" t="s">
        <v>1130</v>
      </c>
      <c r="F17" s="286" t="s">
        <v>1130</v>
      </c>
      <c r="G17" s="286" t="s">
        <v>1131</v>
      </c>
      <c r="H17" s="286" t="s">
        <v>1131</v>
      </c>
      <c r="I17" s="287">
        <v>12.719616800000001</v>
      </c>
      <c r="J17" s="286" t="s">
        <v>1683</v>
      </c>
      <c r="K17" s="287">
        <v>2.4300000000000002</v>
      </c>
      <c r="L17" s="286" t="s">
        <v>1683</v>
      </c>
      <c r="M17" s="287">
        <v>30375</v>
      </c>
      <c r="N17" s="287">
        <v>0</v>
      </c>
      <c r="O17" s="289">
        <v>-0.80895650881558001</v>
      </c>
      <c r="P17" s="287">
        <v>-128620.21</v>
      </c>
      <c r="Q17" s="287">
        <v>30375</v>
      </c>
      <c r="R17" s="289">
        <v>8.4345905746701126E-4</v>
      </c>
      <c r="S17" t="s">
        <v>0</v>
      </c>
      <c r="T17" s="286" t="s">
        <v>1158</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1167</v>
      </c>
      <c r="C18" s="286" t="s">
        <v>1168</v>
      </c>
      <c r="D18" s="290">
        <v>200</v>
      </c>
      <c r="E18" s="286" t="s">
        <v>1130</v>
      </c>
      <c r="F18" s="286" t="s">
        <v>1130</v>
      </c>
      <c r="G18" s="286" t="s">
        <v>1131</v>
      </c>
      <c r="H18" s="286" t="s">
        <v>1131</v>
      </c>
      <c r="I18" s="287">
        <v>275.16309999999999</v>
      </c>
      <c r="J18" s="286" t="s">
        <v>1683</v>
      </c>
      <c r="K18" s="287">
        <v>406.29</v>
      </c>
      <c r="L18" s="286" t="s">
        <v>1683</v>
      </c>
      <c r="M18" s="287">
        <v>81258</v>
      </c>
      <c r="N18" s="287">
        <v>0</v>
      </c>
      <c r="O18" s="289">
        <v>0.47654245790950894</v>
      </c>
      <c r="P18" s="287">
        <v>26225.38</v>
      </c>
      <c r="Q18" s="287">
        <v>81258</v>
      </c>
      <c r="R18" s="289">
        <v>2.2563883486964413E-3</v>
      </c>
      <c r="S18" t="s">
        <v>32</v>
      </c>
      <c r="T18" s="286" t="s">
        <v>1160</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1169</v>
      </c>
      <c r="C19" s="286" t="s">
        <v>1170</v>
      </c>
      <c r="D19" s="290">
        <v>1000</v>
      </c>
      <c r="E19" s="286" t="s">
        <v>1130</v>
      </c>
      <c r="F19" s="286" t="s">
        <v>1130</v>
      </c>
      <c r="G19" s="286" t="s">
        <v>1131</v>
      </c>
      <c r="H19" s="286" t="s">
        <v>1131</v>
      </c>
      <c r="I19" s="287">
        <v>63.14284</v>
      </c>
      <c r="J19" s="286" t="s">
        <v>1683</v>
      </c>
      <c r="K19" s="287">
        <v>79.510000000000005</v>
      </c>
      <c r="L19" s="286" t="s">
        <v>1683</v>
      </c>
      <c r="M19" s="287">
        <v>79510</v>
      </c>
      <c r="N19" s="287">
        <v>0</v>
      </c>
      <c r="O19" s="289">
        <v>0.25920848666293755</v>
      </c>
      <c r="P19" s="287">
        <v>16367.16</v>
      </c>
      <c r="Q19" s="287">
        <v>79510</v>
      </c>
      <c r="R19" s="289">
        <v>2.2078495361054183E-3</v>
      </c>
      <c r="S19" t="s">
        <v>5</v>
      </c>
      <c r="T19" s="286" t="s">
        <v>1162</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1171</v>
      </c>
      <c r="C20" s="286" t="s">
        <v>1172</v>
      </c>
      <c r="D20" s="290">
        <v>105</v>
      </c>
      <c r="E20" s="286" t="s">
        <v>1130</v>
      </c>
      <c r="F20" s="286" t="s">
        <v>1130</v>
      </c>
      <c r="G20" s="286" t="s">
        <v>1131</v>
      </c>
      <c r="H20" s="286" t="s">
        <v>1131</v>
      </c>
      <c r="I20" s="287">
        <v>99.432285714285712</v>
      </c>
      <c r="J20" s="286" t="s">
        <v>1683</v>
      </c>
      <c r="K20" s="287">
        <v>109.43</v>
      </c>
      <c r="L20" s="286" t="s">
        <v>1683</v>
      </c>
      <c r="M20" s="287">
        <v>11490.15</v>
      </c>
      <c r="N20" s="287">
        <v>0</v>
      </c>
      <c r="O20" s="289">
        <v>0.10054796803567684</v>
      </c>
      <c r="P20" s="287">
        <v>1049.76</v>
      </c>
      <c r="Q20" s="287">
        <v>11490.15</v>
      </c>
      <c r="R20" s="289">
        <v>3.1906077659768164E-4</v>
      </c>
      <c r="S20" t="s">
        <v>6</v>
      </c>
      <c r="T20" s="286" t="s">
        <v>1164</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1173</v>
      </c>
      <c r="C21" s="286" t="s">
        <v>1174</v>
      </c>
      <c r="D21" s="290">
        <v>1</v>
      </c>
      <c r="E21" s="286" t="s">
        <v>1130</v>
      </c>
      <c r="F21" s="286" t="s">
        <v>1130</v>
      </c>
      <c r="G21" s="286" t="s">
        <v>1131</v>
      </c>
      <c r="H21" s="286" t="s">
        <v>1131</v>
      </c>
      <c r="I21" s="287">
        <v>56.14</v>
      </c>
      <c r="J21" s="286" t="s">
        <v>1683</v>
      </c>
      <c r="K21" s="287">
        <v>78.239999999999995</v>
      </c>
      <c r="L21" s="286" t="s">
        <v>1683</v>
      </c>
      <c r="M21" s="287">
        <v>78.239999999999995</v>
      </c>
      <c r="N21" s="287">
        <v>0</v>
      </c>
      <c r="O21" s="289">
        <v>0.39365871036693983</v>
      </c>
      <c r="P21" s="287">
        <v>22.1</v>
      </c>
      <c r="Q21" s="287">
        <v>78.239999999999995</v>
      </c>
      <c r="R21" s="289">
        <v>2.1725839228384843E-6</v>
      </c>
      <c r="S21" t="s">
        <v>7</v>
      </c>
      <c r="T21" s="286" t="s">
        <v>1166</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1175</v>
      </c>
      <c r="C22" s="286" t="s">
        <v>1176</v>
      </c>
      <c r="D22" s="290">
        <v>4000</v>
      </c>
      <c r="E22" s="286" t="s">
        <v>1133</v>
      </c>
      <c r="F22" s="286" t="s">
        <v>1133</v>
      </c>
      <c r="G22" s="286" t="s">
        <v>1131</v>
      </c>
      <c r="H22" s="286" t="s">
        <v>1131</v>
      </c>
      <c r="I22" s="287">
        <v>32.086192500000003</v>
      </c>
      <c r="J22" s="561">
        <v>1.1214999999999999</v>
      </c>
      <c r="K22" s="287">
        <v>23.35</v>
      </c>
      <c r="L22" s="561">
        <v>1.1629</v>
      </c>
      <c r="M22" s="287">
        <v>93400</v>
      </c>
      <c r="N22" s="287">
        <v>0</v>
      </c>
      <c r="O22" s="289">
        <v>-0.24541850593950318</v>
      </c>
      <c r="P22" s="287">
        <v>-35325.660000000003</v>
      </c>
      <c r="Q22" s="287">
        <v>108614.83</v>
      </c>
      <c r="R22" s="289">
        <v>3.0160382597115942E-3</v>
      </c>
      <c r="S22" t="s">
        <v>46</v>
      </c>
      <c r="T22" s="286" t="s">
        <v>1167</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1177</v>
      </c>
      <c r="C23" s="286" t="s">
        <v>1178</v>
      </c>
      <c r="D23" s="290">
        <v>1400</v>
      </c>
      <c r="E23" s="286" t="s">
        <v>1130</v>
      </c>
      <c r="F23" s="286" t="s">
        <v>1130</v>
      </c>
      <c r="G23" s="286" t="s">
        <v>1131</v>
      </c>
      <c r="H23" s="286" t="s">
        <v>1131</v>
      </c>
      <c r="I23" s="287">
        <v>123.51000714285715</v>
      </c>
      <c r="J23" s="286" t="s">
        <v>1683</v>
      </c>
      <c r="K23" s="287">
        <v>116.67</v>
      </c>
      <c r="L23" s="286" t="s">
        <v>1683</v>
      </c>
      <c r="M23" s="287">
        <v>163338</v>
      </c>
      <c r="N23" s="287">
        <v>0</v>
      </c>
      <c r="O23" s="289">
        <v>-5.5380185792926785E-2</v>
      </c>
      <c r="P23" s="287">
        <v>-9576.01</v>
      </c>
      <c r="Q23" s="287">
        <v>163338</v>
      </c>
      <c r="R23" s="289">
        <v>4.5356021573184097E-3</v>
      </c>
      <c r="S23" t="s">
        <v>9</v>
      </c>
      <c r="T23" s="286" t="s">
        <v>1169</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1179</v>
      </c>
      <c r="C24" s="286" t="s">
        <v>1180</v>
      </c>
      <c r="D24" s="290">
        <v>66950</v>
      </c>
      <c r="E24" s="286" t="s">
        <v>1133</v>
      </c>
      <c r="F24" s="286" t="s">
        <v>1133</v>
      </c>
      <c r="G24" s="286" t="s">
        <v>1131</v>
      </c>
      <c r="H24" s="286" t="s">
        <v>1131</v>
      </c>
      <c r="I24" s="287">
        <v>1.152673637042569</v>
      </c>
      <c r="J24" s="561">
        <v>1.0482</v>
      </c>
      <c r="K24" s="287">
        <v>0.59</v>
      </c>
      <c r="L24" s="561">
        <v>1.1629</v>
      </c>
      <c r="M24" s="287">
        <v>39500.5</v>
      </c>
      <c r="N24" s="287">
        <v>0</v>
      </c>
      <c r="O24" s="289">
        <v>-0.43211572223725669</v>
      </c>
      <c r="P24" s="287">
        <v>-34953.050000000003</v>
      </c>
      <c r="Q24" s="287">
        <v>45935.12</v>
      </c>
      <c r="R24" s="289">
        <v>1.2755355726694342E-3</v>
      </c>
      <c r="S24" t="s">
        <v>8</v>
      </c>
      <c r="T24" s="286" t="s">
        <v>1171</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1181</v>
      </c>
      <c r="C25" s="286" t="s">
        <v>1182</v>
      </c>
      <c r="D25" s="290">
        <v>6000</v>
      </c>
      <c r="E25" s="286" t="s">
        <v>1130</v>
      </c>
      <c r="F25" s="286" t="s">
        <v>1130</v>
      </c>
      <c r="G25" s="286" t="s">
        <v>1131</v>
      </c>
      <c r="H25" s="286" t="s">
        <v>1131</v>
      </c>
      <c r="I25" s="287">
        <v>16.735063333333333</v>
      </c>
      <c r="J25" s="286" t="s">
        <v>1683</v>
      </c>
      <c r="K25" s="287">
        <v>15.04</v>
      </c>
      <c r="L25" s="286" t="s">
        <v>1683</v>
      </c>
      <c r="M25" s="287">
        <v>90240</v>
      </c>
      <c r="N25" s="287">
        <v>0</v>
      </c>
      <c r="O25" s="289">
        <v>-0.1012881337566893</v>
      </c>
      <c r="P25" s="287">
        <v>-10170.379999999999</v>
      </c>
      <c r="Q25" s="287">
        <v>90240</v>
      </c>
      <c r="R25" s="289">
        <v>2.5058023159118719E-3</v>
      </c>
      <c r="S25" t="s">
        <v>10</v>
      </c>
      <c r="T25" s="286" t="s">
        <v>1173</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1183</v>
      </c>
      <c r="C26" s="286" t="s">
        <v>1184</v>
      </c>
      <c r="D26" s="290">
        <v>25000</v>
      </c>
      <c r="E26" s="286" t="s">
        <v>1133</v>
      </c>
      <c r="F26" s="286" t="s">
        <v>1133</v>
      </c>
      <c r="G26" s="286" t="s">
        <v>1131</v>
      </c>
      <c r="H26" s="286" t="s">
        <v>1131</v>
      </c>
      <c r="I26" s="287">
        <v>15.782624800000001</v>
      </c>
      <c r="J26" s="561">
        <v>1.1538999999999999</v>
      </c>
      <c r="K26" s="287">
        <v>15.565</v>
      </c>
      <c r="L26" s="561">
        <v>1.1629</v>
      </c>
      <c r="M26" s="287">
        <v>389125</v>
      </c>
      <c r="N26" s="287">
        <v>0</v>
      </c>
      <c r="O26" s="289">
        <v>-6.119444453595929E-3</v>
      </c>
      <c r="P26" s="287">
        <v>-2786.18</v>
      </c>
      <c r="Q26" s="287">
        <v>452513.32</v>
      </c>
      <c r="R26" s="289">
        <v>1.256548011122529E-2</v>
      </c>
      <c r="S26" t="s">
        <v>13</v>
      </c>
      <c r="T26" s="286" t="s">
        <v>1175</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2215</v>
      </c>
      <c r="C27" s="286" t="s">
        <v>2216</v>
      </c>
      <c r="D27" s="290">
        <v>30000</v>
      </c>
      <c r="E27" s="286" t="s">
        <v>1139</v>
      </c>
      <c r="F27" s="286" t="s">
        <v>1139</v>
      </c>
      <c r="G27" s="286" t="s">
        <v>1131</v>
      </c>
      <c r="H27" s="286" t="s">
        <v>1131</v>
      </c>
      <c r="I27" s="287">
        <v>4.7135143333333334</v>
      </c>
      <c r="J27" s="561">
        <v>1.3436999999999999</v>
      </c>
      <c r="K27" s="287">
        <v>4.7830000000000004</v>
      </c>
      <c r="L27" s="561">
        <v>1.3298000000000001</v>
      </c>
      <c r="M27" s="287">
        <v>143490</v>
      </c>
      <c r="N27" s="287">
        <v>0</v>
      </c>
      <c r="O27" s="289">
        <v>4.2197450511269816E-3</v>
      </c>
      <c r="P27" s="287">
        <v>801.77</v>
      </c>
      <c r="Q27" s="287">
        <v>190806.14</v>
      </c>
      <c r="R27" s="289">
        <v>5.2983429466113129E-3</v>
      </c>
      <c r="S27" t="s">
        <v>14</v>
      </c>
      <c r="T27" s="286" t="s">
        <v>1177</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1185</v>
      </c>
      <c r="C28" s="286" t="s">
        <v>1186</v>
      </c>
      <c r="D28" s="290">
        <v>100000</v>
      </c>
      <c r="E28" s="286" t="s">
        <v>1130</v>
      </c>
      <c r="F28" s="286" t="s">
        <v>1130</v>
      </c>
      <c r="G28" s="286" t="s">
        <v>1131</v>
      </c>
      <c r="H28" s="286" t="s">
        <v>1131</v>
      </c>
      <c r="I28" s="287">
        <v>0.27</v>
      </c>
      <c r="J28" s="286" t="s">
        <v>1683</v>
      </c>
      <c r="K28" s="287">
        <v>5.0000000000000001E-4</v>
      </c>
      <c r="L28" s="286" t="s">
        <v>1683</v>
      </c>
      <c r="M28" s="287">
        <v>50</v>
      </c>
      <c r="N28" s="287">
        <v>0</v>
      </c>
      <c r="O28" s="289">
        <v>-0.99814814814814812</v>
      </c>
      <c r="P28" s="287">
        <v>-26950</v>
      </c>
      <c r="Q28" s="287">
        <v>50</v>
      </c>
      <c r="R28" s="289">
        <v>1.3884099711391135E-6</v>
      </c>
      <c r="S28" t="s">
        <v>4</v>
      </c>
      <c r="T28" s="286" t="s">
        <v>1179</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1187</v>
      </c>
      <c r="C29" s="286" t="s">
        <v>1188</v>
      </c>
      <c r="D29" s="290">
        <v>450000</v>
      </c>
      <c r="E29" s="286" t="s">
        <v>1130</v>
      </c>
      <c r="F29" s="286" t="s">
        <v>1130</v>
      </c>
      <c r="G29" s="286" t="s">
        <v>1131</v>
      </c>
      <c r="H29" s="286" t="s">
        <v>1131</v>
      </c>
      <c r="I29" s="287">
        <v>1.9E-2</v>
      </c>
      <c r="J29" s="286" t="s">
        <v>1683</v>
      </c>
      <c r="K29" s="287">
        <v>1.9E-2</v>
      </c>
      <c r="L29" s="286" t="s">
        <v>1683</v>
      </c>
      <c r="M29" s="287">
        <v>8550</v>
      </c>
      <c r="N29" s="287">
        <v>0</v>
      </c>
      <c r="O29" s="289">
        <v>0</v>
      </c>
      <c r="P29" s="287">
        <v>0</v>
      </c>
      <c r="Q29" s="287">
        <v>8550</v>
      </c>
      <c r="R29" s="289">
        <v>2.3741810506478839E-4</v>
      </c>
      <c r="S29" t="s">
        <v>15</v>
      </c>
      <c r="T29" s="286" t="s">
        <v>1181</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1189</v>
      </c>
      <c r="C30" s="286" t="s">
        <v>1190</v>
      </c>
      <c r="D30" s="290">
        <v>10000</v>
      </c>
      <c r="E30" s="286" t="s">
        <v>1133</v>
      </c>
      <c r="F30" s="286" t="s">
        <v>1133</v>
      </c>
      <c r="G30" s="286" t="s">
        <v>1131</v>
      </c>
      <c r="H30" s="286" t="s">
        <v>1131</v>
      </c>
      <c r="I30" s="287">
        <v>14.928981</v>
      </c>
      <c r="J30" s="561">
        <v>1.1776</v>
      </c>
      <c r="K30" s="287">
        <v>16.108000000000001</v>
      </c>
      <c r="L30" s="561">
        <v>1.1629</v>
      </c>
      <c r="M30" s="287">
        <v>161080</v>
      </c>
      <c r="N30" s="287">
        <v>0</v>
      </c>
      <c r="O30" s="289">
        <v>6.5544150885525149E-2</v>
      </c>
      <c r="P30" s="287">
        <v>11522.49</v>
      </c>
      <c r="Q30" s="287">
        <v>187319.87</v>
      </c>
      <c r="R30" s="289">
        <v>5.2015355060096493E-3</v>
      </c>
      <c r="S30" t="s">
        <v>16</v>
      </c>
      <c r="T30" s="286" t="s">
        <v>1183</v>
      </c>
      <c r="V30" s="291" t="str">
        <f ca="1">IFERROR(IF(D26=_xlfn.XLOOKUP(S30,Calc!H$3:H$56,Calc!G$3:G$56),"","Stock "&amp;TEXT(_xlfn.XLOOKUP(S30,Calc!H$3:H$56,Calc!G$3:G$56),"#,#0")),"!")</f>
        <v/>
      </c>
      <c r="W30" s="85">
        <f ca="1">IFERROR(_xlfn.XLOOKUP(S30,Calc!H$3:H$56,Calc!G$3:G$56),"")</f>
        <v>25000</v>
      </c>
      <c r="X30" s="85">
        <f t="shared" si="0"/>
        <v>25000</v>
      </c>
      <c r="Y30" t="str">
        <f t="shared" ca="1" si="1"/>
        <v/>
      </c>
    </row>
    <row r="31" spans="2:25">
      <c r="B31" s="286" t="s">
        <v>1191</v>
      </c>
      <c r="C31" s="286" t="s">
        <v>1192</v>
      </c>
      <c r="D31" s="290">
        <v>30000</v>
      </c>
      <c r="E31" s="286" t="s">
        <v>1136</v>
      </c>
      <c r="F31" s="286" t="s">
        <v>1130</v>
      </c>
      <c r="G31" s="286" t="s">
        <v>1131</v>
      </c>
      <c r="H31" s="286" t="s">
        <v>1131</v>
      </c>
      <c r="I31" s="287">
        <v>2.180104</v>
      </c>
      <c r="J31" s="286" t="s">
        <v>1683</v>
      </c>
      <c r="K31" s="287">
        <v>0.20119999999999999</v>
      </c>
      <c r="L31" s="286" t="s">
        <v>1683</v>
      </c>
      <c r="M31" s="287">
        <v>6036</v>
      </c>
      <c r="N31" s="287">
        <v>0</v>
      </c>
      <c r="O31" s="289">
        <v>-0.90771082480468823</v>
      </c>
      <c r="P31" s="287">
        <v>-59367.12</v>
      </c>
      <c r="Q31" s="287">
        <v>6036</v>
      </c>
      <c r="R31" s="289">
        <v>1.6760885171591375E-4</v>
      </c>
      <c r="T31" s="286" t="s">
        <v>1185</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1193</v>
      </c>
      <c r="C32" s="286" t="s">
        <v>1194</v>
      </c>
      <c r="D32" s="290">
        <v>2</v>
      </c>
      <c r="E32" s="286" t="s">
        <v>1130</v>
      </c>
      <c r="F32" s="286" t="s">
        <v>1130</v>
      </c>
      <c r="G32" s="286" t="s">
        <v>1131</v>
      </c>
      <c r="H32" s="286" t="s">
        <v>1131</v>
      </c>
      <c r="I32" s="287">
        <v>18820.834999999999</v>
      </c>
      <c r="J32" s="286" t="s">
        <v>1683</v>
      </c>
      <c r="K32" s="287">
        <v>0.01</v>
      </c>
      <c r="L32" s="286" t="s">
        <v>1683</v>
      </c>
      <c r="M32" s="287">
        <v>0.02</v>
      </c>
      <c r="N32" s="287">
        <v>0</v>
      </c>
      <c r="O32" s="289">
        <v>-0.99999946867394574</v>
      </c>
      <c r="P32" s="287">
        <v>-37641.65</v>
      </c>
      <c r="Q32" s="287">
        <v>0.02</v>
      </c>
      <c r="R32" s="289">
        <v>5.5536398845564534E-10</v>
      </c>
      <c r="T32" s="286" t="s">
        <v>1187</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1195</v>
      </c>
      <c r="C33" s="286" t="s">
        <v>1196</v>
      </c>
      <c r="D33" s="290">
        <v>500</v>
      </c>
      <c r="E33" s="286" t="s">
        <v>1130</v>
      </c>
      <c r="F33" s="286" t="s">
        <v>1130</v>
      </c>
      <c r="G33" s="286" t="s">
        <v>1131</v>
      </c>
      <c r="H33" s="286" t="s">
        <v>1131</v>
      </c>
      <c r="I33" s="287">
        <v>113.32787999999999</v>
      </c>
      <c r="J33" s="286" t="s">
        <v>1683</v>
      </c>
      <c r="K33" s="287">
        <v>118.25</v>
      </c>
      <c r="L33" s="286" t="s">
        <v>1683</v>
      </c>
      <c r="M33" s="287">
        <v>59125</v>
      </c>
      <c r="N33" s="287">
        <v>0</v>
      </c>
      <c r="O33" s="289">
        <v>4.3432560460850408E-2</v>
      </c>
      <c r="P33" s="287">
        <v>2461.06</v>
      </c>
      <c r="Q33" s="287">
        <v>59125</v>
      </c>
      <c r="R33" s="289">
        <v>1.6417947908720016E-3</v>
      </c>
      <c r="S33" t="s">
        <v>74</v>
      </c>
      <c r="T33" s="286" t="s">
        <v>1189</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1197</v>
      </c>
      <c r="C34" s="286" t="s">
        <v>2333</v>
      </c>
      <c r="D34" s="290">
        <v>50000</v>
      </c>
      <c r="E34" s="286" t="s">
        <v>1130</v>
      </c>
      <c r="F34" s="286" t="s">
        <v>1130</v>
      </c>
      <c r="G34" s="286" t="s">
        <v>1131</v>
      </c>
      <c r="H34" s="286" t="s">
        <v>1131</v>
      </c>
      <c r="I34" s="287">
        <v>6.2104156000000001</v>
      </c>
      <c r="J34" s="286" t="s">
        <v>1683</v>
      </c>
      <c r="K34" s="287">
        <v>1.9</v>
      </c>
      <c r="L34" s="286" t="s">
        <v>1683</v>
      </c>
      <c r="M34" s="287">
        <v>95000</v>
      </c>
      <c r="N34" s="287">
        <v>0</v>
      </c>
      <c r="O34" s="289">
        <v>-0.69406234262325373</v>
      </c>
      <c r="P34" s="287">
        <v>-215520.78</v>
      </c>
      <c r="Q34" s="287">
        <v>95000</v>
      </c>
      <c r="R34" s="289">
        <v>2.6379789451643153E-3</v>
      </c>
      <c r="S34" t="s">
        <v>17</v>
      </c>
      <c r="T34" s="286" t="s">
        <v>1191</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1198</v>
      </c>
      <c r="C35" s="286" t="s">
        <v>1199</v>
      </c>
      <c r="D35" s="290">
        <v>1</v>
      </c>
      <c r="E35" s="286" t="s">
        <v>1130</v>
      </c>
      <c r="F35" s="286" t="s">
        <v>1130</v>
      </c>
      <c r="G35" s="286" t="s">
        <v>1131</v>
      </c>
      <c r="H35" s="286" t="s">
        <v>1131</v>
      </c>
      <c r="I35" s="287">
        <v>46.7</v>
      </c>
      <c r="J35" s="286" t="s">
        <v>1683</v>
      </c>
      <c r="K35" s="287">
        <v>77.16</v>
      </c>
      <c r="L35" s="286" t="s">
        <v>1683</v>
      </c>
      <c r="M35" s="287">
        <v>77.16</v>
      </c>
      <c r="N35" s="287">
        <v>0</v>
      </c>
      <c r="O35" s="289">
        <v>0.65224839400428269</v>
      </c>
      <c r="P35" s="287">
        <v>30.46</v>
      </c>
      <c r="Q35" s="287">
        <v>77.16</v>
      </c>
      <c r="R35" s="289">
        <v>2.1425942674618795E-6</v>
      </c>
      <c r="T35" s="286" t="s">
        <v>1193</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1200</v>
      </c>
      <c r="C36" s="286" t="s">
        <v>1201</v>
      </c>
      <c r="D36" s="290">
        <v>14200</v>
      </c>
      <c r="E36" s="286" t="s">
        <v>1130</v>
      </c>
      <c r="F36" s="286" t="s">
        <v>1130</v>
      </c>
      <c r="G36" s="286" t="s">
        <v>1131</v>
      </c>
      <c r="H36" s="286" t="s">
        <v>1131</v>
      </c>
      <c r="I36" s="287">
        <v>21.152941549295775</v>
      </c>
      <c r="J36" s="286" t="s">
        <v>1683</v>
      </c>
      <c r="K36" s="287">
        <v>24.77</v>
      </c>
      <c r="L36" s="286" t="s">
        <v>1683</v>
      </c>
      <c r="M36" s="287">
        <v>351734</v>
      </c>
      <c r="N36" s="287">
        <v>0</v>
      </c>
      <c r="O36" s="289">
        <v>0.17099552997274009</v>
      </c>
      <c r="P36" s="287">
        <v>51362.23</v>
      </c>
      <c r="Q36" s="287">
        <v>351734</v>
      </c>
      <c r="R36" s="289">
        <v>9.7670198557728988E-3</v>
      </c>
      <c r="S36" t="s">
        <v>51</v>
      </c>
      <c r="T36" s="286" t="s">
        <v>1195</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1202</v>
      </c>
      <c r="C37" s="286" t="s">
        <v>1203</v>
      </c>
      <c r="D37" s="290">
        <v>9000</v>
      </c>
      <c r="E37" s="286" t="s">
        <v>1130</v>
      </c>
      <c r="F37" s="286" t="s">
        <v>1130</v>
      </c>
      <c r="G37" s="286" t="s">
        <v>1131</v>
      </c>
      <c r="H37" s="286" t="s">
        <v>1131</v>
      </c>
      <c r="I37" s="287">
        <v>25.705374444444445</v>
      </c>
      <c r="J37" s="286" t="s">
        <v>1683</v>
      </c>
      <c r="K37" s="287">
        <v>25.38</v>
      </c>
      <c r="L37" s="286" t="s">
        <v>1683</v>
      </c>
      <c r="M37" s="287">
        <v>228420</v>
      </c>
      <c r="N37" s="287">
        <v>0</v>
      </c>
      <c r="O37" s="289">
        <v>-1.2657837182946221E-2</v>
      </c>
      <c r="P37" s="287">
        <v>-2928.37</v>
      </c>
      <c r="Q37" s="287">
        <v>228420</v>
      </c>
      <c r="R37" s="289">
        <v>6.3428121121519255E-3</v>
      </c>
      <c r="S37" t="s">
        <v>53</v>
      </c>
      <c r="T37" s="286" t="s">
        <v>1197</v>
      </c>
      <c r="V37" s="291" t="str">
        <f ca="1">IFERROR(IF(D33=_xlfn.XLOOKUP(S37,Calc!H$3:H$56,Calc!G$3:G$56),"","Stock "&amp;TEXT(_xlfn.XLOOKUP(S37,Calc!H$3:H$56,Calc!G$3:G$56),"#,#0")),"!")</f>
        <v>Stock 50,000</v>
      </c>
      <c r="W37" s="85">
        <f ca="1">IFERROR(_xlfn.XLOOKUP(S37,Calc!H$3:H$56,Calc!G$3:G$56),"")</f>
        <v>50000</v>
      </c>
      <c r="X37" s="85">
        <f t="shared" si="0"/>
        <v>50000</v>
      </c>
      <c r="Y37" t="str">
        <f ca="1">IF(OR(W37=X37,W37=""),"","ERROR")</f>
        <v/>
      </c>
    </row>
    <row r="38" spans="2:25">
      <c r="B38" s="286" t="s">
        <v>1204</v>
      </c>
      <c r="C38" s="286" t="s">
        <v>1205</v>
      </c>
      <c r="D38" s="290">
        <v>100000</v>
      </c>
      <c r="E38" s="286" t="s">
        <v>1133</v>
      </c>
      <c r="F38" s="286" t="s">
        <v>1139</v>
      </c>
      <c r="G38" s="286" t="s">
        <v>1131</v>
      </c>
      <c r="H38" s="286" t="s">
        <v>1131</v>
      </c>
      <c r="I38" s="287">
        <v>2.0279493</v>
      </c>
      <c r="J38" s="561">
        <v>1.3141</v>
      </c>
      <c r="K38" s="287">
        <v>3.8759999999999999</v>
      </c>
      <c r="L38" s="561">
        <v>1.3298000000000001</v>
      </c>
      <c r="M38" s="287">
        <v>387600</v>
      </c>
      <c r="N38" s="287">
        <v>0</v>
      </c>
      <c r="O38" s="289">
        <v>0.93412138886061957</v>
      </c>
      <c r="P38" s="287">
        <v>248928.18</v>
      </c>
      <c r="Q38" s="287">
        <v>515411.94</v>
      </c>
      <c r="R38" s="289">
        <v>1.4312061534803088E-2</v>
      </c>
      <c r="S38" t="s">
        <v>19</v>
      </c>
      <c r="T38" s="286" t="s">
        <v>1198</v>
      </c>
      <c r="V38" s="291" t="str">
        <f ca="1">IFERROR(IF(D34=_xlfn.XLOOKUP(S38,Calc!H$3:H$56,Calc!G$3:G$56),"","Stock "&amp;TEXT(_xlfn.XLOOKUP(S38,Calc!H$3:H$56,Calc!G$3:G$56),"#,#0")),"!")</f>
        <v>Stock 1</v>
      </c>
      <c r="W38" s="85">
        <f ca="1">IFERROR(_xlfn.XLOOKUP(S38,Calc!H$3:H$56,Calc!G$3:G$56),"")</f>
        <v>1</v>
      </c>
      <c r="X38" s="85">
        <f t="shared" si="0"/>
        <v>1</v>
      </c>
      <c r="Y38" t="str">
        <f t="shared" ca="1" si="1"/>
        <v/>
      </c>
    </row>
    <row r="39" spans="2:25">
      <c r="B39" s="286" t="s">
        <v>1206</v>
      </c>
      <c r="C39" s="286" t="s">
        <v>1207</v>
      </c>
      <c r="D39" s="290">
        <v>7000</v>
      </c>
      <c r="E39" s="286" t="s">
        <v>1130</v>
      </c>
      <c r="F39" s="286" t="s">
        <v>1130</v>
      </c>
      <c r="G39" s="286" t="s">
        <v>1131</v>
      </c>
      <c r="H39" s="286" t="s">
        <v>1131</v>
      </c>
      <c r="I39" s="287">
        <v>64.71181571428572</v>
      </c>
      <c r="J39" s="286" t="s">
        <v>1683</v>
      </c>
      <c r="K39" s="287">
        <v>62.9</v>
      </c>
      <c r="L39" s="286" t="s">
        <v>1683</v>
      </c>
      <c r="M39" s="287">
        <v>440300</v>
      </c>
      <c r="N39" s="287">
        <v>0</v>
      </c>
      <c r="O39" s="289">
        <v>-2.799822094755007E-2</v>
      </c>
      <c r="P39" s="287">
        <v>-12682.71</v>
      </c>
      <c r="Q39" s="287">
        <v>440300</v>
      </c>
      <c r="R39" s="289">
        <v>1.2226338205851032E-2</v>
      </c>
      <c r="S39" t="s">
        <v>20</v>
      </c>
      <c r="T39" s="286" t="s">
        <v>1200</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1208</v>
      </c>
      <c r="C40" s="286" t="s">
        <v>1209</v>
      </c>
      <c r="D40" s="290">
        <v>10</v>
      </c>
      <c r="E40" s="286" t="s">
        <v>1130</v>
      </c>
      <c r="F40" s="286" t="s">
        <v>1130</v>
      </c>
      <c r="G40" s="286" t="s">
        <v>1131</v>
      </c>
      <c r="H40" s="286" t="s">
        <v>1131</v>
      </c>
      <c r="I40" s="287">
        <v>4.4660000000000002</v>
      </c>
      <c r="J40" s="286" t="s">
        <v>1683</v>
      </c>
      <c r="K40" s="287">
        <v>8.5</v>
      </c>
      <c r="L40" s="286" t="s">
        <v>1683</v>
      </c>
      <c r="M40" s="287">
        <v>85</v>
      </c>
      <c r="N40" s="287">
        <v>0</v>
      </c>
      <c r="O40" s="289">
        <v>0.90326914464845498</v>
      </c>
      <c r="P40" s="287">
        <v>40.340000000000003</v>
      </c>
      <c r="Q40" s="287">
        <v>85</v>
      </c>
      <c r="R40" s="289">
        <v>2.3602969509364926E-6</v>
      </c>
      <c r="S40" t="s">
        <v>21</v>
      </c>
      <c r="T40" s="286" t="s">
        <v>1202</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1210</v>
      </c>
      <c r="C41" s="286" t="s">
        <v>1211</v>
      </c>
      <c r="D41" s="290">
        <v>518</v>
      </c>
      <c r="E41" s="286" t="s">
        <v>1130</v>
      </c>
      <c r="F41" s="286" t="s">
        <v>1130</v>
      </c>
      <c r="G41" s="286" t="s">
        <v>1131</v>
      </c>
      <c r="H41" s="286" t="s">
        <v>1131</v>
      </c>
      <c r="I41" s="287">
        <v>42.444073359073357</v>
      </c>
      <c r="J41" s="286" t="s">
        <v>1683</v>
      </c>
      <c r="K41" s="287">
        <v>0.8589</v>
      </c>
      <c r="L41" s="286" t="s">
        <v>1683</v>
      </c>
      <c r="M41" s="287">
        <v>444.91</v>
      </c>
      <c r="N41" s="287">
        <v>0</v>
      </c>
      <c r="O41" s="289">
        <v>-0.97976396830168977</v>
      </c>
      <c r="P41" s="287">
        <v>-21541.119999999999</v>
      </c>
      <c r="Q41" s="287">
        <v>444.91</v>
      </c>
      <c r="R41" s="289">
        <v>1.2354349605190057E-5</v>
      </c>
      <c r="S41" t="s">
        <v>22</v>
      </c>
      <c r="T41" s="286" t="s">
        <v>1204</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1212</v>
      </c>
      <c r="C42" s="286" t="s">
        <v>1213</v>
      </c>
      <c r="D42" s="290">
        <v>10000</v>
      </c>
      <c r="E42" s="286" t="s">
        <v>1130</v>
      </c>
      <c r="F42" s="286" t="s">
        <v>1130</v>
      </c>
      <c r="G42" s="286" t="s">
        <v>1131</v>
      </c>
      <c r="H42" s="286" t="s">
        <v>1131</v>
      </c>
      <c r="I42" s="287">
        <v>302.741085</v>
      </c>
      <c r="J42" s="286" t="s">
        <v>1683</v>
      </c>
      <c r="K42" s="287">
        <v>492.02</v>
      </c>
      <c r="L42" s="286" t="s">
        <v>1683</v>
      </c>
      <c r="M42" s="287">
        <v>4920200</v>
      </c>
      <c r="N42" s="287">
        <v>0</v>
      </c>
      <c r="O42" s="289">
        <v>0.62521713892912811</v>
      </c>
      <c r="P42" s="287">
        <v>1892789.15</v>
      </c>
      <c r="Q42" s="287">
        <v>4920200</v>
      </c>
      <c r="R42" s="289">
        <v>0.13662509479997331</v>
      </c>
      <c r="S42" t="s">
        <v>23</v>
      </c>
      <c r="T42" s="286" t="s">
        <v>1206</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1214</v>
      </c>
      <c r="C43" s="286" t="s">
        <v>1215</v>
      </c>
      <c r="D43" s="290">
        <v>15000</v>
      </c>
      <c r="E43" s="286" t="s">
        <v>1149</v>
      </c>
      <c r="F43" s="286" t="s">
        <v>1149</v>
      </c>
      <c r="G43" s="286" t="s">
        <v>1131</v>
      </c>
      <c r="H43" s="286" t="s">
        <v>1131</v>
      </c>
      <c r="I43" s="287">
        <v>2203.3000000000002</v>
      </c>
      <c r="J43" s="561">
        <v>156.41380000000001</v>
      </c>
      <c r="K43" s="287">
        <v>4266</v>
      </c>
      <c r="L43" s="561">
        <v>156.88489999999999</v>
      </c>
      <c r="M43" s="287">
        <v>63990000</v>
      </c>
      <c r="N43" s="287">
        <v>0</v>
      </c>
      <c r="O43" s="289">
        <v>0.93037354128878902</v>
      </c>
      <c r="P43" s="287">
        <v>196583.51</v>
      </c>
      <c r="Q43" s="287">
        <v>407878.76</v>
      </c>
      <c r="R43" s="289">
        <v>1.1326058747997147E-2</v>
      </c>
      <c r="S43" t="s">
        <v>25</v>
      </c>
      <c r="T43" s="286" t="s">
        <v>1208</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1216</v>
      </c>
      <c r="C44" s="286" t="s">
        <v>1217</v>
      </c>
      <c r="D44" s="290">
        <v>12000</v>
      </c>
      <c r="E44" s="286" t="s">
        <v>1130</v>
      </c>
      <c r="F44" s="286" t="s">
        <v>1130</v>
      </c>
      <c r="G44" s="286" t="s">
        <v>1131</v>
      </c>
      <c r="H44" s="286" t="s">
        <v>1131</v>
      </c>
      <c r="I44" s="287">
        <v>71.361860833333338</v>
      </c>
      <c r="J44" s="286" t="s">
        <v>1683</v>
      </c>
      <c r="K44" s="287">
        <v>28.24</v>
      </c>
      <c r="L44" s="286" t="s">
        <v>1683</v>
      </c>
      <c r="M44" s="287">
        <v>338880</v>
      </c>
      <c r="N44" s="287">
        <v>0</v>
      </c>
      <c r="O44" s="289">
        <v>-0.60427040900804241</v>
      </c>
      <c r="P44" s="287">
        <v>-517462.33</v>
      </c>
      <c r="Q44" s="287">
        <v>338880</v>
      </c>
      <c r="R44" s="289">
        <v>9.4100874203924545E-3</v>
      </c>
      <c r="S44" t="s">
        <v>81</v>
      </c>
      <c r="T44" s="286" t="s">
        <v>1210</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1218</v>
      </c>
      <c r="C45" s="286" t="s">
        <v>1219</v>
      </c>
      <c r="D45" s="290">
        <v>36000</v>
      </c>
      <c r="E45" s="286" t="s">
        <v>1130</v>
      </c>
      <c r="F45" s="286" t="s">
        <v>1130</v>
      </c>
      <c r="G45" s="286" t="s">
        <v>1131</v>
      </c>
      <c r="H45" s="286" t="s">
        <v>1131</v>
      </c>
      <c r="I45" s="287">
        <v>108.39145333333333</v>
      </c>
      <c r="J45" s="286" t="s">
        <v>1683</v>
      </c>
      <c r="K45" s="287">
        <v>96.71</v>
      </c>
      <c r="L45" s="286" t="s">
        <v>1683</v>
      </c>
      <c r="M45" s="287">
        <v>3481560</v>
      </c>
      <c r="N45" s="287">
        <v>0</v>
      </c>
      <c r="O45" s="289">
        <v>-0.10777098169732695</v>
      </c>
      <c r="P45" s="287">
        <v>-420532.32</v>
      </c>
      <c r="Q45" s="287">
        <v>3481560</v>
      </c>
      <c r="R45" s="289">
        <v>9.6676652382381836E-2</v>
      </c>
      <c r="S45" t="s">
        <v>27</v>
      </c>
      <c r="T45" s="286" t="s">
        <v>1212</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1220</v>
      </c>
      <c r="C46" s="286" t="s">
        <v>1221</v>
      </c>
      <c r="D46" s="290">
        <v>18000</v>
      </c>
      <c r="E46" s="286" t="s">
        <v>1130</v>
      </c>
      <c r="F46" s="286" t="s">
        <v>1130</v>
      </c>
      <c r="G46" s="286" t="s">
        <v>1131</v>
      </c>
      <c r="H46" s="286" t="s">
        <v>1131</v>
      </c>
      <c r="I46" s="287">
        <v>59.616307222222225</v>
      </c>
      <c r="J46" s="286" t="s">
        <v>1683</v>
      </c>
      <c r="K46" s="287">
        <v>94.09</v>
      </c>
      <c r="L46" s="286" t="s">
        <v>1683</v>
      </c>
      <c r="M46" s="287">
        <v>1693620</v>
      </c>
      <c r="N46" s="287">
        <v>0</v>
      </c>
      <c r="O46" s="289">
        <v>0.57825944584718536</v>
      </c>
      <c r="P46" s="287">
        <v>620526.47</v>
      </c>
      <c r="Q46" s="287">
        <v>1693620</v>
      </c>
      <c r="R46" s="289">
        <v>4.7028777906412501E-2</v>
      </c>
      <c r="T46" s="286" t="s">
        <v>1214</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1222</v>
      </c>
      <c r="C47" s="286" t="s">
        <v>1223</v>
      </c>
      <c r="D47" s="290">
        <v>3001</v>
      </c>
      <c r="E47" s="286" t="s">
        <v>1130</v>
      </c>
      <c r="F47" s="286" t="s">
        <v>1130</v>
      </c>
      <c r="G47" s="286" t="s">
        <v>1131</v>
      </c>
      <c r="H47" s="286" t="s">
        <v>1131</v>
      </c>
      <c r="I47" s="287">
        <v>83.901406197934023</v>
      </c>
      <c r="J47" s="286" t="s">
        <v>1683</v>
      </c>
      <c r="K47" s="287">
        <v>79.64</v>
      </c>
      <c r="L47" s="286" t="s">
        <v>1683</v>
      </c>
      <c r="M47" s="287">
        <v>238999.64</v>
      </c>
      <c r="N47" s="287">
        <v>0</v>
      </c>
      <c r="O47" s="289">
        <v>-5.0790640956372368E-2</v>
      </c>
      <c r="P47" s="287">
        <v>-12788.48</v>
      </c>
      <c r="Q47" s="287">
        <v>238999.64</v>
      </c>
      <c r="R47" s="289">
        <v>6.6365896654931701E-3</v>
      </c>
      <c r="S47" t="s">
        <v>26</v>
      </c>
      <c r="T47" s="286" t="s">
        <v>1216</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1224</v>
      </c>
      <c r="C48" s="286" t="s">
        <v>1225</v>
      </c>
      <c r="D48" s="290">
        <v>2000</v>
      </c>
      <c r="E48" s="286" t="s">
        <v>1130</v>
      </c>
      <c r="F48" s="286" t="s">
        <v>1130</v>
      </c>
      <c r="G48" s="286" t="s">
        <v>1131</v>
      </c>
      <c r="H48" s="286" t="s">
        <v>1131</v>
      </c>
      <c r="I48" s="287">
        <v>5.3479099999999997</v>
      </c>
      <c r="J48" s="286" t="s">
        <v>1683</v>
      </c>
      <c r="K48" s="287">
        <v>6.66</v>
      </c>
      <c r="L48" s="286" t="s">
        <v>1683</v>
      </c>
      <c r="M48" s="287">
        <v>13320</v>
      </c>
      <c r="N48" s="287">
        <v>0</v>
      </c>
      <c r="O48" s="289">
        <v>0.24534631285866815</v>
      </c>
      <c r="P48" s="287">
        <v>2624.18</v>
      </c>
      <c r="Q48" s="287">
        <v>13320</v>
      </c>
      <c r="R48" s="289">
        <v>3.6987241631145979E-4</v>
      </c>
      <c r="S48" t="s">
        <v>30</v>
      </c>
      <c r="T48" s="286" t="s">
        <v>1218</v>
      </c>
      <c r="V48" s="291" t="str">
        <f ca="1">IFERROR(IF(D45=_xlfn.XLOOKUP(S48,Calc!H$3:H$56,Calc!G$3:G$56),"","Stock "&amp;TEXT(_xlfn.XLOOKUP(S48,Calc!H$3:H$56,Calc!G$3:G$56),"#,#0")),"!")</f>
        <v/>
      </c>
      <c r="W48" s="85">
        <f ca="1">IFERROR(_xlfn.XLOOKUP(S48,Calc!H$3:H$56,Calc!G$3:G$56),"")</f>
        <v>36000</v>
      </c>
      <c r="X48" s="85">
        <f t="shared" si="3"/>
        <v>36000</v>
      </c>
      <c r="Y48" t="str">
        <f t="shared" ca="1" si="4"/>
        <v/>
      </c>
    </row>
    <row r="49" spans="2:25">
      <c r="B49" s="286" t="s">
        <v>1226</v>
      </c>
      <c r="C49" s="286" t="s">
        <v>1227</v>
      </c>
      <c r="D49" s="290">
        <v>1000</v>
      </c>
      <c r="E49" s="286" t="s">
        <v>1136</v>
      </c>
      <c r="F49" s="286" t="s">
        <v>1130</v>
      </c>
      <c r="G49" s="286" t="s">
        <v>1131</v>
      </c>
      <c r="H49" s="286" t="s">
        <v>1131</v>
      </c>
      <c r="I49" s="287">
        <v>28.616140000000001</v>
      </c>
      <c r="J49" s="286" t="s">
        <v>1683</v>
      </c>
      <c r="K49" s="287">
        <v>48.41</v>
      </c>
      <c r="L49" s="286" t="s">
        <v>1683</v>
      </c>
      <c r="M49" s="287">
        <v>48410</v>
      </c>
      <c r="N49" s="287">
        <v>0</v>
      </c>
      <c r="O49" s="289">
        <v>0.69170265451594803</v>
      </c>
      <c r="P49" s="287">
        <v>19793.86</v>
      </c>
      <c r="Q49" s="287">
        <v>48410</v>
      </c>
      <c r="R49" s="289">
        <v>1.3442585340568893E-3</v>
      </c>
      <c r="S49" t="s">
        <v>29</v>
      </c>
      <c r="T49" s="286" t="s">
        <v>1220</v>
      </c>
      <c r="V49" s="291" t="str">
        <f ca="1">IFERROR(IF(D46=_xlfn.XLOOKUP(S49,Calc!H$3:H$56,Calc!G$3:G$56),"","Stock "&amp;TEXT(_xlfn.XLOOKUP(S49,Calc!H$3:H$56,Calc!G$3:G$56),"#,#0")),"!")</f>
        <v>Stock 17,000</v>
      </c>
      <c r="W49" s="85">
        <f ca="1">IFERROR(_xlfn.XLOOKUP(S49,Calc!H$3:H$56,Calc!G$3:G$56),"")</f>
        <v>17000</v>
      </c>
      <c r="X49" s="85">
        <f t="shared" si="3"/>
        <v>18000</v>
      </c>
      <c r="Y49" t="str">
        <f t="shared" ca="1" si="4"/>
        <v>ERROR</v>
      </c>
    </row>
    <row r="50" spans="2:25">
      <c r="B50" s="286" t="s">
        <v>1228</v>
      </c>
      <c r="C50" s="286" t="s">
        <v>1229</v>
      </c>
      <c r="D50" s="290">
        <v>30000</v>
      </c>
      <c r="E50" s="286" t="s">
        <v>1130</v>
      </c>
      <c r="F50" s="286" t="s">
        <v>1130</v>
      </c>
      <c r="G50" s="286" t="s">
        <v>1131</v>
      </c>
      <c r="H50" s="286" t="s">
        <v>1131</v>
      </c>
      <c r="I50" s="287">
        <v>2.5992890000000002</v>
      </c>
      <c r="J50" s="286" t="s">
        <v>1683</v>
      </c>
      <c r="K50" s="287">
        <v>0</v>
      </c>
      <c r="L50" s="286" t="s">
        <v>1683</v>
      </c>
      <c r="M50" s="287">
        <v>0</v>
      </c>
      <c r="N50" s="287">
        <v>0</v>
      </c>
      <c r="O50" s="286" t="s">
        <v>1131</v>
      </c>
      <c r="P50" s="286" t="s">
        <v>1131</v>
      </c>
      <c r="Q50" s="287">
        <v>0</v>
      </c>
      <c r="R50" s="289">
        <v>0</v>
      </c>
      <c r="S50" t="s">
        <v>28</v>
      </c>
      <c r="T50" s="286" t="s">
        <v>1222</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1230</v>
      </c>
      <c r="C51" s="286" t="s">
        <v>1231</v>
      </c>
      <c r="D51" s="290">
        <v>47500</v>
      </c>
      <c r="E51" s="286" t="s">
        <v>1136</v>
      </c>
      <c r="F51" s="286" t="s">
        <v>1130</v>
      </c>
      <c r="G51" s="286" t="s">
        <v>1131</v>
      </c>
      <c r="H51" s="286" t="s">
        <v>1131</v>
      </c>
      <c r="I51" s="287">
        <v>4.7143273684210527</v>
      </c>
      <c r="J51" s="286" t="s">
        <v>1683</v>
      </c>
      <c r="K51" s="287">
        <v>6.9</v>
      </c>
      <c r="L51" s="286" t="s">
        <v>1683</v>
      </c>
      <c r="M51" s="287">
        <v>327750</v>
      </c>
      <c r="N51" s="287">
        <v>0</v>
      </c>
      <c r="O51" s="289">
        <v>0.46362343146122759</v>
      </c>
      <c r="P51" s="287">
        <v>103819.45</v>
      </c>
      <c r="Q51" s="287">
        <v>327750</v>
      </c>
      <c r="R51" s="289">
        <v>9.1010273608168879E-3</v>
      </c>
      <c r="S51" t="s">
        <v>83</v>
      </c>
      <c r="T51" s="286" t="s">
        <v>1224</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1232</v>
      </c>
      <c r="C52" s="286" t="s">
        <v>1233</v>
      </c>
      <c r="D52" s="290">
        <v>10000</v>
      </c>
      <c r="E52" s="286" t="s">
        <v>1130</v>
      </c>
      <c r="F52" s="286" t="s">
        <v>1130</v>
      </c>
      <c r="G52" s="286" t="s">
        <v>1131</v>
      </c>
      <c r="H52" s="286" t="s">
        <v>1131</v>
      </c>
      <c r="I52" s="287">
        <v>1.087636</v>
      </c>
      <c r="J52" s="286" t="s">
        <v>1683</v>
      </c>
      <c r="K52" s="287">
        <v>1.05</v>
      </c>
      <c r="L52" s="286" t="s">
        <v>1683</v>
      </c>
      <c r="M52" s="287">
        <v>10500</v>
      </c>
      <c r="N52" s="287">
        <v>0</v>
      </c>
      <c r="O52" s="289">
        <v>-3.4603488667164381E-2</v>
      </c>
      <c r="P52" s="287">
        <v>-376.36</v>
      </c>
      <c r="Q52" s="287">
        <v>10500</v>
      </c>
      <c r="R52" s="289">
        <v>2.9156609393921382E-4</v>
      </c>
      <c r="S52" t="s">
        <v>31</v>
      </c>
      <c r="T52" s="286" t="s">
        <v>1226</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1234</v>
      </c>
      <c r="C53" s="286" t="s">
        <v>1235</v>
      </c>
      <c r="D53" s="290">
        <v>4000</v>
      </c>
      <c r="E53" s="286" t="s">
        <v>1136</v>
      </c>
      <c r="F53" s="286" t="s">
        <v>1130</v>
      </c>
      <c r="G53" s="286" t="s">
        <v>1131</v>
      </c>
      <c r="H53" s="286" t="s">
        <v>1131</v>
      </c>
      <c r="I53" s="287">
        <v>5.8391975</v>
      </c>
      <c r="J53" s="286" t="s">
        <v>1683</v>
      </c>
      <c r="K53" s="287">
        <v>7.17</v>
      </c>
      <c r="L53" s="286" t="s">
        <v>1683</v>
      </c>
      <c r="M53" s="287">
        <v>28680</v>
      </c>
      <c r="N53" s="287">
        <v>0</v>
      </c>
      <c r="O53" s="289">
        <v>0.22790845831126624</v>
      </c>
      <c r="P53" s="287">
        <v>5323.21</v>
      </c>
      <c r="Q53" s="287">
        <v>28680</v>
      </c>
      <c r="R53" s="289">
        <v>7.9639195944539545E-4</v>
      </c>
      <c r="T53" s="286" t="s">
        <v>1228</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1236</v>
      </c>
      <c r="C54" s="286" t="s">
        <v>1237</v>
      </c>
      <c r="D54" s="290">
        <v>1</v>
      </c>
      <c r="E54" s="286" t="s">
        <v>1130</v>
      </c>
      <c r="F54" s="286" t="s">
        <v>1130</v>
      </c>
      <c r="G54" s="286" t="s">
        <v>1131</v>
      </c>
      <c r="H54" s="286" t="s">
        <v>1131</v>
      </c>
      <c r="I54" s="287">
        <v>25.33</v>
      </c>
      <c r="J54" s="286" t="s">
        <v>1683</v>
      </c>
      <c r="K54" s="287">
        <v>42.33</v>
      </c>
      <c r="L54" s="286" t="s">
        <v>1683</v>
      </c>
      <c r="M54" s="287">
        <v>42.33</v>
      </c>
      <c r="N54" s="287">
        <v>0</v>
      </c>
      <c r="O54" s="289">
        <v>0.67114093959731547</v>
      </c>
      <c r="P54" s="287">
        <v>17</v>
      </c>
      <c r="Q54" s="287">
        <v>42.33</v>
      </c>
      <c r="R54" s="289">
        <v>1.1754278815663733E-6</v>
      </c>
      <c r="S54" t="s">
        <v>1087</v>
      </c>
      <c r="T54" s="286" t="s">
        <v>1230</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2408</v>
      </c>
      <c r="C55" s="286" t="s">
        <v>2335</v>
      </c>
      <c r="D55" s="290">
        <v>3000</v>
      </c>
      <c r="E55" s="286" t="s">
        <v>1130</v>
      </c>
      <c r="F55" s="286" t="s">
        <v>1130</v>
      </c>
      <c r="G55" s="286" t="s">
        <v>1131</v>
      </c>
      <c r="H55" s="286" t="s">
        <v>1131</v>
      </c>
      <c r="I55" s="287">
        <v>0.26746666666666669</v>
      </c>
      <c r="J55" s="286" t="s">
        <v>1683</v>
      </c>
      <c r="K55" s="286" t="s">
        <v>1131</v>
      </c>
      <c r="L55" s="286" t="s">
        <v>1683</v>
      </c>
      <c r="M55" s="287">
        <v>0</v>
      </c>
      <c r="N55" s="287">
        <v>0</v>
      </c>
      <c r="O55" s="286" t="s">
        <v>1131</v>
      </c>
      <c r="P55" s="286" t="s">
        <v>1131</v>
      </c>
      <c r="Q55" s="287">
        <v>0</v>
      </c>
      <c r="R55" s="289">
        <v>0</v>
      </c>
      <c r="S55" t="s">
        <v>34</v>
      </c>
      <c r="T55" s="286" t="s">
        <v>1232</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1238</v>
      </c>
      <c r="C56" s="286" t="s">
        <v>1239</v>
      </c>
      <c r="D56" s="290">
        <v>20000</v>
      </c>
      <c r="E56" s="286" t="s">
        <v>1130</v>
      </c>
      <c r="F56" s="286" t="s">
        <v>1130</v>
      </c>
      <c r="G56" s="286" t="s">
        <v>1131</v>
      </c>
      <c r="H56" s="286" t="s">
        <v>1131</v>
      </c>
      <c r="I56" s="287">
        <v>6.9995254999999998</v>
      </c>
      <c r="J56" s="286" t="s">
        <v>1683</v>
      </c>
      <c r="K56" s="287">
        <v>9.9999999999999995E-7</v>
      </c>
      <c r="L56" s="286" t="s">
        <v>1683</v>
      </c>
      <c r="M56" s="287">
        <v>0.02</v>
      </c>
      <c r="N56" s="287">
        <v>0</v>
      </c>
      <c r="O56" s="289">
        <v>-0.99999985713317285</v>
      </c>
      <c r="P56" s="287">
        <v>-139990.49</v>
      </c>
      <c r="Q56" s="287">
        <v>0.02</v>
      </c>
      <c r="R56" s="289">
        <v>5.5536398845564534E-10</v>
      </c>
      <c r="S56" t="s">
        <v>33</v>
      </c>
      <c r="T56" s="286" t="s">
        <v>1234</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1240</v>
      </c>
      <c r="C57" s="286" t="s">
        <v>1241</v>
      </c>
      <c r="D57" s="290">
        <v>50</v>
      </c>
      <c r="E57" s="286" t="s">
        <v>1133</v>
      </c>
      <c r="F57" s="286" t="s">
        <v>1133</v>
      </c>
      <c r="G57" s="286" t="s">
        <v>1131</v>
      </c>
      <c r="H57" s="286" t="s">
        <v>1131</v>
      </c>
      <c r="I57" s="287">
        <v>29.1782</v>
      </c>
      <c r="J57" s="561">
        <v>1.0455000000000001</v>
      </c>
      <c r="K57" s="287">
        <v>43.67</v>
      </c>
      <c r="L57" s="561">
        <v>1.1629</v>
      </c>
      <c r="M57" s="287">
        <v>2183.5</v>
      </c>
      <c r="N57" s="287">
        <v>0</v>
      </c>
      <c r="O57" s="289">
        <v>0.66478062468857357</v>
      </c>
      <c r="P57" s="287">
        <v>1013.95</v>
      </c>
      <c r="Q57" s="287">
        <v>2539.19</v>
      </c>
      <c r="R57" s="289">
        <v>7.0508734292334507E-5</v>
      </c>
      <c r="S57" t="s">
        <v>35</v>
      </c>
      <c r="T57" s="286" t="s">
        <v>1236</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1242</v>
      </c>
      <c r="C58" s="286" t="s">
        <v>1243</v>
      </c>
      <c r="D58" s="290">
        <v>3800</v>
      </c>
      <c r="E58" s="286" t="s">
        <v>1133</v>
      </c>
      <c r="F58" s="286" t="s">
        <v>1133</v>
      </c>
      <c r="G58" s="286" t="s">
        <v>1131</v>
      </c>
      <c r="H58" s="286" t="s">
        <v>1131</v>
      </c>
      <c r="I58" s="287">
        <v>241.63239473684212</v>
      </c>
      <c r="J58" s="561">
        <v>1.1534</v>
      </c>
      <c r="K58" s="287">
        <v>210</v>
      </c>
      <c r="L58" s="561">
        <v>1.1629</v>
      </c>
      <c r="M58" s="287">
        <v>798000</v>
      </c>
      <c r="N58" s="287">
        <v>0</v>
      </c>
      <c r="O58" s="289">
        <v>-0.12377814993321362</v>
      </c>
      <c r="P58" s="287">
        <v>-131091.65</v>
      </c>
      <c r="Q58" s="287">
        <v>927993.9</v>
      </c>
      <c r="R58" s="289">
        <v>2.5768719678325468E-2</v>
      </c>
      <c r="T58" s="286" t="s">
        <v>1238</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1244</v>
      </c>
      <c r="C59" s="286" t="s">
        <v>1245</v>
      </c>
      <c r="D59" s="290">
        <v>25000</v>
      </c>
      <c r="E59" s="286" t="s">
        <v>1149</v>
      </c>
      <c r="F59" s="286" t="s">
        <v>1130</v>
      </c>
      <c r="G59" s="286" t="s">
        <v>1131</v>
      </c>
      <c r="H59" s="286" t="s">
        <v>1131</v>
      </c>
      <c r="I59" s="287">
        <v>16.558450799999999</v>
      </c>
      <c r="J59" s="286" t="s">
        <v>1683</v>
      </c>
      <c r="K59" s="287">
        <v>15.23</v>
      </c>
      <c r="L59" s="286" t="s">
        <v>1683</v>
      </c>
      <c r="M59" s="287">
        <v>380750</v>
      </c>
      <c r="N59" s="287">
        <v>0</v>
      </c>
      <c r="O59" s="289">
        <v>-8.0227964321396533E-2</v>
      </c>
      <c r="P59" s="287">
        <v>-33211.269999999997</v>
      </c>
      <c r="Q59" s="287">
        <v>380750</v>
      </c>
      <c r="R59" s="289">
        <v>1.0572741930224349E-2</v>
      </c>
      <c r="S59" t="s">
        <v>37</v>
      </c>
      <c r="T59" s="286" t="s">
        <v>1240</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1279</v>
      </c>
      <c r="C60" s="286" t="s">
        <v>1858</v>
      </c>
      <c r="D60" s="290">
        <v>4000</v>
      </c>
      <c r="E60" s="286" t="s">
        <v>1133</v>
      </c>
      <c r="F60" s="286" t="s">
        <v>1133</v>
      </c>
      <c r="G60" s="286" t="s">
        <v>1131</v>
      </c>
      <c r="H60" s="286" t="s">
        <v>1131</v>
      </c>
      <c r="I60" s="287">
        <v>54.703672500000003</v>
      </c>
      <c r="J60" s="561">
        <v>1.1641999999999999</v>
      </c>
      <c r="K60" s="287">
        <v>62.9</v>
      </c>
      <c r="L60" s="561">
        <v>1.1629</v>
      </c>
      <c r="M60" s="287">
        <v>251600</v>
      </c>
      <c r="N60" s="287">
        <v>0</v>
      </c>
      <c r="O60" s="289">
        <v>0.14850521102077754</v>
      </c>
      <c r="P60" s="287">
        <v>37832.199999999997</v>
      </c>
      <c r="Q60" s="287">
        <v>292585.55</v>
      </c>
      <c r="R60" s="289">
        <v>8.1245739006244322E-3</v>
      </c>
      <c r="S60" t="s">
        <v>38</v>
      </c>
      <c r="T60" s="286" t="s">
        <v>1242</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1247</v>
      </c>
      <c r="C61" s="286" t="s">
        <v>1248</v>
      </c>
      <c r="D61" s="290">
        <v>16000</v>
      </c>
      <c r="E61" s="286" t="s">
        <v>1249</v>
      </c>
      <c r="F61" s="286" t="s">
        <v>1130</v>
      </c>
      <c r="G61" s="286" t="s">
        <v>1131</v>
      </c>
      <c r="H61" s="286" t="s">
        <v>1131</v>
      </c>
      <c r="I61" s="287">
        <v>36.088869375000002</v>
      </c>
      <c r="J61" s="286" t="s">
        <v>1683</v>
      </c>
      <c r="K61" s="287">
        <v>9.18</v>
      </c>
      <c r="L61" s="286" t="s">
        <v>1683</v>
      </c>
      <c r="M61" s="287">
        <v>146880</v>
      </c>
      <c r="N61" s="287">
        <v>0</v>
      </c>
      <c r="O61" s="289">
        <v>-0.74562794127434473</v>
      </c>
      <c r="P61" s="287">
        <v>-430541.91</v>
      </c>
      <c r="Q61" s="287">
        <v>146880</v>
      </c>
      <c r="R61" s="289">
        <v>4.0785931312182595E-3</v>
      </c>
      <c r="S61" t="s">
        <v>39</v>
      </c>
      <c r="T61" s="286" t="s">
        <v>1244</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1250</v>
      </c>
      <c r="C62" s="286" t="s">
        <v>1251</v>
      </c>
      <c r="D62" s="290">
        <v>4500</v>
      </c>
      <c r="E62" s="286" t="s">
        <v>2809</v>
      </c>
      <c r="F62" s="286" t="s">
        <v>1130</v>
      </c>
      <c r="G62" s="286" t="s">
        <v>1131</v>
      </c>
      <c r="H62" s="286" t="s">
        <v>1131</v>
      </c>
      <c r="I62" s="287">
        <v>203.76487333333333</v>
      </c>
      <c r="J62" s="286" t="s">
        <v>1683</v>
      </c>
      <c r="K62" s="287">
        <v>303.41000000000003</v>
      </c>
      <c r="L62" s="286" t="s">
        <v>1683</v>
      </c>
      <c r="M62" s="287">
        <v>1365345</v>
      </c>
      <c r="N62" s="287">
        <v>0</v>
      </c>
      <c r="O62" s="289">
        <v>0.48902013893071727</v>
      </c>
      <c r="P62" s="287">
        <v>448403.07</v>
      </c>
      <c r="Q62" s="287">
        <v>1365345</v>
      </c>
      <c r="R62" s="289">
        <v>3.7913172240898657E-2</v>
      </c>
      <c r="T62" s="286" t="s">
        <v>1246</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1252</v>
      </c>
      <c r="C63" s="286" t="s">
        <v>1253</v>
      </c>
      <c r="D63" s="290">
        <v>425</v>
      </c>
      <c r="E63" s="286" t="s">
        <v>1130</v>
      </c>
      <c r="F63" s="286" t="s">
        <v>1130</v>
      </c>
      <c r="G63" s="286" t="s">
        <v>1131</v>
      </c>
      <c r="H63" s="286" t="s">
        <v>1131</v>
      </c>
      <c r="I63" s="287">
        <v>39.830847058823529</v>
      </c>
      <c r="J63" s="286" t="s">
        <v>1683</v>
      </c>
      <c r="K63" s="287">
        <v>0.22600000000000001</v>
      </c>
      <c r="L63" s="286" t="s">
        <v>1683</v>
      </c>
      <c r="M63" s="287">
        <v>96.05</v>
      </c>
      <c r="N63" s="287">
        <v>0</v>
      </c>
      <c r="O63" s="289">
        <v>-0.99432600567931084</v>
      </c>
      <c r="P63" s="287">
        <v>-16832.060000000001</v>
      </c>
      <c r="Q63" s="287">
        <v>96.05</v>
      </c>
      <c r="R63" s="289">
        <v>2.6671355545582373E-6</v>
      </c>
      <c r="S63" t="s">
        <v>40</v>
      </c>
      <c r="T63" s="286" t="s">
        <v>1247</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1254</v>
      </c>
      <c r="C64" s="286" t="s">
        <v>1255</v>
      </c>
      <c r="D64" s="290">
        <v>1</v>
      </c>
      <c r="E64" s="286" t="s">
        <v>1130</v>
      </c>
      <c r="F64" s="286" t="s">
        <v>1130</v>
      </c>
      <c r="G64" s="286" t="s">
        <v>1131</v>
      </c>
      <c r="H64" s="286" t="s">
        <v>1131</v>
      </c>
      <c r="I64" s="287">
        <v>326.54000000000002</v>
      </c>
      <c r="J64" s="286" t="s">
        <v>1683</v>
      </c>
      <c r="K64" s="287">
        <v>445.17</v>
      </c>
      <c r="L64" s="286" t="s">
        <v>1683</v>
      </c>
      <c r="M64" s="287">
        <v>445.17</v>
      </c>
      <c r="N64" s="287">
        <v>0</v>
      </c>
      <c r="O64" s="289">
        <v>0.36329393029950391</v>
      </c>
      <c r="P64" s="287">
        <v>118.63</v>
      </c>
      <c r="Q64" s="287">
        <v>445.17</v>
      </c>
      <c r="R64" s="289">
        <v>1.2361569337039982E-5</v>
      </c>
      <c r="S64" t="s">
        <v>43</v>
      </c>
      <c r="T64" s="286" t="s">
        <v>1250</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1256</v>
      </c>
      <c r="C65" s="286" t="s">
        <v>1257</v>
      </c>
      <c r="D65" s="290">
        <v>715</v>
      </c>
      <c r="E65" s="286" t="s">
        <v>1130</v>
      </c>
      <c r="F65" s="286" t="s">
        <v>1130</v>
      </c>
      <c r="G65" s="286" t="s">
        <v>1131</v>
      </c>
      <c r="H65" s="286" t="s">
        <v>1131</v>
      </c>
      <c r="I65" s="287">
        <v>10.20979020979021</v>
      </c>
      <c r="J65" s="286" t="s">
        <v>1683</v>
      </c>
      <c r="K65" s="287">
        <v>2.0000000000000001E-4</v>
      </c>
      <c r="L65" s="286" t="s">
        <v>1683</v>
      </c>
      <c r="M65" s="287">
        <v>0.14000000000000001</v>
      </c>
      <c r="N65" s="287">
        <v>0</v>
      </c>
      <c r="O65" s="289">
        <v>-0.99998082191780824</v>
      </c>
      <c r="P65" s="287">
        <v>-7299.86</v>
      </c>
      <c r="Q65" s="287">
        <v>0.14000000000000001</v>
      </c>
      <c r="R65" s="289">
        <v>3.8875479191895178E-9</v>
      </c>
      <c r="T65" s="286" t="s">
        <v>1252</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1258</v>
      </c>
      <c r="C66" s="286" t="s">
        <v>1259</v>
      </c>
      <c r="D66" s="290">
        <v>1000</v>
      </c>
      <c r="E66" s="286" t="s">
        <v>1130</v>
      </c>
      <c r="F66" s="286" t="s">
        <v>1130</v>
      </c>
      <c r="G66" s="286" t="s">
        <v>1131</v>
      </c>
      <c r="H66" s="286" t="s">
        <v>1131</v>
      </c>
      <c r="I66" s="287">
        <v>114.54101</v>
      </c>
      <c r="J66" s="286" t="s">
        <v>1683</v>
      </c>
      <c r="K66" s="287">
        <v>107.02</v>
      </c>
      <c r="L66" s="286" t="s">
        <v>1683</v>
      </c>
      <c r="M66" s="287">
        <v>107020</v>
      </c>
      <c r="N66" s="287">
        <v>0</v>
      </c>
      <c r="O66" s="289">
        <v>-6.5662158907102364E-2</v>
      </c>
      <c r="P66" s="287">
        <v>-7521.01</v>
      </c>
      <c r="Q66" s="287">
        <v>107020</v>
      </c>
      <c r="R66" s="289">
        <v>2.9717527022261581E-3</v>
      </c>
      <c r="S66" t="s">
        <v>36</v>
      </c>
      <c r="T66" s="286" t="s">
        <v>1254</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1260</v>
      </c>
      <c r="C67" s="286" t="s">
        <v>1261</v>
      </c>
      <c r="D67" s="290">
        <v>3000</v>
      </c>
      <c r="E67" s="286" t="s">
        <v>1133</v>
      </c>
      <c r="F67" s="286" t="s">
        <v>1133</v>
      </c>
      <c r="G67" s="286" t="s">
        <v>1131</v>
      </c>
      <c r="H67" s="286" t="s">
        <v>1131</v>
      </c>
      <c r="I67" s="287">
        <v>47.484806666666664</v>
      </c>
      <c r="J67" s="561">
        <v>1.0868</v>
      </c>
      <c r="K67" s="287">
        <v>38.15</v>
      </c>
      <c r="L67" s="561">
        <v>1.1629</v>
      </c>
      <c r="M67" s="287">
        <v>114450</v>
      </c>
      <c r="N67" s="287">
        <v>0</v>
      </c>
      <c r="O67" s="289">
        <v>-0.14030928848559432</v>
      </c>
      <c r="P67" s="287">
        <v>-21722.12</v>
      </c>
      <c r="Q67" s="287">
        <v>133093.85999999999</v>
      </c>
      <c r="R67" s="289">
        <v>3.6957768464278636E-3</v>
      </c>
      <c r="T67" s="286" t="s">
        <v>1256</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1262</v>
      </c>
      <c r="C68" s="286" t="s">
        <v>2221</v>
      </c>
      <c r="D68" s="290">
        <v>7235</v>
      </c>
      <c r="E68" s="286" t="s">
        <v>1130</v>
      </c>
      <c r="F68" s="286" t="s">
        <v>1130</v>
      </c>
      <c r="G68" s="286" t="s">
        <v>1131</v>
      </c>
      <c r="H68" s="286" t="s">
        <v>1131</v>
      </c>
      <c r="I68" s="287">
        <v>9.3022031789910162</v>
      </c>
      <c r="J68" s="286" t="s">
        <v>1683</v>
      </c>
      <c r="K68" s="287">
        <v>6.47</v>
      </c>
      <c r="L68" s="286" t="s">
        <v>1683</v>
      </c>
      <c r="M68" s="287">
        <v>46810.45</v>
      </c>
      <c r="N68" s="287">
        <v>0</v>
      </c>
      <c r="O68" s="289">
        <v>-0.304465847981856</v>
      </c>
      <c r="P68" s="287">
        <v>-20490.990000000002</v>
      </c>
      <c r="Q68" s="287">
        <v>46810.45</v>
      </c>
      <c r="R68" s="289">
        <v>1.2998419106701781E-3</v>
      </c>
      <c r="S68" t="s">
        <v>12</v>
      </c>
      <c r="T68" s="286" t="s">
        <v>1258</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1263</v>
      </c>
      <c r="C69" s="286" t="s">
        <v>1264</v>
      </c>
      <c r="D69" s="290">
        <v>5000</v>
      </c>
      <c r="E69" s="286" t="s">
        <v>1130</v>
      </c>
      <c r="F69" s="286" t="s">
        <v>1130</v>
      </c>
      <c r="G69" s="286" t="s">
        <v>1131</v>
      </c>
      <c r="H69" s="286" t="s">
        <v>1131</v>
      </c>
      <c r="I69" s="287">
        <v>11.212911999999999</v>
      </c>
      <c r="J69" s="286" t="s">
        <v>1683</v>
      </c>
      <c r="K69" s="287">
        <v>11.19</v>
      </c>
      <c r="L69" s="286" t="s">
        <v>1683</v>
      </c>
      <c r="M69" s="287">
        <v>55950</v>
      </c>
      <c r="N69" s="287">
        <v>0</v>
      </c>
      <c r="O69" s="289">
        <v>-2.0433585851739496E-3</v>
      </c>
      <c r="P69" s="287">
        <v>-114.56</v>
      </c>
      <c r="Q69" s="287">
        <v>55950</v>
      </c>
      <c r="R69" s="289">
        <v>1.553630757704668E-3</v>
      </c>
      <c r="S69" t="s">
        <v>44</v>
      </c>
      <c r="T69" s="286" t="s">
        <v>1260</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1265</v>
      </c>
      <c r="C70" s="286" t="s">
        <v>1266</v>
      </c>
      <c r="D70" s="290">
        <v>2600</v>
      </c>
      <c r="E70" s="286" t="s">
        <v>1267</v>
      </c>
      <c r="F70" s="286" t="s">
        <v>1130</v>
      </c>
      <c r="G70" s="286" t="s">
        <v>1131</v>
      </c>
      <c r="H70" s="286" t="s">
        <v>1131</v>
      </c>
      <c r="I70" s="287">
        <v>26.389007692307693</v>
      </c>
      <c r="J70" s="286" t="s">
        <v>1683</v>
      </c>
      <c r="K70" s="287">
        <v>30.89</v>
      </c>
      <c r="L70" s="286" t="s">
        <v>1683</v>
      </c>
      <c r="M70" s="287">
        <v>80314</v>
      </c>
      <c r="N70" s="287">
        <v>0</v>
      </c>
      <c r="O70" s="289">
        <v>0.1705631511488904</v>
      </c>
      <c r="P70" s="287">
        <v>11702.58</v>
      </c>
      <c r="Q70" s="287">
        <v>80314</v>
      </c>
      <c r="R70" s="289">
        <v>2.2301751684413351E-3</v>
      </c>
      <c r="S70" t="s">
        <v>45</v>
      </c>
      <c r="T70" s="286" t="s">
        <v>1262</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1268</v>
      </c>
      <c r="C71" s="286" t="s">
        <v>1269</v>
      </c>
      <c r="D71" s="290">
        <v>16500</v>
      </c>
      <c r="E71" s="286" t="s">
        <v>1132</v>
      </c>
      <c r="F71" s="286" t="s">
        <v>1132</v>
      </c>
      <c r="G71" s="286" t="s">
        <v>1131</v>
      </c>
      <c r="H71" s="286" t="s">
        <v>1131</v>
      </c>
      <c r="I71" s="287">
        <v>59.665454545454544</v>
      </c>
      <c r="J71" s="561">
        <v>0.80189999999999995</v>
      </c>
      <c r="K71" s="287">
        <v>61.3</v>
      </c>
      <c r="L71" s="562">
        <v>0.80700000000000005</v>
      </c>
      <c r="M71" s="287">
        <v>1011450</v>
      </c>
      <c r="N71" s="287">
        <v>0</v>
      </c>
      <c r="O71" s="289">
        <v>2.0867986164595287E-2</v>
      </c>
      <c r="P71" s="287">
        <v>25620.16</v>
      </c>
      <c r="Q71" s="287">
        <v>1253345.72</v>
      </c>
      <c r="R71" s="289">
        <v>3.4803153898650623E-2</v>
      </c>
      <c r="S71" t="s">
        <v>49</v>
      </c>
      <c r="T71" s="286" t="s">
        <v>1263</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1270</v>
      </c>
      <c r="C72" s="286" t="s">
        <v>1271</v>
      </c>
      <c r="D72" s="290">
        <v>10000</v>
      </c>
      <c r="E72" s="286" t="s">
        <v>1130</v>
      </c>
      <c r="F72" s="286" t="s">
        <v>1130</v>
      </c>
      <c r="G72" s="286" t="s">
        <v>1131</v>
      </c>
      <c r="H72" s="286" t="s">
        <v>1131</v>
      </c>
      <c r="I72" s="287">
        <v>8.2811760000000003</v>
      </c>
      <c r="J72" s="286" t="s">
        <v>1683</v>
      </c>
      <c r="K72" s="287">
        <v>6.15</v>
      </c>
      <c r="L72" s="286" t="s">
        <v>1683</v>
      </c>
      <c r="M72" s="287">
        <v>61500</v>
      </c>
      <c r="N72" s="287">
        <v>0</v>
      </c>
      <c r="O72" s="289">
        <v>-0.25735185437430624</v>
      </c>
      <c r="P72" s="287">
        <v>-21311.759999999998</v>
      </c>
      <c r="Q72" s="287">
        <v>61500</v>
      </c>
      <c r="R72" s="289">
        <v>1.7077442645011094E-3</v>
      </c>
      <c r="S72" t="s">
        <v>47</v>
      </c>
      <c r="T72" s="286" t="s">
        <v>1265</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1270</v>
      </c>
      <c r="C73" s="286" t="s">
        <v>1271</v>
      </c>
      <c r="D73" s="290">
        <v>10000</v>
      </c>
      <c r="E73" s="286" t="s">
        <v>1130</v>
      </c>
      <c r="F73" s="286" t="s">
        <v>1130</v>
      </c>
      <c r="G73" s="286" t="s">
        <v>1131</v>
      </c>
      <c r="H73" s="286" t="s">
        <v>1131</v>
      </c>
      <c r="I73" s="287">
        <v>8.2811760000000003</v>
      </c>
      <c r="J73" s="286" t="s">
        <v>1683</v>
      </c>
      <c r="K73" s="287">
        <v>6.61</v>
      </c>
      <c r="L73" s="286" t="s">
        <v>1683</v>
      </c>
      <c r="M73" s="287">
        <v>66100</v>
      </c>
      <c r="N73" s="287">
        <v>0</v>
      </c>
      <c r="O73" s="289">
        <v>-0.2018041881974251</v>
      </c>
      <c r="P73" s="287">
        <v>-16711.759999999998</v>
      </c>
      <c r="Q73" s="287">
        <v>66100</v>
      </c>
      <c r="R73" s="289">
        <v>1.9069191711946645E-3</v>
      </c>
      <c r="S73" t="s">
        <v>48</v>
      </c>
      <c r="T73" s="286" t="s">
        <v>1268</v>
      </c>
      <c r="V73" s="291" t="str">
        <f ca="1">IFERROR(IF(D70=_xlfn.XLOOKUP(S73,Calc!H$3:H$56,Calc!G$3:G$56),"","Stock "&amp;TEXT(_xlfn.XLOOKUP(S73,Calc!H$3:H$56,Calc!G$3:G$56),"#,#0")),"!")</f>
        <v>Stock 16,500</v>
      </c>
      <c r="W73" s="85">
        <f ca="1">IFERROR(_xlfn.XLOOKUP(S73,Calc!H$3:H$56,Calc!G$3:G$56),"")</f>
        <v>16500</v>
      </c>
      <c r="X73" s="85">
        <f>_xlfn.XLOOKUP(T73,B$9:B$75,D$9:D$75,"")</f>
        <v>16500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2334</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1270</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2215</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2546</v>
      </c>
    </row>
    <row r="77" spans="2:26">
      <c r="S77" t="s">
        <v>60</v>
      </c>
      <c r="T77" s="286" t="s">
        <v>1279</v>
      </c>
      <c r="W77" s="85" t="str">
        <f ca="1">IFERROR(_xlfn.XLOOKUP(S77,Calc!H$3:H$56,Calc!G$3:G$56),"")</f>
        <v/>
      </c>
      <c r="X77" s="85">
        <f>_xlfn.XLOOKUP(T77,B$9:B$75,D$9:D$75,"")</f>
        <v>4000</v>
      </c>
      <c r="Y77" s="162" t="str">
        <f t="shared" ca="1" si="4"/>
        <v/>
      </c>
      <c r="Z77" t="s">
        <v>2906</v>
      </c>
    </row>
    <row r="81" spans="2:26">
      <c r="P81" t="b">
        <f>ISNUMBER(P87)</f>
        <v>1</v>
      </c>
    </row>
    <row r="83" spans="2:26">
      <c r="B83" s="286" t="s">
        <v>2905</v>
      </c>
      <c r="C83" s="286" t="s">
        <v>1116</v>
      </c>
      <c r="D83" s="286" t="s">
        <v>1117</v>
      </c>
      <c r="E83" s="286" t="s">
        <v>1118</v>
      </c>
      <c r="F83" s="286" t="s">
        <v>1769</v>
      </c>
      <c r="G83" s="286" t="s">
        <v>1119</v>
      </c>
      <c r="H83" s="286" t="s">
        <v>1120</v>
      </c>
      <c r="I83" s="286" t="s">
        <v>1121</v>
      </c>
      <c r="J83" s="286" t="s">
        <v>1122</v>
      </c>
      <c r="K83" s="286" t="s">
        <v>1123</v>
      </c>
      <c r="L83" s="286" t="s">
        <v>1122</v>
      </c>
      <c r="M83" s="286" t="s">
        <v>1124</v>
      </c>
      <c r="N83" s="286" t="s">
        <v>1125</v>
      </c>
      <c r="O83" s="286" t="s">
        <v>1126</v>
      </c>
      <c r="P83" s="286" t="s">
        <v>1127</v>
      </c>
      <c r="Q83" s="286" t="s">
        <v>1128</v>
      </c>
      <c r="R83" s="286" t="s">
        <v>1129</v>
      </c>
      <c r="W83" t="s">
        <v>956</v>
      </c>
      <c r="X83" t="s">
        <v>1000</v>
      </c>
    </row>
    <row r="84" spans="2:26">
      <c r="B84" s="286" t="s">
        <v>1272</v>
      </c>
      <c r="C84" s="286" t="s">
        <v>1273</v>
      </c>
      <c r="D84" s="287">
        <v>3876.14</v>
      </c>
      <c r="E84" s="286" t="s">
        <v>1132</v>
      </c>
      <c r="F84" s="286" t="s">
        <v>1132</v>
      </c>
      <c r="G84" s="286" t="s">
        <v>1131</v>
      </c>
      <c r="H84" s="286" t="s">
        <v>1131</v>
      </c>
      <c r="I84" s="286" t="s">
        <v>1683</v>
      </c>
      <c r="J84" s="561">
        <v>0.95550000000000002</v>
      </c>
      <c r="K84" s="286" t="s">
        <v>1683</v>
      </c>
      <c r="L84" s="561">
        <v>0.93679999999999997</v>
      </c>
      <c r="M84" s="287">
        <v>3876.14</v>
      </c>
      <c r="N84" s="287">
        <v>0</v>
      </c>
      <c r="O84" s="286" t="s">
        <v>1683</v>
      </c>
      <c r="P84" s="286" t="s">
        <v>1683</v>
      </c>
      <c r="Q84" s="287">
        <v>4137.68</v>
      </c>
      <c r="R84" s="289">
        <v>2.345478080687999E-3</v>
      </c>
    </row>
    <row r="85" spans="2:26">
      <c r="B85" s="286" t="s">
        <v>1274</v>
      </c>
      <c r="C85" s="286" t="s">
        <v>1275</v>
      </c>
      <c r="D85" s="287">
        <v>142076.63</v>
      </c>
      <c r="E85" s="286" t="s">
        <v>1133</v>
      </c>
      <c r="F85" s="286" t="s">
        <v>1133</v>
      </c>
      <c r="G85" s="286" t="s">
        <v>1131</v>
      </c>
      <c r="H85" s="286" t="s">
        <v>1131</v>
      </c>
      <c r="I85" s="286" t="s">
        <v>1683</v>
      </c>
      <c r="J85" s="286" t="s">
        <v>1683</v>
      </c>
      <c r="K85" s="286" t="s">
        <v>1683</v>
      </c>
      <c r="L85" s="286" t="s">
        <v>1683</v>
      </c>
      <c r="M85" s="287">
        <v>142076.63</v>
      </c>
      <c r="N85" s="287">
        <v>0</v>
      </c>
      <c r="O85" s="286" t="s">
        <v>1683</v>
      </c>
      <c r="P85" s="286" t="s">
        <v>1683</v>
      </c>
      <c r="Q85" s="287">
        <v>142076.63</v>
      </c>
      <c r="R85" s="289">
        <v>8.0537311112270388E-2</v>
      </c>
    </row>
    <row r="86" spans="2:26">
      <c r="B86" s="286" t="s">
        <v>1276</v>
      </c>
      <c r="C86" s="286" t="s">
        <v>1277</v>
      </c>
      <c r="D86" s="287">
        <v>20639.46</v>
      </c>
      <c r="E86" s="286" t="s">
        <v>1130</v>
      </c>
      <c r="F86" s="286" t="s">
        <v>1130</v>
      </c>
      <c r="G86" s="286" t="s">
        <v>1131</v>
      </c>
      <c r="H86" s="286" t="s">
        <v>1131</v>
      </c>
      <c r="I86" s="286" t="s">
        <v>1683</v>
      </c>
      <c r="J86" s="561">
        <v>1.1702999999999999</v>
      </c>
      <c r="K86" s="286" t="s">
        <v>1683</v>
      </c>
      <c r="L86" s="561">
        <v>1.1648000000000001</v>
      </c>
      <c r="M86" s="287">
        <v>20639.46</v>
      </c>
      <c r="N86" s="287">
        <v>0</v>
      </c>
      <c r="O86" s="286" t="s">
        <v>1683</v>
      </c>
      <c r="P86" s="286" t="s">
        <v>1683</v>
      </c>
      <c r="Q86" s="287">
        <v>17719.32</v>
      </c>
      <c r="R86" s="289">
        <v>1.0044342884103283E-2</v>
      </c>
      <c r="S86" s="351" t="s">
        <v>2542</v>
      </c>
      <c r="T86" s="351" t="s">
        <v>2543</v>
      </c>
    </row>
    <row r="87" spans="2:26">
      <c r="B87" s="286" t="s">
        <v>1150</v>
      </c>
      <c r="C87" s="286" t="s">
        <v>1151</v>
      </c>
      <c r="D87" s="290">
        <v>10000</v>
      </c>
      <c r="E87" s="286" t="s">
        <v>1130</v>
      </c>
      <c r="F87" s="286" t="s">
        <v>1130</v>
      </c>
      <c r="G87" s="286" t="s">
        <v>1131</v>
      </c>
      <c r="H87" s="286" t="s">
        <v>1131</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1179</v>
      </c>
      <c r="V87" s="291"/>
      <c r="W87" s="85">
        <f ca="1">IFERROR(_xlfn.XLOOKUP(S87,Calc!H$55:H$65,Calc!G$55:G$65),"")</f>
        <v>505000</v>
      </c>
      <c r="X87" s="85">
        <f>_xlfn.XLOOKUP(T87,B$87:B$98,D$87:D$98,"")</f>
        <v>124969</v>
      </c>
      <c r="Y87" s="162" t="str">
        <f t="shared" ref="Y87:Y98" ca="1" si="5">IF(OR(W87=X87,W87=""),"","ERROR")</f>
        <v>ERROR</v>
      </c>
      <c r="Z87" t="s">
        <v>2336</v>
      </c>
    </row>
    <row r="88" spans="2:26">
      <c r="B88" s="286" t="s">
        <v>1160</v>
      </c>
      <c r="C88" s="286" t="s">
        <v>1161</v>
      </c>
      <c r="D88" s="290">
        <v>100</v>
      </c>
      <c r="E88" s="286" t="s">
        <v>1133</v>
      </c>
      <c r="F88" s="286" t="s">
        <v>1133</v>
      </c>
      <c r="G88" s="286" t="s">
        <v>1131</v>
      </c>
      <c r="H88" s="286" t="s">
        <v>1131</v>
      </c>
      <c r="I88" s="287">
        <v>670.78150000000005</v>
      </c>
      <c r="J88" s="286" t="s">
        <v>1683</v>
      </c>
      <c r="K88" s="287">
        <v>951.6</v>
      </c>
      <c r="L88" s="286" t="s">
        <v>1683</v>
      </c>
      <c r="M88" s="287">
        <v>95160</v>
      </c>
      <c r="N88" s="287">
        <v>0</v>
      </c>
      <c r="O88" s="289">
        <v>0.41864377595386876</v>
      </c>
      <c r="P88" s="287">
        <v>28081.85</v>
      </c>
      <c r="Q88" s="287">
        <v>95160</v>
      </c>
      <c r="R88" s="289">
        <v>5.3942231916984863E-2</v>
      </c>
      <c r="S88" t="str">
        <f ca="1">Calc!H56</f>
        <v>MVEDDD</v>
      </c>
      <c r="T88" s="1149" t="s">
        <v>1150</v>
      </c>
      <c r="V88" s="292"/>
      <c r="W88" s="85">
        <f ca="1">IFERROR(_xlfn.XLOOKUP(S88,Calc!H$55:H$65,Calc!G$55:G$65),"")</f>
        <v>10000</v>
      </c>
      <c r="X88" s="85">
        <f t="shared" ref="X88:X89" si="6">_xlfn.XLOOKUP(T88,B$87:B$98,D$87:D$98,"")</f>
        <v>10000</v>
      </c>
    </row>
    <row r="89" spans="2:26">
      <c r="B89" s="286" t="s">
        <v>1175</v>
      </c>
      <c r="C89" s="286" t="s">
        <v>1176</v>
      </c>
      <c r="D89" s="290">
        <v>12000</v>
      </c>
      <c r="E89" s="286" t="s">
        <v>1133</v>
      </c>
      <c r="F89" s="286" t="s">
        <v>1133</v>
      </c>
      <c r="G89" s="286" t="s">
        <v>1131</v>
      </c>
      <c r="H89" s="286" t="s">
        <v>1131</v>
      </c>
      <c r="I89" s="287">
        <v>34.517789999999998</v>
      </c>
      <c r="J89" s="286" t="s">
        <v>1683</v>
      </c>
      <c r="K89" s="287">
        <v>23.78</v>
      </c>
      <c r="L89" s="286" t="s">
        <v>1683</v>
      </c>
      <c r="M89" s="287">
        <v>285360</v>
      </c>
      <c r="N89" s="287">
        <v>0</v>
      </c>
      <c r="O89" s="289">
        <v>-0.31107988083825761</v>
      </c>
      <c r="P89" s="287">
        <v>-128853.48</v>
      </c>
      <c r="Q89" s="287">
        <v>285360</v>
      </c>
      <c r="R89" s="289">
        <v>0.16175867275988653</v>
      </c>
      <c r="S89" t="str">
        <f ca="1">Calc!H57</f>
        <v>MVEDSY</v>
      </c>
      <c r="T89" s="1149" t="s">
        <v>1175</v>
      </c>
      <c r="V89" s="291"/>
      <c r="W89" s="85">
        <f ca="1">IFERROR(_xlfn.XLOOKUP(S89,Calc!H$55:H$65,Calc!G$55:G$65),"")</f>
        <v>12000</v>
      </c>
      <c r="X89" s="85">
        <f t="shared" si="6"/>
        <v>12000</v>
      </c>
      <c r="Y89" t="str">
        <f t="shared" ca="1" si="5"/>
        <v/>
      </c>
    </row>
    <row r="90" spans="2:26">
      <c r="B90" s="286" t="s">
        <v>1179</v>
      </c>
      <c r="C90" s="286" t="s">
        <v>1180</v>
      </c>
      <c r="D90" s="290">
        <v>124969</v>
      </c>
      <c r="E90" s="286" t="s">
        <v>1133</v>
      </c>
      <c r="F90" s="286" t="s">
        <v>1133</v>
      </c>
      <c r="G90" s="286" t="s">
        <v>1131</v>
      </c>
      <c r="H90" s="286" t="s">
        <v>1131</v>
      </c>
      <c r="I90" s="287">
        <v>1.5241275036208979</v>
      </c>
      <c r="J90" s="286" t="s">
        <v>1683</v>
      </c>
      <c r="K90" s="287">
        <v>0.62</v>
      </c>
      <c r="L90" s="286" t="s">
        <v>1683</v>
      </c>
      <c r="M90" s="287">
        <v>77480.78</v>
      </c>
      <c r="N90" s="287">
        <v>0</v>
      </c>
      <c r="O90" s="289">
        <v>-0.59320988662231044</v>
      </c>
      <c r="P90" s="287">
        <v>-112987.91</v>
      </c>
      <c r="Q90" s="287">
        <v>77480.78</v>
      </c>
      <c r="R90" s="289">
        <v>4.3920620049063504E-2</v>
      </c>
      <c r="S90" t="str">
        <f ca="1">Calc!H58</f>
        <v>MVEEOAN</v>
      </c>
      <c r="T90" s="1149" t="s">
        <v>1183</v>
      </c>
      <c r="V90" s="300"/>
      <c r="W90" s="85">
        <f ca="1">IFERROR(_xlfn.XLOOKUP(S90,Calc!H$55:H$65,Calc!G$55:G$65),"")</f>
        <v>10</v>
      </c>
      <c r="X90" s="85">
        <f>_xlfn.XLOOKUP(T90,B$87:B$98,D$87:D$98,"")</f>
        <v>10</v>
      </c>
      <c r="Y90" s="79"/>
      <c r="Z90" s="79">
        <f ca="1">W90-X90</f>
        <v>0</v>
      </c>
    </row>
    <row r="91" spans="2:26">
      <c r="B91" s="286" t="s">
        <v>1183</v>
      </c>
      <c r="C91" s="286" t="s">
        <v>1184</v>
      </c>
      <c r="D91" s="290">
        <v>10</v>
      </c>
      <c r="E91" s="286" t="s">
        <v>1133</v>
      </c>
      <c r="F91" s="286" t="s">
        <v>1133</v>
      </c>
      <c r="G91" s="286" t="s">
        <v>1131</v>
      </c>
      <c r="H91" s="286" t="s">
        <v>1131</v>
      </c>
      <c r="I91" s="287">
        <v>11.071999999999999</v>
      </c>
      <c r="J91" s="286" t="s">
        <v>1683</v>
      </c>
      <c r="K91" s="287">
        <v>15.42</v>
      </c>
      <c r="L91" s="286" t="s">
        <v>1683</v>
      </c>
      <c r="M91" s="287">
        <v>154.19999999999999</v>
      </c>
      <c r="N91" s="287">
        <v>0</v>
      </c>
      <c r="O91" s="289">
        <v>0.3927023121387283</v>
      </c>
      <c r="P91" s="287">
        <v>43.48</v>
      </c>
      <c r="Q91" s="287">
        <v>154.19999999999999</v>
      </c>
      <c r="R91" s="289">
        <v>8.7409543522478628E-5</v>
      </c>
      <c r="S91" t="str">
        <f ca="1">Calc!H59</f>
        <v>MVEENI</v>
      </c>
      <c r="T91" s="1149" t="s">
        <v>1189</v>
      </c>
      <c r="V91" s="291"/>
      <c r="W91" s="85">
        <f ca="1">IFERROR(_xlfn.XLOOKUP(S91,Calc!H$55:H$65,Calc!G$55:G$65),"")</f>
        <v>32000</v>
      </c>
      <c r="X91" s="85">
        <f t="shared" ref="X91:X98" si="7">_xlfn.XLOOKUP(T91,B$87:B$98,D$87:D$98,"")</f>
        <v>32000</v>
      </c>
      <c r="Y91" t="str">
        <f t="shared" ca="1" si="5"/>
        <v/>
      </c>
    </row>
    <row r="92" spans="2:26">
      <c r="B92" s="286" t="s">
        <v>1189</v>
      </c>
      <c r="C92" s="286" t="s">
        <v>1190</v>
      </c>
      <c r="D92" s="290">
        <v>32000</v>
      </c>
      <c r="E92" s="286" t="s">
        <v>1133</v>
      </c>
      <c r="F92" s="286" t="s">
        <v>1133</v>
      </c>
      <c r="G92" s="286" t="s">
        <v>1131</v>
      </c>
      <c r="H92" s="286" t="s">
        <v>1131</v>
      </c>
      <c r="I92" s="287">
        <v>13.992592500000001</v>
      </c>
      <c r="J92" s="286" t="s">
        <v>1683</v>
      </c>
      <c r="K92" s="287">
        <v>16.102</v>
      </c>
      <c r="L92" s="286" t="s">
        <v>1683</v>
      </c>
      <c r="M92" s="287">
        <v>515264</v>
      </c>
      <c r="N92" s="287">
        <v>0</v>
      </c>
      <c r="O92" s="289">
        <v>0.15075172810185103</v>
      </c>
      <c r="P92" s="287">
        <v>67501.039999999994</v>
      </c>
      <c r="Q92" s="287">
        <v>515264</v>
      </c>
      <c r="R92" s="289">
        <v>0.29208165391417923</v>
      </c>
      <c r="S92" t="str">
        <f ca="1">Calc!H60</f>
        <v>MVEEPIX</v>
      </c>
      <c r="T92" s="1149" t="s">
        <v>1191</v>
      </c>
      <c r="V92" s="291"/>
      <c r="W92" s="85">
        <f ca="1">IFERROR(_xlfn.XLOOKUP(S92,Calc!H$55:H$65,Calc!G$55:G$65),"")</f>
        <v>12000</v>
      </c>
      <c r="X92" s="85">
        <f t="shared" si="7"/>
        <v>12000</v>
      </c>
      <c r="Y92" t="str">
        <f t="shared" ca="1" si="5"/>
        <v/>
      </c>
    </row>
    <row r="93" spans="2:26">
      <c r="B93" s="286" t="s">
        <v>1191</v>
      </c>
      <c r="C93" s="286" t="s">
        <v>1192</v>
      </c>
      <c r="D93" s="290">
        <v>12000</v>
      </c>
      <c r="E93" s="286" t="s">
        <v>1136</v>
      </c>
      <c r="F93" s="286" t="s">
        <v>1130</v>
      </c>
      <c r="G93" s="286" t="s">
        <v>1131</v>
      </c>
      <c r="H93" s="286" t="s">
        <v>1131</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1279</v>
      </c>
      <c r="V93" s="291"/>
      <c r="W93" s="85">
        <f ca="1">IFERROR(_xlfn.XLOOKUP(S93,Calc!H$55:H$65,Calc!G$55:G$65),"")</f>
        <v>2000</v>
      </c>
      <c r="X93" s="85">
        <f t="shared" si="7"/>
        <v>2000</v>
      </c>
      <c r="Y93" s="162" t="str">
        <f t="shared" ca="1" si="5"/>
        <v/>
      </c>
      <c r="Z93" t="s">
        <v>2545</v>
      </c>
    </row>
    <row r="94" spans="2:26">
      <c r="B94" s="286" t="s">
        <v>1278</v>
      </c>
      <c r="C94" s="286" t="s">
        <v>1857</v>
      </c>
      <c r="D94" s="290">
        <v>19800</v>
      </c>
      <c r="E94" s="286" t="s">
        <v>1133</v>
      </c>
      <c r="F94" s="286" t="s">
        <v>1133</v>
      </c>
      <c r="G94" s="286" t="s">
        <v>1131</v>
      </c>
      <c r="H94" s="286" t="s">
        <v>1131</v>
      </c>
      <c r="I94" s="287">
        <v>11.766015656565656</v>
      </c>
      <c r="J94" s="286" t="s">
        <v>1683</v>
      </c>
      <c r="K94" s="287">
        <v>13.74</v>
      </c>
      <c r="L94" s="286" t="s">
        <v>1683</v>
      </c>
      <c r="M94" s="287">
        <v>272052</v>
      </c>
      <c r="N94" s="287">
        <v>0</v>
      </c>
      <c r="O94" s="289">
        <v>0.16776999122322461</v>
      </c>
      <c r="P94" s="287">
        <v>39084.89</v>
      </c>
      <c r="Q94" s="287">
        <v>272052</v>
      </c>
      <c r="R94" s="289">
        <v>0.15421492305043683</v>
      </c>
      <c r="S94" t="str">
        <f ca="1">Calc!H62</f>
        <v>MVEORA</v>
      </c>
      <c r="T94" s="1149" t="s">
        <v>1278</v>
      </c>
      <c r="V94" s="291"/>
      <c r="W94" s="85">
        <f ca="1">IFERROR(_xlfn.XLOOKUP(S94,Calc!H$55:H$65,Calc!G$55:G$65),"")</f>
        <v>19800</v>
      </c>
      <c r="X94" s="85">
        <f t="shared" si="7"/>
        <v>19800</v>
      </c>
      <c r="Y94" t="str">
        <f t="shared" ca="1" si="5"/>
        <v/>
      </c>
    </row>
    <row r="95" spans="2:26">
      <c r="B95" s="286" t="s">
        <v>1240</v>
      </c>
      <c r="C95" s="286" t="s">
        <v>1241</v>
      </c>
      <c r="D95" s="290">
        <v>1</v>
      </c>
      <c r="E95" s="286" t="s">
        <v>1133</v>
      </c>
      <c r="F95" s="286" t="s">
        <v>1133</v>
      </c>
      <c r="G95" s="286" t="s">
        <v>1131</v>
      </c>
      <c r="H95" s="286" t="s">
        <v>1131</v>
      </c>
      <c r="I95" s="287">
        <v>32.06</v>
      </c>
      <c r="J95" s="286" t="s">
        <v>1683</v>
      </c>
      <c r="K95" s="287">
        <v>43.06</v>
      </c>
      <c r="L95" s="286" t="s">
        <v>1683</v>
      </c>
      <c r="M95" s="287">
        <v>43.06</v>
      </c>
      <c r="N95" s="287">
        <v>0</v>
      </c>
      <c r="O95" s="289">
        <v>0.34310667498440423</v>
      </c>
      <c r="P95" s="287">
        <v>11</v>
      </c>
      <c r="Q95" s="287">
        <v>43.06</v>
      </c>
      <c r="R95" s="289">
        <v>2.4408916628261545E-5</v>
      </c>
      <c r="S95" t="str">
        <f ca="1">Calc!H63</f>
        <v>MVERWE</v>
      </c>
      <c r="T95" s="1149" t="s">
        <v>1240</v>
      </c>
      <c r="V95" s="291"/>
      <c r="W95" s="85">
        <f ca="1">IFERROR(_xlfn.XLOOKUP(S95,Calc!H$55:H$65,Calc!G$55:G$65),"")</f>
        <v>1</v>
      </c>
      <c r="X95" s="85">
        <f t="shared" si="7"/>
        <v>1</v>
      </c>
      <c r="Y95" t="str">
        <f t="shared" ca="1" si="5"/>
        <v/>
      </c>
    </row>
    <row r="96" spans="2:26">
      <c r="B96" s="286" t="s">
        <v>1242</v>
      </c>
      <c r="C96" s="286" t="s">
        <v>1243</v>
      </c>
      <c r="D96" s="290">
        <v>900</v>
      </c>
      <c r="E96" s="286" t="s">
        <v>1133</v>
      </c>
      <c r="F96" s="286" t="s">
        <v>1133</v>
      </c>
      <c r="G96" s="286" t="s">
        <v>1131</v>
      </c>
      <c r="H96" s="286" t="s">
        <v>1131</v>
      </c>
      <c r="I96" s="287">
        <v>228.52871111111111</v>
      </c>
      <c r="J96" s="286" t="s">
        <v>1683</v>
      </c>
      <c r="K96" s="287">
        <v>213.25</v>
      </c>
      <c r="L96" s="286" t="s">
        <v>1683</v>
      </c>
      <c r="M96" s="287">
        <v>191925</v>
      </c>
      <c r="N96" s="287">
        <v>0</v>
      </c>
      <c r="O96" s="289">
        <v>-6.6856855914627603E-2</v>
      </c>
      <c r="P96" s="287">
        <v>-13750.84</v>
      </c>
      <c r="Q96" s="287">
        <v>191925</v>
      </c>
      <c r="R96" s="289">
        <v>0.10879427133950527</v>
      </c>
      <c r="S96" t="str">
        <f ca="1">Calc!H64</f>
        <v>MVESAP</v>
      </c>
      <c r="T96" s="1149" t="s">
        <v>1242</v>
      </c>
      <c r="V96" s="291"/>
      <c r="W96" s="85">
        <f ca="1">IFERROR(_xlfn.XLOOKUP(S96,Calc!H$55:H$65,Calc!G$55:G$65),"")</f>
        <v>900</v>
      </c>
      <c r="X96" s="85">
        <f t="shared" si="7"/>
        <v>900</v>
      </c>
      <c r="Y96" t="str">
        <f t="shared" ca="1" si="5"/>
        <v/>
      </c>
    </row>
    <row r="97" spans="2:26">
      <c r="B97" s="286" t="s">
        <v>1279</v>
      </c>
      <c r="C97" s="286" t="s">
        <v>1858</v>
      </c>
      <c r="D97" s="290">
        <v>2000</v>
      </c>
      <c r="E97" s="286" t="s">
        <v>1133</v>
      </c>
      <c r="F97" s="286" t="s">
        <v>1133</v>
      </c>
      <c r="G97" s="286" t="s">
        <v>1131</v>
      </c>
      <c r="H97" s="286" t="s">
        <v>1131</v>
      </c>
      <c r="I97" s="287">
        <v>57.650709999999997</v>
      </c>
      <c r="J97" s="286" t="s">
        <v>1683</v>
      </c>
      <c r="K97" s="287">
        <v>61.54</v>
      </c>
      <c r="L97" s="286" t="s">
        <v>1683</v>
      </c>
      <c r="M97" s="287">
        <v>123080</v>
      </c>
      <c r="N97" s="287">
        <v>0</v>
      </c>
      <c r="O97" s="289">
        <v>6.7463002623905241E-2</v>
      </c>
      <c r="P97" s="287">
        <v>7778.58</v>
      </c>
      <c r="Q97" s="287">
        <v>123080</v>
      </c>
      <c r="R97" s="289">
        <v>6.9768914505490734E-2</v>
      </c>
      <c r="S97" t="str">
        <f ca="1">Calc!H65</f>
        <v>MVEUN0</v>
      </c>
      <c r="T97" s="1149" t="s">
        <v>1260</v>
      </c>
      <c r="U97" s="193"/>
      <c r="V97" s="625"/>
      <c r="W97" s="85">
        <f ca="1">IFERROR(_xlfn.XLOOKUP(S97,Calc!H$55:H$65,Calc!G$55:G$65),"")</f>
        <v>560</v>
      </c>
      <c r="X97" s="85">
        <f t="shared" si="7"/>
        <v>560</v>
      </c>
      <c r="Y97" t="str">
        <f t="shared" ca="1" si="5"/>
        <v/>
      </c>
    </row>
    <row r="98" spans="2:26">
      <c r="B98" s="286" t="s">
        <v>1260</v>
      </c>
      <c r="C98" s="286" t="s">
        <v>1261</v>
      </c>
      <c r="D98" s="290">
        <v>560</v>
      </c>
      <c r="E98" s="286" t="s">
        <v>1133</v>
      </c>
      <c r="F98" s="286" t="s">
        <v>1133</v>
      </c>
      <c r="G98" s="286" t="s">
        <v>1131</v>
      </c>
      <c r="H98" s="286" t="s">
        <v>1131</v>
      </c>
      <c r="I98" s="287">
        <v>44.868321428571427</v>
      </c>
      <c r="J98" s="286" t="s">
        <v>1683</v>
      </c>
      <c r="K98" s="287">
        <v>34</v>
      </c>
      <c r="L98" s="286" t="s">
        <v>1683</v>
      </c>
      <c r="M98" s="287">
        <v>19040</v>
      </c>
      <c r="N98" s="287">
        <v>0</v>
      </c>
      <c r="O98" s="289">
        <v>-0.24222705647398379</v>
      </c>
      <c r="P98" s="287">
        <v>-6086.26</v>
      </c>
      <c r="Q98" s="287">
        <v>19040</v>
      </c>
      <c r="R98" s="289">
        <v>1.0792981249468179E-2</v>
      </c>
      <c r="S98" t="s">
        <v>32</v>
      </c>
      <c r="T98" s="1149" t="s">
        <v>1160</v>
      </c>
      <c r="U98" s="193"/>
      <c r="V98" s="625"/>
      <c r="W98" s="85" t="str">
        <f ca="1">IFERROR(_xlfn.XLOOKUP(S98,Calc!H$55:H$65,Calc!G$55:G$65),"")</f>
        <v/>
      </c>
      <c r="X98" s="85">
        <f t="shared" si="7"/>
        <v>100</v>
      </c>
      <c r="Y98" s="162" t="str">
        <f t="shared" ca="1" si="5"/>
        <v/>
      </c>
      <c r="Z98" t="s">
        <v>2544</v>
      </c>
    </row>
    <row r="99" spans="2:26">
      <c r="G99" t="s">
        <v>2120</v>
      </c>
      <c r="H99" s="85">
        <f>SUM(H87:H98)</f>
        <v>0</v>
      </c>
      <c r="I99" s="287"/>
      <c r="P99" t="s">
        <v>2119</v>
      </c>
      <c r="Q99" s="80">
        <f>SUM(Q87:Q98)</f>
        <v>1600175.8</v>
      </c>
      <c r="R99" s="80">
        <v>1602981.61</v>
      </c>
      <c r="W99" s="85"/>
      <c r="X99" s="85"/>
    </row>
    <row r="100" spans="2:26">
      <c r="P100" t="s">
        <v>1085</v>
      </c>
      <c r="Q100" s="80">
        <f>SUM(Q84:Q98)</f>
        <v>1764109.43</v>
      </c>
      <c r="R100" s="80">
        <v>1752669.7900000003</v>
      </c>
    </row>
    <row r="101" spans="2:26">
      <c r="P101" t="s">
        <v>1003</v>
      </c>
      <c r="Q101" s="91">
        <f>SUMIF(P87:P98,"&gt;=0",P87:P98)</f>
        <v>142500.84</v>
      </c>
      <c r="R101" s="91">
        <v>77366.640000000014</v>
      </c>
    </row>
    <row r="102" spans="2:26">
      <c r="P102" t="s">
        <v>2263</v>
      </c>
      <c r="Q102" s="91">
        <f>SUMIF(P87:P98,"&lt;0",P87:P98)</f>
        <v>-297291.87000000005</v>
      </c>
      <c r="R102" s="91">
        <v>-183783.58000000005</v>
      </c>
    </row>
    <row r="103" spans="2:26">
      <c r="R103" s="844">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L1" s="99"/>
      <c r="O1" s="706" t="s">
        <v>2078</v>
      </c>
      <c r="P1" s="1853" t="s">
        <v>2179</v>
      </c>
      <c r="Q1" s="1854"/>
      <c r="R1" s="1854"/>
      <c r="S1" s="1855"/>
      <c r="T1" s="779" t="s">
        <v>182</v>
      </c>
      <c r="U1" s="691" t="s">
        <v>2547</v>
      </c>
      <c r="V1" s="769" t="s">
        <v>2064</v>
      </c>
      <c r="W1" s="702" t="s">
        <v>2073</v>
      </c>
      <c r="X1" s="1268" t="s">
        <v>2069</v>
      </c>
      <c r="Y1" s="778" t="s">
        <v>681</v>
      </c>
      <c r="Z1" s="829" t="s">
        <v>2220</v>
      </c>
      <c r="AA1" s="994" t="s">
        <v>2460</v>
      </c>
      <c r="AB1" s="821" t="s">
        <v>2266</v>
      </c>
      <c r="AC1" s="704" t="s">
        <v>1875</v>
      </c>
      <c r="AD1" s="1873" t="s">
        <v>2513</v>
      </c>
      <c r="AE1" s="1874"/>
      <c r="AF1" s="1874"/>
      <c r="AG1" s="1874"/>
      <c r="AH1" s="1124"/>
      <c r="AI1" s="1124"/>
      <c r="AJ1" s="1124"/>
      <c r="AK1" s="1124"/>
      <c r="AL1" s="1124"/>
      <c r="AM1" s="1124"/>
      <c r="AN1" s="1124"/>
      <c r="AO1" s="1124"/>
      <c r="AP1" s="1856" t="s">
        <v>2502</v>
      </c>
      <c r="AQ1" s="1856"/>
      <c r="AR1" s="933"/>
      <c r="AS1" s="933"/>
      <c r="AT1" s="1857" t="s">
        <v>2308</v>
      </c>
      <c r="AU1" s="1858"/>
      <c r="AV1" s="1859" t="s">
        <v>2214</v>
      </c>
      <c r="AW1" s="1859"/>
      <c r="AX1" s="795" t="s">
        <v>2213</v>
      </c>
      <c r="AY1" s="1860" t="s">
        <v>2491</v>
      </c>
      <c r="AZ1" s="1861"/>
      <c r="BA1" s="1861"/>
      <c r="BB1" s="1850" t="s">
        <v>2180</v>
      </c>
      <c r="BC1" s="1851"/>
      <c r="BD1" s="1851"/>
      <c r="BE1" s="1852"/>
      <c r="BF1" s="689" t="s">
        <v>2084</v>
      </c>
      <c r="BG1" s="794" t="s">
        <v>1903</v>
      </c>
      <c r="BH1" s="749"/>
      <c r="BI1" s="749"/>
    </row>
    <row r="2" spans="1:74" ht="35" thickBot="1">
      <c r="A2" s="222" t="s">
        <v>546</v>
      </c>
      <c r="B2" s="195" t="s">
        <v>1862</v>
      </c>
      <c r="C2" s="490" t="s">
        <v>1674</v>
      </c>
      <c r="D2" s="347" t="s">
        <v>2063</v>
      </c>
      <c r="E2" s="857" t="s">
        <v>1870</v>
      </c>
      <c r="F2" s="323" t="s">
        <v>1538</v>
      </c>
      <c r="G2" s="631" t="s">
        <v>1866</v>
      </c>
      <c r="H2" s="198" t="s">
        <v>1868</v>
      </c>
      <c r="I2" s="324" t="s">
        <v>1539</v>
      </c>
      <c r="J2" s="392" t="s">
        <v>701</v>
      </c>
      <c r="K2" s="404" t="s">
        <v>1515</v>
      </c>
      <c r="L2" s="404" t="s">
        <v>1516</v>
      </c>
      <c r="M2" s="293" t="s">
        <v>660</v>
      </c>
      <c r="N2" s="293" t="s">
        <v>661</v>
      </c>
      <c r="O2" s="761" t="s">
        <v>2134</v>
      </c>
      <c r="P2" s="705" t="s">
        <v>1670</v>
      </c>
      <c r="Q2" s="685" t="s">
        <v>1675</v>
      </c>
      <c r="R2" s="768" t="s">
        <v>1863</v>
      </c>
      <c r="S2" s="921" t="s">
        <v>2388</v>
      </c>
      <c r="T2" s="776" t="s">
        <v>543</v>
      </c>
      <c r="U2" s="743" t="s">
        <v>2267</v>
      </c>
      <c r="V2" s="767" t="s">
        <v>1113</v>
      </c>
      <c r="W2" s="997" t="s">
        <v>676</v>
      </c>
      <c r="X2" s="1271" t="s">
        <v>2118</v>
      </c>
      <c r="Y2" s="796" t="s">
        <v>2184</v>
      </c>
      <c r="Z2" s="812" t="s">
        <v>2219</v>
      </c>
      <c r="AA2" s="828" t="s">
        <v>1565</v>
      </c>
      <c r="AB2" s="822" t="s">
        <v>2265</v>
      </c>
      <c r="AC2" s="1035" t="s">
        <v>1593</v>
      </c>
      <c r="AD2" s="741" t="s">
        <v>2503</v>
      </c>
      <c r="AE2" s="979" t="s">
        <v>2126</v>
      </c>
      <c r="AF2" s="1400" t="s">
        <v>2662</v>
      </c>
      <c r="AG2" s="1400" t="s">
        <v>2659</v>
      </c>
      <c r="AH2" s="1401" t="s">
        <v>2660</v>
      </c>
      <c r="AI2" s="1401" t="s">
        <v>2661</v>
      </c>
      <c r="AJ2" s="1399" t="s">
        <v>2655</v>
      </c>
      <c r="AK2" s="1399" t="s">
        <v>2656</v>
      </c>
      <c r="AL2" s="1399" t="s">
        <v>2657</v>
      </c>
      <c r="AM2" s="1399" t="s">
        <v>2658</v>
      </c>
      <c r="AN2" s="1168" t="s">
        <v>2557</v>
      </c>
      <c r="AO2" s="754" t="s">
        <v>2400</v>
      </c>
      <c r="AP2" s="940" t="s">
        <v>2396</v>
      </c>
      <c r="AQ2" s="940" t="s">
        <v>2397</v>
      </c>
      <c r="AR2" s="1229" t="s">
        <v>2520</v>
      </c>
      <c r="AS2" s="1227" t="s">
        <v>2485</v>
      </c>
      <c r="AT2" s="800" t="s">
        <v>2398</v>
      </c>
      <c r="AU2" s="800" t="s">
        <v>2399</v>
      </c>
      <c r="AV2" s="828" t="s">
        <v>2217</v>
      </c>
      <c r="AW2" s="828" t="s">
        <v>2218</v>
      </c>
      <c r="AX2" s="754" t="s">
        <v>2183</v>
      </c>
      <c r="AY2" s="730" t="s">
        <v>2130</v>
      </c>
      <c r="AZ2" s="801" t="s">
        <v>2128</v>
      </c>
      <c r="BA2" s="708" t="s">
        <v>2088</v>
      </c>
      <c r="BB2" s="657" t="s">
        <v>1432</v>
      </c>
      <c r="BC2" s="722" t="s">
        <v>1672</v>
      </c>
      <c r="BD2" s="658" t="s">
        <v>1865</v>
      </c>
      <c r="BE2" s="920" t="s">
        <v>2387</v>
      </c>
      <c r="BF2" s="690" t="s">
        <v>2065</v>
      </c>
      <c r="BG2" s="632" t="s">
        <v>1864</v>
      </c>
      <c r="BH2" s="632" t="s">
        <v>2200</v>
      </c>
      <c r="BI2" s="684" t="s">
        <v>2072</v>
      </c>
      <c r="BJ2" s="684" t="s">
        <v>2117</v>
      </c>
      <c r="BK2" s="663" t="s">
        <v>1871</v>
      </c>
      <c r="BL2" s="1" t="s">
        <v>1867</v>
      </c>
      <c r="BM2" s="753" t="s">
        <v>2127</v>
      </c>
      <c r="BN2" s="895" t="s">
        <v>2564</v>
      </c>
      <c r="BO2" s="673" t="s">
        <v>2198</v>
      </c>
      <c r="BP2" s="673" t="s">
        <v>2309</v>
      </c>
      <c r="BQ2" s="748" t="s">
        <v>2310</v>
      </c>
      <c r="BR2" s="1222" t="s">
        <v>2066</v>
      </c>
      <c r="BS2" s="673" t="s">
        <v>2070</v>
      </c>
      <c r="BT2" s="673" t="s">
        <v>2071</v>
      </c>
      <c r="BU2" s="1220" t="s">
        <v>2565</v>
      </c>
    </row>
    <row r="3" spans="1:74">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+5,886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10.6%</v>
      </c>
      <c r="D3" s="683"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169/9,500=47,108</v>
      </c>
      <c r="E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23,199$</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3,995$</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 = 0</v>
      </c>
      <c r="I3" s="224" t="str">
        <f ca="1">IFERROR(TRUNC(TabCalc[[#This Row],[L_S1p]],2)&amp;"x"&amp;TabCalc[[#This Row],[L_S1n]]&amp;"=   "&amp;TEXT(TabCalc[[#This Row],[ReverseB1]],"#,#0"),"")</f>
        <v>263.58x500=   -7,225</v>
      </c>
      <c r="J3" s="293">
        <f ca="1">_xlfn.XLOOKUP(TabTRADERCorrupted[[#This Row],[ClickTick]],TabCalc[Ticker],ListGravity)</f>
        <v>1.0199522713376257</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1251134.9999999998</v>
      </c>
      <c r="M3" s="321">
        <f ca="1">_xlfn.XLOOKUP(TabTRADERCorrupted[[#This Row],[ClickTick]],TabCalc[Ticker],TabCalc[Agiotage])</f>
        <v>0.70047433150034832</v>
      </c>
      <c r="N3" s="322" cm="1">
        <f t="array" aca="1" ref="N3" ca="1">_xlfn.XLOOKUP(TabTRADERCorrupted[[#This Row],[ClickTick]],ListTickers,Tab2RSIConventional[RSIConv20])</f>
        <v>59</v>
      </c>
      <c r="O3" s="698" t="str">
        <f ca="1">TEXT(_xlfn.XLOOKUP(TabTRADERCorrupted[[#This Row],[ClickTick]],TabCalc[Ticker],TabCalc[Nbegin]),"#,#0")&amp;": "&amp;_xlfn.XLOOKUP(TabTRADERCorrupted[[#This Row],[ClickTick]],TabCalc[Ticker],TabCalc[Pile?])</f>
        <v xml:space="preserve">5,000: </v>
      </c>
      <c r="P3" s="729">
        <f ca="1">_xlfn.XLOOKUP(TabTRADERCorrupted[[#This Row],[ClickTick]],TabCalc[Ticker],TabCalc[L_Bn])</f>
        <v>200</v>
      </c>
      <c r="Q3" s="723">
        <f ca="1">_xlfn.XLOOKUP(TabTRADERCorrupted[[#This Row],[ClickTick]],TabCalc[Ticker],TabCalc[L_Bp])</f>
        <v>-248.52</v>
      </c>
      <c r="R3" s="759">
        <f ca="1">(TabTRADERCorrupted[[#This Row],[M]]+TabTRADERCorrupted[[#This Row],[L_Bp]])/ABS(TabTRADERCorrupted[[#This Row],[L_Bp]])</f>
        <v>0.11874295831321408</v>
      </c>
      <c r="S3" s="678">
        <f ca="1">_xlfn.XLOOKUP(TabTRADERCorrupted[[#This Row],[ClickTick]],TabCalc[Ticker],TabCalc[Rev(MinStock)])*(1-Commission)</f>
        <v>5870.6963999999998</v>
      </c>
      <c r="T3" s="777">
        <f ca="1">_xlfn.XLOOKUP(TabTRADERCorrupted[[#This Row],[ClickTick]],TabCalc[Ticker],TabCalc[Agiotage])</f>
        <v>0.70047433150034832</v>
      </c>
      <c r="U3" s="742"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-9,120/-9,120=&gt;-0.3% / -0.3%</v>
      </c>
      <c r="V3" s="734" t="str">
        <f ca="1">_xlfn.XLOOKUP(TabTRADERCorrupted[[#This Row],[ClickTick]],[1]!RTData[Ticker_Symbol],[1]!RTData[Currency])</f>
        <v>USD</v>
      </c>
      <c r="W3" s="744">
        <f ca="1">_xlfn.XLOOKUP(TabTRADERCorrupted[[#This Row],[ClickTick]],TabCalc[Ticker],TabCalc[M])</f>
        <v>278.02999999999997</v>
      </c>
      <c r="X3" s="1271" t="str">
        <f ca="1">SORTING!B3</f>
        <v>AAPL</v>
      </c>
      <c r="Y3" s="797">
        <f ca="1">_xlfn.XLOOKUP(TabTRADERCorrupted[[#This Row],[ClickTick]],TabCalc[Ticker],TabCalc[Y])</f>
        <v>283.57733000000002</v>
      </c>
      <c r="Z3" s="812">
        <f ca="1">_xlfn.XLOOKUP(TabTRADERCorrupted[[#This Row],[ClickTick]],[1]!RTData[Ticker_Symbol],[1]!RTData[YTChange])</f>
        <v>0.15599580123109541</v>
      </c>
      <c r="AA3" s="827">
        <f ca="1">-_xlfn.XLOOKUP(TabTRADERCorrupted[[#This Row],[ClickTick]]&amp;2,Consolid!B$3:JZ$3,Consolid!B$4:JZ$4)</f>
        <v>212.5699443985263</v>
      </c>
      <c r="AB3" s="812" cm="1">
        <f t="array" aca="1" ref="AB3" ca="1">_xlfn.XLOOKUP(TabTRADERCorrupted[[#This Row],[ClickTick]],ListTickers,Tab1ChangePercent[Change%19])</f>
        <v>-2.6900000000000001E-3</v>
      </c>
      <c r="AC3" s="763">
        <f ca="1">_xlfn.XLOOKUP(TabTRADERCorrupted[[#This Row],[ClickTick]],TabCalc[Ticker],TabCalc[NAfter])</f>
        <v>9500</v>
      </c>
      <c r="AD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^1,211/2,634 K$</v>
      </c>
      <c r="AE3" s="1147"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30"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278.03, 03.0%</v>
      </c>
      <c r="AG3" s="1131"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31" cm="1">
        <f t="array" aca="1" ref="AH3" ca="1">_xlfn.IFS(     TabTRADERCorrupted[[#This Row],[Traps]]=MUp,MIN(TabTRADERCorrupted[[#This Row],[L_Sn]],TabTRADERCorrupted[[#This Row],[N]])*(TabTRADERCorrupted[[#This Row],[M]]-TabTRADERCorrupted[[#This Row],[L_Sp]])*(1-Commission)*TabTRADERCorrupted[[#This Row],[Scale]],                                  TRUE,"M= "&amp;TabTRADERCorrupted[[#This Row],[M]])</f>
        <v>3984.6129999999762</v>
      </c>
      <c r="AI3" s="1131" t="str" cm="1">
        <f t="array" aca="1" ref="AI3" ca="1">_xlfn.IFS(   TabTRADERCorrupted[[#This Row],[Traps]]=MUp,TEXT(MIN(TabTRADERCorrupted[[#This Row],[L_Sn]],TabTRADERCorrupted[[#This Row],[N]]),"#,#0")&amp;" x "&amp;TEXT(TabTRADERCorrupted[[#This Row],[L_Sp]],"#,#0.#0"),          TRUE,"")</f>
        <v>500 x 270.04</v>
      </c>
      <c r="AJ3" s="1131"/>
      <c r="AK3" s="1131"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3984.6129999999762</v>
      </c>
      <c r="AL3" s="1131"/>
      <c r="AM3" s="1131"/>
      <c r="AN3" s="1131"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620253.66484064341</v>
      </c>
      <c r="AO3" s="1139"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0.30794596003068575</v>
      </c>
      <c r="AP3" s="1140"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2.6137905981368746E-2</v>
      </c>
      <c r="AQ3" s="820" cm="1">
        <f t="array" aca="1" ref="AQ3" ca="1">_xlfn.IFS(   TabTRADERCorrupted[[#This Row],[Traps]]=SellMorePercentGain,                     MIN(TabTRADERCorrupted[[#This Row],[L_Sn]],TabTRADERCorrupted[[#This Row],[N]])*(TabTRADERCorrupted[[#This Row],[M]]-TabTRADERCorrupted[[#This Row],[L_Sp]])*(1-Commission)*TabTRADERCorrupted[[#This Row],[Scale]],                    TRUE,"")</f>
        <v>3984.6129999999762</v>
      </c>
      <c r="AR3" s="1129">
        <f ca="1">_xlfn.XLOOKUP(TabTRADERCorrupted[[#This Row],[ClickTick]],TabCalc[Ticker],TabCalc[Ann%RevLB])</f>
        <v>0.7245333049619842</v>
      </c>
      <c r="AS3" s="1225" t="str">
        <f ca="1">_xlfn.XLOOKUP(TabTRADERCorrupted[[#This Row],[ClickTick]],TabCalc[Ticker],TabCalc[Up20])</f>
        <v>/50/%</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20"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40" cm="1">
        <f t="array" aca="1" ref="AV3" ca="1">_xlfn.IFS(   TabTRADERCorrupted[[#This Row],[Traps]]=MUp,TabTRADERCorrupted[[#This Row],[TakeGain_A]]-Commission,        TabTRADERCorrupted[[#This Row],[Traps]]=MDown,(TabTRADERCorrupted[[#This Row],[A]]-TabTRADERCorrupted[[#This Row],[M]])/TabTRADERCorrupted[[#This Row],[M]]-Commission,                              TRUE,"")</f>
        <v>0.30534596003068576</v>
      </c>
      <c r="AW3" s="820"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811258.27512254659</v>
      </c>
      <c r="AX3" s="755"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3" s="731"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200x65.46</v>
      </c>
      <c r="AZ3" s="760"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0.30714530053460598</v>
      </c>
      <c r="BA3" s="757"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-0.2380424184493532</v>
      </c>
      <c r="BB3" s="322">
        <f ca="1">_xlfn.XLOOKUP(TabTRADERCorrupted[[#This Row],[ClickTick]],TabCalc[Ticker],TabCalc[L_Sn])</f>
        <v>500</v>
      </c>
      <c r="BC3" s="723">
        <f ca="1">_xlfn.XLOOKUP(TabTRADERCorrupted[[#This Row],[ClickTick]],TabCalc[Ticker],TabCalc[L_Sp])</f>
        <v>270.04000000000002</v>
      </c>
      <c r="BD3" s="759">
        <f ca="1">-IFERROR((TabTRADERCorrupted[[#This Row],[M]]-TabTRADERCorrupted[[#This Row],[L_Sp]])/TabTRADERCorrupted[[#This Row],[L_Sp]],0)</f>
        <v>-2.9588209154199199E-2</v>
      </c>
      <c r="BE3" s="724">
        <f ca="1">TabTRADERCorrupted[[#This Row],[L_Sn]]*(TabTRADERCorrupted[[#This Row],[M]]-TabTRADERCorrupted[[#This Row],[L_Sp]])*(1-Commission)*TabTRADERCorrupted[[#This Row],[Scale]]</f>
        <v>3984.6129999999762</v>
      </c>
      <c r="BF3" s="687">
        <f ca="1">TabTRADERCorrupted[[#This Row],[L_Sn]]*(TabTRADERCorrupted[[#This Row],[Agiotage]]-TabTRADERCorrupted[[#This Row],[M]])/(TabTRADERCorrupted[[#This Row],[L_Bn]]*TabTRADERCorrupted[[#This Row],[M]])</f>
        <v>-2.4937014500998065</v>
      </c>
      <c r="BG3" s="630">
        <f ca="1">IFERROR((TabTRADERCorrupted[[#This Row],[M]]-TabTRADERCorrupted[[#This Row],[A]])/TabTRADERCorrupted[[#This Row],[A]],0)</f>
        <v>0.30794596003068575</v>
      </c>
      <c r="BH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620,254$</v>
      </c>
      <c r="BI3" s="679">
        <f ca="1">_xlfn.XLOOKUP(TabTRADERCorrupted[[#This Row],[ClickTick]],TabCalc[[#This Row],[Ticker]],TabCalc[[#This Row],[GL]])*(1-Commission)</f>
        <v>1207596.1651362306</v>
      </c>
      <c r="BJ3" s="679"/>
      <c r="BK3" s="664" t="str">
        <f ca="1">TabTRADERCorrupted[[#This Row],[ClickTick]]&amp;": "&amp;_xlfn.XLOOKUP(TabTRADERCorrupted[[#This Row],[ClickTick]],TabCalc[Ticker],TabCalc[Pile?])</f>
        <v xml:space="preserve">AAPL: </v>
      </c>
      <c r="BL3" s="348" t="s">
        <v>1906</v>
      </c>
      <c r="BM3" s="751" t="str" cm="1">
        <f t="array" aca="1" ref="BM3" ca="1">_xlfn.TEXTJOIN("",,INDEX({"M","A","Y"}, _xlfn.SORTBY({1,2,3}, -CHOOSE({1,2,3}, TabTRADERCorrupted[[#This Row],[M]], TabTRADERCorrupted[[#This Row],[A]], TabTRADERCorrupted[[#This Row],[Agiotage]]))))</f>
        <v>MAY</v>
      </c>
      <c r="BN3" s="896"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2.8737905981368748E-2</v>
      </c>
      <c r="BO3" s="674">
        <f ca="1">TabTRADERCorrupted[[#This Row],[L_Sn]]*TabTRADERCorrupted[[#This Row],[L_Sp]]+TabTRADERCorrupted[[#This Row],[SellMore]]*TabTRADERCorrupted[[#This Row],[M]]</f>
        <v>190626</v>
      </c>
      <c r="BP3" s="674">
        <f ca="1">INDEX(
  INDEX(TabConsolid[], , _xlfn.XMATCH(TabTRADERCorrupted[[#This Row],[ClickTick]]&amp;1, TabConsolid[#Headers])),
  MATCH(
    -TabTRADERCorrupted[[#This Row],[M]],
    INDEX(TabConsolid[], , _xlfn.XMATCH(TabTRADERCorrupted[[#This Row],[ClickTick]]&amp;2, TabConsolid[#Headers])),
    -1
  )
)</f>
        <v>200</v>
      </c>
      <c r="BQ3" s="674"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13">
        <f ca="1">TabTRADERCorrupted[[#This Row],[ReBuy]]/(TabTRADERCorrupted[[#This Row],[L_Sn]]+TabTRADERCorrupted[[#This Row],[SellMore]])</f>
        <v>272.32285714285712</v>
      </c>
      <c r="BS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-0.58385163298631504</v>
      </c>
      <c r="BT3" s="682">
        <f ca="1">(TabTRADERCorrupted[[#This Row],[M]]-TabTRADERCorrupted[[#This Row],[Agiotage]])/(TabTRADERCorrupted[[#This Row],[M]]-TabTRADERCorrupted[[#This Row],[A]])-1</f>
        <v>3.23662221365813</v>
      </c>
      <c r="BU3" s="1221">
        <f ca="1">_xlfn.XMATCH(TabTRADERCorrupted[[#This Row],[ClickTick]]&amp;1, TabConsolid[#Headers])</f>
        <v>2</v>
      </c>
      <c r="BV3" t="b">
        <f ca="1">IF(ABS(TabTRADERCorrupted[[#This Row],[L_Bp]])&gt;=TabTRADERCorrupted[[#This Row],[M]],"OK")</f>
        <v>0</v>
      </c>
    </row>
    <row r="4" spans="1:74">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-131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-5.1%</v>
      </c>
      <c r="D4" s="683"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1,515</v>
      </c>
      <c r="F4" s="224" t="str">
        <f ca="1">TRUNC(TabCalc[[#This Row],[L_B1p]],2)&amp;"x"&amp;TabCalc[[#This Row],[L_B1n]]&amp;"=   "&amp;TEXT(TabCalc[[#This Row],[ReverseS1]],"#,#0")&amp;"$"</f>
        <v>-13.02x2800=   1,512$</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-3,300$</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24.3% = 1,515</v>
      </c>
      <c r="I4" s="224" t="str">
        <f ca="1">IFERROR(TRUNC(TabCalc[[#This Row],[L_S1p]],2)&amp;"x"&amp;TabCalc[[#This Row],[L_S1n]]&amp;"=   "&amp;TEXT(TabCalc[[#This Row],[ReverseB1]],"#,#0"),"")</f>
        <v>16.67x2990=   9,299</v>
      </c>
      <c r="J4" s="293">
        <f ca="1">_xlfn.XLOOKUP(TabTRADERCorrupted[[#This Row],[ClickTick]],TabCalc[Ticker],ListGravity)</f>
        <v>1.4564896755162242</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0.7583713347621871</v>
      </c>
      <c r="N4" s="322" cm="1">
        <f t="array" aca="1" ref="N4" ca="1">_xlfn.XLOOKUP(TabTRADERCorrupted[[#This Row],[ClickTick]],ListTickers,Tab2RSIConventional[RSIConv20])</f>
        <v>83</v>
      </c>
      <c r="O4" s="698" t="str">
        <f ca="1">TEXT(_xlfn.XLOOKUP(TabTRADERCorrupted[[#This Row],[ClickTick]],TabCalc[Ticker],TabCalc[Nbegin]),"#,#0")&amp;": "&amp;_xlfn.XLOOKUP(TabTRADERCorrupted[[#This Row],[ClickTick]],TabCalc[Ticker],TabCalc[Pile?])</f>
        <v xml:space="preserve">9,000: </v>
      </c>
      <c r="P4" s="729">
        <f ca="1">_xlfn.XLOOKUP(TabTRADERCorrupted[[#This Row],[ClickTick]],TabCalc[Ticker],TabCalc[L_Bn])</f>
        <v>190</v>
      </c>
      <c r="Q4" s="723">
        <f ca="1">_xlfn.XLOOKUP(TabTRADERCorrupted[[#This Row],[ClickTick]],TabCalc[Ticker],TabCalc[L_Bp])</f>
        <v>-14.25</v>
      </c>
      <c r="R4" s="759">
        <f ca="1">(TabTRADERCorrupted[[#This Row],[M]]+TabTRADERCorrupted[[#This Row],[L_Bp]])/ABS(TabTRADERCorrupted[[#This Row],[L_Bp]])</f>
        <v>-4.8421052631578913E-2</v>
      </c>
      <c r="S4" s="678">
        <f ca="1">_xlfn.XLOOKUP(TabTRADERCorrupted[[#This Row],[ClickTick]],TabCalc[Ticker],TabCalc[Rev(MinStock)])*(1-Commission)</f>
        <v>-130.65940000000001</v>
      </c>
      <c r="T4" s="777">
        <f ca="1">_xlfn.XLOOKUP(TabTRADERCorrupted[[#This Row],[ClickTick]],TabCalc[Ticker],TabCalc[Agiotage])</f>
        <v>0.7583713347621871</v>
      </c>
      <c r="U4" s="742"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300/300=&gt;0.3% / 0.3%</v>
      </c>
      <c r="V4" s="734" t="str">
        <f ca="1">_xlfn.XLOOKUP(TabTRADERCorrupted[[#This Row],[ClickTick]],[1]!RTData[Ticker_Symbol],[1]!RTData[Currency])</f>
        <v>USD</v>
      </c>
      <c r="W4" s="744">
        <f ca="1">_xlfn.XLOOKUP(TabTRADERCorrupted[[#This Row],[ClickTick]],TabCalc[Ticker],TabCalc[M])</f>
        <v>13.56</v>
      </c>
      <c r="X4" s="1271" t="str">
        <f ca="1">SORTING!B4</f>
        <v>ADEA</v>
      </c>
      <c r="Y4" s="798">
        <f ca="1">_xlfn.XLOOKUP(TabTRADERCorrupted[[#This Row],[ClickTick]],TabCalc[Ticker],TabCalc[Y])</f>
        <v>19.75</v>
      </c>
      <c r="Z4" s="812">
        <f ca="1">_xlfn.XLOOKUP(TabTRADERCorrupted[[#This Row],[ClickTick]],[1]!RTData[Ticker_Symbol],[1]!RTData[YTChange])</f>
        <v>0.28832354859752118</v>
      </c>
      <c r="AA4" s="827">
        <f ca="1">-_xlfn.XLOOKUP(TabTRADERCorrupted[[#This Row],[ClickTick]]&amp;2,Consolid!B$3:JZ$3,Consolid!B$4:JZ$4)</f>
        <v>13.108774427999998</v>
      </c>
      <c r="AB4" s="812" cm="1">
        <f t="array" aca="1" ref="AB4" ca="1">_xlfn.XLOOKUP(TabTRADERCorrupted[[#This Row],[ClickTick]],ListTickers,Tab1ChangePercent[Change%19])</f>
        <v>2.9589999999999998E-3</v>
      </c>
      <c r="AC4" s="763">
        <f ca="1">_xlfn.XLOOKUP(TabTRADERCorrupted[[#This Row],[ClickTick]],TabCalc[Ticker],TabCalc[NAfter])</f>
        <v>5000</v>
      </c>
      <c r="AD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^38/68 K$</v>
      </c>
      <c r="AE4" s="1147"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30"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31"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3291.4199999999992</v>
      </c>
      <c r="AH4" s="1131" t="str" cm="1">
        <f t="array" aca="1" ref="AH4" ca="1">_xlfn.IFS(     TabTRADERCorrupted[[#This Row],[Traps]]=MUp,MIN(TabTRADERCorrupted[[#This Row],[L_Sn]],TabTRADERCorrupted[[#This Row],[N]])*(TabTRADERCorrupted[[#This Row],[M]]-TabTRADERCorrupted[[#This Row],[L_Sp]])*(1-Commission)*TabTRADERCorrupted[[#This Row],[Scale]],                                  TRUE,"M= "&amp;TabTRADERCorrupted[[#This Row],[M]])</f>
        <v>M= 13.56</v>
      </c>
      <c r="AI4" s="1131" t="str" cm="1">
        <f t="array" aca="1" ref="AI4" ca="1">_xlfn.IFS(   TabTRADERCorrupted[[#This Row],[Traps]]=MUp,TEXT(MIN(TabTRADERCorrupted[[#This Row],[L_Sn]],TabTRADERCorrupted[[#This Row],[N]]),"#,#0")&amp;" x "&amp;TEXT(TabTRADERCorrupted[[#This Row],[L_Sp]],"#,#0.#0"),          TRUE,"")</f>
        <v/>
      </c>
      <c r="AJ4" s="1131"/>
      <c r="AK4" s="1131"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31"/>
      <c r="AM4" s="1131"/>
      <c r="AN4" s="1131"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3291.4199999999992</v>
      </c>
      <c r="AO4" s="1140"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0.195729537366548</v>
      </c>
      <c r="AP4" s="1140"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TabTRADERCorrupted[[#This Row],[Traps]]=SellMorePercentGain,                     MIN(TabTRADERCorrupted[[#This Row],[L_Sn]],TabTRADERCorrupted[[#This Row],[N]])*(TabTRADERCorrupted[[#This Row],[M]]-TabTRADERCorrupted[[#This Row],[L_Sp]])*(1-Commission)*TabTRADERCorrupted[[#This Row],[Scale]],                    TRUE,"")</f>
        <v/>
      </c>
      <c r="AR4" s="1129">
        <f ca="1">_xlfn.XLOOKUP(TabTRADERCorrupted[[#This Row],[ClickTick]],TabCalc[Ticker],TabCalc[Ann%RevLB])</f>
        <v>-0.11858216970998918</v>
      </c>
      <c r="AS4" s="1225" t="str">
        <f ca="1">_xlfn.XLOOKUP(TabTRADERCorrupted[[#This Row],[ClickTick]],TabCalc[Ticker],TabCalc[Up20])</f>
        <v>/100/%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20"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40" t="str" cm="1">
        <f t="array" aca="1" ref="AV4" ca="1">_xlfn.IFS(   TabTRADERCorrupted[[#This Row],[Traps]]=MUp,TabTRADERCorrupted[[#This Row],[TakeGain_A]]-Commission,        TabTRADERCorrupted[[#This Row],[Traps]]=MDown,(TabTRADERCorrupted[[#This Row],[A]]-TabTRADERCorrupted[[#This Row],[M]])/TabTRADERCorrupted[[#This Row],[M]]-Commission,                              TRUE,"")</f>
        <v/>
      </c>
      <c r="AW4" s="820"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2250.26192756401</v>
      </c>
      <c r="AX4" s="755" t="e"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 s="731"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60"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3.4332148133657862E-2</v>
      </c>
      <c r="BA4" s="757"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-3.587622212389395E-2</v>
      </c>
      <c r="BB4" s="322">
        <f ca="1">_xlfn.XLOOKUP(TabTRADERCorrupted[[#This Row],[ClickTick]],TabCalc[Ticker],TabCalc[L_Sn])</f>
        <v>1000</v>
      </c>
      <c r="BC4" s="723">
        <f ca="1">_xlfn.XLOOKUP(TabTRADERCorrupted[[#This Row],[ClickTick]],TabCalc[Ticker],TabCalc[L_Sp])</f>
        <v>16.86</v>
      </c>
      <c r="BD4" s="759">
        <f ca="1">-IFERROR((TabTRADERCorrupted[[#This Row],[M]]-TabTRADERCorrupted[[#This Row],[L_Sp]])/TabTRADERCorrupted[[#This Row],[L_Sp]],0)</f>
        <v>0.195729537366548</v>
      </c>
      <c r="BE4" s="724">
        <f ca="1">TabTRADERCorrupted[[#This Row],[L_Sn]]*(TabTRADERCorrupted[[#This Row],[M]]-TabTRADERCorrupted[[#This Row],[L_Sp]])*(1-Commission)*TabTRADERCorrupted[[#This Row],[Scale]]</f>
        <v>-3291.4199999999992</v>
      </c>
      <c r="BF4" s="687">
        <f ca="1">TabTRADERCorrupted[[#This Row],[L_Sn]]*(TabTRADERCorrupted[[#This Row],[Agiotage]]-TabTRADERCorrupted[[#This Row],[M]])/(TabTRADERCorrupted[[#This Row],[L_Bn]]*TabTRADERCorrupted[[#This Row],[M]])</f>
        <v>-4.9688047916619373</v>
      </c>
      <c r="BG4" s="630">
        <f ca="1">IFERROR((TabTRADERCorrupted[[#This Row],[M]]-TabTRADERCorrupted[[#This Row],[A]])/TabTRADERCorrupted[[#This Row],[A]],0)</f>
        <v>3.4421644409121578E-2</v>
      </c>
      <c r="BH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2,250$</v>
      </c>
      <c r="BI4" s="679">
        <f ca="1">_xlfn.XLOOKUP(TabTRADERCorrupted[[#This Row],[ClickTick]],TabCalc[[#This Row],[Ticker]],TabCalc[[#This Row],[GL]])*(1-Commission)</f>
        <v>37682.083971712331</v>
      </c>
      <c r="BJ4" s="679"/>
      <c r="BK4" s="664" t="str">
        <f ca="1">TabTRADERCorrupted[[#This Row],[ClickTick]]&amp;": "&amp;_xlfn.XLOOKUP(TabTRADERCorrupted[[#This Row],[ClickTick]],TabCalc[Ticker],TabCalc[Pile?])</f>
        <v xml:space="preserve">ADEA: </v>
      </c>
      <c r="BL4" s="349" t="s">
        <v>1907</v>
      </c>
      <c r="BM4" s="750" t="str" cm="1">
        <f t="array" aca="1" ref="BM4" ca="1">_xlfn.TEXTJOIN("",,INDEX({"M","A","Y"}, _xlfn.SORTBY({1,2,3}, -CHOOSE({1,2,3}, TabTRADERCorrupted[[#This Row],[M]], TabTRADERCorrupted[[#This Row],[A]], TabTRADERCorrupted[[#This Row],[Agiotage]]))))</f>
        <v>MAY</v>
      </c>
      <c r="BN4" s="896"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4">
        <f ca="1">TabTRADERCorrupted[[#This Row],[L_Sn]]*TabTRADERCorrupted[[#This Row],[L_Sp]]+TabTRADERCorrupted[[#This Row],[SellMore]]*TabTRADERCorrupted[[#This Row],[M]]</f>
        <v>44115.600000000006</v>
      </c>
      <c r="BP4" s="674">
        <f ca="1">INDEX(
  INDEX(TabConsolid[], , _xlfn.XMATCH(TabTRADERCorrupted[[#This Row],[ClickTick]]&amp;1, TabConsolid[#Headers])),
  MATCH(
    -TabTRADERCorrupted[[#This Row],[M]],
    INDEX(TabConsolid[], , _xlfn.XMATCH(TabTRADERCorrupted[[#This Row],[ClickTick]]&amp;2, TabConsolid[#Headers])),
    -1
  )
)</f>
        <v>2010</v>
      </c>
      <c r="BQ4" s="674"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 s="1113">
        <f ca="1">TabTRADERCorrupted[[#This Row],[ReBuy]]/(TabTRADERCorrupted[[#This Row],[L_Sn]]+TabTRADERCorrupted[[#This Row],[SellMore]])</f>
        <v>14.656345514950168</v>
      </c>
      <c r="BS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-1.5361954398285376E-2</v>
      </c>
      <c r="BT4" s="682">
        <f ca="1">(TabTRADERCorrupted[[#This Row],[M]]-TabTRADERCorrupted[[#This Row],[Agiotage]])/(TabTRADERCorrupted[[#This Row],[M]]-TabTRADERCorrupted[[#This Row],[A]])-1</f>
        <v>27.370796026688303</v>
      </c>
      <c r="BU4" s="1221">
        <f ca="1">_xlfn.XMATCH(TabTRADERCorrupted[[#This Row],[ClickTick]]&amp;1, TabConsolid[#Headers])</f>
        <v>5</v>
      </c>
      <c r="BV4" t="str">
        <f ca="1">IF(ABS(TabTRADERCorrupted[[#This Row],[L_Bp]])&gt;=TabTRADERCorrupted[[#This Row],[M]],"OK")</f>
        <v>OK</v>
      </c>
    </row>
    <row r="5" spans="1:74" ht="27">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-659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-16.9%</v>
      </c>
      <c r="D5" s="683"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-680$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-2,602$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33.4% = 384</v>
      </c>
      <c r="I5" s="224" t="str">
        <f ca="1">IFERROR(TRUNC(TabCalc[[#This Row],[L_S1p]],2)&amp;"x"&amp;TabCalc[[#This Row],[L_S1n]]&amp;"=   "&amp;TEXT(TabCalc[[#This Row],[ReverseB1]],"#,#0"),"")</f>
        <v>53.62x90000=   13,158</v>
      </c>
      <c r="J5" s="293">
        <f ca="1">_xlfn.XLOOKUP(TabTRADERCorrupted[[#This Row],[ClickTick]],TabCalc[Ticker],ListGravity)</f>
        <v>2.4425641025641025</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163800</v>
      </c>
      <c r="M5" s="321">
        <f ca="1">_xlfn.XLOOKUP(TabTRADERCorrupted[[#This Row],[ClickTick]],TabCalc[Ticker],TabCalc[Agiotage])</f>
        <v>0.93109744244814086</v>
      </c>
      <c r="N5" s="322" cm="1">
        <f t="array" aca="1" ref="N5" ca="1">_xlfn.XLOOKUP(TabTRADERCorrupted[[#This Row],[ClickTick]],ListTickers,Tab2RSIConventional[RSIConv20])</f>
        <v>41</v>
      </c>
      <c r="O5" s="698"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6">
        <f ca="1">_xlfn.XLOOKUP(TabTRADERCorrupted[[#This Row],[ClickTick]],TabCalc[Ticker],TabCalc[L_Bp])</f>
        <v>-45.6</v>
      </c>
      <c r="R5" s="759">
        <f ca="1">(TabTRADERCorrupted[[#This Row],[M]]+TabTRADERCorrupted[[#This Row],[L_Bp]])/ABS(TabTRADERCorrupted[[#This Row],[L_Bp]])</f>
        <v>-0.14473684210526319</v>
      </c>
      <c r="S5" s="678">
        <f ca="1">_xlfn.XLOOKUP(TabTRADERCorrupted[[#This Row],[ClickTick]],TabCalc[Ticker],TabCalc[Rev(MinStock)])*(1-Commission)</f>
        <v>-657.28660000000002</v>
      </c>
      <c r="T5" s="777">
        <f ca="1">_xlfn.XLOOKUP(TabTRADERCorrupted[[#This Row],[ClickTick]],TabCalc[Ticker],TabCalc[Agiotage])</f>
        <v>0.93109744244814086</v>
      </c>
      <c r="U5" s="742"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-8,200/-8,200=&gt;-2.7% / -2.7%</v>
      </c>
      <c r="V5" s="734" t="str">
        <f ca="1">_xlfn.XLOOKUP(TabTRADERCorrupted[[#This Row],[ClickTick]],[1]!RTData[Ticker_Symbol],[1]!RTData[Currency])</f>
        <v>GBp</v>
      </c>
      <c r="W5" s="1036">
        <f ca="1">_xlfn.XLOOKUP(TabTRADERCorrupted[[#This Row],[ClickTick]],TabCalc[Ticker],TabCalc[M])</f>
        <v>39</v>
      </c>
      <c r="X5" s="1271" t="str">
        <f ca="1">SORTING!B5</f>
        <v>AET</v>
      </c>
      <c r="Y5" s="798">
        <f ca="1">_xlfn.XLOOKUP(TabTRADERCorrupted[[#This Row],[ClickTick]],TabCalc[Ticker],TabCalc[Y])</f>
        <v>95.26</v>
      </c>
      <c r="Z5" s="812">
        <f ca="1">_xlfn.XLOOKUP(TabTRADERCorrupted[[#This Row],[ClickTick]],[1]!RTData[Ticker_Symbol],[1]!RTData[YTChange])</f>
        <v>3.5885167464114957E-2</v>
      </c>
      <c r="AA5" s="827">
        <f ca="1">-_xlfn.XLOOKUP(TabTRADERCorrupted[[#This Row],[ClickTick]]&amp;2,Consolid!B$3:JZ$3,Consolid!B$4:JZ$4)</f>
        <v>49.365044175841241</v>
      </c>
      <c r="AB5" s="812" cm="1">
        <f t="array" aca="1" ref="AB5" ca="1">_xlfn.XLOOKUP(TabTRADERCorrupted[[#This Row],[ClickTick]],ListTickers,Tab1ChangePercent[Change%19])</f>
        <v>-2.7431000000000001E-2</v>
      </c>
      <c r="AC5" s="763">
        <f ca="1">_xlfn.XLOOKUP(TabTRADERCorrupted[[#This Row],[ClickTick]],TabCalc[Ticker],TabCalc[NAfter])</f>
        <v>820000</v>
      </c>
      <c r="AD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-26/319 K$</v>
      </c>
      <c r="AE5" s="1127"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30"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 -25.0%</v>
      </c>
      <c r="AG5" s="1131"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31" t="str" cm="1">
        <f t="array" aca="1" ref="AH5" ca="1">_xlfn.IFS(     TabTRADERCorrupted[[#This Row],[Traps]]=MUp,MIN(TabTRADERCorrupted[[#This Row],[L_Sn]],TabTRADERCorrupted[[#This Row],[N]])*(TabTRADERCorrupted[[#This Row],[M]]-TabTRADERCorrupted[[#This Row],[L_Sp]])*(1-Commission)*TabTRADERCorrupted[[#This Row],[Scale]],                                  TRUE,"M= "&amp;TabTRADERCorrupted[[#This Row],[M]])</f>
        <v>M= 39</v>
      </c>
      <c r="AI5" s="1131" t="str" cm="1">
        <f t="array" aca="1" ref="AI5" ca="1">_xlfn.IFS(   TabTRADERCorrupted[[#This Row],[Traps]]=MUp,TEXT(MIN(TabTRADERCorrupted[[#This Row],[L_Sn]],TabTRADERCorrupted[[#This Row],[N]]),"#,#0")&amp;" x "&amp;TEXT(TabTRADERCorrupted[[#This Row],[L_Sp]],"#,#0.#0"),          TRUE,"")</f>
        <v/>
      </c>
      <c r="AJ5" s="1131"/>
      <c r="AK5" s="1131"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658.28400000000011</v>
      </c>
      <c r="AL5" s="1131"/>
      <c r="AM5" s="1131"/>
      <c r="AN5" s="1131"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319800</v>
      </c>
      <c r="AO5" s="1140"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0.20996728249488308</v>
      </c>
      <c r="AP5" s="1140"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20" t="str" cm="1">
        <f t="array" aca="1" ref="AQ5" ca="1">_xlfn.IFS(   TabTRADERCorrupted[[#This Row],[Traps]]=SellMorePercentGain,                     MIN(TabTRADERCorrupted[[#This Row],[L_Sn]],TabTRADERCorrupted[[#This Row],[N]])*(TabTRADERCorrupted[[#This Row],[M]]-TabTRADERCorrupted[[#This Row],[L_Sp]])*(1-Commission)*TabTRADERCorrupted[[#This Row],[Scale]],                    TRUE,"")</f>
        <v/>
      </c>
      <c r="AR5" s="1146">
        <f ca="1">_xlfn.XLOOKUP(TabTRADERCorrupted[[#This Row],[ClickTick]],TabCalc[Ticker],TabCalc[Ann%RevLB])</f>
        <v>-0.85418464193270072</v>
      </c>
      <c r="AS5" s="1146" t="str">
        <f ca="1">_xlfn.XLOOKUP(TabTRADERCorrupted[[#This Row],[ClickTick]],TabCalc[Ticker],TabCalc[Up20])</f>
        <v>/25/%</v>
      </c>
      <c r="AT5" s="1202"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0.16923076923076927</v>
      </c>
      <c r="AU5" s="820" cm="1">
        <f t="array" aca="1" ref="AU5" ca="1">_xlfn.IFS(         TabTRADERCorrupted[[#This Row],[Traps]]=MDown,TabTRADERCorrupted[[#This Row],[L_Bn]]*TabTRADERCorrupted[[#This Row],[M]]*(-(TabTRADERCorrupted[[#This Row],[L_Bp]]+TabTRADERCorrupted[[#This Row],[M]])/TabTRADERCorrupted[[#This Row],[M]])*(1-Commission)*TabTRADERCorrupted[[#This Row],[Scale]],                               TRUE,"")</f>
        <v>658.28400000000011</v>
      </c>
      <c r="AV5" s="1140" cm="1">
        <f t="array" aca="1" ref="AV5" ca="1">_xlfn.IFS(   TabTRADERCorrupted[[#This Row],[Traps]]=MUp,TabTRADERCorrupted[[#This Row],[TakeGain_A]]-Commission,        TabTRADERCorrupted[[#This Row],[Traps]]=MDown,(TabTRADERCorrupted[[#This Row],[A]]-TabTRADERCorrupted[[#This Row],[M]])/TabTRADERCorrupted[[#This Row],[M]]-Commission,                              TRUE,"")</f>
        <v>0.26317036348310874</v>
      </c>
      <c r="AW5" s="820"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84772.379500069248</v>
      </c>
      <c r="AX5" s="755"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5" s="731"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-6.6000000000000003E-2</v>
      </c>
      <c r="AZ5" s="760"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-0.20942136756039637</v>
      </c>
      <c r="BA5" s="757"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0.26317036348310874</v>
      </c>
      <c r="BB5" s="322">
        <f ca="1">_xlfn.XLOOKUP(TabTRADERCorrupted[[#This Row],[ClickTick]],TabCalc[Ticker],TabCalc[L_Sn])</f>
        <v>20000</v>
      </c>
      <c r="BC5" s="723">
        <f ca="1">_xlfn.XLOOKUP(TabTRADERCorrupted[[#This Row],[ClickTick]],TabCalc[Ticker],TabCalc[L_Sp])</f>
        <v>52.01</v>
      </c>
      <c r="BD5" s="759">
        <f ca="1">-IFERROR((TabTRADERCorrupted[[#This Row],[M]]-TabTRADERCorrupted[[#This Row],[L_Sp]])/TabTRADERCorrupted[[#This Row],[L_Sp]],0)</f>
        <v>0.25014420303787732</v>
      </c>
      <c r="BE5" s="724">
        <f ca="1">TabTRADERCorrupted[[#This Row],[L_Sn]]*(TabTRADERCorrupted[[#This Row],[M]]-TabTRADERCorrupted[[#This Row],[L_Sp]])*(1-Commission)*TabTRADERCorrupted[[#This Row],[Scale]]</f>
        <v>-2595.2347999999997</v>
      </c>
      <c r="BF5" s="687">
        <f ca="1">TabTRADERCorrupted[[#This Row],[L_Sn]]*(TabTRADERCorrupted[[#This Row],[Agiotage]]-TabTRADERCorrupted[[#This Row],[M]])/(TabTRADERCorrupted[[#This Row],[L_Bn]]*TabTRADERCorrupted[[#This Row],[M]])</f>
        <v>-1.9522514132077877</v>
      </c>
      <c r="BG5" s="630">
        <f ca="1">IFERROR((TabTRADERCorrupted[[#This Row],[M]]-TabTRADERCorrupted[[#This Row],[A]])/TabTRADERCorrupted[[#This Row],[A]],0)</f>
        <v>-0.20996728249488308</v>
      </c>
      <c r="BH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-84,772$</v>
      </c>
      <c r="BI5" s="679">
        <f ca="1">_xlfn.XLOOKUP(TabTRADERCorrupted[[#This Row],[ClickTick]],TabCalc[[#This Row],[Ticker]],TabCalc[[#This Row],[GL]])*(1-Commission)</f>
        <v>-25478.492739387581</v>
      </c>
      <c r="BJ5" s="679"/>
      <c r="BK5" s="664" t="str">
        <f ca="1">TabTRADERCorrupted[[#This Row],[ClickTick]]&amp;": "&amp;_xlfn.XLOOKUP(TabTRADERCorrupted[[#This Row],[ClickTick]],TabCalc[Ticker],TabCalc[Pile?])</f>
        <v>AET: Pile</v>
      </c>
      <c r="BL5" s="349" t="s">
        <v>1908</v>
      </c>
      <c r="BM5" s="750" t="str" cm="1">
        <f t="array" aca="1" ref="BM5" ca="1">_xlfn.TEXTJOIN("",,INDEX({"M","A","Y"}, _xlfn.SORTBY({1,2,3}, -CHOOSE({1,2,3}, TabTRADERCorrupted[[#This Row],[M]], TabTRADERCorrupted[[#This Row],[A]], TabTRADERCorrupted[[#This Row],[Agiotage]]))))</f>
        <v>AMY</v>
      </c>
      <c r="BN5" s="896"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0.16923076923076927</v>
      </c>
      <c r="BO5" s="674" t="e">
        <f ca="1">TabTRADERCorrupted[[#This Row],[L_Sn]]*TabTRADERCorrupted[[#This Row],[L_Sp]]+TabTRADERCorrupted[[#This Row],[SellMore]]*TabTRADERCorrupted[[#This Row],[M]]</f>
        <v>#N/A</v>
      </c>
      <c r="BP5" s="674" t="e">
        <f ca="1">INDEX(
  INDEX(TabConsolid[], , _xlfn.XMATCH(TabTRADERCorrupted[[#This Row],[ClickTick]]&amp;1, TabConsolid[#Headers])),
  MATCH(
    -TabTRADERCorrupted[[#This Row],[M]],
    INDEX(TabConsolid[], , _xlfn.XMATCH(TabTRADERCorrupted[[#This Row],[ClickTick]]&amp;2, TabConsolid[#Headers])),
    -1
  )
)</f>
        <v>#N/A</v>
      </c>
      <c r="BQ5" s="674"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13" t="e">
        <f ca="1">TabTRADERCorrupted[[#This Row],[ReBuy]]/(TabTRADERCorrupted[[#This Row],[L_Sn]]+TabTRADERCorrupted[[#This Row],[SellMore]])</f>
        <v>#N/A</v>
      </c>
      <c r="BS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-1.9498706188014366E-3</v>
      </c>
      <c r="BT5" s="682">
        <f ca="1">(TabTRADERCorrupted[[#This Row],[M]]-TabTRADERCorrupted[[#This Row],[Agiotage]])/(TabTRADERCorrupted[[#This Row],[M]]-TabTRADERCorrupted[[#This Row],[A]])-1</f>
        <v>-4.6728162380901903</v>
      </c>
      <c r="BU5" s="1221">
        <f ca="1">_xlfn.XMATCH(TabTRADERCorrupted[[#This Row],[ClickTick]]&amp;1, TabConsolid[#Headers])</f>
        <v>8</v>
      </c>
      <c r="BV5" t="str">
        <f ca="1">IF(ABS(TabTRADERCorrupted[[#This Row],[L_Bp]])&gt;=TabTRADERCorrupted[[#This Row],[M]],"OK")</f>
        <v>OK</v>
      </c>
    </row>
    <row r="6" spans="1:74">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+30,437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6.6%</v>
      </c>
      <c r="D6" s="683"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328/12,000=75,452</v>
      </c>
      <c r="E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8,650$</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1,753$</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-3.8% = 0</v>
      </c>
      <c r="I6" s="224" t="str">
        <f ca="1">IFERROR(TRUNC(TabCalc[[#This Row],[L_S1p]],2)&amp;"x"&amp;TabCalc[[#This Row],[L_S1n]]&amp;"=   "&amp;TEXT(TabCalc[[#This Row],[ReverseB1]],"#,#0"),"")</f>
        <v>234.24x500=   1,980</v>
      </c>
      <c r="J6" s="293">
        <f ca="1">_xlfn.XLOOKUP(TabTRADERCorrupted[[#This Row],[ClickTick]],TabCalc[Ticker],ListGravity)</f>
        <v>1.2811867291992356</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921120</v>
      </c>
      <c r="M6" s="321">
        <f ca="1">_xlfn.XLOOKUP(TabTRADERCorrupted[[#This Row],[ClickTick]],TabCalc[Ticker],TabCalc[Agiotage])</f>
        <v>0.6326482224746578</v>
      </c>
      <c r="N6" s="322" cm="1">
        <f t="array" aca="1" ref="N6" ca="1">_xlfn.XLOOKUP(TabTRADERCorrupted[[#This Row],[ClickTick]],ListTickers,Tab2RSIConventional[RSIConv20])</f>
        <v>49</v>
      </c>
      <c r="O6" s="698" t="str">
        <f ca="1">TEXT(_xlfn.XLOOKUP(TabTRADERCorrupted[[#This Row],[ClickTick]],TabCalc[Ticker],TabCalc[Nbegin]),"#,#0")&amp;": "&amp;_xlfn.XLOOKUP(TabTRADERCorrupted[[#This Row],[ClickTick]],TabCalc[Ticker],TabCalc[Pile?])</f>
        <v xml:space="preserve">8,000: </v>
      </c>
      <c r="P6" s="729">
        <f ca="1">_xlfn.XLOOKUP(TabTRADERCorrupted[[#This Row],[ClickTick]],TabCalc[Ticker],TabCalc[L_Bn])</f>
        <v>2000</v>
      </c>
      <c r="Q6" s="723">
        <f ca="1">_xlfn.XLOOKUP(TabTRADERCorrupted[[#This Row],[ClickTick]],TabCalc[Ticker],TabCalc[L_Bp])</f>
        <v>-215.02</v>
      </c>
      <c r="R6" s="759">
        <f ca="1">(TabTRADERCorrupted[[#This Row],[M]]+TabTRADERCorrupted[[#This Row],[L_Bp]])/ABS(TabTRADERCorrupted[[#This Row],[L_Bp]])</f>
        <v>7.0970142312342999E-2</v>
      </c>
      <c r="S6" s="678">
        <f ca="1">_xlfn.XLOOKUP(TabTRADERCorrupted[[#This Row],[ClickTick]],TabCalc[Ticker],TabCalc[Rev(MinStock)])*(1-Commission)</f>
        <v>30357.863799999999</v>
      </c>
      <c r="T6" s="777">
        <f ca="1">_xlfn.XLOOKUP(TabTRADERCorrupted[[#This Row],[ClickTick]],TabCalc[Ticker],TabCalc[Agiotage])</f>
        <v>0.6326482224746578</v>
      </c>
      <c r="U6" s="742"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-8,040/-8,040=&gt;-0.6% / -0.6%</v>
      </c>
      <c r="V6" s="734" t="str">
        <f ca="1">_xlfn.XLOOKUP(TabTRADERCorrupted[[#This Row],[ClickTick]],[1]!RTData[Ticker_Symbol],[1]!RTData[Currency])</f>
        <v>USD</v>
      </c>
      <c r="W6" s="703">
        <f ca="1">_xlfn.XLOOKUP(TabTRADERCorrupted[[#This Row],[ClickTick]],TabCalc[Ticker],TabCalc[M])</f>
        <v>230.28</v>
      </c>
      <c r="X6" s="1271" t="str">
        <f ca="1">SORTING!B6</f>
        <v>AMZN</v>
      </c>
      <c r="Y6" s="798">
        <f ca="1">_xlfn.XLOOKUP(TabTRADERCorrupted[[#This Row],[ClickTick]],TabCalc[Ticker],TabCalc[Y])</f>
        <v>295.03167999999999</v>
      </c>
      <c r="Z6" s="812">
        <f ca="1">_xlfn.XLOOKUP(TabTRADERCorrupted[[#This Row],[ClickTick]],[1]!RTData[Ticker_Symbol],[1]!RTData[YTChange])</f>
        <v>0.23464881151657174</v>
      </c>
      <c r="AA6" s="827">
        <f ca="1">-_xlfn.XLOOKUP(TabTRADERCorrupted[[#This Row],[ClickTick]]&amp;2,Consolid!B$3:JZ$3,Consolid!B$4:JZ$4)</f>
        <v>203.686777269</v>
      </c>
      <c r="AB6" s="812" cm="1">
        <f t="array" aca="1" ref="AB6" ca="1">_xlfn.XLOOKUP(TabTRADERCorrupted[[#This Row],[ClickTick]],ListTickers,Tab1ChangePercent[Change%19])</f>
        <v>-6.4720000000000003E-3</v>
      </c>
      <c r="AC6" s="763">
        <f ca="1">_xlfn.XLOOKUP(TabTRADERCorrupted[[#This Row],[ClickTick]],TabCalc[Ticker],TabCalc[NAfter])</f>
        <v>12000</v>
      </c>
      <c r="AD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^781/2,756 K$</v>
      </c>
      <c r="AE6" s="1127"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30"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230.28, 04.0%</v>
      </c>
      <c r="AG6" s="1131"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31" cm="1">
        <f t="array" aca="1" ref="AH6" ca="1">_xlfn.IFS(     TabTRADERCorrupted[[#This Row],[Traps]]=MUp,MIN(TabTRADERCorrupted[[#This Row],[L_Sn]],TabTRADERCorrupted[[#This Row],[N]])*(TabTRADERCorrupted[[#This Row],[M]]-TabTRADERCorrupted[[#This Row],[L_Sp]])*(1-Commission)*TabTRADERCorrupted[[#This Row],[Scale]],                                  TRUE,"M= "&amp;TabTRADERCorrupted[[#This Row],[M]])</f>
        <v>1748.4422000000029</v>
      </c>
      <c r="AI6" s="1131" t="str" cm="1">
        <f t="array" aca="1" ref="AI6" ca="1">_xlfn.IFS(   TabTRADERCorrupted[[#This Row],[Traps]]=MUp,TEXT(MIN(TabTRADERCorrupted[[#This Row],[L_Sn]],TabTRADERCorrupted[[#This Row],[N]]),"#,#0")&amp;" x "&amp;TEXT(TabTRADERCorrupted[[#This Row],[L_Sp]],"#,#0.#0"),          TRUE,"")</f>
        <v>200 x 221.52</v>
      </c>
      <c r="AJ6" s="1131"/>
      <c r="AK6" s="1131"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1748.4422000000029</v>
      </c>
      <c r="AL6" s="1131"/>
      <c r="AM6" s="1131"/>
      <c r="AN6" s="1131"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318288.96422279277</v>
      </c>
      <c r="AO6" s="1140"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0.13055939657722365</v>
      </c>
      <c r="AP6" s="1140"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3.5462358867465758E-2</v>
      </c>
      <c r="AQ6" s="820" cm="1">
        <f t="array" aca="1" ref="AQ6" ca="1">_xlfn.IFS(   TabTRADERCorrupted[[#This Row],[Traps]]=SellMorePercentGain,                     MIN(TabTRADERCorrupted[[#This Row],[L_Sn]],TabTRADERCorrupted[[#This Row],[N]])*(TabTRADERCorrupted[[#This Row],[M]]-TabTRADERCorrupted[[#This Row],[L_Sp]])*(1-Commission)*TabTRADERCorrupted[[#This Row],[Scale]],                    TRUE,"")</f>
        <v>1748.4422000000029</v>
      </c>
      <c r="AR6" s="1129">
        <f ca="1">_xlfn.XLOOKUP(TabTRADERCorrupted[[#This Row],[ClickTick]],TabCalc[Ticker],TabCalc[Ann%RevLB])</f>
        <v>0.19355493357911729</v>
      </c>
      <c r="AS6" s="1225" t="str">
        <f ca="1">_xlfn.XLOOKUP(TabTRADERCorrupted[[#This Row],[ClickTick]],TabCalc[Ticker],TabCalc[Up20])</f>
        <v>//%</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20"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40" cm="1">
        <f t="array" aca="1" ref="AV6" ca="1">_xlfn.IFS(   TabTRADERCorrupted[[#This Row],[Traps]]=MUp,TabTRADERCorrupted[[#This Row],[TakeGain_A]]-Commission,        TabTRADERCorrupted[[#This Row],[Traps]]=MDown,(TabTRADERCorrupted[[#This Row],[A]]-TabTRADERCorrupted[[#This Row],[M]])/TabTRADERCorrupted[[#This Row],[M]]-Commission,                              TRUE,"")</f>
        <v>0.12795939657722366</v>
      </c>
      <c r="AW6" s="755"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359844.5793289101</v>
      </c>
      <c r="AX6" s="755"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6" s="731"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2,000x26.59</v>
      </c>
      <c r="AZ6" s="760"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0.13021994214612287</v>
      </c>
      <c r="BA6" s="757"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-0.11808212059666492</v>
      </c>
      <c r="BB6" s="322">
        <f ca="1">_xlfn.XLOOKUP(TabTRADERCorrupted[[#This Row],[ClickTick]],TabCalc[Ticker],TabCalc[L_Sn])</f>
        <v>200</v>
      </c>
      <c r="BC6" s="723">
        <f ca="1">_xlfn.XLOOKUP(TabTRADERCorrupted[[#This Row],[ClickTick]],TabCalc[Ticker],TabCalc[L_Sp])</f>
        <v>221.51499999999999</v>
      </c>
      <c r="BD6" s="759">
        <f ca="1">-IFERROR((TabTRADERCorrupted[[#This Row],[M]]-TabTRADERCorrupted[[#This Row],[L_Sp]])/TabTRADERCorrupted[[#This Row],[L_Sp]],0)</f>
        <v>-3.9568426517391668E-2</v>
      </c>
      <c r="BE6" s="724">
        <f ca="1">TabTRADERCorrupted[[#This Row],[L_Sn]]*(TabTRADERCorrupted[[#This Row],[M]]-TabTRADERCorrupted[[#This Row],[L_Sp]])*(1-Commission)*TabTRADERCorrupted[[#This Row],[Scale]]</f>
        <v>1748.4422000000029</v>
      </c>
      <c r="BF6" s="687">
        <f ca="1">TabTRADERCorrupted[[#This Row],[L_Sn]]*(TabTRADERCorrupted[[#This Row],[Agiotage]]-TabTRADERCorrupted[[#This Row],[M]])/(TabTRADERCorrupted[[#This Row],[L_Bn]]*TabTRADERCorrupted[[#This Row],[M]])</f>
        <v>-9.9725270009347458E-2</v>
      </c>
      <c r="BG6" s="630">
        <f ca="1">IFERROR((TabTRADERCorrupted[[#This Row],[M]]-TabTRADERCorrupted[[#This Row],[A]])/TabTRADERCorrupted[[#This Row],[A]],0)</f>
        <v>0.13055939657722365</v>
      </c>
      <c r="BH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318,289$</v>
      </c>
      <c r="BI6" s="679">
        <f ca="1">_xlfn.XLOOKUP(TabTRADERCorrupted[[#This Row],[ClickTick]],TabCalc[[#This Row],[Ticker]],TabCalc[[#This Row],[GL]])*(1-Commission)</f>
        <v>779235.92903328035</v>
      </c>
      <c r="BJ6" s="679"/>
      <c r="BK6" s="664" t="str">
        <f ca="1">TabTRADERCorrupted[[#This Row],[ClickTick]]&amp;": "&amp;_xlfn.XLOOKUP(TabTRADERCorrupted[[#This Row],[ClickTick]],TabCalc[Ticker],TabCalc[Pile?])</f>
        <v xml:space="preserve">AMZN: </v>
      </c>
      <c r="BL6" s="349" t="s">
        <v>1913</v>
      </c>
      <c r="BM6" s="750" t="str" cm="1">
        <f t="array" aca="1" ref="BM6" ca="1">_xlfn.TEXTJOIN("",,INDEX({"M","A","Y"}, _xlfn.SORTBY({1,2,3}, -CHOOSE({1,2,3}, TabTRADERCorrupted[[#This Row],[M]], TabTRADERCorrupted[[#This Row],[A]], TabTRADERCorrupted[[#This Row],[Agiotage]]))))</f>
        <v>MAY</v>
      </c>
      <c r="BN6" s="896"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3.8062358867465756E-2</v>
      </c>
      <c r="BO6" s="674">
        <f ca="1">TabTRADERCorrupted[[#This Row],[L_Sn]]*TabTRADERCorrupted[[#This Row],[L_Sp]]+TabTRADERCorrupted[[#This Row],[SellMore]]*TabTRADERCorrupted[[#This Row],[M]]</f>
        <v>136415</v>
      </c>
      <c r="BP6" s="674">
        <f ca="1">INDEX(
  INDEX(TabConsolid[], , _xlfn.XMATCH(TabTRADERCorrupted[[#This Row],[ClickTick]]&amp;1, TabConsolid[#Headers])),
  MATCH(
    -TabTRADERCorrupted[[#This Row],[M]],
    INDEX(TabConsolid[], , _xlfn.XMATCH(TabTRADERCorrupted[[#This Row],[ClickTick]]&amp;2, TabConsolid[#Headers])),
    -1
  )
)</f>
        <v>400</v>
      </c>
      <c r="BQ6" s="674"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v>
      </c>
      <c r="BR6" s="1113">
        <f ca="1">TabTRADERCorrupted[[#This Row],[ReBuy]]/(TabTRADERCorrupted[[#This Row],[L_Sn]]+TabTRADERCorrupted[[#This Row],[SellMore]])</f>
        <v>227.35833333333332</v>
      </c>
      <c r="BS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-1.1673740382024202</v>
      </c>
      <c r="BT6" s="682">
        <f ca="1">(TabTRADERCorrupted[[#This Row],[M]]-TabTRADERCorrupted[[#This Row],[Agiotage]])/(TabTRADERCorrupted[[#This Row],[M]]-TabTRADERCorrupted[[#This Row],[A]])-1</f>
        <v>7.6355592964602597</v>
      </c>
      <c r="BU6" s="1221">
        <f ca="1">_xlfn.XMATCH(TabTRADERCorrupted[[#This Row],[ClickTick]]&amp;1, TabConsolid[#Headers])</f>
        <v>11</v>
      </c>
      <c r="BV6" t="b">
        <f ca="1">IF(ABS(TabTRADERCorrupted[[#This Row],[L_Bp]])&gt;=TabTRADERCorrupted[[#This Row],[M]],"OK")</f>
        <v>0</v>
      </c>
    </row>
    <row r="7" spans="1:74">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-5,685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-69.1%</v>
      </c>
      <c r="D7" s="683"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-9,750$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2.8484909090909087</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45072.500000000007</v>
      </c>
      <c r="M7" s="321">
        <f ca="1">_xlfn.XLOOKUP(TabTRADERCorrupted[[#This Row],[ClickTick]],TabCalc[Ticker],TabCalc[Agiotage])</f>
        <v>0.95520716685330342</v>
      </c>
      <c r="N7" s="322" cm="1">
        <f t="array" aca="1" ref="N7" ca="1">_xlfn.XLOOKUP(TabTRADERCorrupted[[#This Row],[ClickTick]],ListTickers,Tab2RSIConventional[RSIConv20])</f>
        <v>20</v>
      </c>
      <c r="O7" s="698" t="str">
        <f ca="1">TEXT(_xlfn.XLOOKUP(TabTRADERCorrupted[[#This Row],[ClickTick]],TabCalc[Ticker],TabCalc[Nbegin]),"#,#0")&amp;": "&amp;_xlfn.XLOOKUP(TabTRADERCorrupted[[#This Row],[ClickTick]],TabCalc[Ticker],TabCalc[Pile?])</f>
        <v>2,448,050: Pile</v>
      </c>
      <c r="P7" s="851">
        <f ca="1">_xlfn.XLOOKUP(TabTRADERCorrupted[[#This Row],[ClickTick]],TabCalc[Ticker],TabCalc[L_Bn])</f>
        <v>15000</v>
      </c>
      <c r="Q7" s="723">
        <f ca="1">_xlfn.XLOOKUP(TabTRADERCorrupted[[#This Row],[ClickTick]],TabCalc[Ticker],TabCalc[L_Bp])</f>
        <v>-0.93</v>
      </c>
      <c r="R7" s="759">
        <f ca="1">(TabTRADERCorrupted[[#This Row],[M]]+TabTRADERCorrupted[[#This Row],[L_Bp]])/ABS(TabTRADERCorrupted[[#This Row],[L_Bp]])</f>
        <v>-0.40860215053763438</v>
      </c>
      <c r="S7" s="678">
        <f ca="1">_xlfn.XLOOKUP(TabTRADERCorrupted[[#This Row],[ClickTick]],TabCalc[Ticker],TabCalc[Rev(MinStock)])*(1-Commission)</f>
        <v>-5670.2190000000001</v>
      </c>
      <c r="T7" s="777">
        <f ca="1">_xlfn.XLOOKUP(TabTRADERCorrupted[[#This Row],[ClickTick]],TabCalc[Ticker],TabCalc[Agiotage])</f>
        <v>0.95520716685330342</v>
      </c>
      <c r="U7" s="742"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-91,080/-91,080=&gt;-8.0% / -8.0%</v>
      </c>
      <c r="V7" s="734" t="str">
        <f ca="1">_xlfn.XLOOKUP(TabTRADERCorrupted[[#This Row],[ClickTick]],[1]!RTData[Ticker_Symbol],[1]!RTData[Currency])</f>
        <v>EUR</v>
      </c>
      <c r="W7" s="744">
        <f ca="1">_xlfn.XLOOKUP(TabTRADERCorrupted[[#This Row],[ClickTick]],TabCalc[Ticker],TabCalc[M])</f>
        <v>0.55000000000000004</v>
      </c>
      <c r="X7" s="1271" t="str">
        <f ca="1">SORTING!B7</f>
        <v>ALDNE</v>
      </c>
      <c r="Y7" s="798">
        <f ca="1">_xlfn.XLOOKUP(TabTRADERCorrupted[[#This Row],[ClickTick]],TabCalc[Ticker],TabCalc[Y])</f>
        <v>1.56667</v>
      </c>
      <c r="Z7" s="812">
        <f ca="1">_xlfn.XLOOKUP(TabTRADERCorrupted[[#This Row],[ClickTick]],[1]!RTData[Ticker_Symbol],[1]!RTData[YTChange])</f>
        <v>-0.59517571059431518</v>
      </c>
      <c r="AA7" s="827">
        <f ca="1">-_xlfn.XLOOKUP(TabTRADERCorrupted[[#This Row],[ClickTick]]&amp;2,Consolid!B$3:JZ$3,Consolid!B$4:JZ$4)</f>
        <v>1.1699989470241117</v>
      </c>
      <c r="AB7" s="812" cm="1">
        <f t="array" aca="1" ref="AB7" ca="1">_xlfn.XLOOKUP(TabTRADERCorrupted[[#This Row],[ClickTick]],ListTickers,Tab1ChangePercent[Change%19])</f>
        <v>-8.0267999999999992E-2</v>
      </c>
      <c r="AC7" s="763">
        <f ca="1">_xlfn.XLOOKUP(TabTRADERCorrupted[[#This Row],[ClickTick]],TabCalc[Ticker],TabCalc[NAfter])</f>
        <v>2530000</v>
      </c>
      <c r="AD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-1,576/1,388 K$</v>
      </c>
      <c r="AE7" s="1147"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30"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31"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31"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0.55</v>
      </c>
      <c r="AI7" s="1131" t="str" cm="1">
        <f t="array" aca="1" ref="AI7" ca="1">_xlfn.IFS(   TabTRADERCorrupted[[#This Row],[Traps]]=MUp,TEXT(MIN(TabTRADERCorrupted[[#This Row],[L_Sn]],TabTRADERCorrupted[[#This Row],[N]]),"#,#0")&amp;" x "&amp;TEXT(TabTRADERCorrupted[[#This Row],[L_Sp]],"#,#0.#0"),          TRUE,"")</f>
        <v/>
      </c>
      <c r="AJ7" s="1131"/>
      <c r="AK7" s="1131"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5685.1799999999994</v>
      </c>
      <c r="AL7" s="1131"/>
      <c r="AM7" s="1131"/>
      <c r="AN7" s="1131"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1391500</v>
      </c>
      <c r="AO7" s="1140"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0.52991410684691365</v>
      </c>
      <c r="AP7" s="1140"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0.68830909090909076</v>
      </c>
      <c r="AQ7" s="820" t="str" cm="1">
        <f t="array" aca="1" ref="AQ7" ca="1">_xlfn.IFS(   TabTRADERCorrupted[[#This Row],[Traps]]=SellMorePercentGain,                     MIN(TabTRADERCorrupted[[#This Row],[L_Sn]],TabTRADERCorrupted[[#This Row],[N]])*(TabTRADERCorrupted[[#This Row],[M]]-TabTRADERCorrupted[[#This Row],[L_Sp]])*(1-Commission)*TabTRADERCorrupted[[#This Row],[Scale]],                    TRUE,"")</f>
        <v/>
      </c>
      <c r="AR7" s="1129">
        <f ca="1">_xlfn.XLOOKUP(TabTRADERCorrupted[[#This Row],[ClickTick]],TabCalc[Ticker],TabCalc[Ann%RevLB])</f>
        <v>-0.54886856042368792</v>
      </c>
      <c r="AS7" s="1225" t="str">
        <f ca="1">_xlfn.XLOOKUP(TabTRADERCorrupted[[#This Row],[ClickTick]],TabCalc[Ticker],TabCalc[Up20])</f>
        <v>//%</v>
      </c>
      <c r="AT7" s="1202"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0.69090909090909081</v>
      </c>
      <c r="AU7" s="820" cm="1">
        <f t="array" aca="1" ref="AU7" ca="1">_xlfn.IFS(         TabTRADERCorrupted[[#This Row],[Traps]]=MDown,TabTRADERCorrupted[[#This Row],[L_Bn]]*TabTRADERCorrupted[[#This Row],[M]]*(-(TabTRADERCorrupted[[#This Row],[L_Bp]]+TabTRADERCorrupted[[#This Row],[M]])/TabTRADERCorrupted[[#This Row],[M]])*(1-Commission)*TabTRADERCorrupted[[#This Row],[Scale]],                               TRUE,"")</f>
        <v>5685.1799999999985</v>
      </c>
      <c r="AV7" s="1140" cm="1">
        <f t="array" aca="1" ref="AV7" ca="1">_xlfn.IFS(   TabTRADERCorrupted[[#This Row],[Traps]]=MUp,TabTRADERCorrupted[[#This Row],[TakeGain_A]]-Commission,        TabTRADERCorrupted[[#This Row],[Traps]]=MDown,(TabTRADERCorrupted[[#This Row],[A]]-TabTRADERCorrupted[[#This Row],[M]])/TabTRADERCorrupted[[#This Row],[M]]-Commission,                              TRUE,"")</f>
        <v>1.124670812771112</v>
      </c>
      <c r="AW7" s="820"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1564518.9828974777</v>
      </c>
      <c r="AX7" s="755"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 s="731"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-0.38</v>
      </c>
      <c r="AZ7" s="760"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-0.52853633016911161</v>
      </c>
      <c r="BA7" s="757"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1.124670812771112</v>
      </c>
      <c r="BB7" s="322">
        <f ca="1">_xlfn.XLOOKUP(TabTRADERCorrupted[[#This Row],[ClickTick]],TabCalc[Ticker],TabCalc[L_Sn])</f>
        <v>0</v>
      </c>
      <c r="BC7" s="723">
        <f ca="1">_xlfn.XLOOKUP(TabTRADERCorrupted[[#This Row],[ClickTick]],TabCalc[Ticker],TabCalc[L_Sp])</f>
        <v>0</v>
      </c>
      <c r="BD7" s="759">
        <f ca="1">-IFERROR((TabTRADERCorrupted[[#This Row],[M]]-TabTRADERCorrupted[[#This Row],[L_Sp]])/TabTRADERCorrupted[[#This Row],[L_Sp]],0)</f>
        <v>0</v>
      </c>
      <c r="BE7" s="724">
        <f ca="1">TabTRADERCorrupted[[#This Row],[L_Sn]]*(TabTRADERCorrupted[[#This Row],[M]]-TabTRADERCorrupted[[#This Row],[L_Sp]])*(1-Commission)*TabTRADERCorrupted[[#This Row],[Scale]]</f>
        <v>0</v>
      </c>
      <c r="BF7" s="687">
        <f ca="1">TabTRADERCorrupted[[#This Row],[L_Sn]]*(TabTRADERCorrupted[[#This Row],[Agiotage]]-TabTRADERCorrupted[[#This Row],[M]])/(TabTRADERCorrupted[[#This Row],[L_Bn]]*TabTRADERCorrupted[[#This Row],[M]])</f>
        <v>0</v>
      </c>
      <c r="BG7" s="630">
        <f ca="1">IFERROR((TabTRADERCorrupted[[#This Row],[M]]-TabTRADERCorrupted[[#This Row],[A]])/TabTRADERCorrupted[[#This Row],[A]],0)</f>
        <v>-0.52991410684691365</v>
      </c>
      <c r="BH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-1,564,519$</v>
      </c>
      <c r="BI7" s="679">
        <f ca="1">_xlfn.XLOOKUP(TabTRADERCorrupted[[#This Row],[ClickTick]],TabCalc[[#This Row],[Ticker]],TabCalc[[#This Row],[GL]])*(1-Commission)</f>
        <v>-1571865.0150951359</v>
      </c>
      <c r="BJ7" s="679"/>
      <c r="BK7" s="664" t="str">
        <f ca="1">TabTRADERCorrupted[[#This Row],[ClickTick]]&amp;": "&amp;_xlfn.XLOOKUP(TabTRADERCorrupted[[#This Row],[ClickTick]],TabCalc[Ticker],TabCalc[Pile?])</f>
        <v>ALDNE: Pile</v>
      </c>
      <c r="BL7" s="349" t="s">
        <v>1915</v>
      </c>
      <c r="BM7" s="750" t="str" cm="1">
        <f t="array" aca="1" ref="BM7" ca="1">_xlfn.TEXTJOIN("",,INDEX({"M","A","Y"}, _xlfn.SORTBY({1,2,3}, -CHOOSE({1,2,3}, TabTRADERCorrupted[[#This Row],[M]], TabTRADERCorrupted[[#This Row],[A]], TabTRADERCorrupted[[#This Row],[Agiotage]]))))</f>
        <v>AYM</v>
      </c>
      <c r="BN7" s="896"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0.69090909090909081</v>
      </c>
      <c r="BO7" s="674" t="e">
        <f ca="1">TabTRADERCorrupted[[#This Row],[L_Sn]]*TabTRADERCorrupted[[#This Row],[L_Sp]]+TabTRADERCorrupted[[#This Row],[SellMore]]*TabTRADERCorrupted[[#This Row],[M]]</f>
        <v>#N/A</v>
      </c>
      <c r="BP7" s="674" t="e">
        <f ca="1">INDEX(
  INDEX(TabConsolid[], , _xlfn.XMATCH(TabTRADERCorrupted[[#This Row],[ClickTick]]&amp;1, TabConsolid[#Headers])),
  MATCH(
    -TabTRADERCorrupted[[#This Row],[M]],
    INDEX(TabConsolid[], , _xlfn.XMATCH(TabTRADERCorrupted[[#This Row],[ClickTick]]&amp;2, TabConsolid[#Headers])),
    -1
  )
)</f>
        <v>#N/A</v>
      </c>
      <c r="BQ7" s="674"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13" t="e">
        <f ca="1">TabTRADERCorrupted[[#This Row],[ReBuy]]/(TabTRADERCorrupted[[#This Row],[L_Sn]]+TabTRADERCorrupted[[#This Row],[SellMore]])</f>
        <v>#N/A</v>
      </c>
      <c r="BS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2">
        <f ca="1">(TabTRADERCorrupted[[#This Row],[M]]-TabTRADERCorrupted[[#This Row],[Agiotage]])/(TabTRADERCorrupted[[#This Row],[M]]-TabTRADERCorrupted[[#This Row],[A]])-1</f>
        <v>-0.3464389434881654</v>
      </c>
      <c r="BU7" s="1221">
        <f ca="1">_xlfn.XMATCH(TabTRADERCorrupted[[#This Row],[ClickTick]]&amp;1, TabConsolid[#Headers])</f>
        <v>14</v>
      </c>
      <c r="BV7" t="str">
        <f ca="1">IF(ABS(TabTRADERCorrupted[[#This Row],[L_Bp]])&gt;=TabTRADERCorrupted[[#This Row],[M]],"OK")</f>
        <v>OK</v>
      </c>
    </row>
    <row r="8" spans="1:74">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-886.7x100=    +5,405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5.8%</v>
      </c>
      <c r="D8" s="683"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92/2,800=86,799</v>
      </c>
      <c r="E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248</v>
      </c>
      <c r="F8" s="224" t="str">
        <f ca="1">TRUNC(TabCalc[[#This Row],[L_B1p]],2)&amp;"x"&amp;TabCalc[[#This Row],[L_B1n]]&amp;"=   "&amp;TEXT(TabCalc[[#This Row],[ReverseS1]],"#,#0")&amp;"$"</f>
        <v>-813.9x200=   25,400$</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-2,015$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 = 248</v>
      </c>
      <c r="I8" s="224" t="str">
        <f ca="1">IFERROR(TRUNC(TabCalc[[#This Row],[L_S1p]],2)&amp;"x"&amp;TabCalc[[#This Row],[L_S1n]]&amp;"=   "&amp;TEXT(TabCalc[[#This Row],[ReverseB1]],"#,#0"),"")</f>
        <v>960.8x100=   1,990</v>
      </c>
      <c r="J8" s="293">
        <f ca="1">_xlfn.XLOOKUP(TabTRADERCorrupted[[#This Row],[ClickTick]],TabCalc[Ticker],ListGravity)</f>
        <v>1.0451901371027739</v>
      </c>
      <c r="K8" s="320" cm="1">
        <f t="array" aca="1" ref="K8" ca="1">IF(_xlfn.XLOOKUP(TabTRADERCorrupted[[#This Row],[ClickTick]],TabTRADERCorrupted[ClickTick],ListExtra_n)&gt;0,_xlfn.XLOOKUP(TabTRADERCorrupted[[#This Row],[ClickTick]],TabTRADERCorrupted[ClickTick],ListExtra_n),"")</f>
        <v>2300</v>
      </c>
      <c r="L8" s="318">
        <f ca="1">IF(_xlfn.XLOOKUP(TabTRADERCorrupted[[#This Row],[ClickTick]],TabCalc[Ticker],ListExtra_n)&gt;0,_xlfn.XLOOKUP(TabTRADERCorrupted[[#This Row],[ClickTick]],TabCalc[Ticker],ListExtra_n)*TabTRADERCorrupted[[#This Row],[M]]*_xlfn.XLOOKUP(TabTRADERCorrupted[[#This Row],[ClickTick]],TabCalc[Ticker],ListScale),"")</f>
        <v>2164070</v>
      </c>
      <c r="M8" s="321">
        <f ca="1">_xlfn.XLOOKUP(TabTRADERCorrupted[[#This Row],[ClickTick]],TabCalc[Ticker],TabCalc[Agiotage])</f>
        <v>0.96938852069526071</v>
      </c>
      <c r="N8" s="322" cm="1">
        <f t="array" aca="1" ref="N8" ca="1">_xlfn.XLOOKUP(TabTRADERCorrupted[[#This Row],[ClickTick]],ListTickers,Tab2RSIConventional[RSIConv20])</f>
        <v>57</v>
      </c>
      <c r="O8" s="698" t="str">
        <f ca="1">TEXT(_xlfn.XLOOKUP(TabTRADERCorrupted[[#This Row],[ClickTick]],TabCalc[Ticker],TabCalc[Nbegin]),"#,#0")&amp;": "&amp;_xlfn.XLOOKUP(TabTRADERCorrupted[[#This Row],[ClickTick]],TabCalc[Ticker],TabCalc[Pile?])</f>
        <v xml:space="preserve">500: </v>
      </c>
      <c r="P8" s="851">
        <f ca="1">_xlfn.XLOOKUP(TabTRADERCorrupted[[#This Row],[ClickTick]],TabCalc[Ticker],TabCalc[L_Bn])</f>
        <v>100</v>
      </c>
      <c r="Q8" s="723">
        <f ca="1">_xlfn.XLOOKUP(TabTRADERCorrupted[[#This Row],[ClickTick]],TabCalc[Ticker],TabCalc[L_Bp])</f>
        <v>-886.7</v>
      </c>
      <c r="R8" s="759">
        <f ca="1">(TabTRADERCorrupted[[#This Row],[M]]+TabTRADERCorrupted[[#This Row],[L_Bp]])/ABS(TabTRADERCorrupted[[#This Row],[L_Bp]])</f>
        <v>6.1125521596932367E-2</v>
      </c>
      <c r="S8" s="678">
        <f ca="1">_xlfn.XLOOKUP(TabTRADERCorrupted[[#This Row],[ClickTick]],TabCalc[Ticker],TabCalc[Rev(MinStock)])*(1-Commission)</f>
        <v>5390.9470000000001</v>
      </c>
      <c r="T8" s="777">
        <f ca="1">_xlfn.XLOOKUP(TabTRADERCorrupted[[#This Row],[ClickTick]],TabCalc[Ticker],TabCalc[Agiotage])</f>
        <v>0.96938852069526071</v>
      </c>
      <c r="U8" s="742"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-11,760/-11,760=&gt;-0.5% / -0.5%</v>
      </c>
      <c r="V8" s="734" t="str">
        <f ca="1">_xlfn.XLOOKUP(TabTRADERCorrupted[[#This Row],[ClickTick]],[1]!RTData[Ticker_Symbol],[1]!RTData[Currency])</f>
        <v>EUR</v>
      </c>
      <c r="W8" s="744">
        <f ca="1">_xlfn.XLOOKUP(TabTRADERCorrupted[[#This Row],[ClickTick]],TabCalc[Ticker],TabCalc[M])</f>
        <v>940.9</v>
      </c>
      <c r="X8" s="1271" t="str">
        <f ca="1">SORTING!B8</f>
        <v>ASML</v>
      </c>
      <c r="Y8" s="798">
        <f ca="1">_xlfn.XLOOKUP(TabTRADERCorrupted[[#This Row],[ClickTick]],TabCalc[Ticker],TabCalc[Y])</f>
        <v>983.4194</v>
      </c>
      <c r="Z8" s="812">
        <f ca="1">_xlfn.XLOOKUP(TabTRADERCorrupted[[#This Row],[ClickTick]],[1]!RTData[Ticker_Symbol],[1]!RTData[YTChange])</f>
        <v>0.16026734939474735</v>
      </c>
      <c r="AA8" s="827">
        <f ca="1">-_xlfn.XLOOKUP(TabTRADERCorrupted[[#This Row],[ClickTick]]&amp;2,Consolid!B$3:JZ$3,Consolid!B$4:JZ$4)</f>
        <v>662.57179071428573</v>
      </c>
      <c r="AB8" s="812" cm="1">
        <f t="array" aca="1" ref="AB8" ca="1">_xlfn.XLOOKUP(TabTRADERCorrupted[[#This Row],[ClickTick]],ListTickers,Tab1ChangePercent[Change%19])</f>
        <v>-5.391E-3</v>
      </c>
      <c r="AC8" s="763">
        <f ca="1">_xlfn.XLOOKUP(TabTRADERCorrupted[[#This Row],[ClickTick]],TabCalc[Ticker],TabCalc[NAfter])</f>
        <v>2800</v>
      </c>
      <c r="AD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^1,000/2,627 K$</v>
      </c>
      <c r="AE8" s="1127"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 s="1130"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961.05</v>
      </c>
      <c r="AG8" s="1131"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2009.7609999999977</v>
      </c>
      <c r="AH8" s="1131" t="str" cm="1">
        <f t="array" aca="1" ref="AH8" ca="1">_xlfn.IFS(     TabTRADERCorrupted[[#This Row],[Traps]]=MUp,MIN(TabTRADERCorrupted[[#This Row],[L_Sn]],TabTRADERCorrupted[[#This Row],[N]])*(TabTRADERCorrupted[[#This Row],[M]]-TabTRADERCorrupted[[#This Row],[L_Sp]])*(1-Commission)*TabTRADERCorrupted[[#This Row],[Scale]],                                  TRUE,"M= "&amp;TabTRADERCorrupted[[#This Row],[M]])</f>
        <v>M= 940.9</v>
      </c>
      <c r="AI8" s="1131" t="str" cm="1">
        <f t="array" aca="1" ref="AI8" ca="1">_xlfn.IFS(   TabTRADERCorrupted[[#This Row],[Traps]]=MUp,TEXT(MIN(TabTRADERCorrupted[[#This Row],[L_Sn]],TabTRADERCorrupted[[#This Row],[N]]),"#,#0")&amp;" x "&amp;TEXT(TabTRADERCorrupted[[#This Row],[L_Sp]],"#,#0.#0"),          TRUE,"")</f>
        <v/>
      </c>
      <c r="AJ8" s="1131"/>
      <c r="AK8" s="1131"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31"/>
      <c r="AM8" s="1131"/>
      <c r="AN8" s="1131"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2009.7609999999977</v>
      </c>
      <c r="AO8" s="1140"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2.0966651058737816E-2</v>
      </c>
      <c r="AP8" s="1140"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20" t="str" cm="1">
        <f t="array" aca="1" ref="AQ8" ca="1">_xlfn.IFS(   TabTRADERCorrupted[[#This Row],[Traps]]=SellMorePercentGain,                     MIN(TabTRADERCorrupted[[#This Row],[L_Sn]],TabTRADERCorrupted[[#This Row],[N]])*(TabTRADERCorrupted[[#This Row],[M]]-TabTRADERCorrupted[[#This Row],[L_Sp]])*(1-Commission)*TabTRADERCorrupted[[#This Row],[Scale]],                    TRUE,"")</f>
        <v/>
      </c>
      <c r="AR8" s="1129">
        <f ca="1">_xlfn.XLOOKUP(TabTRADERCorrupted[[#This Row],[ClickTick]],TabCalc[Ticker],TabCalc[Ann%RevLB])</f>
        <v>0.81500695462576489</v>
      </c>
      <c r="AS8" s="1129">
        <f ca="1">_xlfn.XLOOKUP(TabTRADERCorrupted[[#This Row],[ClickTick]],TabCalc[Ticker],TabCalc[Up20])</f>
        <v>0</v>
      </c>
      <c r="AT8" s="308"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20"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40" t="str" cm="1">
        <f t="array" aca="1" ref="AV8" ca="1">_xlfn.IFS(   TabTRADERCorrupted[[#This Row],[Traps]]=MUp,TabTRADERCorrupted[[#This Row],[TakeGain_A]]-Commission,        TabTRADERCorrupted[[#This Row],[Traps]]=MDown,(TabTRADERCorrupted[[#This Row],[A]]-TabTRADERCorrupted[[#This Row],[M]])/TabTRADERCorrupted[[#This Row],[M]]-Commission,                              TRUE,"")</f>
        <v/>
      </c>
      <c r="AW8" s="820"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777292.75663639989</v>
      </c>
      <c r="AX8" s="755" t="str"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8" s="731"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 s="760"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0.41898034270716489</v>
      </c>
      <c r="BA8" s="757"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-0.29841061673473723</v>
      </c>
      <c r="BB8" s="322">
        <f ca="1">_xlfn.XLOOKUP(TabTRADERCorrupted[[#This Row],[ClickTick]],TabCalc[Ticker],TabCalc[L_Sn])</f>
        <v>100</v>
      </c>
      <c r="BC8" s="723">
        <f ca="1">_xlfn.XLOOKUP(TabTRADERCorrupted[[#This Row],[ClickTick]],TabCalc[Ticker],TabCalc[L_Sp])</f>
        <v>961.05</v>
      </c>
      <c r="BD8" s="759">
        <f ca="1">-IFERROR((TabTRADERCorrupted[[#This Row],[M]]-TabTRADERCorrupted[[#This Row],[L_Sp]])/TabTRADERCorrupted[[#This Row],[L_Sp]],0)</f>
        <v>2.0966651058737816E-2</v>
      </c>
      <c r="BE8" s="724">
        <f ca="1">TabTRADERCorrupted[[#This Row],[L_Sn]]*(TabTRADERCorrupted[[#This Row],[M]]-TabTRADERCorrupted[[#This Row],[L_Sp]])*(1-Commission)*TabTRADERCorrupted[[#This Row],[Scale]]</f>
        <v>-2009.7609999999977</v>
      </c>
      <c r="BF8" s="687">
        <f ca="1">TabTRADERCorrupted[[#This Row],[L_Sn]]*(TabTRADERCorrupted[[#This Row],[Agiotage]]-TabTRADERCorrupted[[#This Row],[M]])/(TabTRADERCorrupted[[#This Row],[L_Bn]]*TabTRADERCorrupted[[#This Row],[M]])</f>
        <v>-0.99896972205261425</v>
      </c>
      <c r="BG8" s="630">
        <f ca="1">IFERROR((TabTRADERCorrupted[[#This Row],[M]]-TabTRADERCorrupted[[#This Row],[A]])/TabTRADERCorrupted[[#This Row],[A]],0)</f>
        <v>0.42007253128851507</v>
      </c>
      <c r="BH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2,800 : 777,293$</v>
      </c>
      <c r="BI8" s="679">
        <f ca="1">_xlfn.XLOOKUP(TabTRADERCorrupted[[#This Row],[ClickTick]],TabCalc[[#This Row],[Ticker]],TabCalc[[#This Row],[GL]])*(1-Commission)</f>
        <v>997558.77753866545</v>
      </c>
      <c r="BJ8" s="679"/>
      <c r="BK8" s="664" t="str">
        <f ca="1">TabTRADERCorrupted[[#This Row],[ClickTick]]&amp;": "&amp;_xlfn.XLOOKUP(TabTRADERCorrupted[[#This Row],[ClickTick]],TabCalc[Ticker],TabCalc[Pile?])</f>
        <v xml:space="preserve">ASML: </v>
      </c>
      <c r="BL8" s="349" t="s">
        <v>1916</v>
      </c>
      <c r="BM8" s="750" t="str" cm="1">
        <f t="array" aca="1" ref="BM8" ca="1">_xlfn.TEXTJOIN("",,INDEX({"M","A","Y"}, _xlfn.SORTBY({1,2,3}, -CHOOSE({1,2,3}, TabTRADERCorrupted[[#This Row],[M]], TabTRADERCorrupted[[#This Row],[A]], TabTRADERCorrupted[[#This Row],[Agiotage]]))))</f>
        <v>MAY</v>
      </c>
      <c r="BN8" s="896"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4">
        <f ca="1">TabTRADERCorrupted[[#This Row],[L_Sn]]*TabTRADERCorrupted[[#This Row],[L_Sp]]+TabTRADERCorrupted[[#This Row],[SellMore]]*TabTRADERCorrupted[[#This Row],[M]]</f>
        <v>190195</v>
      </c>
      <c r="BP8" s="674">
        <f ca="1">INDEX(
  INDEX(TabConsolid[], , _xlfn.XMATCH(TabTRADERCorrupted[[#This Row],[ClickTick]]&amp;1, TabConsolid[#Headers])),
  MATCH(
    -TabTRADERCorrupted[[#This Row],[M]],
    INDEX(TabConsolid[], , _xlfn.XMATCH(TabTRADERCorrupted[[#This Row],[ClickTick]]&amp;2, TabConsolid[#Headers])),
    -1
  )
)</f>
        <v>100</v>
      </c>
      <c r="BQ8" s="674"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13">
        <f ca="1">TabTRADERCorrupted[[#This Row],[ReBuy]]/(TabTRADERCorrupted[[#This Row],[L_Sn]]+TabTRADERCorrupted[[#This Row],[SellMore]])</f>
        <v>950.97500000000002</v>
      </c>
      <c r="BS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-9.734995618892798</v>
      </c>
      <c r="BT8" s="682">
        <f ca="1">(TabTRADERCorrupted[[#This Row],[M]]-TabTRADERCorrupted[[#This Row],[Agiotage]])/(TabTRADERCorrupted[[#This Row],[M]]-TabTRADERCorrupted[[#This Row],[A]])-1</f>
        <v>2.377058379714688</v>
      </c>
      <c r="BU8" s="1221">
        <f ca="1">_xlfn.XMATCH(TabTRADERCorrupted[[#This Row],[ClickTick]]&amp;1, TabConsolid[#Headers])</f>
        <v>17</v>
      </c>
      <c r="BV8" t="b">
        <f ca="1">IF(ABS(TabTRADERCorrupted[[#This Row],[L_Bp]])&gt;=TabTRADERCorrupted[[#This Row],[M]],"OK")</f>
        <v>0</v>
      </c>
    </row>
    <row r="9" spans="1:74">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+14,907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18.4%</v>
      </c>
      <c r="D9" s="683"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67/200=27,186</v>
      </c>
      <c r="E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4" t="str">
        <f ca="1">TRUNC(TabCalc[[#This Row],[L_B1p]],2)&amp;"x"&amp;TabCalc[[#This Row],[L_B1n]]&amp;"=   "&amp;TEXT(TabCalc[[#This Row],[ReverseS1]],"#,#0")&amp;"$"</f>
        <v>-203.42x240=   40,589$</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12,810$</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-15.8% = 0</v>
      </c>
      <c r="I9" s="224" t="str">
        <f ca="1">IFERROR(TRUNC(TabCalc[[#This Row],[L_S1p]],2)&amp;"x"&amp;TabCalc[[#This Row],[L_S1n]]&amp;"=   "&amp;TEXT(TabCalc[[#This Row],[ReverseB1]],"#,#0"),"")</f>
        <v>346.09x160=   -9,645</v>
      </c>
      <c r="J9" s="293">
        <f ca="1">_xlfn.XLOOKUP(TabTRADERCorrupted[[#This Row],[ClickTick]],TabCalc[Ticker],ListGravity)</f>
        <v>1.0071544159263726</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4063.7</v>
      </c>
      <c r="M9" s="321">
        <f ca="1">_xlfn.XLOOKUP(TabTRADERCorrupted[[#This Row],[ClickTick]],TabCalc[Ticker],TabCalc[Agiotage])</f>
        <v>1.3828780081752725</v>
      </c>
      <c r="N9" s="322" cm="1">
        <f t="array" aca="1" ref="N9" ca="1">_xlfn.XLOOKUP(TabTRADERCorrupted[[#This Row],[ClickTick]],ListTickers,Tab2RSIConventional[RSIConv20])</f>
        <v>52</v>
      </c>
      <c r="O9" s="698"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6">
        <f ca="1">_xlfn.XLOOKUP(TabTRADERCorrupted[[#This Row],[ClickTick]],TabCalc[Ticker],TabCalc[L_Bp])</f>
        <v>-331.63</v>
      </c>
      <c r="R9" s="759">
        <f ca="1">(TabTRADERCorrupted[[#This Row],[M]]+TabTRADERCorrupted[[#This Row],[L_Bp]])/ABS(TabTRADERCorrupted[[#This Row],[L_Bp]])</f>
        <v>0.22537164912703919</v>
      </c>
      <c r="S9" s="678">
        <f ca="1">_xlfn.XLOOKUP(TabTRADERCorrupted[[#This Row],[ClickTick]],TabCalc[Ticker],TabCalc[Rev(MinStock)])*(1-Commission)</f>
        <v>14868.2418</v>
      </c>
      <c r="T9" s="777">
        <f ca="1">_xlfn.XLOOKUP(TabTRADERCorrupted[[#This Row],[ClickTick]],TabCalc[Ticker],TabCalc[Agiotage])</f>
        <v>1.3828780081752725</v>
      </c>
      <c r="U9" s="742"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332/332=&gt;-1.6% / -1.6%</v>
      </c>
      <c r="V9" s="734" t="str">
        <f ca="1">_xlfn.XLOOKUP(TabTRADERCorrupted[[#This Row],[ClickTick]],[1]!RTData[Ticker_Symbol],[1]!RTData[Currency])</f>
        <v>USD</v>
      </c>
      <c r="W9" s="744">
        <f ca="1">_xlfn.XLOOKUP(TabTRADERCorrupted[[#This Row],[ClickTick]],TabCalc[Ticker],TabCalc[M])</f>
        <v>406.37</v>
      </c>
      <c r="X9" s="1271" t="str">
        <f ca="1">SORTING!B9</f>
        <v>AVGO</v>
      </c>
      <c r="Y9" s="798">
        <f ca="1">_xlfn.XLOOKUP(TabTRADERCorrupted[[#This Row],[ClickTick]],TabCalc[Ticker],TabCalc[Y])</f>
        <v>409.27733999999998</v>
      </c>
      <c r="Z9" s="812">
        <f ca="1">_xlfn.XLOOKUP(TabTRADERCorrupted[[#This Row],[ClickTick]],[1]!RTData[Ticker_Symbol],[1]!RTData[YTChange])</f>
        <v>-0.51769150816658427</v>
      </c>
      <c r="AA9" s="827">
        <f ca="1">-_xlfn.XLOOKUP(TabTRADERCorrupted[[#This Row],[ClickTick]]&amp;2,Consolid!B$3:JZ$3,Consolid!B$4:JZ$4)</f>
        <v>332.49223799999999</v>
      </c>
      <c r="AB9" s="812" cm="1">
        <f t="array" aca="1" ref="AB9" ca="1">_xlfn.XLOOKUP(TabTRADERCorrupted[[#This Row],[ClickTick]],ListTickers,Tab1ChangePercent[Change%19])</f>
        <v>-1.5982E-2</v>
      </c>
      <c r="AC9" s="763">
        <f ca="1">_xlfn.XLOOKUP(TabTRADERCorrupted[[#This Row],[ClickTick]],TabCalc[Ticker],TabCalc[NAfter])</f>
        <v>200</v>
      </c>
      <c r="AD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^82/81 K$</v>
      </c>
      <c r="AE9" s="1147"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 s="1130"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406.37, 18.7%</v>
      </c>
      <c r="AG9" s="1131" t="str"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342.32</v>
      </c>
      <c r="AH9" s="1131" cm="1">
        <f t="array" aca="1" ref="AH9" ca="1">_xlfn.IFS(     TabTRADERCorrupted[[#This Row],[Traps]]=MUp,MIN(TabTRADERCorrupted[[#This Row],[L_Sn]],TabTRADERCorrupted[[#This Row],[N]])*(TabTRADERCorrupted[[#This Row],[M]]-TabTRADERCorrupted[[#This Row],[L_Sp]])*(1-Commission)*TabTRADERCorrupted[[#This Row],[Scale]],                                  TRUE,"M= "&amp;TabTRADERCorrupted[[#This Row],[M]])</f>
        <v>12776.694000000001</v>
      </c>
      <c r="AI9" s="1131" t="str" cm="1">
        <f t="array" aca="1" ref="AI9" ca="1">_xlfn.IFS(   TabTRADERCorrupted[[#This Row],[Traps]]=MUp,TEXT(MIN(TabTRADERCorrupted[[#This Row],[L_Sn]],TabTRADERCorrupted[[#This Row],[N]]),"#,#0")&amp;" x "&amp;TEXT(TabTRADERCorrupted[[#This Row],[L_Sp]],"#,#0.#0"),          TRUE,"")</f>
        <v>200 x 342.32</v>
      </c>
      <c r="AJ9" s="1131"/>
      <c r="AK9" s="1131"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12776.694000000001</v>
      </c>
      <c r="AL9" s="1131"/>
      <c r="AM9" s="1131"/>
      <c r="AN9" s="1131"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14737.135963760004</v>
      </c>
      <c r="AO9" s="1140"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0.22219394487037625</v>
      </c>
      <c r="AP9" s="1140"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0.15501498142087264</v>
      </c>
      <c r="AQ9" s="820" cm="1">
        <f t="array" aca="1" ref="AQ9" ca="1">_xlfn.IFS(   TabTRADERCorrupted[[#This Row],[Traps]]=SellMorePercentGain,                     MIN(TabTRADERCorrupted[[#This Row],[L_Sn]],TabTRADERCorrupted[[#This Row],[N]])*(TabTRADERCorrupted[[#This Row],[M]]-TabTRADERCorrupted[[#This Row],[L_Sp]])*(1-Commission)*TabTRADERCorrupted[[#This Row],[Scale]],                    TRUE,"")</f>
        <v>12776.694000000001</v>
      </c>
      <c r="AR9" s="1129">
        <f ca="1">_xlfn.XLOOKUP(TabTRADERCorrupted[[#This Row],[ClickTick]],TabCalc[Ticker],TabCalc[Ann%RevLB])</f>
        <v>1.3086095755763565</v>
      </c>
      <c r="AS9" s="1225">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20"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40" cm="1">
        <f t="array" aca="1" ref="AV9" ca="1">_xlfn.IFS(   TabTRADERCorrupted[[#This Row],[Traps]]=MUp,TabTRADERCorrupted[[#This Row],[TakeGain_A]]-Commission,        TabTRADERCorrupted[[#This Row],[Traps]]=MDown,(TabTRADERCorrupted[[#This Row],[A]]-TabTRADERCorrupted[[#This Row],[M]])/TabTRADERCorrupted[[#This Row],[M]]-Commission,                              TRUE,"")</f>
        <v>0.21959394487037626</v>
      </c>
      <c r="AW9" s="820"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18011.638339638932</v>
      </c>
      <c r="AX9" s="755"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9" s="731"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200x73.87</v>
      </c>
      <c r="AZ9" s="760"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0.22161624061371327</v>
      </c>
      <c r="BA9" s="757"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-0.18439925191328105</v>
      </c>
      <c r="BB9" s="322">
        <f ca="1">_xlfn.XLOOKUP(TabTRADERCorrupted[[#This Row],[ClickTick]],TabCalc[Ticker],TabCalc[L_Sn])</f>
        <v>200</v>
      </c>
      <c r="BC9" s="723">
        <f ca="1">_xlfn.XLOOKUP(TabTRADERCorrupted[[#This Row],[ClickTick]],TabCalc[Ticker],TabCalc[L_Sp])</f>
        <v>342.32</v>
      </c>
      <c r="BD9" s="759">
        <f ca="1">-IFERROR((TabTRADERCorrupted[[#This Row],[M]]-TabTRADERCorrupted[[#This Row],[L_Sp]])/TabTRADERCorrupted[[#This Row],[L_Sp]],0)</f>
        <v>-0.18710563215704606</v>
      </c>
      <c r="BE9" s="724">
        <f ca="1">TabTRADERCorrupted[[#This Row],[L_Sn]]*(TabTRADERCorrupted[[#This Row],[M]]-TabTRADERCorrupted[[#This Row],[L_Sp]])*(1-Commission)*TabTRADERCorrupted[[#This Row],[Scale]]</f>
        <v>12776.694000000001</v>
      </c>
      <c r="BF9" s="687">
        <f ca="1">TabTRADERCorrupted[[#This Row],[L_Sn]]*(TabTRADERCorrupted[[#This Row],[Agiotage]]-TabTRADERCorrupted[[#This Row],[M]])/(TabTRADERCorrupted[[#This Row],[L_Bn]]*TabTRADERCorrupted[[#This Row],[M]])</f>
        <v>-0.94913999789500947</v>
      </c>
      <c r="BG9" s="630">
        <f ca="1">IFERROR((TabTRADERCorrupted[[#This Row],[M]]-TabTRADERCorrupted[[#This Row],[A]])/TabTRADERCorrupted[[#This Row],[A]],0)</f>
        <v>0.22219394487037625</v>
      </c>
      <c r="BH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14,737$</v>
      </c>
      <c r="BI9" s="679">
        <f ca="1">_xlfn.XLOOKUP(TabTRADERCorrupted[[#This Row],[ClickTick]],TabCalc[[#This Row],[Ticker]],TabCalc[[#This Row],[GL]])*(1-Commission)</f>
        <v>81656.992705770506</v>
      </c>
      <c r="BJ9" s="679"/>
      <c r="BK9" s="664" t="str">
        <f ca="1">TabTRADERCorrupted[[#This Row],[ClickTick]]&amp;": "&amp;_xlfn.XLOOKUP(TabTRADERCorrupted[[#This Row],[ClickTick]],TabCalc[Ticker],TabCalc[Pile?])</f>
        <v xml:space="preserve">AVGO: </v>
      </c>
      <c r="BL9" s="349" t="s">
        <v>1917</v>
      </c>
      <c r="BM9" s="750" t="str" cm="1">
        <f t="array" aca="1" ref="BM9" ca="1">_xlfn.TEXTJOIN("",,INDEX({"M","A","Y"}, _xlfn.SORTBY({1,2,3}, -CHOOSE({1,2,3}, TabTRADERCorrupted[[#This Row],[M]], TabTRADERCorrupted[[#This Row],[A]], TabTRADERCorrupted[[#This Row],[Agiotage]]))))</f>
        <v>MAY</v>
      </c>
      <c r="BN9" s="896"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0.15761498142087263</v>
      </c>
      <c r="BO9" s="674">
        <f ca="1">TabTRADERCorrupted[[#This Row],[L_Sn]]*TabTRADERCorrupted[[#This Row],[L_Sp]]+TabTRADERCorrupted[[#This Row],[SellMore]]*TabTRADERCorrupted[[#This Row],[M]]</f>
        <v>149738</v>
      </c>
      <c r="BP9" s="674">
        <f ca="1">INDEX(
  INDEX(TabConsolid[], , _xlfn.XMATCH(TabTRADERCorrupted[[#This Row],[ClickTick]]&amp;1, TabConsolid[#Headers])),
  MATCH(
    -TabTRADERCorrupted[[#This Row],[M]],
    INDEX(TabConsolid[], , _xlfn.XMATCH(TabTRADERCorrupted[[#This Row],[ClickTick]]&amp;2, TabConsolid[#Headers])),
    -1
  )
)</f>
        <v>200</v>
      </c>
      <c r="BQ9" s="674"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113">
        <f ca="1">TabTRADERCorrupted[[#This Row],[ReBuy]]/(TabTRADERCorrupted[[#This Row],[L_Sn]]+TabTRADERCorrupted[[#This Row],[SellMore]])</f>
        <v>374.34500000000003</v>
      </c>
      <c r="BS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-4.0498712199182476</v>
      </c>
      <c r="BT9" s="682">
        <f ca="1">(TabTRADERCorrupted[[#This Row],[M]]-TabTRADERCorrupted[[#This Row],[Agiotage]])/(TabTRADERCorrupted[[#This Row],[M]]-TabTRADERCorrupted[[#This Row],[A]])-1</f>
        <v>4.4818542282293912</v>
      </c>
      <c r="BU9" s="1221">
        <f ca="1">_xlfn.XMATCH(TabTRADERCorrupted[[#This Row],[ClickTick]]&amp;1, TabConsolid[#Headers])</f>
        <v>20</v>
      </c>
      <c r="BV9" t="b">
        <f ca="1">IF(ABS(TabTRADERCorrupted[[#This Row],[L_Bp]])&gt;=TabTRADERCorrupted[[#This Row],[M]],"OK")</f>
        <v>0</v>
      </c>
    </row>
    <row r="10" spans="1:74">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+10,197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22.6%</v>
      </c>
      <c r="D10" s="683"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244/500=22,076</v>
      </c>
      <c r="E1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6,310$</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86.22x500=   2,035$</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-4.5% = 0</v>
      </c>
      <c r="I10" s="224" t="str">
        <f ca="1">IFERROR(TRUNC(TabCalc[[#This Row],[L_S1p]],2)&amp;"x"&amp;TabCalc[[#This Row],[L_S1n]]&amp;"=   "&amp;TEXT(TabCalc[[#This Row],[ReverseB1]],"#,#0"),"")</f>
        <v>79.51x2000=   -21,560</v>
      </c>
      <c r="J10" s="293">
        <f ca="1">_xlfn.XLOOKUP(TabTRADERCorrupted[[#This Row],[ClickTick]],TabCalc[Ticker],ListGravity)</f>
        <v>1.072815926459187</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1.1425060719524345</v>
      </c>
      <c r="N10" s="322" cm="1">
        <f t="array" aca="1" ref="N10" ca="1">_xlfn.XLOOKUP(TabTRADERCorrupted[[#This Row],[ClickTick]],ListTickers,Tab2RSIConventional[RSIConv20])</f>
        <v>58</v>
      </c>
      <c r="O10" s="698"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3">
        <f ca="1">_xlfn.XLOOKUP(TabTRADERCorrupted[[#This Row],[ClickTick]],TabCalc[Ticker],TabCalc[L_Bp])</f>
        <v>-69.84</v>
      </c>
      <c r="R10" s="759">
        <f ca="1">(TabTRADERCorrupted[[#This Row],[M]]+TabTRADERCorrupted[[#This Row],[L_Bp]])/ABS(TabTRADERCorrupted[[#This Row],[L_Bp]])</f>
        <v>0.29281214203894618</v>
      </c>
      <c r="S10" s="678">
        <f ca="1">_xlfn.XLOOKUP(TabTRADERCorrupted[[#This Row],[ClickTick]],TabCalc[Ticker],TabCalc[Rev(MinStock)])*(1-Commission)</f>
        <v>10170.487799999999</v>
      </c>
      <c r="T10" s="777">
        <f ca="1">_xlfn.XLOOKUP(TabTRADERCorrupted[[#This Row],[ClickTick]],TabCalc[Ticker],TabCalc[Agiotage])</f>
        <v>1.1425060719524345</v>
      </c>
      <c r="U10" s="742"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-170/-170=&gt;-1.3% / -1.3%</v>
      </c>
      <c r="V10" s="734" t="str">
        <f ca="1">_xlfn.XLOOKUP(TabTRADERCorrupted[[#This Row],[ClickTick]],[1]!RTData[Ticker_Symbol],[1]!RTData[Currency])</f>
        <v>USD</v>
      </c>
      <c r="W10" s="744">
        <f ca="1">_xlfn.XLOOKUP(TabTRADERCorrupted[[#This Row],[ClickTick]],TabCalc[Ticker],TabCalc[M])</f>
        <v>90.29</v>
      </c>
      <c r="X10" s="1271" t="str">
        <f ca="1">SORTING!B10</f>
        <v>AZN</v>
      </c>
      <c r="Y10" s="798">
        <f ca="1">_xlfn.XLOOKUP(TabTRADERCorrupted[[#This Row],[ClickTick]],TabCalc[Ticker],TabCalc[Y])</f>
        <v>96.864549999999994</v>
      </c>
      <c r="Z10" s="812">
        <f ca="1">_xlfn.XLOOKUP(TabTRADERCorrupted[[#This Row],[ClickTick]],[1]!RTData[Ticker_Symbol],[1]!RTData[YTChange])</f>
        <v>-0.88598536924127214</v>
      </c>
      <c r="AA10" s="827">
        <f ca="1">-_xlfn.XLOOKUP(TabTRADERCorrupted[[#This Row],[ClickTick]]&amp;2,Consolid!B$3:JZ$3,Consolid!B$4:JZ$4)</f>
        <v>70.021584000000004</v>
      </c>
      <c r="AB10" s="812" cm="1">
        <f t="array" aca="1" ref="AB10" ca="1">_xlfn.XLOOKUP(TabTRADERCorrupted[[#This Row],[ClickTick]],ListTickers,Tab1ChangePercent[Change%19])</f>
        <v>-1.3332E-2</v>
      </c>
      <c r="AC10" s="763">
        <f ca="1">_xlfn.XLOOKUP(TabTRADERCorrupted[[#This Row],[ClickTick]],TabCalc[Ticker],TabCalc[NAfter])</f>
        <v>500</v>
      </c>
      <c r="AD1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^154/45 K$</v>
      </c>
      <c r="AE10" s="1147"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30"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90.29, 04.7%</v>
      </c>
      <c r="AG10" s="1131"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86.22</v>
      </c>
      <c r="AH10" s="1131" cm="1">
        <f t="array" aca="1" ref="AH10" ca="1">_xlfn.IFS(     TabTRADERCorrupted[[#This Row],[Traps]]=MUp,MIN(TabTRADERCorrupted[[#This Row],[L_Sn]],TabTRADERCorrupted[[#This Row],[N]])*(TabTRADERCorrupted[[#This Row],[M]]-TabTRADERCorrupted[[#This Row],[L_Sp]])*(1-Commission)*TabTRADERCorrupted[[#This Row],[Scale]],                                  TRUE,"M= "&amp;TabTRADERCorrupted[[#This Row],[M]])</f>
        <v>2029.7090000000035</v>
      </c>
      <c r="AI10" s="1131" t="str" cm="1">
        <f t="array" aca="1" ref="AI10" ca="1">_xlfn.IFS(   TabTRADERCorrupted[[#This Row],[Traps]]=MUp,TEXT(MIN(TabTRADERCorrupted[[#This Row],[L_Sn]],TabTRADERCorrupted[[#This Row],[N]]),"#,#0")&amp;" x "&amp;TEXT(TabTRADERCorrupted[[#This Row],[L_Sp]],"#,#0.#0"),          TRUE,"")</f>
        <v>500 x 86.22</v>
      </c>
      <c r="AJ10" s="1131"/>
      <c r="AK10" s="1131"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2029.7090000000035</v>
      </c>
      <c r="AL10" s="1131"/>
      <c r="AM10" s="1131"/>
      <c r="AN10" s="1131"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10107.8590592</v>
      </c>
      <c r="AO10" s="1140"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0.28945954721618411</v>
      </c>
      <c r="AP10" s="1140"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4.2476974194263009E-2</v>
      </c>
      <c r="AQ10" s="820" cm="1">
        <f t="array" aca="1" ref="AQ10" ca="1">_xlfn.IFS(   TabTRADERCorrupted[[#This Row],[Traps]]=SellMorePercentGain,                     MIN(TabTRADERCorrupted[[#This Row],[L_Sn]],TabTRADERCorrupted[[#This Row],[N]])*(TabTRADERCorrupted[[#This Row],[M]]-TabTRADERCorrupted[[#This Row],[L_Sp]])*(1-Commission)*TabTRADERCorrupted[[#This Row],[Scale]],                    TRUE,"")</f>
        <v>2029.7090000000035</v>
      </c>
      <c r="AR10" s="1129">
        <f ca="1">_xlfn.XLOOKUP(TabTRADERCorrupted[[#This Row],[ClickTick]],TabCalc[Ticker],TabCalc[Ann%RevLB])</f>
        <v>0.6058182249081645</v>
      </c>
      <c r="AS10" s="1225">
        <f ca="1">_xlfn.XLOOKUP(TabTRADERCorrupted[[#This Row],[ClickTick]],TabCalc[Ticker],TabCalc[Up20])</f>
        <v>0</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20"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40" cm="1">
        <f t="array" aca="1" ref="AV10" ca="1">_xlfn.IFS(   TabTRADERCorrupted[[#This Row],[Traps]]=MUp,TabTRADERCorrupted[[#This Row],[TakeGain_A]]-Commission,        TabTRADERCorrupted[[#This Row],[Traps]]=MDown,(TabTRADERCorrupted[[#This Row],[A]]-TabTRADERCorrupted[[#This Row],[M]])/TabTRADERCorrupted[[#This Row],[M]]-Commission,                              TRUE,"")</f>
        <v>0.28685954721618412</v>
      </c>
      <c r="AW10" s="820"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13033.675365801037</v>
      </c>
      <c r="AX10" s="755"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10" s="731"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500x20.26</v>
      </c>
      <c r="AZ10" s="760"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0.28870695239342203</v>
      </c>
      <c r="BA10" s="757"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-0.22708129360948057</v>
      </c>
      <c r="BB10" s="322">
        <f ca="1">_xlfn.XLOOKUP(TabTRADERCorrupted[[#This Row],[ClickTick]],TabCalc[Ticker],TabCalc[L_Sn])</f>
        <v>500</v>
      </c>
      <c r="BC10" s="723">
        <f ca="1">_xlfn.XLOOKUP(TabTRADERCorrupted[[#This Row],[ClickTick]],TabCalc[Ticker],TabCalc[L_Sp])</f>
        <v>86.22</v>
      </c>
      <c r="BD10" s="759">
        <f ca="1">-IFERROR((TabTRADERCorrupted[[#This Row],[M]]-TabTRADERCorrupted[[#This Row],[L_Sp]])/TabTRADERCorrupted[[#This Row],[L_Sp]],0)</f>
        <v>-4.7204824866620358E-2</v>
      </c>
      <c r="BE10" s="724">
        <f ca="1">TabTRADERCorrupted[[#This Row],[L_Sn]]*(TabTRADERCorrupted[[#This Row],[M]]-TabTRADERCorrupted[[#This Row],[L_Sp]])*(1-Commission)*TabTRADERCorrupted[[#This Row],[Scale]]</f>
        <v>2029.7090000000035</v>
      </c>
      <c r="BF10" s="687">
        <f ca="1">TabTRADERCorrupted[[#This Row],[L_Sn]]*(TabTRADERCorrupted[[#This Row],[Agiotage]]-TabTRADERCorrupted[[#This Row],[M]])/(TabTRADERCorrupted[[#This Row],[L_Bn]]*TabTRADERCorrupted[[#This Row],[M]])</f>
        <v>-0.12341828265595244</v>
      </c>
      <c r="BG10" s="630">
        <f ca="1">IFERROR((TabTRADERCorrupted[[#This Row],[M]]-TabTRADERCorrupted[[#This Row],[A]])/TabTRADERCorrupted[[#This Row],[A]],0)</f>
        <v>0.28945954721618411</v>
      </c>
      <c r="BH1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10,108$</v>
      </c>
      <c r="BI10" s="679">
        <f ca="1">_xlfn.XLOOKUP(TabTRADERCorrupted[[#This Row],[ClickTick]],TabCalc[[#This Row],[Ticker]],TabCalc[[#This Row],[GL]])*(1-Commission)</f>
        <v>153122.9603514694</v>
      </c>
      <c r="BJ10" s="679"/>
      <c r="BK10" s="664" t="str">
        <f ca="1">TabTRADERCorrupted[[#This Row],[ClickTick]]&amp;": "&amp;_xlfn.XLOOKUP(TabTRADERCorrupted[[#This Row],[ClickTick]],TabCalc[Ticker],TabCalc[Pile?])</f>
        <v>AZN: Pile</v>
      </c>
      <c r="BL10" s="349" t="s">
        <v>1918</v>
      </c>
      <c r="BM10" s="750" t="str" cm="1">
        <f t="array" aca="1" ref="BM10" ca="1">_xlfn.TEXTJOIN("",,INDEX({"M","A","Y"}, _xlfn.SORTBY({1,2,3}, -CHOOSE({1,2,3}, TabTRADERCorrupted[[#This Row],[M]], TabTRADERCorrupted[[#This Row],[A]], TabTRADERCorrupted[[#This Row],[Agiotage]]))))</f>
        <v>MAY</v>
      </c>
      <c r="BN10" s="896"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4.5076974194263007E-2</v>
      </c>
      <c r="BO10" s="674">
        <f ca="1">TabTRADERCorrupted[[#This Row],[L_Sn]]*TabTRADERCorrupted[[#This Row],[L_Sp]]+TabTRADERCorrupted[[#This Row],[SellMore]]*TabTRADERCorrupted[[#This Row],[M]]</f>
        <v>88255</v>
      </c>
      <c r="BP10" s="674">
        <f ca="1">INDEX(
  INDEX(TabConsolid[], , _xlfn.XMATCH(TabTRADERCorrupted[[#This Row],[ClickTick]]&amp;1, TabConsolid[#Headers])),
  MATCH(
    -TabTRADERCorrupted[[#This Row],[M]],
    INDEX(TabConsolid[], , _xlfn.XMATCH(TabTRADERCorrupted[[#This Row],[ClickTick]]&amp;2, TabConsolid[#Headers])),
    -1
  )
)</f>
        <v>500</v>
      </c>
      <c r="BQ10" s="674"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13">
        <f ca="1">TabTRADERCorrupted[[#This Row],[ReBuy]]/(TabTRADERCorrupted[[#This Row],[L_Sn]]+TabTRADERCorrupted[[#This Row],[SellMore]])</f>
        <v>88.254999999999995</v>
      </c>
      <c r="BS1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-0.35658997571219025</v>
      </c>
      <c r="BT10" s="682">
        <f ca="1">(TabTRADERCorrupted[[#This Row],[M]]-TabTRADERCorrupted[[#This Row],[Agiotage]])/(TabTRADERCorrupted[[#This Row],[M]]-TabTRADERCorrupted[[#This Row],[A]])-1</f>
        <v>3.3983453826903673</v>
      </c>
      <c r="BU10" s="1221">
        <f ca="1">_xlfn.XMATCH(TabTRADERCorrupted[[#This Row],[ClickTick]]&amp;1, TabConsolid[#Headers])</f>
        <v>23</v>
      </c>
      <c r="BV10" t="b">
        <f ca="1">IF(ABS(TabTRADERCorrupted[[#This Row],[L_Bp]])&gt;=TabTRADERCorrupted[[#This Row],[M]],"OK")</f>
        <v>0</v>
      </c>
    </row>
    <row r="11" spans="1:74">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+239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v>
      </c>
      <c r="D11" s="683"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10,867</v>
      </c>
      <c r="F11" s="224" t="str">
        <f ca="1">TRUNC(TabCalc[[#This Row],[L_B1p]],2)&amp;"x"&amp;TabCalc[[#This Row],[L_B1n]]&amp;"=   "&amp;TEXT(TabCalc[[#This Row],[ReverseS1]],"#,#0")&amp;"$"</f>
        <v>-1.83x10000=   10,600$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-2,761$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15.9% = 10,867</v>
      </c>
      <c r="I11" s="224" t="str">
        <f ca="1">IFERROR(TRUNC(TabCalc[[#This Row],[L_S1p]],2)&amp;"x"&amp;TabCalc[[#This Row],[L_S1n]]&amp;"=   "&amp;TEXT(TabCalc[[#This Row],[ReverseB1]],"#,#0"),"")</f>
        <v>1.96x10000=   -9,300</v>
      </c>
      <c r="J11" s="293">
        <f ca="1">_xlfn.XLOOKUP(TabTRADERCorrupted[[#This Row],[ClickTick]],TabCalc[Ticker],ListGravity)</f>
        <v>1.0337370242214532</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28900</v>
      </c>
      <c r="M11" s="321">
        <f ca="1">_xlfn.XLOOKUP(TabTRADERCorrupted[[#This Row],[ClickTick]],TabCalc[Ticker],TabCalc[Agiotage])</f>
        <v>0.63127383013593241</v>
      </c>
      <c r="N11" s="322" cm="1">
        <f t="array" aca="1" ref="N11" ca="1">_xlfn.XLOOKUP(TabTRADERCorrupted[[#This Row],[ClickTick]],ListTickers,Tab2RSIConventional[RSIConv20])</f>
        <v>57</v>
      </c>
      <c r="O11" s="698"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3">
        <f ca="1">_xlfn.XLOOKUP(TabTRADERCorrupted[[#This Row],[ClickTick]],TabCalc[Ticker],TabCalc[L_Bp])</f>
        <v>-2.85</v>
      </c>
      <c r="R11" s="759">
        <f ca="1">(TabTRADERCorrupted[[#This Row],[M]]+TabTRADERCorrupted[[#This Row],[L_Bp]])/ABS(TabTRADERCorrupted[[#This Row],[L_Bp]])</f>
        <v>1.4035087719298258E-2</v>
      </c>
      <c r="S11" s="678">
        <f ca="1">_xlfn.XLOOKUP(TabTRADERCorrupted[[#This Row],[ClickTick]],TabCalc[Ticker],TabCalc[Rev(MinStock)])*(1-Commission)</f>
        <v>238.37859999999998</v>
      </c>
      <c r="T11" s="777">
        <f ca="1">_xlfn.XLOOKUP(TabTRADERCorrupted[[#This Row],[ClickTick]],TabCalc[Ticker],TabCalc[Agiotage])</f>
        <v>0.63127383013593241</v>
      </c>
      <c r="U11" s="742"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3,000/3,000=&gt;4.0% / 4.0%</v>
      </c>
      <c r="V11" s="734" t="str">
        <f ca="1">_xlfn.XLOOKUP(TabTRADERCorrupted[[#This Row],[ClickTick]],[1]!RTData[Ticker_Symbol],[1]!RTData[Currency])</f>
        <v>USD</v>
      </c>
      <c r="W11" s="744">
        <f ca="1">_xlfn.XLOOKUP(TabTRADERCorrupted[[#This Row],[ClickTick]],TabCalc[Ticker],TabCalc[M])</f>
        <v>2.89</v>
      </c>
      <c r="X11" s="1271" t="str">
        <f ca="1">SORTING!B11</f>
        <v>BLDP</v>
      </c>
      <c r="Y11" s="798">
        <f ca="1">_xlfn.XLOOKUP(TabTRADERCorrupted[[#This Row],[ClickTick]],TabCalc[Ticker],TabCalc[Y])</f>
        <v>2.9874999999999998</v>
      </c>
      <c r="Z11" s="812">
        <f ca="1">_xlfn.XLOOKUP(TabTRADERCorrupted[[#This Row],[ClickTick]],[1]!RTData[Ticker_Symbol],[1]!RTData[YTChange])</f>
        <v>-0.96697435330532833</v>
      </c>
      <c r="AA11" s="827">
        <f ca="1">-_xlfn.XLOOKUP(TabTRADERCorrupted[[#This Row],[ClickTick]]&amp;2,Consolid!B$3:JZ$3,Consolid!B$4:JZ$4)</f>
        <v>2.1495743999999997</v>
      </c>
      <c r="AB11" s="812" cm="1">
        <f t="array" aca="1" ref="AB11" ca="1">_xlfn.XLOOKUP(TabTRADERCorrupted[[#This Row],[ClickTick]],ListTickers,Tab1ChangePercent[Change%19])</f>
        <v>3.9567999999999999E-2</v>
      </c>
      <c r="AC11" s="763">
        <f ca="1">_xlfn.XLOOKUP(TabTRADERCorrupted[[#This Row],[ClickTick]],TabCalc[Ticker],TabCalc[NAfter])</f>
        <v>20000</v>
      </c>
      <c r="AD1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^26/58 K$</v>
      </c>
      <c r="AE11" s="1147"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30"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31"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2753.4224399999985</v>
      </c>
      <c r="AH11" s="1131"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2.89</v>
      </c>
      <c r="AI11" s="1131" t="str" cm="1">
        <f t="array" aca="1" ref="AI11" ca="1">_xlfn.IFS(   TabTRADERCorrupted[[#This Row],[Traps]]=MUp,TEXT(MIN(TabTRADERCorrupted[[#This Row],[L_Sn]],TabTRADERCorrupted[[#This Row],[N]]),"#,#0")&amp;" x "&amp;TEXT(TabTRADERCorrupted[[#This Row],[L_Sp]],"#,#0.#0"),          TRUE,"")</f>
        <v/>
      </c>
      <c r="AJ11" s="1131"/>
      <c r="AK11" s="1131"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31"/>
      <c r="AM11" s="1131"/>
      <c r="AN11" s="1131"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2753.4224399999985</v>
      </c>
      <c r="AO11" s="1140"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0.13733918390495797</v>
      </c>
      <c r="AP11" s="1140"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TabTRADERCorrupted[[#This Row],[Traps]]=SellMorePercentGain,                     MIN(TabTRADERCorrupted[[#This Row],[L_Sn]],TabTRADERCorrupted[[#This Row],[N]])*(TabTRADERCorrupted[[#This Row],[M]]-TabTRADERCorrupted[[#This Row],[L_Sp]])*(1-Commission)*TabTRADERCorrupted[[#This Row],[Scale]],                    TRUE,"")</f>
        <v/>
      </c>
      <c r="AR11" s="1129">
        <f ca="1">_xlfn.XLOOKUP(TabTRADERCorrupted[[#This Row],[ClickTick]],TabCalc[Ticker],TabCalc[Ann%RevLB])</f>
        <v>1.4948614138897552E-2</v>
      </c>
      <c r="AS11" s="1225">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20"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40" t="str" cm="1">
        <f t="array" aca="1" ref="AV11" ca="1">_xlfn.IFS(   TabTRADERCorrupted[[#This Row],[Traps]]=MUp,TabTRADERCorrupted[[#This Row],[TakeGain_A]]-Commission,        TabTRADERCorrupted[[#This Row],[Traps]]=MDown,(TabTRADERCorrupted[[#This Row],[A]]-TabTRADERCorrupted[[#This Row],[M]])/TabTRADERCorrupted[[#This Row],[M]]-Commission,                              TRUE,"")</f>
        <v/>
      </c>
      <c r="AW11" s="820"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14770.009868800009</v>
      </c>
      <c r="AX11" s="755"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1.0%</v>
      </c>
      <c r="AY11" s="731"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60"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0.34355660982936925</v>
      </c>
      <c r="BA11" s="757"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-0.25880262975778562</v>
      </c>
      <c r="BB11" s="322">
        <f ca="1">_xlfn.XLOOKUP(TabTRADERCorrupted[[#This Row],[ClickTick]],TabCalc[Ticker],TabCalc[L_Sn])</f>
        <v>6000</v>
      </c>
      <c r="BC11" s="723">
        <f ca="1">_xlfn.XLOOKUP(TabTRADERCorrupted[[#This Row],[ClickTick]],TabCalc[Ticker],TabCalc[L_Sp])</f>
        <v>3.3500999999999999</v>
      </c>
      <c r="BD11" s="759">
        <f ca="1">-IFERROR((TabTRADERCorrupted[[#This Row],[M]]-TabTRADERCorrupted[[#This Row],[L_Sp]])/TabTRADERCorrupted[[#This Row],[L_Sp]],0)</f>
        <v>0.13733918390495797</v>
      </c>
      <c r="BE11" s="724">
        <f ca="1">TabTRADERCorrupted[[#This Row],[L_Sn]]*(TabTRADERCorrupted[[#This Row],[M]]-TabTRADERCorrupted[[#This Row],[L_Sp]])*(1-Commission)*TabTRADERCorrupted[[#This Row],[Scale]]</f>
        <v>-2753.4224399999985</v>
      </c>
      <c r="BF11" s="687">
        <f ca="1">TabTRADERCorrupted[[#This Row],[L_Sn]]*(TabTRADERCorrupted[[#This Row],[Agiotage]]-TabTRADERCorrupted[[#This Row],[M]])/(TabTRADERCorrupted[[#This Row],[L_Bn]]*TabTRADERCorrupted[[#This Row],[M]])</f>
        <v>-0.78156614874189201</v>
      </c>
      <c r="BG11" s="630">
        <f ca="1">IFERROR((TabTRADERCorrupted[[#This Row],[M]]-TabTRADERCorrupted[[#This Row],[A]])/TabTRADERCorrupted[[#This Row],[A]],0)</f>
        <v>0.3444521855116997</v>
      </c>
      <c r="BH1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14,770$</v>
      </c>
      <c r="BI11" s="679">
        <f ca="1">_xlfn.XLOOKUP(TabTRADERCorrupted[[#This Row],[ClickTick]],TabCalc[[#This Row],[Ticker]],TabCalc[[#This Row],[GL]])*(1-Commission)</f>
        <v>25660.980367623779</v>
      </c>
      <c r="BJ11" s="679"/>
      <c r="BK11" s="664" t="str">
        <f ca="1">TabTRADERCorrupted[[#This Row],[ClickTick]]&amp;": "&amp;_xlfn.XLOOKUP(TabTRADERCorrupted[[#This Row],[ClickTick]],TabCalc[Ticker],TabCalc[Pile?])</f>
        <v xml:space="preserve">BLDP: </v>
      </c>
      <c r="BL11" s="349" t="s">
        <v>1919</v>
      </c>
      <c r="BM11" s="750" t="str" cm="1">
        <f t="array" aca="1" ref="BM11" ca="1">_xlfn.TEXTJOIN("",,INDEX({"M","A","Y"}, _xlfn.SORTBY({1,2,3}, -CHOOSE({1,2,3}, TabTRADERCorrupted[[#This Row],[M]], TabTRADERCorrupted[[#This Row],[A]], TabTRADERCorrupted[[#This Row],[Agiotage]]))))</f>
        <v>MAY</v>
      </c>
      <c r="BN11" s="896"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4">
        <f ca="1">TabTRADERCorrupted[[#This Row],[L_Sn]]*TabTRADERCorrupted[[#This Row],[L_Sp]]+TabTRADERCorrupted[[#This Row],[SellMore]]*TabTRADERCorrupted[[#This Row],[M]]</f>
        <v>37440.6</v>
      </c>
      <c r="BP11" s="674">
        <f ca="1">INDEX(
  INDEX(TabConsolid[], , _xlfn.XMATCH(TabTRADERCorrupted[[#This Row],[ClickTick]]&amp;1, TabConsolid[#Headers])),
  MATCH(
    -TabTRADERCorrupted[[#This Row],[M]],
    INDEX(TabConsolid[], , _xlfn.XMATCH(TabTRADERCorrupted[[#This Row],[ClickTick]]&amp;2, TabConsolid[#Headers])),
    -1
  )
)</f>
        <v>6000</v>
      </c>
      <c r="BQ11" s="674"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13">
        <f ca="1">TabTRADERCorrupted[[#This Row],[ReBuy]]/(TabTRADERCorrupted[[#This Row],[L_Sn]]+TabTRADERCorrupted[[#This Row],[SellMore]])</f>
        <v>3.12005</v>
      </c>
      <c r="BS1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-4.8939067013721474E-4</v>
      </c>
      <c r="BT11" s="682">
        <f ca="1">(TabTRADERCorrupted[[#This Row],[M]]-TabTRADERCorrupted[[#This Row],[Agiotage]])/(TabTRADERCorrupted[[#This Row],[M]]-TabTRADERCorrupted[[#This Row],[A]])-1</f>
        <v>2.0505781672919827</v>
      </c>
      <c r="BU11" s="1221">
        <f ca="1">_xlfn.XMATCH(TabTRADERCorrupted[[#This Row],[ClickTick]]&amp;1, TabConsolid[#Headers])</f>
        <v>26</v>
      </c>
      <c r="BV11" t="b">
        <f ca="1">IF(ABS(TabTRADERCorrupted[[#This Row],[L_Bp]])&gt;=TabTRADERCorrupted[[#This Row],[M]],"OK")</f>
        <v>0</v>
      </c>
    </row>
    <row r="12" spans="1:74">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-126,279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-391.1%</v>
      </c>
      <c r="D12" s="683"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2.8347077052366196</v>
      </c>
      <c r="N12" s="322" cm="1">
        <f t="array" aca="1" ref="N12" ca="1">_xlfn.XLOOKUP(TabTRADERCorrupted[[#This Row],[ClickTick]],ListTickers,Tab2RSIConventional[RSIConv20])</f>
        <v>88</v>
      </c>
      <c r="O12" s="698" t="str">
        <f ca="1">TEXT(_xlfn.XLOOKUP(TabTRADERCorrupted[[#This Row],[ClickTick]],TabCalc[Ticker],TabCalc[Nbegin]),"#,#0")&amp;": "&amp;_xlfn.XLOOKUP(TabTRADERCorrupted[[#This Row],[ClickTick]],TabCalc[Ticker],TabCalc[Pile?])</f>
        <v>15,000: Pile</v>
      </c>
      <c r="P12" s="729">
        <f ca="1">_xlfn.XLOOKUP(TabTRADERCorrupted[[#This Row],[ClickTick]],TabCalc[Ticker],TabCalc[L_Bn])</f>
        <v>12500</v>
      </c>
      <c r="Q12" s="676">
        <f ca="1">_xlfn.XLOOKUP(TabTRADERCorrupted[[#This Row],[ClickTick]],TabCalc[Ticker],TabCalc[L_Bp])</f>
        <v>-12.7196</v>
      </c>
      <c r="R12" s="759">
        <f ca="1">(TabTRADERCorrupted[[#This Row],[M]]+TabTRADERCorrupted[[#This Row],[L_Bp]])/ABS(TabTRADERCorrupted[[#This Row],[L_Bp]])</f>
        <v>-0.79637724456743919</v>
      </c>
      <c r="S12" s="678">
        <f ca="1">_xlfn.XLOOKUP(TabTRADERCorrupted[[#This Row],[ClickTick]],TabCalc[Ticker],TabCalc[Rev(MinStock)])*(1-Commission)</f>
        <v>-125950.6746</v>
      </c>
      <c r="T12" s="777">
        <f ca="1">_xlfn.XLOOKUP(TabTRADERCorrupted[[#This Row],[ClickTick]],TabCalc[Ticker],TabCalc[Agiotage])</f>
        <v>2.8347077052366196</v>
      </c>
      <c r="U12" s="742"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125/125=&gt;3.6% / 3.6%</v>
      </c>
      <c r="V12" s="734" t="str">
        <f ca="1">_xlfn.XLOOKUP(TabTRADERCorrupted[[#This Row],[ClickTick]],[1]!RTData[Ticker_Symbol],[1]!RTData[Currency])</f>
        <v>USD</v>
      </c>
      <c r="W12" s="744">
        <f ca="1">_xlfn.XLOOKUP(TabTRADERCorrupted[[#This Row],[ClickTick]],TabCalc[Ticker],TabCalc[M])</f>
        <v>2.59</v>
      </c>
      <c r="X12" s="1271" t="str">
        <f ca="1">SORTING!B12</f>
        <v>BMRA</v>
      </c>
      <c r="Y12" s="798">
        <f ca="1">_xlfn.XLOOKUP(TabTRADERCorrupted[[#This Row],[ClickTick]],TabCalc[Ticker],TabCalc[Y])</f>
        <v>0</v>
      </c>
      <c r="Z12" s="812">
        <f ca="1">_xlfn.XLOOKUP(TabTRADERCorrupted[[#This Row],[ClickTick]],[1]!RTData[Ticker_Symbol],[1]!RTData[YTChange])</f>
        <v>0</v>
      </c>
      <c r="AA12" s="827">
        <f ca="1">-_xlfn.XLOOKUP(TabTRADERCorrupted[[#This Row],[ClickTick]]&amp;2,Consolid!B$3:JZ$3,Consolid!B$4:JZ$4)</f>
        <v>12.75267096</v>
      </c>
      <c r="AB12" s="812" cm="1">
        <f t="array" aca="1" ref="AB12" ca="1">_xlfn.XLOOKUP(TabTRADERCorrupted[[#This Row],[ClickTick]],ListTickers,Tab1ChangePercent[Change%19])</f>
        <v>3.6000000000000004E-2</v>
      </c>
      <c r="AC12" s="763">
        <f ca="1">_xlfn.XLOOKUP(TabTRADERCorrupted[[#This Row],[ClickTick]],TabCalc[Ticker],TabCalc[NAfter])</f>
        <v>12500</v>
      </c>
      <c r="AD1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-127/32 K$</v>
      </c>
      <c r="AE12" s="1147"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30"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31"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31"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2.59</v>
      </c>
      <c r="AI12" s="1131" t="str" cm="1">
        <f t="array" aca="1" ref="AI12" ca="1">_xlfn.IFS(   TabTRADERCorrupted[[#This Row],[Traps]]=MUp,TEXT(MIN(TabTRADERCorrupted[[#This Row],[L_Sn]],TabTRADERCorrupted[[#This Row],[N]]),"#,#0")&amp;" x "&amp;TEXT(TabTRADERCorrupted[[#This Row],[L_Sp]],"#,#0.#0"),          TRUE,"")</f>
        <v/>
      </c>
      <c r="AJ12" s="1131"/>
      <c r="AK12" s="1131"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126290.788</v>
      </c>
      <c r="AL12" s="1131"/>
      <c r="AM12" s="1131"/>
      <c r="AN12" s="1131"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32375</v>
      </c>
      <c r="AO12" s="1140"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0.79690529081132977</v>
      </c>
      <c r="AP12" s="1140"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3.9084424710424712</v>
      </c>
      <c r="AQ12" s="820" t="str" cm="1">
        <f t="array" aca="1" ref="AQ12" ca="1">_xlfn.IFS(   TabTRADERCorrupted[[#This Row],[Traps]]=SellMorePercentGain,                     MIN(TabTRADERCorrupted[[#This Row],[L_Sn]],TabTRADERCorrupted[[#This Row],[N]])*(TabTRADERCorrupted[[#This Row],[M]]-TabTRADERCorrupted[[#This Row],[L_Sp]])*(1-Commission)*TabTRADERCorrupted[[#This Row],[Scale]],                    TRUE,"")</f>
        <v/>
      </c>
      <c r="AR12" s="1129">
        <f ca="1">_xlfn.XLOOKUP(TabTRADERCorrupted[[#This Row],[ClickTick]],TabCalc[Ticker],TabCalc[Ann%RevLB])</f>
        <v>-5.2527630642044354E-2</v>
      </c>
      <c r="AS12" s="1225">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3.9110424710424714</v>
      </c>
      <c r="AU12" s="820" cm="1">
        <f t="array" aca="1" ref="AU12" ca="1">_xlfn.IFS(         TabTRADERCorrupted[[#This Row],[Traps]]=MDown,TabTRADERCorrupted[[#This Row],[L_Bn]]*TabTRADERCorrupted[[#This Row],[M]]*(-(TabTRADERCorrupted[[#This Row],[L_Bp]]+TabTRADERCorrupted[[#This Row],[M]])/TabTRADERCorrupted[[#This Row],[M]])*(1-Commission)*TabTRADERCorrupted[[#This Row],[Scale]],                               TRUE,"")</f>
        <v>126290.78800000002</v>
      </c>
      <c r="AV12" s="1140" cm="1">
        <f t="array" aca="1" ref="AV12" ca="1">_xlfn.IFS(   TabTRADERCorrupted[[#This Row],[Traps]]=MUp,TabTRADERCorrupted[[#This Row],[TakeGain_A]]-Commission,        TabTRADERCorrupted[[#This Row],[Traps]]=MDown,(TabTRADERCorrupted[[#This Row],[A]]-TabTRADERCorrupted[[#This Row],[M]])/TabTRADERCorrupted[[#This Row],[M]]-Commission,                              TRUE,"")</f>
        <v>3.9212111814671813</v>
      </c>
      <c r="AW12" s="820"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126703.1001938</v>
      </c>
      <c r="AX12" s="755"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12" s="731"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-10.119999999999999</v>
      </c>
      <c r="AZ12" s="760"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-0.7948333370552203</v>
      </c>
      <c r="BA12" s="757"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3.9212111814671813</v>
      </c>
      <c r="BB12" s="322">
        <f ca="1">_xlfn.XLOOKUP(TabTRADERCorrupted[[#This Row],[ClickTick]],TabCalc[Ticker],TabCalc[L_Sn])</f>
        <v>0</v>
      </c>
      <c r="BC12" s="723">
        <f ca="1">_xlfn.XLOOKUP(TabTRADERCorrupted[[#This Row],[ClickTick]],TabCalc[Ticker],TabCalc[L_Sp])</f>
        <v>0</v>
      </c>
      <c r="BD12" s="759">
        <f ca="1">-IFERROR((TabTRADERCorrupted[[#This Row],[M]]-TabTRADERCorrupted[[#This Row],[L_Sp]])/TabTRADERCorrupted[[#This Row],[L_Sp]],0)</f>
        <v>0</v>
      </c>
      <c r="BE12" s="724">
        <f ca="1">TabTRADERCorrupted[[#This Row],[L_Sn]]*(TabTRADERCorrupted[[#This Row],[M]]-TabTRADERCorrupted[[#This Row],[L_Sp]])*(1-Commission)*TabTRADERCorrupted[[#This Row],[Scale]]</f>
        <v>0</v>
      </c>
      <c r="BF12" s="687">
        <f ca="1">TabTRADERCorrupted[[#This Row],[L_Sn]]*(TabTRADERCorrupted[[#This Row],[Agiotage]]-TabTRADERCorrupted[[#This Row],[M]])/(TabTRADERCorrupted[[#This Row],[L_Bn]]*TabTRADERCorrupted[[#This Row],[M]])</f>
        <v>0</v>
      </c>
      <c r="BG12" s="630">
        <f ca="1">IFERROR((TabTRADERCorrupted[[#This Row],[M]]-TabTRADERCorrupted[[#This Row],[A]])/TabTRADERCorrupted[[#This Row],[A]],0)</f>
        <v>-0.79690529081132977</v>
      </c>
      <c r="BH1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-126,703$</v>
      </c>
      <c r="BI12" s="679">
        <f ca="1">_xlfn.XLOOKUP(TabTRADERCorrupted[[#This Row],[ClickTick]],TabCalc[[#This Row],[Ticker]],TabCalc[[#This Row],[GL]])*(1-Commission)</f>
        <v>-126874.01488470848</v>
      </c>
      <c r="BJ12" s="679"/>
      <c r="BK12" s="664" t="str">
        <f ca="1">TabTRADERCorrupted[[#This Row],[ClickTick]]&amp;": "&amp;_xlfn.XLOOKUP(TabTRADERCorrupted[[#This Row],[ClickTick]],TabCalc[Ticker],TabCalc[Pile?])</f>
        <v>BMRA: Pile</v>
      </c>
      <c r="BL12" s="349" t="s">
        <v>1924</v>
      </c>
      <c r="BM12" s="750" t="str" cm="1">
        <f t="array" aca="1" ref="BM12" ca="1">_xlfn.TEXTJOIN("",,INDEX({"M","A","Y"}, _xlfn.SORTBY({1,2,3}, -CHOOSE({1,2,3}, TabTRADERCorrupted[[#This Row],[M]], TabTRADERCorrupted[[#This Row],[A]], TabTRADERCorrupted[[#This Row],[Agiotage]]))))</f>
        <v>AYM</v>
      </c>
      <c r="BN12" s="896"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3.9110424710424714</v>
      </c>
      <c r="BO12" s="674" t="e">
        <f ca="1">TabTRADERCorrupted[[#This Row],[L_Sn]]*TabTRADERCorrupted[[#This Row],[L_Sp]]+TabTRADERCorrupted[[#This Row],[SellMore]]*TabTRADERCorrupted[[#This Row],[M]]</f>
        <v>#N/A</v>
      </c>
      <c r="BP12" s="674" t="e">
        <f ca="1">INDEX(
  INDEX(TabConsolid[], , _xlfn.XMATCH(TabTRADERCorrupted[[#This Row],[ClickTick]]&amp;1, TabConsolid[#Headers])),
  MATCH(
    -TabTRADERCorrupted[[#This Row],[M]],
    INDEX(TabConsolid[], , _xlfn.XMATCH(TabTRADERCorrupted[[#This Row],[ClickTick]]&amp;2, TabConsolid[#Headers])),
    -1
  )
)</f>
        <v>#N/A</v>
      </c>
      <c r="BQ12" s="674"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13" t="e">
        <f ca="1">TabTRADERCorrupted[[#This Row],[ReBuy]]/(TabTRADERCorrupted[[#This Row],[L_Sn]]+TabTRADERCorrupted[[#This Row],[SellMore]])</f>
        <v>#N/A</v>
      </c>
      <c r="BS1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2">
        <f ca="1">(TabTRADERCorrupted[[#This Row],[M]]-TabTRADERCorrupted[[#This Row],[Agiotage]])/(TabTRADERCorrupted[[#This Row],[M]]-TabTRADERCorrupted[[#This Row],[A]])-1</f>
        <v>-0.97592092608333159</v>
      </c>
      <c r="BU12" s="1221">
        <f ca="1">_xlfn.XMATCH(TabTRADERCorrupted[[#This Row],[ClickTick]]&amp;1, TabConsolid[#Headers])</f>
        <v>29</v>
      </c>
      <c r="BV12" t="str">
        <f ca="1">IF(ABS(TabTRADERCorrupted[[#This Row],[L_Bp]])&gt;=TabTRADERCorrupted[[#This Row],[M]],"OK")</f>
        <v>OK</v>
      </c>
    </row>
    <row r="13" spans="1:74">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+1,079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9.7%</v>
      </c>
      <c r="D13" s="683"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5,145$</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97.37x95=   1,366$</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12.9% = 0</v>
      </c>
      <c r="I13" s="224" t="str">
        <f ca="1">IFERROR(TRUNC(TabCalc[[#This Row],[L_S1p]],2)&amp;"x"&amp;TabCalc[[#This Row],[L_S1n]]&amp;"=   "&amp;TEXT(TabCalc[[#This Row],[ReverseB1]],"#,#0"),"")</f>
        <v>82.67x500=   -14,540</v>
      </c>
      <c r="J13" s="293">
        <f ca="1">_xlfn.XLOOKUP(TabTRADERCorrupted[[#This Row],[ClickTick]],TabCalc[Ticker],ListGravity)</f>
        <v>1.0226909172259506</v>
      </c>
      <c r="K13" s="320" cm="1">
        <f t="array" aca="1" ref="K13" ca="1">IF(_xlfn.XLOOKUP(TabTRADERCorrupted[[#This Row],[ClickTick]],TabTRADERCorrupted[ClickTick],ListExtra_n)&gt;0,_xlfn.XLOOKUP(TabTRADERCorrupted[[#This Row],[ClickTick]],TabTRADERCorrupted[ClickTick],ListExtra_n),"")</f>
        <v>5</v>
      </c>
      <c r="L13" s="318">
        <f ca="1">IF(_xlfn.XLOOKUP(TabTRADERCorrupted[[#This Row],[ClickTick]],TabCalc[Ticker],ListExtra_n)&gt;0,_xlfn.XLOOKUP(TabTRADERCorrupted[[#This Row],[ClickTick]],TabCalc[Ticker],ListExtra_n)*TabTRADERCorrupted[[#This Row],[M]]*_xlfn.XLOOKUP(TabTRADERCorrupted[[#This Row],[ClickTick]],TabCalc[Ticker],ListScale),"")</f>
        <v>558.75</v>
      </c>
      <c r="M13" s="321">
        <f ca="1">_xlfn.XLOOKUP(TabTRADERCorrupted[[#This Row],[ClickTick]],TabCalc[Ticker],TabCalc[Agiotage])</f>
        <v>0.84561413582090583</v>
      </c>
      <c r="N13" s="322" cm="1">
        <f t="array" aca="1" ref="N13" ca="1">_xlfn.XLOOKUP(TabTRADERCorrupted[[#This Row],[ClickTick]],ListTickers,Tab2RSIConventional[RSIConv20])</f>
        <v>57</v>
      </c>
      <c r="O13" s="698"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6">
        <f ca="1">_xlfn.XLOOKUP(TabTRADERCorrupted[[#This Row],[ClickTick]],TabCalc[Ticker],TabCalc[L_Bp])</f>
        <v>-100.93</v>
      </c>
      <c r="R13" s="759">
        <f ca="1">(TabTRADERCorrupted[[#This Row],[M]]+TabTRADERCorrupted[[#This Row],[L_Bp]])/ABS(TabTRADERCorrupted[[#This Row],[L_Bp]])</f>
        <v>0.10720301198850681</v>
      </c>
      <c r="S13" s="678">
        <f ca="1">_xlfn.XLOOKUP(TabTRADERCorrupted[[#This Row],[ClickTick]],TabCalc[Ticker],TabCalc[Rev(MinStock)])*(1-Commission)</f>
        <v>1076.1946</v>
      </c>
      <c r="T13" s="777">
        <f ca="1">_xlfn.XLOOKUP(TabTRADERCorrupted[[#This Row],[ClickTick]],TabCalc[Ticker],TabCalc[Agiotage])</f>
        <v>0.84561413582090583</v>
      </c>
      <c r="U13" s="742"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51/51=&gt;0.6% / 0.6%</v>
      </c>
      <c r="V13" s="734" t="str">
        <f ca="1">_xlfn.XLOOKUP(TabTRADERCorrupted[[#This Row],[ClickTick]],[1]!RTData[Ticker_Symbol],[1]!RTData[Currency])</f>
        <v>USD</v>
      </c>
      <c r="W13" s="744">
        <f ca="1">_xlfn.XLOOKUP(TabTRADERCorrupted[[#This Row],[ClickTick]],TabCalc[Ticker],TabCalc[M])</f>
        <v>111.75</v>
      </c>
      <c r="X13" s="1271" t="str">
        <f ca="1">SORTING!B13</f>
        <v>C</v>
      </c>
      <c r="Y13" s="798">
        <f ca="1">_xlfn.XLOOKUP(TabTRADERCorrupted[[#This Row],[ClickTick]],TabCalc[Ticker],TabCalc[Y])</f>
        <v>114.28570999999999</v>
      </c>
      <c r="Z13" s="812">
        <f ca="1">_xlfn.XLOOKUP(TabTRADERCorrupted[[#This Row],[ClickTick]],[1]!RTData[Ticker_Symbol],[1]!RTData[YTChange])</f>
        <v>7.6188318250377067</v>
      </c>
      <c r="AA13" s="827">
        <f ca="1">-_xlfn.XLOOKUP(TabTRADERCorrupted[[#This Row],[ClickTick]]&amp;2,Consolid!B$3:JZ$3,Consolid!B$4:JZ$4)</f>
        <v>99.369595714285708</v>
      </c>
      <c r="AB13" s="812" cm="1">
        <f t="array" aca="1" ref="AB13" ca="1">_xlfn.XLOOKUP(TabTRADERCorrupted[[#This Row],[ClickTick]],ListTickers,Tab1ChangePercent[Change%19])</f>
        <v>5.9409999999999992E-3</v>
      </c>
      <c r="AC13" s="763">
        <f ca="1">_xlfn.XLOOKUP(TabTRADERCorrupted[[#This Row],[ClickTick]],TabCalc[Ticker],TabCalc[NAfter])</f>
        <v>105</v>
      </c>
      <c r="AD1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^42/12 K$</v>
      </c>
      <c r="AE13" s="1147"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13" s="1130"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-100.93</v>
      </c>
      <c r="AG13" s="1131"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1076.1946</v>
      </c>
      <c r="AH13" s="1131" t="str" cm="1">
        <f t="array" aca="1" ref="AH13" ca="1">_xlfn.IFS(     TabTRADERCorrupted[[#This Row],[Traps]]=MUp,MIN(TabTRADERCorrupted[[#This Row],[L_Sn]],TabTRADERCorrupted[[#This Row],[N]])*(TabTRADERCorrupted[[#This Row],[M]]-TabTRADERCorrupted[[#This Row],[L_Sp]])*(1-Commission)*TabTRADERCorrupted[[#This Row],[Scale]],                                  TRUE,"M= "&amp;TabTRADERCorrupted[[#This Row],[M]])</f>
        <v>M= 111.75</v>
      </c>
      <c r="AI13" s="1131" t="str" cm="1">
        <f t="array" aca="1" ref="AI13" ca="1">_xlfn.IFS(   TabTRADERCorrupted[[#This Row],[Traps]]=MUp,TEXT(MIN(TabTRADERCorrupted[[#This Row],[L_Sn]],TabTRADERCorrupted[[#This Row],[N]]),"#,#0")&amp;" x "&amp;TEXT(TabTRADERCorrupted[[#This Row],[L_Sp]],"#,#0.#0"),          TRUE,"")</f>
        <v/>
      </c>
      <c r="AJ13" s="1131"/>
      <c r="AK13" s="1131" t="str"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3" s="1131"/>
      <c r="AM13" s="1131"/>
      <c r="AN13" s="1131"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1076.1946</v>
      </c>
      <c r="AO13" s="1140"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0.10720301198850681</v>
      </c>
      <c r="AP13" s="1140" t="str"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TabTRADERCorrupted[[#This Row],[Traps]]=SellMorePercentGain,                     MIN(TabTRADERCorrupted[[#This Row],[L_Sn]],TabTRADERCorrupted[[#This Row],[N]])*(TabTRADERCorrupted[[#This Row],[M]]-TabTRADERCorrupted[[#This Row],[L_Sp]])*(1-Commission)*TabTRADERCorrupted[[#This Row],[Scale]],                    TRUE,"")</f>
        <v/>
      </c>
      <c r="AR13" s="1129">
        <f ca="1">_xlfn.XLOOKUP(TabTRADERCorrupted[[#This Row],[ClickTick]],TabCalc[Ticker],TabCalc[Ann%RevLB])</f>
        <v>1.0430563328611473</v>
      </c>
      <c r="AS13" s="1225">
        <f ca="1">_xlfn.XLOOKUP(TabTRADERCorrupted[[#This Row],[ClickTick]],TabCalc[Ticker],TabCalc[Up20])</f>
        <v>0</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20"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40" t="str" cm="1">
        <f t="array" aca="1" ref="AV13" ca="1">_xlfn.IFS(   TabTRADERCorrupted[[#This Row],[Traps]]=MUp,TabTRADERCorrupted[[#This Row],[TakeGain_A]]-Commission,        TabTRADERCorrupted[[#This Row],[Traps]]=MDown,(TabTRADERCorrupted[[#This Row],[A]]-TabTRADERCorrupted[[#This Row],[M]])/TabTRADERCorrupted[[#This Row],[M]]-Commission,                              TRUE,"")</f>
        <v/>
      </c>
      <c r="AW13" s="820"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1458.1006339731193</v>
      </c>
      <c r="AX13" s="755"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13" s="731"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13" s="760" t="str"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13" s="757"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-0.11338661553211894</v>
      </c>
      <c r="BB13" s="322">
        <f ca="1">_xlfn.XLOOKUP(TabTRADERCorrupted[[#This Row],[ClickTick]],TabCalc[Ticker],TabCalc[L_Sn])</f>
        <v>95</v>
      </c>
      <c r="BC13" s="723">
        <f ca="1">_xlfn.XLOOKUP(TabTRADERCorrupted[[#This Row],[ClickTick]],TabCalc[Ticker],TabCalc[L_Sp])</f>
        <v>97.375</v>
      </c>
      <c r="BD13" s="759">
        <f ca="1">-IFERROR((TabTRADERCorrupted[[#This Row],[M]]-TabTRADERCorrupted[[#This Row],[L_Sp]])/TabTRADERCorrupted[[#This Row],[L_Sp]],0)</f>
        <v>-0.14762516046213095</v>
      </c>
      <c r="BE13" s="724">
        <f ca="1">TabTRADERCorrupted[[#This Row],[L_Sn]]*(TabTRADERCorrupted[[#This Row],[M]]-TabTRADERCorrupted[[#This Row],[L_Sp]])*(1-Commission)*TabTRADERCorrupted[[#This Row],[Scale]]</f>
        <v>1362.0743749999999</v>
      </c>
      <c r="BF13" s="687">
        <f ca="1">TabTRADERCorrupted[[#This Row],[L_Sn]]*(TabTRADERCorrupted[[#This Row],[Agiotage]]-TabTRADERCorrupted[[#This Row],[M]])/(TabTRADERCorrupted[[#This Row],[L_Bn]]*TabTRADERCorrupted[[#This Row],[M]])</f>
        <v>-0.94281133396841288</v>
      </c>
      <c r="BG13" s="630">
        <f ca="1">IFERROR((TabTRADERCorrupted[[#This Row],[M]]-TabTRADERCorrupted[[#This Row],[A]])/TabTRADERCorrupted[[#This Row],[A]],0)</f>
        <v>0.12458946015349888</v>
      </c>
      <c r="BH1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105 : 1,297$</v>
      </c>
      <c r="BI13" s="679">
        <f ca="1">_xlfn.XLOOKUP(TabTRADERCorrupted[[#This Row],[ClickTick]],TabCalc[[#This Row],[Ticker]],TabCalc[[#This Row],[GL]])*(1-Commission)</f>
        <v>41547.460055808195</v>
      </c>
      <c r="BJ13" s="679"/>
      <c r="BK13" s="664" t="str">
        <f ca="1">TabTRADERCorrupted[[#This Row],[ClickTick]]&amp;": "&amp;_xlfn.XLOOKUP(TabTRADERCorrupted[[#This Row],[ClickTick]],TabCalc[Ticker],TabCalc[Pile?])</f>
        <v xml:space="preserve">C: </v>
      </c>
      <c r="BL13" s="349" t="s">
        <v>1929</v>
      </c>
      <c r="BM13" s="750" t="str" cm="1">
        <f t="array" aca="1" ref="BM13" ca="1">_xlfn.TEXTJOIN("",,INDEX({"M","A","Y"}, _xlfn.SORTBY({1,2,3}, -CHOOSE({1,2,3}, TabTRADERCorrupted[[#This Row],[M]], TabTRADERCorrupted[[#This Row],[A]], TabTRADERCorrupted[[#This Row],[Agiotage]]))))</f>
        <v>MAY</v>
      </c>
      <c r="BN13" s="896" t="str"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3" s="674">
        <f ca="1">TabTRADERCorrupted[[#This Row],[L_Sn]]*TabTRADERCorrupted[[#This Row],[L_Sp]]+TabTRADERCorrupted[[#This Row],[SellMore]]*TabTRADERCorrupted[[#This Row],[M]]</f>
        <v>20425.625</v>
      </c>
      <c r="BP13" s="674">
        <f ca="1">INDEX(
  INDEX(TabConsolid[], , _xlfn.XMATCH(TabTRADERCorrupted[[#This Row],[ClickTick]]&amp;1, TabConsolid[#Headers])),
  MATCH(
    -TabTRADERCorrupted[[#This Row],[M]],
    INDEX(TabConsolid[], , _xlfn.XMATCH(TabTRADERCorrupted[[#This Row],[ClickTick]]&amp;2, TabConsolid[#Headers])),
    -1
  )
)</f>
        <v>100</v>
      </c>
      <c r="BQ13" s="674"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13" s="1113">
        <f ca="1">TabTRADERCorrupted[[#This Row],[ReBuy]]/(TabTRADERCorrupted[[#This Row],[L_Sn]]+TabTRADERCorrupted[[#This Row],[SellMore]])</f>
        <v>104.74679487179488</v>
      </c>
      <c r="BS1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-2.2236468343695055</v>
      </c>
      <c r="BT13" s="682">
        <f ca="1">(TabTRADERCorrupted[[#This Row],[M]]-TabTRADERCorrupted[[#This Row],[Agiotage]])/(TabTRADERCorrupted[[#This Row],[M]]-TabTRADERCorrupted[[#This Row],[A]])-1</f>
        <v>7.958058501542741</v>
      </c>
      <c r="BU13" s="1221">
        <f ca="1">_xlfn.XMATCH(TabTRADERCorrupted[[#This Row],[ClickTick]]&amp;1, TabConsolid[#Headers])</f>
        <v>32</v>
      </c>
      <c r="BV13" t="b">
        <f ca="1">IF(ABS(TabTRADERCorrupted[[#This Row],[L_Bp]])&gt;=TabTRADERCorrupted[[#This Row],[M]],"OK")</f>
        <v>0</v>
      </c>
    </row>
    <row r="14" spans="1:74">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+12,037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15.2%</v>
      </c>
      <c r="D14" s="683"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414/1,000=32,838</v>
      </c>
      <c r="E1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20,335$</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9,930$</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-12.5% = 0</v>
      </c>
      <c r="I14" s="224" t="str">
        <f ca="1">IFERROR(TRUNC(TabCalc[[#This Row],[L_S1p]],2)&amp;"x"&amp;TabCalc[[#This Row],[L_S1n]]&amp;"=   "&amp;TEXT(TabCalc[[#This Row],[ReverseB1]],"#,#0"),"")</f>
        <v>68.32x1000=   -10,950</v>
      </c>
      <c r="J14" s="293">
        <f ca="1">_xlfn.XLOOKUP(TabTRADERCorrupted[[#This Row],[ClickTick]],TabCalc[Ticker],ListGravity)</f>
        <v>1.0699477734325724</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0.80056440169289977</v>
      </c>
      <c r="N14" s="322" cm="1">
        <f t="array" aca="1" ref="N14" ca="1">_xlfn.XLOOKUP(TabTRADERCorrupted[[#This Row],[ClickTick]],ListTickers,Tab2RSIConventional[RSIConv20])</f>
        <v>58</v>
      </c>
      <c r="O14" s="698"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6">
        <f ca="1">_xlfn.XLOOKUP(TabTRADERCorrupted[[#This Row],[ClickTick]],TabCalc[Ticker],TabCalc[L_Bp])</f>
        <v>-67.2</v>
      </c>
      <c r="R14" s="759">
        <f ca="1">(TabTRADERCorrupted[[#This Row],[M]]+TabTRADERCorrupted[[#This Row],[L_Bp]])/ABS(TabTRADERCorrupted[[#This Row],[L_Bp]])</f>
        <v>0.17961309523809513</v>
      </c>
      <c r="S14" s="678">
        <f ca="1">_xlfn.XLOOKUP(TabTRADERCorrupted[[#This Row],[ClickTick]],TabCalc[Ticker],TabCalc[Rev(MinStock)])*(1-Commission)</f>
        <v>12005.703799999999</v>
      </c>
      <c r="T14" s="777">
        <f ca="1">_xlfn.XLOOKUP(TabTRADERCorrupted[[#This Row],[ClickTick]],TabCalc[Ticker],TabCalc[Agiotage])</f>
        <v>0.80056440169289977</v>
      </c>
      <c r="U14" s="742"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-1,060/-1,060=&gt;-1.2% / -1.2%</v>
      </c>
      <c r="V14" s="734" t="str">
        <f ca="1">_xlfn.XLOOKUP(TabTRADERCorrupted[[#This Row],[ClickTick]],[1]!RTData[Ticker_Symbol],[1]!RTData[Currency])</f>
        <v>USD</v>
      </c>
      <c r="W14" s="703">
        <f ca="1">_xlfn.XLOOKUP(TabTRADERCorrupted[[#This Row],[ClickTick]],TabCalc[Ticker],TabCalc[M])</f>
        <v>79.27</v>
      </c>
      <c r="X14" s="1271" t="str">
        <f ca="1">SORTING!B14</f>
        <v>CSCO</v>
      </c>
      <c r="Y14" s="798">
        <f ca="1">_xlfn.XLOOKUP(TabTRADERCorrupted[[#This Row],[ClickTick]],TabCalc[Ticker],TabCalc[Y])</f>
        <v>84.814760000000007</v>
      </c>
      <c r="Z14" s="812">
        <f ca="1">_xlfn.XLOOKUP(TabTRADERCorrupted[[#This Row],[ClickTick]],[1]!RTData[Ticker_Symbol],[1]!RTData[YTChange])</f>
        <v>-2.935728999771102E-2</v>
      </c>
      <c r="AA14" s="827">
        <f ca="1">-_xlfn.XLOOKUP(TabTRADERCorrupted[[#This Row],[ClickTick]]&amp;2,Consolid!B$3:JZ$3,Consolid!B$4:JZ$4)</f>
        <v>67.374719999999996</v>
      </c>
      <c r="AB14" s="812" cm="1">
        <f t="array" aca="1" ref="AB14" ca="1">_xlfn.XLOOKUP(TabTRADERCorrupted[[#This Row],[ClickTick]],ListTickers,Tab1ChangePercent[Change%19])</f>
        <v>-1.2212000000000001E-2</v>
      </c>
      <c r="AC14" s="763">
        <f ca="1">_xlfn.XLOOKUP(TabTRADERCorrupted[[#This Row],[ClickTick]],TabCalc[Ticker],TabCalc[NAfter])</f>
        <v>1000</v>
      </c>
      <c r="AD1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^140/79 K$</v>
      </c>
      <c r="AE14" s="1147"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31"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79.27, 14.3%</v>
      </c>
      <c r="AG14" s="1131"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31" cm="1">
        <f t="array" aca="1" ref="AH14" ca="1">_xlfn.IFS(     TabTRADERCorrupted[[#This Row],[Traps]]=MUp,MIN(TabTRADERCorrupted[[#This Row],[L_Sn]],TabTRADERCorrupted[[#This Row],[N]])*(TabTRADERCorrupted[[#This Row],[M]]-TabTRADERCorrupted[[#This Row],[L_Sp]])*(1-Commission)*TabTRADERCorrupted[[#This Row],[Scale]],                                  TRUE,"M= "&amp;TabTRADERCorrupted[[#This Row],[M]])</f>
        <v>9904.1819999999916</v>
      </c>
      <c r="AI14" s="1131" t="str" cm="1">
        <f t="array" aca="1" ref="AI14" ca="1">_xlfn.IFS(   TabTRADERCorrupted[[#This Row],[Traps]]=MUp,TEXT(MIN(TabTRADERCorrupted[[#This Row],[L_Sn]],TabTRADERCorrupted[[#This Row],[N]]),"#,#0")&amp;" x "&amp;TEXT(TabTRADERCorrupted[[#This Row],[L_Sp]],"#,#0.#0"),          TRUE,"")</f>
        <v>1,000 x 69.34</v>
      </c>
      <c r="AJ14" s="1131"/>
      <c r="AK14" s="1131"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9904.1819999999916</v>
      </c>
      <c r="AL14" s="1131"/>
      <c r="AM14" s="1131"/>
      <c r="AN14" s="1131"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11864.352271999998</v>
      </c>
      <c r="AO14" s="1140"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0.17655405469588595</v>
      </c>
      <c r="AP14" s="1140"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0.12266807114923668</v>
      </c>
      <c r="AQ14" s="820" cm="1">
        <f t="array" aca="1" ref="AQ14" ca="1">_xlfn.IFS(   TabTRADERCorrupted[[#This Row],[Traps]]=SellMorePercentGain,                     MIN(TabTRADERCorrupted[[#This Row],[L_Sn]],TabTRADERCorrupted[[#This Row],[N]])*(TabTRADERCorrupted[[#This Row],[M]]-TabTRADERCorrupted[[#This Row],[L_Sp]])*(1-Commission)*TabTRADERCorrupted[[#This Row],[Scale]],                    TRUE,"")</f>
        <v>9904.1819999999916</v>
      </c>
      <c r="AR14" s="1129">
        <f ca="1">_xlfn.XLOOKUP(TabTRADERCorrupted[[#This Row],[ClickTick]],TabCalc[Ticker],TabCalc[Ann%RevLB])</f>
        <v>0.85079887218045058</v>
      </c>
      <c r="AS14" s="1225">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20"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40" cm="1">
        <f t="array" aca="1" ref="AV14" ca="1">_xlfn.IFS(   TabTRADERCorrupted[[#This Row],[Traps]]=MUp,TabTRADERCorrupted[[#This Row],[TakeGain_A]]-Commission,        TabTRADERCorrupted[[#This Row],[Traps]]=MDown,(TabTRADERCorrupted[[#This Row],[A]]-TabTRADERCorrupted[[#This Row],[M]])/TabTRADERCorrupted[[#This Row],[M]]-Commission,                              TRUE,"")</f>
        <v>0.17395405469588596</v>
      </c>
      <c r="AW14" s="820"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13959.051771961947</v>
      </c>
      <c r="AX14" s="755"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14" s="731"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1,000x11.89</v>
      </c>
      <c r="AZ14" s="760"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0.17609501415367665</v>
      </c>
      <c r="BA14" s="757"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-0.15266030023968713</v>
      </c>
      <c r="BB14" s="322">
        <f ca="1">_xlfn.XLOOKUP(TabTRADERCorrupted[[#This Row],[ClickTick]],TabCalc[Ticker],TabCalc[L_Sn])</f>
        <v>1000</v>
      </c>
      <c r="BC14" s="723">
        <f ca="1">_xlfn.XLOOKUP(TabTRADERCorrupted[[#This Row],[ClickTick]],TabCalc[Ticker],TabCalc[L_Sp])</f>
        <v>69.34</v>
      </c>
      <c r="BD14" s="759">
        <f ca="1">-IFERROR((TabTRADERCorrupted[[#This Row],[M]]-TabTRADERCorrupted[[#This Row],[L_Sp]])/TabTRADERCorrupted[[#This Row],[L_Sp]],0)</f>
        <v>-0.14320738390539359</v>
      </c>
      <c r="BE14" s="724">
        <f ca="1">TabTRADERCorrupted[[#This Row],[L_Sn]]*(TabTRADERCorrupted[[#This Row],[M]]-TabTRADERCorrupted[[#This Row],[L_Sp]])*(1-Commission)*TabTRADERCorrupted[[#This Row],[Scale]]</f>
        <v>9904.1819999999916</v>
      </c>
      <c r="BF14" s="687">
        <f ca="1">TabTRADERCorrupted[[#This Row],[L_Sn]]*(TabTRADERCorrupted[[#This Row],[Agiotage]]-TabTRADERCorrupted[[#This Row],[M]])/(TabTRADERCorrupted[[#This Row],[L_Bn]]*TabTRADERCorrupted[[#This Row],[M]])</f>
        <v>-0.98990078968471173</v>
      </c>
      <c r="BG14" s="630">
        <f ca="1">IFERROR((TabTRADERCorrupted[[#This Row],[M]]-TabTRADERCorrupted[[#This Row],[A]])/TabTRADERCorrupted[[#This Row],[A]],0)</f>
        <v>0.17655405469588595</v>
      </c>
      <c r="BH1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11,864$</v>
      </c>
      <c r="BI14" s="679">
        <f ca="1">_xlfn.XLOOKUP(TabTRADERCorrupted[[#This Row],[ClickTick]],TabCalc[[#This Row],[Ticker]],TabCalc[[#This Row],[GL]])*(1-Commission)</f>
        <v>139283.85445053791</v>
      </c>
      <c r="BJ14" s="679"/>
      <c r="BK14" s="664" t="str">
        <f ca="1">TabTRADERCorrupted[[#This Row],[ClickTick]]&amp;": "&amp;_xlfn.XLOOKUP(TabTRADERCorrupted[[#This Row],[ClickTick]],TabCalc[Ticker],TabCalc[Pile?])</f>
        <v>CSCO: Pile</v>
      </c>
      <c r="BL14" s="349" t="s">
        <v>1930</v>
      </c>
      <c r="BM14" s="750" t="str" cm="1">
        <f t="array" aca="1" ref="BM14" ca="1">_xlfn.TEXTJOIN("",,INDEX({"M","A","Y"}, _xlfn.SORTBY({1,2,3}, -CHOOSE({1,2,3}, TabTRADERCorrupted[[#This Row],[M]], TabTRADERCorrupted[[#This Row],[A]], TabTRADERCorrupted[[#This Row],[Agiotage]]))))</f>
        <v>MAY</v>
      </c>
      <c r="BN14" s="896"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0.12526807114923669</v>
      </c>
      <c r="BO14" s="674">
        <f ca="1">TabTRADERCorrupted[[#This Row],[L_Sn]]*TabTRADERCorrupted[[#This Row],[L_Sp]]+TabTRADERCorrupted[[#This Row],[SellMore]]*TabTRADERCorrupted[[#This Row],[M]]</f>
        <v>148610</v>
      </c>
      <c r="BP14" s="674">
        <f ca="1">INDEX(
  INDEX(TabConsolid[], , _xlfn.XMATCH(TabTRADERCorrupted[[#This Row],[ClickTick]]&amp;1, TabConsolid[#Headers])),
  MATCH(
    -TabTRADERCorrupted[[#This Row],[M]],
    INDEX(TabConsolid[], , _xlfn.XMATCH(TabTRADERCorrupted[[#This Row],[ClickTick]]&amp;2, TabConsolid[#Headers])),
    -1
  )
)</f>
        <v>1000</v>
      </c>
      <c r="BQ14" s="674"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13">
        <f ca="1">TabTRADERCorrupted[[#This Row],[ReBuy]]/(TabTRADERCorrupted[[#This Row],[L_Sn]]+TabTRADERCorrupted[[#This Row],[SellMore]])</f>
        <v>74.305000000000007</v>
      </c>
      <c r="BS1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-0.1569388711966142</v>
      </c>
      <c r="BT14" s="682">
        <f ca="1">(TabTRADERCorrupted[[#This Row],[M]]-TabTRADERCorrupted[[#This Row],[Agiotage]])/(TabTRADERCorrupted[[#This Row],[M]]-TabTRADERCorrupted[[#This Row],[A]])-1</f>
        <v>5.5966867192959819</v>
      </c>
      <c r="BU14" s="1221">
        <f ca="1">_xlfn.XMATCH(TabTRADERCorrupted[[#This Row],[ClickTick]]&amp;1, TabConsolid[#Headers])</f>
        <v>35</v>
      </c>
      <c r="BV14" t="b">
        <f ca="1">IF(ABS(TabTRADERCorrupted[[#This Row],[L_Bp]])&gt;=TabTRADERCorrupted[[#This Row],[M]],"OK")</f>
        <v>0</v>
      </c>
    </row>
    <row r="15" spans="1:74">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+24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30.6%</v>
      </c>
      <c r="D15" s="683"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35$</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1,530$</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-7.6% = 0</v>
      </c>
      <c r="I15" s="224" t="str">
        <f ca="1">IFERROR(TRUNC(TabCalc[[#This Row],[L_S1p]],2)&amp;"x"&amp;TabCalc[[#This Row],[L_S1n]]&amp;"=   "&amp;TEXT(TabCalc[[#This Row],[ReverseB1]],"#,#0"),"")</f>
        <v>62.73x750=   -13,571</v>
      </c>
      <c r="J15" s="293">
        <f ca="1">_xlfn.XLOOKUP(TabTRADERCorrupted[[#This Row],[ClickTick]],TabCalc[Ticker],ListGravity)</f>
        <v>1.1362118025485588</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1.4470384600516701</v>
      </c>
      <c r="N15" s="322" cm="1">
        <f t="array" aca="1" ref="N15" ca="1">_xlfn.XLOOKUP(TabTRADERCorrupted[[#This Row],[ClickTick]],ListTickers,Tab2RSIConventional[RSIConv20])</f>
        <v>49</v>
      </c>
      <c r="O15" s="698" t="str">
        <f ca="1">TEXT(_xlfn.XLOOKUP(TabTRADERCorrupted[[#This Row],[ClickTick]],TabCalc[Ticker],TabCalc[Nbegin]),"#,#0")&amp;": "&amp;_xlfn.XLOOKUP(TabTRADERCorrupted[[#This Row],[ClickTick]],TabCalc[Ticker],TabCalc[Pile?])</f>
        <v xml:space="preserve">2,000: </v>
      </c>
      <c r="P15" s="729">
        <f ca="1">_xlfn.XLOOKUP(TabTRADERCorrupted[[#This Row],[ClickTick]],TabCalc[Ticker],TabCalc[L_Bn])</f>
        <v>2000</v>
      </c>
      <c r="Q15" s="723">
        <f ca="1">_xlfn.XLOOKUP(TabTRADERCorrupted[[#This Row],[ClickTick]],TabCalc[Ticker],TabCalc[L_Bp])</f>
        <v>-56.056190000000001</v>
      </c>
      <c r="R15" s="759">
        <f ca="1">(TabTRADERCorrupted[[#This Row],[M]]+TabTRADERCorrupted[[#This Row],[L_Bp]])/ABS(TabTRADERCorrupted[[#This Row],[L_Bp]])</f>
        <v>0.44194601880720036</v>
      </c>
      <c r="S15" s="678">
        <f ca="1">_xlfn.XLOOKUP(TabTRADERCorrupted[[#This Row],[ClickTick]],TabCalc[Ticker],TabCalc[Rev(MinStock)])*(1-Commission)</f>
        <v>23.9376</v>
      </c>
      <c r="T15" s="777">
        <f ca="1">_xlfn.XLOOKUP(TabTRADERCorrupted[[#This Row],[ClickTick]],TabCalc[Ticker],TabCalc[Agiotage])</f>
        <v>1.4470384600516701</v>
      </c>
      <c r="U15" s="742"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2/2=&gt;2.4% / 2.4%</v>
      </c>
      <c r="V15" s="734" t="str">
        <f ca="1">_xlfn.XLOOKUP(TabTRADERCorrupted[[#This Row],[ClickTick]],[1]!RTData[Ticker_Symbol],[1]!RTData[Currency])</f>
        <v>USD</v>
      </c>
      <c r="W15" s="744">
        <f ca="1">_xlfn.XLOOKUP(TabTRADERCorrupted[[#This Row],[ClickTick]],TabCalc[Ticker],TabCalc[M])</f>
        <v>80.83</v>
      </c>
      <c r="X15" s="1271" t="str">
        <f ca="1">SORTING!B15</f>
        <v>CVS</v>
      </c>
      <c r="Y15" s="798">
        <f ca="1">_xlfn.XLOOKUP(TabTRADERCorrupted[[#This Row],[ClickTick]],TabCalc[Ticker],TabCalc[Y])</f>
        <v>91.84</v>
      </c>
      <c r="Z15" s="812">
        <f ca="1">_xlfn.XLOOKUP(TabTRADERCorrupted[[#This Row],[ClickTick]],[1]!RTData[Ticker_Symbol],[1]!RTData[YTChange])</f>
        <v>0.21137361643036257</v>
      </c>
      <c r="AA15" s="827">
        <f ca="1">-_xlfn.XLOOKUP(TabTRADERCorrupted[[#This Row],[ClickTick]]&amp;2,Consolid!B$3:JZ$3,Consolid!B$4:JZ$4)</f>
        <v>56.201936093999997</v>
      </c>
      <c r="AB15" s="812" cm="1">
        <f t="array" aca="1" ref="AB15" ca="1">_xlfn.XLOOKUP(TabTRADERCorrupted[[#This Row],[ClickTick]],ListTickers,Tab1ChangePercent[Change%19])</f>
        <v>2.3553000000000001E-2</v>
      </c>
      <c r="AC15" s="763">
        <f ca="1">_xlfn.XLOOKUP(TabTRADERCorrupted[[#This Row],[ClickTick]],TabCalc[Ticker],TabCalc[NAfter])</f>
        <v>1</v>
      </c>
      <c r="AD1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-45/0 K$</v>
      </c>
      <c r="AE15" s="1147"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31"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80.83, 08.2%</v>
      </c>
      <c r="AG15" s="1131"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31" cm="1">
        <f t="array" aca="1" ref="AH15" ca="1">_xlfn.IFS(     TabTRADERCorrupted[[#This Row],[Traps]]=MUp,MIN(TabTRADERCorrupted[[#This Row],[L_Sn]],TabTRADERCorrupted[[#This Row],[N]])*(TabTRADERCorrupted[[#This Row],[M]]-TabTRADERCorrupted[[#This Row],[L_Sp]])*(1-Commission)*TabTRADERCorrupted[[#This Row],[Scale]],                                  TRUE,"M= "&amp;TabTRADERCorrupted[[#This Row],[M]])</f>
        <v>6.1290229999999957</v>
      </c>
      <c r="AI15" s="1131" t="str" cm="1">
        <f t="array" aca="1" ref="AI15" ca="1">_xlfn.IFS(   TabTRADERCorrupted[[#This Row],[Traps]]=MUp,TEXT(MIN(TabTRADERCorrupted[[#This Row],[L_Sn]],TabTRADERCorrupted[[#This Row],[N]]),"#,#0")&amp;" x "&amp;TEXT(TabTRADERCorrupted[[#This Row],[L_Sp]],"#,#0.#0"),          TRUE,"")</f>
        <v>1 x 74.69</v>
      </c>
      <c r="AJ15" s="1131"/>
      <c r="AK15" s="1131"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6.1290229999999957</v>
      </c>
      <c r="AL15" s="1131"/>
      <c r="AM15" s="1131"/>
      <c r="AN15" s="1131"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24.5640309398444</v>
      </c>
      <c r="AO15" s="1140"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0.43820668143546826</v>
      </c>
      <c r="AP15" s="1140"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7.3423753556847646E-2</v>
      </c>
      <c r="AQ15" s="820" cm="1">
        <f t="array" aca="1" ref="AQ15" ca="1">_xlfn.IFS(   TabTRADERCorrupted[[#This Row],[Traps]]=SellMorePercentGain,                     MIN(TabTRADERCorrupted[[#This Row],[L_Sn]],TabTRADERCorrupted[[#This Row],[N]])*(TabTRADERCorrupted[[#This Row],[M]]-TabTRADERCorrupted[[#This Row],[L_Sp]])*(1-Commission)*TabTRADERCorrupted[[#This Row],[Scale]],                    TRUE,"")</f>
        <v>6.1290229999999957</v>
      </c>
      <c r="AR15" s="1129">
        <f ca="1">_xlfn.XLOOKUP(TabTRADERCorrupted[[#This Row],[ClickTick]],TabCalc[Ticker],TabCalc[Ann%RevLB])</f>
        <v>0.50031624770626459</v>
      </c>
      <c r="AS15" s="1225">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20"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40" cm="1">
        <f t="array" aca="1" ref="AV15" ca="1">_xlfn.IFS(   TabTRADERCorrupted[[#This Row],[Traps]]=MUp,TabTRADERCorrupted[[#This Row],[TakeGain_A]]-Commission,        TabTRADERCorrupted[[#This Row],[Traps]]=MDown,(TabTRADERCorrupted[[#This Row],[A]]-TabTRADERCorrupted[[#This Row],[M]])/TabTRADERCorrupted[[#This Row],[M]]-Commission,                              TRUE,"")</f>
        <v>0.43560668143546827</v>
      </c>
      <c r="AW15" s="820"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35.328153420671782</v>
      </c>
      <c r="AX15" s="755"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1.5%</v>
      </c>
      <c r="AY15" s="731"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1x24.62</v>
      </c>
      <c r="AZ15" s="760"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0.43706734406373604</v>
      </c>
      <c r="BA15" s="757"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-0.30728964377087714</v>
      </c>
      <c r="BB15" s="322">
        <f ca="1">_xlfn.XLOOKUP(TabTRADERCorrupted[[#This Row],[ClickTick]],TabCalc[Ticker],TabCalc[L_Sn])</f>
        <v>249</v>
      </c>
      <c r="BC15" s="723">
        <f ca="1">_xlfn.XLOOKUP(TabTRADERCorrupted[[#This Row],[ClickTick]],TabCalc[Ticker],TabCalc[L_Sp])</f>
        <v>74.685000000000002</v>
      </c>
      <c r="BD15" s="759">
        <f ca="1">-IFERROR((TabTRADERCorrupted[[#This Row],[M]]-TabTRADERCorrupted[[#This Row],[L_Sp]])/TabTRADERCorrupted[[#This Row],[L_Sp]],0)</f>
        <v>-8.2278904733212768E-2</v>
      </c>
      <c r="BE15" s="724">
        <f ca="1">TabTRADERCorrupted[[#This Row],[L_Sn]]*(TabTRADERCorrupted[[#This Row],[M]]-TabTRADERCorrupted[[#This Row],[L_Sp]])*(1-Commission)*TabTRADERCorrupted[[#This Row],[Scale]]</f>
        <v>1526.1267269999989</v>
      </c>
      <c r="BF15" s="687">
        <f ca="1">TabTRADERCorrupted[[#This Row],[L_Sn]]*(TabTRADERCorrupted[[#This Row],[Agiotage]]-TabTRADERCorrupted[[#This Row],[M]])/(TabTRADERCorrupted[[#This Row],[L_Bn]]*TabTRADERCorrupted[[#This Row],[M]])</f>
        <v>-0.12227117050258032</v>
      </c>
      <c r="BG15" s="630">
        <f ca="1">IFERROR((TabTRADERCorrupted[[#This Row],[M]]-TabTRADERCorrupted[[#This Row],[A]])/TabTRADERCorrupted[[#This Row],[A]],0)</f>
        <v>0.43820668143546826</v>
      </c>
      <c r="BH1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25$</v>
      </c>
      <c r="BI15" s="679">
        <f ca="1">_xlfn.XLOOKUP(TabTRADERCorrupted[[#This Row],[ClickTick]],TabCalc[[#This Row],[Ticker]],TabCalc[[#This Row],[GL]])*(1-Commission)</f>
        <v>-44444.07089115191</v>
      </c>
      <c r="BJ15" s="679"/>
      <c r="BK15" s="664" t="str">
        <f ca="1">TabTRADERCorrupted[[#This Row],[ClickTick]]&amp;": "&amp;_xlfn.XLOOKUP(TabTRADERCorrupted[[#This Row],[ClickTick]],TabCalc[Ticker],TabCalc[Pile?])</f>
        <v xml:space="preserve">CVS: </v>
      </c>
      <c r="BL15" s="349" t="s">
        <v>1931</v>
      </c>
      <c r="BM15" s="750" t="str" cm="1">
        <f t="array" aca="1" ref="BM15" ca="1">_xlfn.TEXTJOIN("",,INDEX({"M","A","Y"}, _xlfn.SORTBY({1,2,3}, -CHOOSE({1,2,3}, TabTRADERCorrupted[[#This Row],[M]], TabTRADERCorrupted[[#This Row],[A]], TabTRADERCorrupted[[#This Row],[Agiotage]]))))</f>
        <v>MAY</v>
      </c>
      <c r="BN15" s="896"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7.6023753556847651E-2</v>
      </c>
      <c r="BO15" s="674">
        <f ca="1">TabTRADERCorrupted[[#This Row],[L_Sn]]*TabTRADERCorrupted[[#This Row],[L_Sp]]+TabTRADERCorrupted[[#This Row],[SellMore]]*TabTRADERCorrupted[[#This Row],[M]]</f>
        <v>18677.395000000004</v>
      </c>
      <c r="BP15" s="674">
        <f ca="1">INDEX(
  INDEX(TabConsolid[], , _xlfn.XMATCH(TabTRADERCorrupted[[#This Row],[ClickTick]]&amp;1, TabConsolid[#Headers])),
  MATCH(
    -TabTRADERCorrupted[[#This Row],[M]],
    INDEX(TabConsolid[], , _xlfn.XMATCH(TabTRADERCorrupted[[#This Row],[ClickTick]]&amp;2, TabConsolid[#Headers])),
    -1
  )
)</f>
        <v>1</v>
      </c>
      <c r="BQ15" s="674"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13">
        <f ca="1">TabTRADERCorrupted[[#This Row],[ReBuy]]/(TabTRADERCorrupted[[#This Row],[L_Sn]]+TabTRADERCorrupted[[#This Row],[SellMore]])</f>
        <v>74.709580000000017</v>
      </c>
      <c r="BS1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-79.70176861440595</v>
      </c>
      <c r="BT15" s="682">
        <f ca="1">(TabTRADERCorrupted[[#This Row],[M]]-TabTRADERCorrupted[[#This Row],[Agiotage]])/(TabTRADERCorrupted[[#This Row],[M]]-TabTRADERCorrupted[[#This Row],[A]])-1</f>
        <v>2.2232725171956651</v>
      </c>
      <c r="BU15" s="1221">
        <f ca="1">_xlfn.XMATCH(TabTRADERCorrupted[[#This Row],[ClickTick]]&amp;1, TabConsolid[#Headers])</f>
        <v>38</v>
      </c>
      <c r="BV15" t="b">
        <f ca="1">IF(ABS(TabTRADERCorrupted[[#This Row],[L_Bp]])&gt;=TabTRADERCorrupted[[#This Row],[M]],"OK")</f>
        <v>0</v>
      </c>
    </row>
    <row r="16" spans="1:74" ht="23" customHeight="1">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+1,097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v>
      </c>
      <c r="D16" s="683"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-25,425$</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-11,850$</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60.3% = 4,219</v>
      </c>
      <c r="I16" s="224" t="str">
        <f ca="1">IFERROR(TRUNC(TabCalc[[#This Row],[L_S1p]],2)&amp;"x"&amp;TabCalc[[#This Row],[L_S1n]]&amp;"=   "&amp;TEXT(TabCalc[[#This Row],[ReverseB1]],"#,#0"),"")</f>
        <v>3.08x5000=   5,575</v>
      </c>
      <c r="J16" s="293">
        <f ca="1">_xlfn.XLOOKUP(TabTRADERCorrupted[[#This Row],[ClickTick]],TabCalc[Ticker],ListGravity)</f>
        <v>1.8447837150127226</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88425</v>
      </c>
      <c r="M16" s="321">
        <f ca="1">_xlfn.XLOOKUP(TabTRADERCorrupted[[#This Row],[ClickTick]],TabCalc[Ticker],TabCalc[Agiotage])</f>
        <v>1.5342978323128995</v>
      </c>
      <c r="N16" s="322" cm="1">
        <f t="array" aca="1" ref="N16" ca="1">_xlfn.XLOOKUP(TabTRADERCorrupted[[#This Row],[ClickTick]],ListTickers,Tab2RSIConventional[RSIConv20])</f>
        <v>65</v>
      </c>
      <c r="O16" s="698" t="str">
        <f ca="1">TEXT(_xlfn.XLOOKUP(TabTRADERCorrupted[[#This Row],[ClickTick]],TabCalc[Ticker],TabCalc[Nbegin]),"#,#0")&amp;": "&amp;_xlfn.XLOOKUP(TabTRADERCorrupted[[#This Row],[ClickTick]],TabCalc[Ticker],TabCalc[Pile?])</f>
        <v>40,000: Pile</v>
      </c>
      <c r="P16" s="729">
        <f ca="1">_xlfn.XLOOKUP(TabTRADERCorrupted[[#This Row],[ClickTick]],TabCalc[Ticker],TabCalc[L_Bn])</f>
        <v>20000</v>
      </c>
      <c r="Q16" s="676">
        <f ca="1">_xlfn.XLOOKUP(TabTRADERCorrupted[[#This Row],[ClickTick]],TabCalc[Ticker],TabCalc[L_Bp])</f>
        <v>-1.91</v>
      </c>
      <c r="R16" s="759">
        <f ca="1">(TabTRADERCorrupted[[#This Row],[M]]+TabTRADERCorrupted[[#This Row],[L_Bp]])/ABS(TabTRADERCorrupted[[#This Row],[L_Bp]])</f>
        <v>2.8795811518324693E-2</v>
      </c>
      <c r="S16" s="678">
        <f ca="1">_xlfn.XLOOKUP(TabTRADERCorrupted[[#This Row],[ClickTick]],TabCalc[Ticker],TabCalc[Rev(MinStock)])*(1-Commission)</f>
        <v>1094.1478</v>
      </c>
      <c r="T16" s="777">
        <f ca="1">_xlfn.XLOOKUP(TabTRADERCorrupted[[#This Row],[ClickTick]],TabCalc[Ticker],TabCalc[Agiotage])</f>
        <v>1.5342978323128995</v>
      </c>
      <c r="U16" s="742"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14,875/14,875=&gt;11.0% / 11.0%</v>
      </c>
      <c r="V16" s="734" t="str">
        <f ca="1">_xlfn.XLOOKUP(TabTRADERCorrupted[[#This Row],[ClickTick]],[1]!RTData[Ticker_Symbol],[1]!RTData[Currency])</f>
        <v>USD</v>
      </c>
      <c r="W16" s="744">
        <f ca="1">_xlfn.XLOOKUP(TabTRADERCorrupted[[#This Row],[ClickTick]],TabCalc[Ticker],TabCalc[M])</f>
        <v>1.9650000000000001</v>
      </c>
      <c r="X16" s="1271" t="str">
        <f ca="1">SORTING!B16</f>
        <v>DDD</v>
      </c>
      <c r="Y16" s="798">
        <f ca="1">_xlfn.XLOOKUP(TabTRADERCorrupted[[#This Row],[ClickTick]],TabCalc[Ticker],TabCalc[Y])</f>
        <v>3.625</v>
      </c>
      <c r="Z16" s="812">
        <f ca="1">_xlfn.XLOOKUP(TabTRADERCorrupted[[#This Row],[ClickTick]],[1]!RTData[Ticker_Symbol],[1]!RTData[YTChange])</f>
        <v>-0.94986168741355459</v>
      </c>
      <c r="AA16" s="827">
        <f ca="1">-_xlfn.XLOOKUP(TabTRADERCorrupted[[#This Row],[ClickTick]]&amp;2,Consolid!B$3:JZ$3,Consolid!B$4:JZ$4)</f>
        <v>2.994825176470588</v>
      </c>
      <c r="AB16" s="812" cm="1">
        <f t="array" aca="1" ref="AB16" ca="1">_xlfn.XLOOKUP(TabTRADERCorrupted[[#This Row],[ClickTick]],ListTickers,Tab1ChangePercent[Change%19])</f>
        <v>0.110169</v>
      </c>
      <c r="AC16" s="763">
        <f ca="1">_xlfn.XLOOKUP(TabTRADERCorrupted[[#This Row],[ClickTick]],TabCalc[Ticker],TabCalc[NAfter])</f>
        <v>85000</v>
      </c>
      <c r="AD1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-348/167 K$</v>
      </c>
      <c r="AE16" s="1147"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31"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31"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11819.189999999997</v>
      </c>
      <c r="AH16" s="1131"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1.965</v>
      </c>
      <c r="AI16" s="1131" t="str" cm="1">
        <f t="array" aca="1" ref="AI16" ca="1">_xlfn.IFS(   TabTRADERCorrupted[[#This Row],[Traps]]=MUp,TEXT(MIN(TabTRADERCorrupted[[#This Row],[L_Sn]],TabTRADERCorrupted[[#This Row],[N]]),"#,#0")&amp;" x "&amp;TEXT(TabTRADERCorrupted[[#This Row],[L_Sp]],"#,#0.#0"),          TRUE,"")</f>
        <v/>
      </c>
      <c r="AJ16" s="1131"/>
      <c r="AK16" s="1131"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31"/>
      <c r="AM16" s="1131"/>
      <c r="AN16" s="1131"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11819.189999999997</v>
      </c>
      <c r="AO16" s="1140"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0.37619047619047613</v>
      </c>
      <c r="AP16" s="1140"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TabTRADERCorrupted[[#This Row],[Traps]]=SellMorePercentGain,                     MIN(TabTRADERCorrupted[[#This Row],[L_Sn]],TabTRADERCorrupted[[#This Row],[N]])*(TabTRADERCorrupted[[#This Row],[M]]-TabTRADERCorrupted[[#This Row],[L_Sp]])*(1-Commission)*TabTRADERCorrupted[[#This Row],[Scale]],                    TRUE,"")</f>
        <v/>
      </c>
      <c r="AR16" s="1129">
        <f ca="1">_xlfn.XLOOKUP(TabTRADERCorrupted[[#This Row],[ClickTick]],TabCalc[Ticker],TabCalc[Ann%RevLB])</f>
        <v>4.8898547861306083E-2</v>
      </c>
      <c r="AS16" s="1225">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20"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40" t="str" cm="1">
        <f t="array" aca="1" ref="AV16" ca="1">_xlfn.IFS(   TabTRADERCorrupted[[#This Row],[Traps]]=MUp,TabTRADERCorrupted[[#This Row],[TakeGain_A]]-Commission,        TabTRADERCorrupted[[#This Row],[Traps]]=MDown,(TabTRADERCorrupted[[#This Row],[A]]-TabTRADERCorrupted[[#This Row],[M]])/TabTRADERCorrupted[[#This Row],[M]]-Commission,                              TRUE,"")</f>
        <v/>
      </c>
      <c r="AW16" s="820"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-87307.548635999963</v>
      </c>
      <c r="AX16" s="755"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16" s="731"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60"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-0.34297415391113462</v>
      </c>
      <c r="BA16" s="757"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0.5214840592725638</v>
      </c>
      <c r="BB16" s="322">
        <f ca="1">_xlfn.XLOOKUP(TabTRADERCorrupted[[#This Row],[ClickTick]],TabCalc[Ticker],TabCalc[L_Sn])</f>
        <v>10000</v>
      </c>
      <c r="BC16" s="723">
        <f ca="1">_xlfn.XLOOKUP(TabTRADERCorrupted[[#This Row],[ClickTick]],TabCalc[Ticker],TabCalc[L_Sp])</f>
        <v>3.15</v>
      </c>
      <c r="BD16" s="759">
        <f ca="1">-IFERROR((TabTRADERCorrupted[[#This Row],[M]]-TabTRADERCorrupted[[#This Row],[L_Sp]])/TabTRADERCorrupted[[#This Row],[L_Sp]],0)</f>
        <v>0.37619047619047613</v>
      </c>
      <c r="BE16" s="724">
        <f ca="1">TabTRADERCorrupted[[#This Row],[L_Sn]]*(TabTRADERCorrupted[[#This Row],[M]]-TabTRADERCorrupted[[#This Row],[L_Sp]])*(1-Commission)*TabTRADERCorrupted[[#This Row],[Scale]]</f>
        <v>-11819.189999999997</v>
      </c>
      <c r="BF16" s="687">
        <f ca="1">TabTRADERCorrupted[[#This Row],[L_Sn]]*(TabTRADERCorrupted[[#This Row],[Agiotage]]-TabTRADERCorrupted[[#This Row],[M]])/(TabTRADERCorrupted[[#This Row],[L_Bn]]*TabTRADERCorrupted[[#This Row],[M]])</f>
        <v>-0.10959342689239202</v>
      </c>
      <c r="BG16" s="630">
        <f ca="1">IFERROR((TabTRADERCorrupted[[#This Row],[M]]-TabTRADERCorrupted[[#This Row],[A]])/TabTRADERCorrupted[[#This Row],[A]],0)</f>
        <v>-0.34386821126041173</v>
      </c>
      <c r="BH1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-87,308$</v>
      </c>
      <c r="BI16" s="679">
        <f ca="1">_xlfn.XLOOKUP(TabTRADERCorrupted[[#This Row],[ClickTick]],TabCalc[[#This Row],[Ticker]],TabCalc[[#This Row],[GL]])*(1-Commission)</f>
        <v>-346902.06115452026</v>
      </c>
      <c r="BJ16" s="679"/>
      <c r="BK16" s="664" t="str">
        <f ca="1">TabTRADERCorrupted[[#This Row],[ClickTick]]&amp;": "&amp;_xlfn.XLOOKUP(TabTRADERCorrupted[[#This Row],[ClickTick]],TabCalc[Ticker],TabCalc[Pile?])</f>
        <v>DDD: Pile</v>
      </c>
      <c r="BL16" s="349" t="s">
        <v>1936</v>
      </c>
      <c r="BM16" s="750" t="str" cm="1">
        <f t="array" aca="1" ref="BM16" ca="1">_xlfn.TEXTJOIN("",,INDEX({"M","A","Y"}, _xlfn.SORTBY({1,2,3}, -CHOOSE({1,2,3}, TabTRADERCorrupted[[#This Row],[M]], TabTRADERCorrupted[[#This Row],[A]], TabTRADERCorrupted[[#This Row],[Agiotage]]))))</f>
        <v>AMY</v>
      </c>
      <c r="BN16" s="896"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4" t="e">
        <f ca="1">TabTRADERCorrupted[[#This Row],[L_Sn]]*TabTRADERCorrupted[[#This Row],[L_Sp]]+TabTRADERCorrupted[[#This Row],[SellMore]]*TabTRADERCorrupted[[#This Row],[M]]</f>
        <v>#N/A</v>
      </c>
      <c r="BP16" s="674" t="e">
        <f ca="1">INDEX(
  INDEX(TabConsolid[], , _xlfn.XMATCH(TabTRADERCorrupted[[#This Row],[ClickTick]]&amp;1, TabConsolid[#Headers])),
  MATCH(
    -TabTRADERCorrupted[[#This Row],[M]],
    INDEX(TabConsolid[], , _xlfn.XMATCH(TabTRADERCorrupted[[#This Row],[ClickTick]]&amp;2, TabConsolid[#Headers])),
    -1
  )
)</f>
        <v>#N/A</v>
      </c>
      <c r="BQ16" s="674"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13" t="e">
        <f ca="1">TabTRADERCorrupted[[#This Row],[ReBuy]]/(TabTRADERCorrupted[[#This Row],[L_Sn]]+TabTRADERCorrupted[[#This Row],[SellMore]])</f>
        <v>#N/A</v>
      </c>
      <c r="BS1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-4.813730109444065E-5</v>
      </c>
      <c r="BT16" s="682">
        <f ca="1">(TabTRADERCorrupted[[#This Row],[M]]-TabTRADERCorrupted[[#This Row],[Agiotage]])/(TabTRADERCorrupted[[#This Row],[M]]-TabTRADERCorrupted[[#This Row],[A]])-1</f>
        <v>-1.418228430929608</v>
      </c>
      <c r="BU16" s="1221">
        <f ca="1">_xlfn.XMATCH(TabTRADERCorrupted[[#This Row],[ClickTick]]&amp;1, TabConsolid[#Headers])</f>
        <v>41</v>
      </c>
      <c r="BV16" t="b">
        <f ca="1">IF(ABS(TabTRADERCorrupted[[#This Row],[L_Bp]])&gt;=TabTRADERCorrupted[[#This Row],[M]],"OK")</f>
        <v>0</v>
      </c>
    </row>
    <row r="17" spans="1:74" ht="22" customHeight="1">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-3,525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-4.0%</v>
      </c>
      <c r="D17" s="683"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1,760$</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-6,320$</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 = 633</v>
      </c>
      <c r="I17" s="224" t="str">
        <f ca="1">IFERROR(TRUNC(TabCalc[[#This Row],[L_S1p]],2)&amp;"x"&amp;TabCalc[[#This Row],[L_S1n]]&amp;"=   "&amp;TEXT(TabCalc[[#This Row],[ReverseB1]],"#,#0"),"")</f>
        <v>117.4x400=   2,368</v>
      </c>
      <c r="J17" s="293">
        <f ca="1">_xlfn.XLOOKUP(TabTRADERCorrupted[[#This Row],[ClickTick]],TabCalc[Ticker],ListGravity)</f>
        <v>1.1885860243989952</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72462</v>
      </c>
      <c r="M17" s="321">
        <f ca="1">_xlfn.XLOOKUP(TabTRADERCorrupted[[#This Row],[ClickTick]],TabCalc[Ticker],TabCalc[Agiotage])</f>
        <v>0.95490146509038409</v>
      </c>
      <c r="N17" s="322" cm="1">
        <f t="array" aca="1" ref="N17" ca="1">_xlfn.XLOOKUP(TabTRADERCorrupted[[#This Row],[ClickTick]],ListTickers,Tab2RSIConventional[RSIConv20])</f>
        <v>39</v>
      </c>
      <c r="O17" s="698"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6">
        <f ca="1">_xlfn.XLOOKUP(TabTRADERCorrupted[[#This Row],[ClickTick]],TabCalc[Ticker],TabCalc[L_Bp])</f>
        <v>-115.89749999999999</v>
      </c>
      <c r="R17" s="759">
        <f ca="1">(TabTRADERCorrupted[[#This Row],[M]]+TabTRADERCorrupted[[#This Row],[L_Bp]])/ABS(TabTRADERCorrupted[[#This Row],[L_Bp]])</f>
        <v>-3.8115576263508616E-2</v>
      </c>
      <c r="S17" s="678">
        <f ca="1">_xlfn.XLOOKUP(TabTRADERCorrupted[[#This Row],[ClickTick]],TabCalc[Ticker],TabCalc[Rev(MinStock)])*(1-Commission)</f>
        <v>-3515.835</v>
      </c>
      <c r="T17" s="777">
        <f ca="1">_xlfn.XLOOKUP(TabTRADERCorrupted[[#This Row],[ClickTick]],TabCalc[Ticker],TabCalc[Agiotage])</f>
        <v>0.95490146509038409</v>
      </c>
      <c r="U17" s="742"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2,360/2,360=&gt;2.4% / 2.4%</v>
      </c>
      <c r="V17" s="734" t="str">
        <f ca="1">_xlfn.XLOOKUP(TabTRADERCorrupted[[#This Row],[ClickTick]],[1]!RTData[Ticker_Symbol],[1]!RTData[Currency])</f>
        <v>USD</v>
      </c>
      <c r="W17" s="744">
        <f ca="1">_xlfn.XLOOKUP(TabTRADERCorrupted[[#This Row],[ClickTick]],TabCalc[Ticker],TabCalc[M])</f>
        <v>111.48</v>
      </c>
      <c r="X17" s="1271" t="str">
        <f ca="1">SORTING!B17</f>
        <v>DIS</v>
      </c>
      <c r="Y17" s="798">
        <f ca="1">_xlfn.XLOOKUP(TabTRADERCorrupted[[#This Row],[ClickTick]],TabCalc[Ticker],TabCalc[Y])</f>
        <v>132.50357</v>
      </c>
      <c r="Z17" s="812">
        <f ca="1">_xlfn.XLOOKUP(TabTRADERCorrupted[[#This Row],[ClickTick]],[1]!RTData[Ticker_Symbol],[1]!RTData[YTChange])</f>
        <v>32.630347715736043</v>
      </c>
      <c r="AA17" s="827">
        <f ca="1">-_xlfn.XLOOKUP(TabTRADERCorrupted[[#This Row],[ClickTick]]&amp;2,Consolid!B$3:JZ$3,Consolid!B$4:JZ$4)</f>
        <v>114.87189239999999</v>
      </c>
      <c r="AB17" s="812" cm="1">
        <f t="array" aca="1" ref="AB17" ca="1">_xlfn.XLOOKUP(TabTRADERCorrupted[[#This Row],[ClickTick]],ListTickers,Tab1ChangePercent[Change%19])</f>
        <v>2.435E-2</v>
      </c>
      <c r="AC17" s="763">
        <f ca="1">_xlfn.XLOOKUP(TabTRADERCorrupted[[#This Row],[ClickTick]],TabCalc[Ticker],TabCalc[NAfter])</f>
        <v>1000</v>
      </c>
      <c r="AD1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^19/111 K$</v>
      </c>
      <c r="AE17" s="1147"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31"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111.48, -06.6%</v>
      </c>
      <c r="AG17" s="1131"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31"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111.48</v>
      </c>
      <c r="AI17" s="1131" t="str" cm="1">
        <f t="array" aca="1" ref="AI17" ca="1">_xlfn.IFS(   TabTRADERCorrupted[[#This Row],[Traps]]=MUp,TEXT(MIN(TabTRADERCorrupted[[#This Row],[L_Sn]],TabTRADERCorrupted[[#This Row],[N]]),"#,#0")&amp;" x "&amp;TEXT(TabTRADERCorrupted[[#This Row],[L_Sp]],"#,#0.#0"),          TRUE,"")</f>
        <v/>
      </c>
      <c r="AJ17" s="1131"/>
      <c r="AK17" s="1131"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3524.8115999999918</v>
      </c>
      <c r="AL17" s="1131"/>
      <c r="AM17" s="1131"/>
      <c r="AN17" s="1131"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111480</v>
      </c>
      <c r="AO17" s="1140"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2.952760966267488E-2</v>
      </c>
      <c r="AP17" s="1140"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3.702594187298161E-2</v>
      </c>
      <c r="AQ17" s="820" t="str" cm="1">
        <f t="array" aca="1" ref="AQ17" ca="1">_xlfn.IFS(   TabTRADERCorrupted[[#This Row],[Traps]]=SellMorePercentGain,                     MIN(TabTRADERCorrupted[[#This Row],[L_Sn]],TabTRADERCorrupted[[#This Row],[N]])*(TabTRADERCorrupted[[#This Row],[M]]-TabTRADERCorrupted[[#This Row],[L_Sp]])*(1-Commission)*TabTRADERCorrupted[[#This Row],[Scale]],                    TRUE,"")</f>
        <v/>
      </c>
      <c r="AR17" s="1146">
        <f ca="1">_xlfn.XLOOKUP(TabTRADERCorrupted[[#This Row],[ClickTick]],TabCalc[Ticker],TabCalc[Ann%RevLB])</f>
        <v>-0.14914790711807721</v>
      </c>
      <c r="AS17" s="1224">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3.9625941872981608E-2</v>
      </c>
      <c r="AU17" s="820" cm="1">
        <f t="array" aca="1" ref="AU17" ca="1">_xlfn.IFS(         TabTRADERCorrupted[[#This Row],[Traps]]=MDown,TabTRADERCorrupted[[#This Row],[L_Bn]]*TabTRADERCorrupted[[#This Row],[M]]*(-(TabTRADERCorrupted[[#This Row],[L_Bp]]+TabTRADERCorrupted[[#This Row],[M]])/TabTRADERCorrupted[[#This Row],[M]])*(1-Commission)*TabTRADERCorrupted[[#This Row],[Scale]],                               TRUE,"")</f>
        <v>3524.8115999999918</v>
      </c>
      <c r="AV17" s="1140" cm="1">
        <f t="array" aca="1" ref="AV17" ca="1">_xlfn.IFS(   TabTRADERCorrupted[[#This Row],[Traps]]=MUp,TabTRADERCorrupted[[#This Row],[TakeGain_A]]-Commission,        TabTRADERCorrupted[[#This Row],[Traps]]=MDown,(TabTRADERCorrupted[[#This Row],[A]]-TabTRADERCorrupted[[#This Row],[M]])/TabTRADERCorrupted[[#This Row],[M]]-Commission,                              TRUE,"")</f>
        <v>2.7826017222820139E-2</v>
      </c>
      <c r="AW17" s="820"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3383.0734797599885</v>
      </c>
      <c r="AX17" s="755"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17" s="731"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-4.41</v>
      </c>
      <c r="AZ17" s="760"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-2.9450837877551924E-2</v>
      </c>
      <c r="BA17" s="757"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2.7826017222820139E-2</v>
      </c>
      <c r="BB17" s="322">
        <f ca="1">_xlfn.XLOOKUP(TabTRADERCorrupted[[#This Row],[ClickTick]],TabCalc[Ticker],TabCalc[L_Sn])</f>
        <v>800</v>
      </c>
      <c r="BC17" s="723">
        <f ca="1">_xlfn.XLOOKUP(TabTRADERCorrupted[[#This Row],[ClickTick]],TabCalc[Ticker],TabCalc[L_Sp])</f>
        <v>119.38</v>
      </c>
      <c r="BD17" s="759">
        <f ca="1">-IFERROR((TabTRADERCorrupted[[#This Row],[M]]-TabTRADERCorrupted[[#This Row],[L_Sp]])/TabTRADERCorrupted[[#This Row],[L_Sp]],0)</f>
        <v>6.6175238733456127E-2</v>
      </c>
      <c r="BE17" s="724">
        <f ca="1">TabTRADERCorrupted[[#This Row],[L_Sn]]*(TabTRADERCorrupted[[#This Row],[M]]-TabTRADERCorrupted[[#This Row],[L_Sp]])*(1-Commission)*TabTRADERCorrupted[[#This Row],[Scale]]</f>
        <v>-6303.567999999992</v>
      </c>
      <c r="BF17" s="687">
        <f ca="1">TabTRADERCorrupted[[#This Row],[L_Sn]]*(TabTRADERCorrupted[[#This Row],[Agiotage]]-TabTRADERCorrupted[[#This Row],[M]])/(TabTRADERCorrupted[[#This Row],[L_Bn]]*TabTRADERCorrupted[[#This Row],[M]])</f>
        <v>-0.99143432485566574</v>
      </c>
      <c r="BG17" s="630">
        <f ca="1">IFERROR((TabTRADERCorrupted[[#This Row],[M]]-TabTRADERCorrupted[[#This Row],[A]])/TabTRADERCorrupted[[#This Row],[A]],0)</f>
        <v>-2.952760966267488E-2</v>
      </c>
      <c r="BH1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-3,383$</v>
      </c>
      <c r="BI17" s="679">
        <f ca="1">_xlfn.XLOOKUP(TabTRADERCorrupted[[#This Row],[ClickTick]],TabCalc[[#This Row],[Ticker]],TabCalc[[#This Row],[GL]])*(1-Commission)</f>
        <v>18904.732624448116</v>
      </c>
      <c r="BJ17" s="679"/>
      <c r="BK17" s="664" t="str">
        <f ca="1">TabTRADERCorrupted[[#This Row],[ClickTick]]&amp;": "&amp;_xlfn.XLOOKUP(TabTRADERCorrupted[[#This Row],[ClickTick]],TabCalc[Ticker],TabCalc[Pile?])</f>
        <v xml:space="preserve">DIS: </v>
      </c>
      <c r="BL17" s="349" t="s">
        <v>1937</v>
      </c>
      <c r="BM17" s="750" t="str" cm="1">
        <f t="array" aca="1" ref="BM17" ca="1">_xlfn.TEXTJOIN("",,INDEX({"M","A","Y"}, _xlfn.SORTBY({1,2,3}, -CHOOSE({1,2,3}, TabTRADERCorrupted[[#This Row],[M]], TabTRADERCorrupted[[#This Row],[A]], TabTRADERCorrupted[[#This Row],[Agiotage]]))))</f>
        <v>AMY</v>
      </c>
      <c r="BN17" s="896"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3.9625941872981608E-2</v>
      </c>
      <c r="BO17" s="674" t="e">
        <f ca="1">TabTRADERCorrupted[[#This Row],[L_Sn]]*TabTRADERCorrupted[[#This Row],[L_Sp]]+TabTRADERCorrupted[[#This Row],[SellMore]]*TabTRADERCorrupted[[#This Row],[M]]</f>
        <v>#N/A</v>
      </c>
      <c r="BP17" s="674" t="e">
        <f ca="1">INDEX(
  INDEX(TabConsolid[], , _xlfn.XMATCH(TabTRADERCorrupted[[#This Row],[ClickTick]]&amp;1, TabConsolid[#Headers])),
  MATCH(
    -TabTRADERCorrupted[[#This Row],[M]],
    INDEX(TabConsolid[], , _xlfn.XMATCH(TabTRADERCorrupted[[#This Row],[ClickTick]]&amp;2, TabConsolid[#Headers])),
    -1
  )
)</f>
        <v>#N/A</v>
      </c>
      <c r="BQ17" s="674"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13" t="e">
        <f ca="1">TabTRADERCorrupted[[#This Row],[ReBuy]]/(TabTRADERCorrupted[[#This Row],[L_Sn]]+TabTRADERCorrupted[[#This Row],[SellMore]])</f>
        <v>#N/A</v>
      </c>
      <c r="BS1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-0.24868147170354662</v>
      </c>
      <c r="BT17" s="682">
        <f ca="1">(TabTRADERCorrupted[[#This Row],[M]]-TabTRADERCorrupted[[#This Row],[Agiotage]])/(TabTRADERCorrupted[[#This Row],[M]]-TabTRADERCorrupted[[#This Row],[A]])-1</f>
        <v>-33.585083929817458</v>
      </c>
      <c r="BU17" s="1221">
        <f ca="1">_xlfn.XMATCH(TabTRADERCorrupted[[#This Row],[ClickTick]]&amp;1, TabConsolid[#Headers])</f>
        <v>44</v>
      </c>
      <c r="BV17" t="str">
        <f ca="1">IF(ABS(TabTRADERCorrupted[[#This Row],[L_Bp]])&gt;=TabTRADERCorrupted[[#This Row],[M]],"OK")</f>
        <v>OK</v>
      </c>
    </row>
    <row r="18" spans="1:74" ht="22" customHeight="1">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-7,002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-15.2%</v>
      </c>
      <c r="D18" s="683"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-3,910$</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-12,020$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26.0% = 832</v>
      </c>
      <c r="I18" s="224" t="str">
        <f ca="1">IFERROR(TRUNC(TabCalc[[#This Row],[L_S1p]],2)&amp;"x"&amp;TabCalc[[#This Row],[L_S1n]]&amp;"=   "&amp;TEXT(TabCalc[[#This Row],[ReverseB1]],"#,#0"),"")</f>
        <v>38.69x500=   7,780</v>
      </c>
      <c r="J18" s="293">
        <f ca="1">_xlfn.XLOOKUP(TabTRADERCorrupted[[#This Row],[ClickTick]],TabCalc[Ticker],ListGravity)</f>
        <v>1.368593169044531</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86737.5</v>
      </c>
      <c r="M18" s="321">
        <f ca="1">_xlfn.XLOOKUP(TabTRADERCorrupted[[#This Row],[ClickTick]],TabCalc[Ticker],TabCalc[Agiotage])</f>
        <v>1.1231597996094751</v>
      </c>
      <c r="N18" s="322" cm="1">
        <f t="array" aca="1" ref="N18" ca="1">_xlfn.XLOOKUP(TabTRADERCorrupted[[#This Row],[ClickTick]],ListTickers,Tab2RSIConventional[RSIConv20])</f>
        <v>64</v>
      </c>
      <c r="O18" s="698"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3">
        <f ca="1">_xlfn.XLOOKUP(TabTRADERCorrupted[[#This Row],[ClickTick]],TabCalc[Ticker],TabCalc[L_Bp])</f>
        <v>-26.64</v>
      </c>
      <c r="R18" s="759">
        <f ca="1">(TabTRADERCorrupted[[#This Row],[M]]+TabTRADERCorrupted[[#This Row],[L_Bp]])/ABS(TabTRADERCorrupted[[#This Row],[L_Bp]])</f>
        <v>-0.1317567567567568</v>
      </c>
      <c r="S18" s="678">
        <f ca="1">_xlfn.XLOOKUP(TabTRADERCorrupted[[#This Row],[ClickTick]],TabCalc[Ticker],TabCalc[Rev(MinStock)])*(1-Commission)</f>
        <v>-6983.7947999999997</v>
      </c>
      <c r="T18" s="777">
        <f ca="1">_xlfn.XLOOKUP(TabTRADERCorrupted[[#This Row],[ClickTick]],TabCalc[Ticker],TabCalc[Agiotage])</f>
        <v>1.1231597996094751</v>
      </c>
      <c r="U18" s="742"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920/920=&gt;0.5% / 0.5%</v>
      </c>
      <c r="V18" s="734" t="str">
        <f ca="1">_xlfn.XLOOKUP(TabTRADERCorrupted[[#This Row],[ClickTick]],[1]!RTData[Ticker_Symbol],[1]!RTData[Currency])</f>
        <v>EUR</v>
      </c>
      <c r="W18" s="744">
        <f ca="1">_xlfn.XLOOKUP(TabTRADERCorrupted[[#This Row],[ClickTick]],TabCalc[Ticker],TabCalc[M])</f>
        <v>23.13</v>
      </c>
      <c r="X18" s="1271" t="str">
        <f ca="1">SORTING!B18</f>
        <v>DSY</v>
      </c>
      <c r="Y18" s="798">
        <f ca="1">_xlfn.XLOOKUP(TabTRADERCorrupted[[#This Row],[ClickTick]],TabCalc[Ticker],TabCalc[Y])</f>
        <v>31.655560000000001</v>
      </c>
      <c r="Z18" s="812">
        <f ca="1">_xlfn.XLOOKUP(TabTRADERCorrupted[[#This Row],[ClickTick]],[1]!RTData[Ticker_Symbol],[1]!RTData[YTChange])</f>
        <v>-0.71537888868908461</v>
      </c>
      <c r="AA18" s="827">
        <f ca="1">-_xlfn.XLOOKUP(TabTRADERCorrupted[[#This Row],[ClickTick]]&amp;2,Consolid!B$3:JZ$3,Consolid!B$4:JZ$4)</f>
        <v>30.150688499999998</v>
      </c>
      <c r="AB18" s="812" cm="1">
        <f t="array" aca="1" ref="AB18" ca="1">_xlfn.XLOOKUP(TabTRADERCorrupted[[#This Row],[ClickTick]],ListTickers,Tab1ChangePercent[Change%19])</f>
        <v>4.7780000000000001E-3</v>
      </c>
      <c r="AC18" s="763">
        <f ca="1">_xlfn.XLOOKUP(TabTRADERCorrupted[[#This Row],[ClickTick]],TabCalc[Ticker],TabCalc[NAfter])</f>
        <v>4000</v>
      </c>
      <c r="AD1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-14/92 K$</v>
      </c>
      <c r="AE18" s="1147"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31"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31"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11988.748000000003</v>
      </c>
      <c r="AH18" s="1131"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23.13</v>
      </c>
      <c r="AI18" s="1131" t="str" cm="1">
        <f t="array" aca="1" ref="AI18" ca="1">_xlfn.IFS(   TabTRADERCorrupted[[#This Row],[Traps]]=MUp,TEXT(MIN(TabTRADERCorrupted[[#This Row],[L_Sn]],TabTRADERCorrupted[[#This Row],[N]]),"#,#0")&amp;" x "&amp;TEXT(TabTRADERCorrupted[[#This Row],[L_Sp]],"#,#0.#0"),          TRUE,"")</f>
        <v/>
      </c>
      <c r="AJ18" s="1131"/>
      <c r="AK18" s="1131"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31"/>
      <c r="AM18" s="1131"/>
      <c r="AN18" s="1131"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11988.748000000003</v>
      </c>
      <c r="AO18" s="1140"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0.20624571036376121</v>
      </c>
      <c r="AP18" s="1140"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TabTRADERCorrupted[[#This Row],[Traps]]=SellMorePercentGain,                     MIN(TabTRADERCorrupted[[#This Row],[L_Sn]],TabTRADERCorrupted[[#This Row],[N]])*(TabTRADERCorrupted[[#This Row],[M]]-TabTRADERCorrupted[[#This Row],[L_Sp]])*(1-Commission)*TabTRADERCorrupted[[#This Row],[Scale]],                    TRUE,"")</f>
        <v/>
      </c>
      <c r="AR18" s="1146">
        <f ca="1">_xlfn.XLOOKUP(TabTRADERCorrupted[[#This Row],[ClickTick]],TabCalc[Ticker],TabCalc[Ann%RevLB])</f>
        <v>-0.39859186918010464</v>
      </c>
      <c r="AS18" s="1224">
        <f ca="1">_xlfn.XLOOKUP(TabTRADERCorrupted[[#This Row],[ClickTick]],TabCalc[Ticker],TabCalc[Up20])</f>
        <v>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20"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40" t="str" cm="1">
        <f t="array" aca="1" ref="AV18" ca="1">_xlfn.IFS(   TabTRADERCorrupted[[#This Row],[Traps]]=MUp,TabTRADERCorrupted[[#This Row],[TakeGain_A]]-Commission,        TabTRADERCorrupted[[#This Row],[Traps]]=MDown,(TabTRADERCorrupted[[#This Row],[A]]-TabTRADERCorrupted[[#This Row],[M]])/TabTRADERCorrupted[[#This Row],[M]]-Commission,                              TRUE,"")</f>
        <v/>
      </c>
      <c r="AW18" s="820"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-28009.738839599991</v>
      </c>
      <c r="AX18" s="755" t="str"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18" s="731"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60"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-0.23224792063703617</v>
      </c>
      <c r="BA18" s="757"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0.30093171206225677</v>
      </c>
      <c r="BB18" s="322">
        <f ca="1">_xlfn.XLOOKUP(TabTRADERCorrupted[[#This Row],[ClickTick]],TabCalc[Ticker],TabCalc[L_Sn])</f>
        <v>2000</v>
      </c>
      <c r="BC18" s="723">
        <f ca="1">_xlfn.XLOOKUP(TabTRADERCorrupted[[#This Row],[ClickTick]],TabCalc[Ticker],TabCalc[L_Sp])</f>
        <v>29.14</v>
      </c>
      <c r="BD18" s="759">
        <f ca="1">-IFERROR((TabTRADERCorrupted[[#This Row],[M]]-TabTRADERCorrupted[[#This Row],[L_Sp]])/TabTRADERCorrupted[[#This Row],[L_Sp]],0)</f>
        <v>0.20624571036376121</v>
      </c>
      <c r="BE18" s="724">
        <f ca="1">TabTRADERCorrupted[[#This Row],[L_Sn]]*(TabTRADERCorrupted[[#This Row],[M]]-TabTRADERCorrupted[[#This Row],[L_Sp]])*(1-Commission)*TabTRADERCorrupted[[#This Row],[Scale]]</f>
        <v>-11988.748000000003</v>
      </c>
      <c r="BF18" s="687">
        <f ca="1">TabTRADERCorrupted[[#This Row],[L_Sn]]*(TabTRADERCorrupted[[#This Row],[Agiotage]]-TabTRADERCorrupted[[#This Row],[M]])/(TabTRADERCorrupted[[#This Row],[L_Bn]]*TabTRADERCorrupted[[#This Row],[M]])</f>
        <v>-0.95144142673543131</v>
      </c>
      <c r="BG18" s="630">
        <f ca="1">IFERROR((TabTRADERCorrupted[[#This Row],[M]]-TabTRADERCorrupted[[#This Row],[A]])/TabTRADERCorrupted[[#This Row],[A]],0)</f>
        <v>-0.23285333931926627</v>
      </c>
      <c r="BH1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-28,010$</v>
      </c>
      <c r="BI18" s="679">
        <f ca="1">_xlfn.XLOOKUP(TabTRADERCorrupted[[#This Row],[ClickTick]],TabCalc[[#This Row],[Ticker]],TabCalc[[#This Row],[GL]])*(1-Commission)</f>
        <v>-14055.861742953188</v>
      </c>
      <c r="BJ18" s="679"/>
      <c r="BK18" s="664" t="str">
        <f ca="1">TabTRADERCorrupted[[#This Row],[ClickTick]]&amp;": "&amp;_xlfn.XLOOKUP(TabTRADERCorrupted[[#This Row],[ClickTick]],TabCalc[Ticker],TabCalc[Pile?])</f>
        <v>DSY: Pile</v>
      </c>
      <c r="BL18" s="349" t="s">
        <v>1938</v>
      </c>
      <c r="BM18" s="750" t="str" cm="1">
        <f t="array" aca="1" ref="BM18" ca="1">_xlfn.TEXTJOIN("",,INDEX({"M","A","Y"}, _xlfn.SORTBY({1,2,3}, -CHOOSE({1,2,3}, TabTRADERCorrupted[[#This Row],[M]], TabTRADERCorrupted[[#This Row],[A]], TabTRADERCorrupted[[#This Row],[Agiotage]]))))</f>
        <v>AMY</v>
      </c>
      <c r="BN18" s="896"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4" t="e">
        <f ca="1">TabTRADERCorrupted[[#This Row],[L_Sn]]*TabTRADERCorrupted[[#This Row],[L_Sp]]+TabTRADERCorrupted[[#This Row],[SellMore]]*TabTRADERCorrupted[[#This Row],[M]]</f>
        <v>#N/A</v>
      </c>
      <c r="BP18" s="674" t="e">
        <f ca="1">INDEX(
  INDEX(TabConsolid[], , _xlfn.XMATCH(TabTRADERCorrupted[[#This Row],[ClickTick]]&amp;1, TabConsolid[#Headers])),
  MATCH(
    -TabTRADERCorrupted[[#This Row],[M]],
    INDEX(TabConsolid[], , _xlfn.XMATCH(TabTRADERCorrupted[[#This Row],[ClickTick]]&amp;2, TabConsolid[#Headers])),
    -1
  )
)</f>
        <v>#N/A</v>
      </c>
      <c r="BQ18" s="674"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13" t="e">
        <f ca="1">TabTRADERCorrupted[[#This Row],[ReBuy]]/(TabTRADERCorrupted[[#This Row],[L_Sn]]+TabTRADERCorrupted[[#This Row],[SellMore]])</f>
        <v>#N/A</v>
      </c>
      <c r="BS1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-1.6505130150292896E-2</v>
      </c>
      <c r="BT18" s="682">
        <f ca="1">(TabTRADERCorrupted[[#This Row],[M]]-TabTRADERCorrupted[[#This Row],[Agiotage]])/(TabTRADERCorrupted[[#This Row],[M]]-TabTRADERCorrupted[[#This Row],[A]])-1</f>
        <v>-4.134570092433318</v>
      </c>
      <c r="BU18" s="1221">
        <f ca="1">_xlfn.XMATCH(TabTRADERCorrupted[[#This Row],[ClickTick]]&amp;1, TabConsolid[#Headers])</f>
        <v>47</v>
      </c>
      <c r="BV18" t="str">
        <f ca="1">IF(ABS(TabTRADERCorrupted[[#This Row],[L_Bp]])&gt;=TabTRADERCorrupted[[#This Row],[M]],"OK")</f>
        <v>OK</v>
      </c>
    </row>
    <row r="19" spans="1:74" ht="22" customHeight="1">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+286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0.2%</v>
      </c>
      <c r="D19" s="683"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2,331$</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-6,376$</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 = 1,255</v>
      </c>
      <c r="I19" s="224" t="str">
        <f ca="1">IFERROR(TRUNC(TabCalc[[#This Row],[L_S1p]],2)&amp;"x"&amp;TabCalc[[#This Row],[L_S1n]]&amp;"=   "&amp;TEXT(TabCalc[[#This Row],[ReverseB1]],"#,#0"),"")</f>
        <v>123.44x1600=   4,952</v>
      </c>
      <c r="J19" s="293">
        <f ca="1">_xlfn.XLOOKUP(TabTRADERCorrupted[[#This Row],[ClickTick]],TabCalc[Ticker],ListGravity)</f>
        <v>1.200714612156716</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48138</v>
      </c>
      <c r="M19" s="321">
        <f ca="1">_xlfn.XLOOKUP(TabTRADERCorrupted[[#This Row],[ClickTick]],TabCalc[Ticker],TabCalc[Agiotage])</f>
        <v>1.0797941516982796</v>
      </c>
      <c r="N19" s="322" cm="1">
        <f t="array" aca="1" ref="N19" ca="1">_xlfn.XLOOKUP(TabTRADERCorrupted[[#This Row],[ClickTick]],ListTickers,Tab2RSIConventional[RSIConv20])</f>
        <v>96</v>
      </c>
      <c r="O19" s="698" t="str">
        <f ca="1">TEXT(_xlfn.XLOOKUP(TabTRADERCorrupted[[#This Row],[ClickTick]],TabCalc[Ticker],TabCalc[Nbegin]),"#,#0")&amp;": "&amp;_xlfn.XLOOKUP(TabTRADERCorrupted[[#This Row],[ClickTick]],TabCalc[Ticker],TabCalc[Pile?])</f>
        <v>1,000: Pile</v>
      </c>
      <c r="P19" s="729">
        <f ca="1">_xlfn.XLOOKUP(TabTRADERCorrupted[[#This Row],[ClickTick]],TabCalc[Ticker],TabCalc[L_Bn])</f>
        <v>1600</v>
      </c>
      <c r="Q19" s="723">
        <f ca="1">_xlfn.XLOOKUP(TabTRADERCorrupted[[#This Row],[ClickTick]],TabCalc[Ticker],TabCalc[L_Bp])</f>
        <v>-120.14</v>
      </c>
      <c r="R19" s="759">
        <f ca="1">(TabTRADERCorrupted[[#This Row],[M]]+TabTRADERCorrupted[[#This Row],[L_Bp]])/ABS(TabTRADERCorrupted[[#This Row],[L_Bp]])</f>
        <v>1.7063426002996362E-3</v>
      </c>
      <c r="S19" s="678">
        <f ca="1">_xlfn.XLOOKUP(TabTRADERCorrupted[[#This Row],[ClickTick]],TabCalc[Ticker],TabCalc[Rev(MinStock)])*(1-Commission)</f>
        <v>285.25639999999999</v>
      </c>
      <c r="T19" s="777">
        <f ca="1">_xlfn.XLOOKUP(TabTRADERCorrupted[[#This Row],[ClickTick]],TabCalc[Ticker],TabCalc[Agiotage])</f>
        <v>1.0797941516982796</v>
      </c>
      <c r="U19" s="742"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1,169/1,169=&gt;1.4% / 1.4%</v>
      </c>
      <c r="V19" s="734" t="str">
        <f ca="1">_xlfn.XLOOKUP(TabTRADERCorrupted[[#This Row],[ClickTick]],[1]!RTData[Ticker_Symbol],[1]!RTData[Currency])</f>
        <v>USD</v>
      </c>
      <c r="W19" s="744">
        <f ca="1">_xlfn.XLOOKUP(TabTRADERCorrupted[[#This Row],[ClickTick]],TabCalc[Ticker],TabCalc[M])</f>
        <v>120.345</v>
      </c>
      <c r="X19" s="1271" t="str">
        <f ca="1">SORTING!B19</f>
        <v>DVA</v>
      </c>
      <c r="Y19" s="798">
        <f ca="1">_xlfn.XLOOKUP(TabTRADERCorrupted[[#This Row],[ClickTick]],TabCalc[Ticker],TabCalc[Y])</f>
        <v>144.5</v>
      </c>
      <c r="Z19" s="812">
        <f ca="1">_xlfn.XLOOKUP(TabTRADERCorrupted[[#This Row],[ClickTick]],[1]!RTData[Ticker_Symbol],[1]!RTData[YTChange])</f>
        <v>2.8056360284435082</v>
      </c>
      <c r="AA19" s="827">
        <f ca="1">-_xlfn.XLOOKUP(TabTRADERCorrupted[[#This Row],[ClickTick]]&amp;2,Consolid!B$3:JZ$3,Consolid!B$4:JZ$4)</f>
        <v>120.45236399999999</v>
      </c>
      <c r="AB19" s="812" cm="1">
        <f t="array" aca="1" ref="AB19" ca="1">_xlfn.XLOOKUP(TabTRADERCorrupted[[#This Row],[ClickTick]],ListTickers,Tab1ChangePercent[Change%19])</f>
        <v>1.4029E-2</v>
      </c>
      <c r="AC19" s="763">
        <f ca="1">_xlfn.XLOOKUP(TabTRADERCorrupted[[#This Row],[ClickTick]],TabCalc[Ticker],TabCalc[NAfter])</f>
        <v>1400</v>
      </c>
      <c r="AD1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^38/168 K$</v>
      </c>
      <c r="AE19" s="1147"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31"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31"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6359.4223999999986</v>
      </c>
      <c r="AH19" s="1131"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120.345</v>
      </c>
      <c r="AI19" s="1131" t="str" cm="1">
        <f t="array" aca="1" ref="AI19" ca="1">_xlfn.IFS(   TabTRADERCorrupted[[#This Row],[Traps]]=MUp,TEXT(MIN(TabTRADERCorrupted[[#This Row],[L_Sn]],TabTRADERCorrupted[[#This Row],[N]]),"#,#0")&amp;" x "&amp;TEXT(TabTRADERCorrupted[[#This Row],[L_Sp]],"#,#0.#0"),          TRUE,"")</f>
        <v/>
      </c>
      <c r="AJ19" s="1131"/>
      <c r="AK19" s="1131"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31"/>
      <c r="AM19" s="1131"/>
      <c r="AN19" s="1131"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6359.4223999999986</v>
      </c>
      <c r="AO19" s="1140"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3.2051797635325341E-2</v>
      </c>
      <c r="AP19" s="1140"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TabTRADERCorrupted[[#This Row],[Traps]]=SellMorePercentGain,                     MIN(TabTRADERCorrupted[[#This Row],[L_Sn]],TabTRADERCorrupted[[#This Row],[N]])*(TabTRADERCorrupted[[#This Row],[M]]-TabTRADERCorrupted[[#This Row],[L_Sp]])*(1-Commission)*TabTRADERCorrupted[[#This Row],[Scale]],                    TRUE,"")</f>
        <v/>
      </c>
      <c r="AR19" s="1146">
        <f ca="1">_xlfn.XLOOKUP(TabTRADERCorrupted[[#This Row],[ClickTick]],TabCalc[Ticker],TabCalc[Ann%RevLB])</f>
        <v>1.9815591487350615E-2</v>
      </c>
      <c r="AS19" s="1224">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20"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40" t="str" cm="1">
        <f t="array" aca="1" ref="AV19" ca="1">_xlfn.IFS(   TabTRADERCorrupted[[#This Row],[Traps]]=MUp,TabTRADERCorrupted[[#This Row],[TakeGain_A]]-Commission,        TabTRADERCorrupted[[#This Row],[Traps]]=MDown,(TabTRADERCorrupted[[#This Row],[A]]-TabTRADERCorrupted[[#This Row],[M]])/TabTRADERCorrupted[[#This Row],[M]]-Commission,                              TRUE,"")</f>
        <v/>
      </c>
      <c r="AW19" s="820"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-149.91879503998575</v>
      </c>
      <c r="AX19" s="755"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19" s="731"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60"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-8.8902243213748655E-4</v>
      </c>
      <c r="BA19" s="757"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-1.7078648884458032E-3</v>
      </c>
      <c r="BB19" s="322">
        <f ca="1">_xlfn.XLOOKUP(TabTRADERCorrupted[[#This Row],[ClickTick]],TabCalc[Ticker],TabCalc[L_Sn])</f>
        <v>1600</v>
      </c>
      <c r="BC19" s="723">
        <f ca="1">_xlfn.XLOOKUP(TabTRADERCorrupted[[#This Row],[ClickTick]],TabCalc[Ticker],TabCalc[L_Sp])</f>
        <v>124.33</v>
      </c>
      <c r="BD19" s="759">
        <f ca="1">-IFERROR((TabTRADERCorrupted[[#This Row],[M]]-TabTRADERCorrupted[[#This Row],[L_Sp]])/TabTRADERCorrupted[[#This Row],[L_Sp]],0)</f>
        <v>3.2051797635325341E-2</v>
      </c>
      <c r="BE19" s="724">
        <f ca="1">TabTRADERCorrupted[[#This Row],[L_Sn]]*(TabTRADERCorrupted[[#This Row],[M]]-TabTRADERCorrupted[[#This Row],[L_Sp]])*(1-Commission)*TabTRADERCorrupted[[#This Row],[Scale]]</f>
        <v>-6359.4223999999986</v>
      </c>
      <c r="BF19" s="687">
        <f ca="1">TabTRADERCorrupted[[#This Row],[L_Sn]]*(TabTRADERCorrupted[[#This Row],[Agiotage]]-TabTRADERCorrupted[[#This Row],[M]])/(TabTRADERCorrupted[[#This Row],[L_Bn]]*TabTRADERCorrupted[[#This Row],[M]])</f>
        <v>-0.99102751130750522</v>
      </c>
      <c r="BG19" s="630">
        <f ca="1">IFERROR((TabTRADERCorrupted[[#This Row],[M]]-TabTRADERCorrupted[[#This Row],[A]])/TabTRADERCorrupted[[#This Row],[A]],0)</f>
        <v>-8.9133991591887568E-4</v>
      </c>
      <c r="BH1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-150$</v>
      </c>
      <c r="BI19" s="679">
        <f ca="1">_xlfn.XLOOKUP(TabTRADERCorrupted[[#This Row],[ClickTick]],TabCalc[[#This Row],[Ticker]],TabCalc[[#This Row],[GL]])*(1-Commission)</f>
        <v>37761.550380163819</v>
      </c>
      <c r="BJ19" s="679"/>
      <c r="BK19" s="664" t="str">
        <f ca="1">TabTRADERCorrupted[[#This Row],[ClickTick]]&amp;": "&amp;_xlfn.XLOOKUP(TabTRADERCorrupted[[#This Row],[ClickTick]],TabCalc[Ticker],TabCalc[Pile?])</f>
        <v>DVA: Pile</v>
      </c>
      <c r="BL19" s="349" t="s">
        <v>1939</v>
      </c>
      <c r="BM19" s="750" t="str" cm="1">
        <f t="array" aca="1" ref="BM19" ca="1">_xlfn.TEXTJOIN("",,INDEX({"M","A","Y"}, _xlfn.SORTBY({1,2,3}, -CHOOSE({1,2,3}, TabTRADERCorrupted[[#This Row],[M]], TabTRADERCorrupted[[#This Row],[A]], TabTRADERCorrupted[[#This Row],[Agiotage]]))))</f>
        <v>AMY</v>
      </c>
      <c r="BN19" s="896"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4" t="e">
        <f ca="1">TabTRADERCorrupted[[#This Row],[L_Sn]]*TabTRADERCorrupted[[#This Row],[L_Sp]]+TabTRADERCorrupted[[#This Row],[SellMore]]*TabTRADERCorrupted[[#This Row],[M]]</f>
        <v>#N/A</v>
      </c>
      <c r="BP19" s="674" t="e">
        <f ca="1">INDEX(
  INDEX(TabConsolid[], , _xlfn.XMATCH(TabTRADERCorrupted[[#This Row],[ClickTick]]&amp;1, TabConsolid[#Headers])),
  MATCH(
    -TabTRADERCorrupted[[#This Row],[M]],
    INDEX(TabConsolid[], , _xlfn.XMATCH(TabTRADERCorrupted[[#This Row],[ClickTick]]&amp;2, TabConsolid[#Headers])),
    -1
  )
)</f>
        <v>#N/A</v>
      </c>
      <c r="BQ19" s="674"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9" s="1113" t="e">
        <f ca="1">TabTRADERCorrupted[[#This Row],[ReBuy]]/(TabTRADERCorrupted[[#This Row],[L_Sn]]+TabTRADERCorrupted[[#This Row],[SellMore]])</f>
        <v>#N/A</v>
      </c>
      <c r="BS1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-0.15973018640397552</v>
      </c>
      <c r="BT19" s="682">
        <f ca="1">(TabTRADERCorrupted[[#This Row],[M]]-TabTRADERCorrupted[[#This Row],[Agiotage]])/(TabTRADERCorrupted[[#This Row],[M]]-TabTRADERCorrupted[[#This Row],[A]])-1</f>
        <v>-1111.8491286493895</v>
      </c>
      <c r="BU19" s="1221">
        <f ca="1">_xlfn.XMATCH(TabTRADERCorrupted[[#This Row],[ClickTick]]&amp;1, TabConsolid[#Headers])</f>
        <v>50</v>
      </c>
      <c r="BV19" t="b">
        <f ca="1">IF(ABS(TabTRADERCorrupted[[#This Row],[L_Bp]])&gt;=TabTRADERCorrupted[[#This Row],[M]],"OK")</f>
        <v>0</v>
      </c>
    </row>
    <row r="20" spans="1:74" ht="22" customHeight="1">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+3,031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5.0%</v>
      </c>
      <c r="D20" s="683"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4" t="str">
        <f ca="1">TRUNC(TabCalc[[#This Row],[L_B1p]],2)&amp;"x"&amp;TabCalc[[#This Row],[L_B1n]]&amp;"=   "&amp;TEXT(TabCalc[[#This Row],[ReverseS1]],"#,#0")&amp;"$"</f>
        <v>-18.56x4000=   -13,310$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20.32x4000=   -20,320$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33.3% = 984</v>
      </c>
      <c r="I20" s="224" t="str">
        <f ca="1">IFERROR(TRUNC(TabCalc[[#This Row],[L_S1p]],2)&amp;"x"&amp;TabCalc[[#This Row],[L_S1n]]&amp;"=   "&amp;TEXT(TabCalc[[#This Row],[ReverseB1]],"#,#0"),"")</f>
        <v>19.33x4000=   16,364</v>
      </c>
      <c r="J20" s="293">
        <f ca="1">_xlfn.XLOOKUP(TabTRADERCorrupted[[#This Row],[ClickTick]],TabCalc[Ticker],ListGravity)</f>
        <v>0.95144356955380571</v>
      </c>
      <c r="K20" s="320" cm="1">
        <f t="array" aca="1" ref="K20" ca="1">IF(_xlfn.XLOOKUP(TabTRADERCorrupted[[#This Row],[ClickTick]],TabTRADERCorrupted[ClickTick],ListExtra_n)&gt;0,_xlfn.XLOOKUP(TabTRADERCorrupted[[#This Row],[ClickTick]],TabTRADERCorrupted[ClickTick],ListExtra_n),"")</f>
        <v>4111</v>
      </c>
      <c r="L20" s="318">
        <f ca="1">IF(_xlfn.XLOOKUP(TabTRADERCorrupted[[#This Row],[ClickTick]],TabCalc[Ticker],ListExtra_n)&gt;0,_xlfn.XLOOKUP(TabTRADERCorrupted[[#This Row],[ClickTick]],TabCalc[Ticker],ListExtra_n)*TabTRADERCorrupted[[#This Row],[M]]*_xlfn.XLOOKUP(TabTRADERCorrupted[[#This Row],[ClickTick]],TabCalc[Ticker],ListScale),"")</f>
        <v>62651.64</v>
      </c>
      <c r="M20" s="321">
        <f ca="1">_xlfn.XLOOKUP(TabTRADERCorrupted[[#This Row],[ClickTick]],TabCalc[Ticker],TabCalc[Agiotage])</f>
        <v>1.144784804822979</v>
      </c>
      <c r="N20" s="322" cm="1">
        <f t="array" aca="1" ref="N20" ca="1">_xlfn.XLOOKUP(TabTRADERCorrupted[[#This Row],[ClickTick]],ListTickers,Tab2RSIConventional[RSIConv20])</f>
        <v>54</v>
      </c>
      <c r="O20" s="698"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6">
        <f ca="1">_xlfn.XLOOKUP(TabTRADERCorrupted[[#This Row],[ClickTick]],TabCalc[Ticker],TabCalc[L_Bp])</f>
        <v>-14.48</v>
      </c>
      <c r="R20" s="759">
        <f ca="1">(TabTRADERCorrupted[[#This Row],[M]]+TabTRADERCorrupted[[#This Row],[L_Bp]])/ABS(TabTRADERCorrupted[[#This Row],[L_Bp]])</f>
        <v>5.2486187845303851E-2</v>
      </c>
      <c r="S20" s="678">
        <f ca="1">_xlfn.XLOOKUP(TabTRADERCorrupted[[#This Row],[ClickTick]],TabCalc[Ticker],TabCalc[Rev(MinStock)])*(1-Commission)</f>
        <v>3023.1194</v>
      </c>
      <c r="T20" s="777">
        <f ca="1">_xlfn.XLOOKUP(TabTRADERCorrupted[[#This Row],[ClickTick]],TabCalc[Ticker],TabCalc[Agiotage])</f>
        <v>1.144784804822979</v>
      </c>
      <c r="U20" s="742"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540/540=&gt;0.8% / 0.8%</v>
      </c>
      <c r="V20" s="734" t="str">
        <f ca="1">_xlfn.XLOOKUP(TabTRADERCorrupted[[#This Row],[ClickTick]],[1]!RTData[Ticker_Symbol],[1]!RTData[Currency])</f>
        <v>USD</v>
      </c>
      <c r="W20" s="744">
        <f ca="1">_xlfn.XLOOKUP(TabTRADERCorrupted[[#This Row],[ClickTick]],TabCalc[Ticker],TabCalc[M])</f>
        <v>15.24</v>
      </c>
      <c r="X20" s="1271" t="str">
        <f ca="1">SORTING!B20</f>
        <v>DXC</v>
      </c>
      <c r="Y20" s="798">
        <f ca="1">_xlfn.XLOOKUP(TabTRADERCorrupted[[#This Row],[ClickTick]],TabCalc[Ticker],TabCalc[Y])</f>
        <v>14.5</v>
      </c>
      <c r="Z20" s="812">
        <f ca="1">_xlfn.XLOOKUP(TabTRADERCorrupted[[#This Row],[ClickTick]],[1]!RTData[Ticker_Symbol],[1]!RTData[YTChange])</f>
        <v>-0.90816972767574411</v>
      </c>
      <c r="AA20" s="827">
        <f ca="1">-_xlfn.XLOOKUP(TabTRADERCorrupted[[#This Row],[ClickTick]]&amp;2,Consolid!B$3:JZ$3,Consolid!B$4:JZ$4)</f>
        <v>15.8836905</v>
      </c>
      <c r="AB20" s="812" cm="1">
        <f t="array" aca="1" ref="AB20" ca="1">_xlfn.XLOOKUP(TabTRADERCorrupted[[#This Row],[ClickTick]],ListTickers,Tab1ChangePercent[Change%19])</f>
        <v>7.9369999999999996E-3</v>
      </c>
      <c r="AC20" s="763">
        <f ca="1">_xlfn.XLOOKUP(TabTRADERCorrupted[[#This Row],[ClickTick]],TabCalc[Ticker],TabCalc[NAfter])</f>
        <v>6000</v>
      </c>
      <c r="AD2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-37/91 K$</v>
      </c>
      <c r="AE20" s="1147"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0" s="1131"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-14.48</v>
      </c>
      <c r="AG20" s="1131"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3023.1194</v>
      </c>
      <c r="AH20" s="1131"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15.24</v>
      </c>
      <c r="AI20" s="1131" t="str" cm="1">
        <f t="array" aca="1" ref="AI20" ca="1">_xlfn.IFS(   TabTRADERCorrupted[[#This Row],[Traps]]=MUp,TEXT(MIN(TabTRADERCorrupted[[#This Row],[L_Sn]],TabTRADERCorrupted[[#This Row],[N]]),"#,#0")&amp;" x "&amp;TEXT(TabTRADERCorrupted[[#This Row],[L_Sp]],"#,#0.#0"),          TRUE,"")</f>
        <v/>
      </c>
      <c r="AJ20" s="1131"/>
      <c r="AK20" s="1131"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31"/>
      <c r="AM20" s="1131"/>
      <c r="AN20" s="1131"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3023.1194</v>
      </c>
      <c r="AO20" s="1140"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5.2486187845303851E-2</v>
      </c>
      <c r="AP20" s="1140"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20" t="str" cm="1">
        <f t="array" aca="1" ref="AQ20" ca="1">_xlfn.IFS(   TabTRADERCorrupted[[#This Row],[Traps]]=SellMorePercentGain,                     MIN(TabTRADERCorrupted[[#This Row],[L_Sn]],TabTRADERCorrupted[[#This Row],[N]])*(TabTRADERCorrupted[[#This Row],[M]]-TabTRADERCorrupted[[#This Row],[L_Sp]])*(1-Commission)*TabTRADERCorrupted[[#This Row],[Scale]],                    TRUE,"")</f>
        <v/>
      </c>
      <c r="AR20" s="1129">
        <f ca="1">_xlfn.XLOOKUP(TabTRADERCorrupted[[#This Row],[ClickTick]],TabCalc[Ticker],TabCalc[Ann%RevLB])</f>
        <v>0.13213306030985586</v>
      </c>
      <c r="AS20" s="1225" t="str">
        <f ca="1">_xlfn.XLOOKUP(TabTRADERCorrupted[[#This Row],[ClickTick]],TabCalc[Ticker],TabCalc[Up20])</f>
        <v>/89/%</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20"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40" t="str" cm="1">
        <f t="array" aca="1" ref="AV20" ca="1">_xlfn.IFS(   TabTRADERCorrupted[[#This Row],[Traps]]=MUp,TabTRADERCorrupted[[#This Row],[TakeGain_A]]-Commission,        TabTRADERCorrupted[[#This Row],[Traps]]=MDown,(TabTRADERCorrupted[[#This Row],[A]]-TabTRADERCorrupted[[#This Row],[M]])/TabTRADERCorrupted[[#This Row],[M]]-Commission,                              TRUE,"")</f>
        <v/>
      </c>
      <c r="AW20" s="820"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-3695.9940616929039</v>
      </c>
      <c r="AX20" s="755"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20" s="731"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0" s="760" t="str"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0" s="757"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3.9636909448818897E-2</v>
      </c>
      <c r="BB20" s="322">
        <f ca="1">_xlfn.XLOOKUP(TabTRADERCorrupted[[#This Row],[ClickTick]],TabCalc[Ticker],TabCalc[L_Sn])</f>
        <v>4000</v>
      </c>
      <c r="BC20" s="723">
        <f ca="1">_xlfn.XLOOKUP(TabTRADERCorrupted[[#This Row],[ClickTick]],TabCalc[Ticker],TabCalc[L_Sp])</f>
        <v>20.32</v>
      </c>
      <c r="BD20" s="759">
        <f ca="1">-IFERROR((TabTRADERCorrupted[[#This Row],[M]]-TabTRADERCorrupted[[#This Row],[L_Sp]])/TabTRADERCorrupted[[#This Row],[L_Sp]],0)</f>
        <v>0.25</v>
      </c>
      <c r="BE20" s="724">
        <f ca="1">TabTRADERCorrupted[[#This Row],[L_Sn]]*(TabTRADERCorrupted[[#This Row],[M]]-TabTRADERCorrupted[[#This Row],[L_Sp]])*(1-Commission)*TabTRADERCorrupted[[#This Row],[Scale]]</f>
        <v>-20267.167999999998</v>
      </c>
      <c r="BF20" s="687">
        <f ca="1">TabTRADERCorrupted[[#This Row],[L_Sn]]*(TabTRADERCorrupted[[#This Row],[Agiotage]]-TabTRADERCorrupted[[#This Row],[M]])/(TabTRADERCorrupted[[#This Row],[L_Bn]]*TabTRADERCorrupted[[#This Row],[M]])</f>
        <v>-0.92488288682263919</v>
      </c>
      <c r="BG20" s="630">
        <f ca="1">IFERROR((TabTRADERCorrupted[[#This Row],[M]]-TabTRADERCorrupted[[#This Row],[A]])/TabTRADERCorrupted[[#This Row],[A]],0)</f>
        <v>-4.0525248209791039E-2</v>
      </c>
      <c r="BH2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6,000 : -3,852$</v>
      </c>
      <c r="BI20" s="679">
        <f ca="1">_xlfn.XLOOKUP(TabTRADERCorrupted[[#This Row],[ClickTick]],TabCalc[[#This Row],[Ticker]],TabCalc[[#This Row],[GL]])*(1-Commission)</f>
        <v>-36864.26024474913</v>
      </c>
      <c r="BJ20" s="679"/>
      <c r="BK20" s="664" t="str">
        <f ca="1">TabTRADERCorrupted[[#This Row],[ClickTick]]&amp;": "&amp;_xlfn.XLOOKUP(TabTRADERCorrupted[[#This Row],[ClickTick]],TabCalc[Ticker],TabCalc[Pile?])</f>
        <v xml:space="preserve">DXC: </v>
      </c>
      <c r="BL20" s="349" t="s">
        <v>1940</v>
      </c>
      <c r="BM20" s="750" t="str" cm="1">
        <f t="array" aca="1" ref="BM20" ca="1">_xlfn.TEXTJOIN("",,INDEX({"M","A","Y"}, _xlfn.SORTBY({1,2,3}, -CHOOSE({1,2,3}, TabTRADERCorrupted[[#This Row],[M]], TabTRADERCorrupted[[#This Row],[A]], TabTRADERCorrupted[[#This Row],[Agiotage]]))))</f>
        <v>AMY</v>
      </c>
      <c r="BN20" s="896"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4" t="e">
        <f ca="1">TabTRADERCorrupted[[#This Row],[L_Sn]]*TabTRADERCorrupted[[#This Row],[L_Sp]]+TabTRADERCorrupted[[#This Row],[SellMore]]*TabTRADERCorrupted[[#This Row],[M]]</f>
        <v>#N/A</v>
      </c>
      <c r="BP20" s="674" t="e">
        <f ca="1">INDEX(
  INDEX(TabConsolid[], , _xlfn.XMATCH(TabTRADERCorrupted[[#This Row],[ClickTick]]&amp;1, TabConsolid[#Headers])),
  MATCH(
    -TabTRADERCorrupted[[#This Row],[M]],
    INDEX(TabConsolid[], , _xlfn.XMATCH(TabTRADERCorrupted[[#This Row],[ClickTick]]&amp;2, TabConsolid[#Headers])),
    -1
  )
)</f>
        <v>#N/A</v>
      </c>
      <c r="BQ20" s="674"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113" t="e">
        <f ca="1">TabTRADERCorrupted[[#This Row],[ReBuy]]/(TabTRADERCorrupted[[#This Row],[L_Sn]]+TabTRADERCorrupted[[#This Row],[SellMore]])</f>
        <v>#N/A</v>
      </c>
      <c r="BS2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-5.8730063313237584E-3</v>
      </c>
      <c r="BT20" s="682">
        <f ca="1">(TabTRADERCorrupted[[#This Row],[M]]-TabTRADERCorrupted[[#This Row],[Agiotage]])/(TabTRADERCorrupted[[#This Row],[M]]-TabTRADERCorrupted[[#This Row],[A]])-1</f>
        <v>-22.897503839464807</v>
      </c>
      <c r="BU20" s="1221">
        <f ca="1">_xlfn.XMATCH(TabTRADERCorrupted[[#This Row],[ClickTick]]&amp;1, TabConsolid[#Headers])</f>
        <v>53</v>
      </c>
      <c r="BV20" t="b">
        <f ca="1">IF(ABS(TabTRADERCorrupted[[#This Row],[L_Bp]])&gt;=TabTRADERCorrupted[[#This Row],[M]],"OK")</f>
        <v>0</v>
      </c>
    </row>
    <row r="21" spans="1:74" ht="22" customHeight="1">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-15.5x10000=    -4,638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v>
      </c>
      <c r="D21" s="683"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4" t="str">
        <f ca="1">TRUNC(TabCalc[[#This Row],[L_B1p]],2)&amp;"x"&amp;TabCalc[[#This Row],[L_B1n]]&amp;"=   "&amp;TEXT(TabCalc[[#This Row],[ReverseS1]],"#,#0")&amp;"$"</f>
        <v>-16.04x14450=   -14,522$</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-3,472$</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7.2% = 4,608</v>
      </c>
      <c r="I21" s="224" t="str">
        <f ca="1">IFERROR(TRUNC(TabCalc[[#This Row],[L_S1p]],2)&amp;"x"&amp;TabCalc[[#This Row],[L_S1n]]&amp;"=   "&amp;TEXT(TabCalc[[#This Row],[ReverseB1]],"#,#0"),"")</f>
        <v>15.8x2500=   1,913</v>
      </c>
      <c r="J21" s="293">
        <f ca="1">_xlfn.XLOOKUP(TabTRADERCorrupted[[#This Row],[ClickTick]],TabCalc[Ticker],ListGravity)</f>
        <v>1.126317259727303</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8.077429734486519E-3</v>
      </c>
      <c r="N21" s="322" t="e" cm="1">
        <f t="array" aca="1" ref="N21" ca="1">_xlfn.XLOOKUP(TabTRADERCorrupted[[#This Row],[ClickTick]],ListTickers,Tab2RSIConventional[RSIConv20])</f>
        <v>#DIV/0!</v>
      </c>
      <c r="O21" s="698" t="str">
        <f ca="1">TEXT(_xlfn.XLOOKUP(TabTRADERCorrupted[[#This Row],[ClickTick]],TabCalc[Ticker],TabCalc[Nbegin]),"#,#0")&amp;": "&amp;_xlfn.XLOOKUP(TabTRADERCorrupted[[#This Row],[ClickTick]],TabCalc[Ticker],TabCalc[Pile?])</f>
        <v>340,000: Pile</v>
      </c>
      <c r="P21" s="319">
        <f ca="1">_xlfn.XLOOKUP(TabTRADERCorrupted[[#This Row],[ClickTick]],TabCalc[Ticker],TabCalc[L_Bn])</f>
        <v>10000</v>
      </c>
      <c r="Q21" s="723">
        <f ca="1">_xlfn.XLOOKUP(TabTRADERCorrupted[[#This Row],[ClickTick]],TabCalc[Ticker],TabCalc[L_Bp])</f>
        <v>-15.5</v>
      </c>
      <c r="R21" s="759">
        <f ca="1">(TabTRADERCorrupted[[#This Row],[M]]+TabTRADERCorrupted[[#This Row],[L_Bp]])/ABS(TabTRADERCorrupted[[#This Row],[L_Bp]])</f>
        <v>-2.9999999999999992E-2</v>
      </c>
      <c r="S21" s="678">
        <f ca="1">_xlfn.XLOOKUP(TabTRADERCorrupted[[#This Row],[ClickTick]],TabCalc[Ticker],TabCalc[Rev(MinStock)])*(1-Commission)</f>
        <v>-4625.9412000000002</v>
      </c>
      <c r="T21" s="777">
        <f ca="1">_xlfn.XLOOKUP(TabTRADERCorrupted[[#This Row],[ClickTick]],TabCalc[Ticker],TabCalc[Agiotage])</f>
        <v>8.077429734486519E-3</v>
      </c>
      <c r="U21" s="742"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-10,625/-10,625=&gt;-3.3% / -3.3%</v>
      </c>
      <c r="V21" s="734" t="str">
        <f ca="1">_xlfn.XLOOKUP(TabTRADERCorrupted[[#This Row],[ClickTick]],[1]!RTData[Ticker_Symbol],[1]!RTData[Currency])</f>
        <v>EUR</v>
      </c>
      <c r="W21" s="744">
        <f ca="1">_xlfn.XLOOKUP(TabTRADERCorrupted[[#This Row],[ClickTick]],TabCalc[Ticker],TabCalc[M])</f>
        <v>15.035</v>
      </c>
      <c r="X21" s="1271" t="str">
        <f ca="1">SORTING!B21</f>
        <v>EOAN</v>
      </c>
      <c r="Y21" s="798">
        <f ca="1">_xlfn.XLOOKUP(TabTRADERCorrupted[[#This Row],[ClickTick]],TabCalc[Ticker],TabCalc[Y])</f>
        <v>16.934180000000001</v>
      </c>
      <c r="Z21" s="812">
        <f ca="1">_xlfn.XLOOKUP(TabTRADERCorrupted[[#This Row],[ClickTick]],[1]!RTData[Ticker_Symbol],[1]!RTData[YTChange])</f>
        <v>-0.14344056651492151</v>
      </c>
      <c r="AA21" s="827">
        <f ca="1">-_xlfn.XLOOKUP(TabTRADERCorrupted[[#This Row],[ClickTick]]&amp;2,Consolid!B$3:JZ$3,Consolid!B$4:JZ$4)</f>
        <v>16.035383879999998</v>
      </c>
      <c r="AB21" s="812" cm="1">
        <f t="array" aca="1" ref="AB21" ca="1">_xlfn.XLOOKUP(TabTRADERCorrupted[[#This Row],[ClickTick]],ListTickers,Tab1ChangePercent[Change%19])</f>
        <v>-3.3119000000000003E-2</v>
      </c>
      <c r="AC21" s="763">
        <f ca="1">_xlfn.XLOOKUP(TabTRADERCorrupted[[#This Row],[ClickTick]],TabCalc[Ticker],TabCalc[NAfter])</f>
        <v>25000</v>
      </c>
      <c r="AD2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^1,147/375 K$</v>
      </c>
      <c r="AE21" s="1127"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1" s="1131"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15.035, -06.7%</v>
      </c>
      <c r="AG21" s="1131" t="str"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-15.50</v>
      </c>
      <c r="AH21" s="1131"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15.035</v>
      </c>
      <c r="AI21" s="1131" t="str" cm="1">
        <f t="array" aca="1" ref="AI21" ca="1">_xlfn.IFS(   TabTRADERCorrupted[[#This Row],[Traps]]=MUp,TEXT(MIN(TabTRADERCorrupted[[#This Row],[L_Sn]],TabTRADERCorrupted[[#This Row],[N]]),"#,#0")&amp;" x "&amp;TEXT(TabTRADERCorrupted[[#This Row],[L_Sp]],"#,#0.#0"),          TRUE,"")</f>
        <v/>
      </c>
      <c r="AJ21" s="1131"/>
      <c r="AK21" s="1131"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4637.909999999998</v>
      </c>
      <c r="AL21" s="1131"/>
      <c r="AM21" s="1131"/>
      <c r="AN21" s="1131"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375875</v>
      </c>
      <c r="AO21" s="1140"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6.2386026270797187E-2</v>
      </c>
      <c r="AP21" s="1140"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2.8327835051546381E-2</v>
      </c>
      <c r="AQ21" s="820" t="str" cm="1">
        <f t="array" aca="1" ref="AQ21" ca="1">_xlfn.IFS(   TabTRADERCorrupted[[#This Row],[Traps]]=SellMorePercentGain,                     MIN(TabTRADERCorrupted[[#This Row],[L_Sn]],TabTRADERCorrupted[[#This Row],[N]])*(TabTRADERCorrupted[[#This Row],[M]]-TabTRADERCorrupted[[#This Row],[L_Sp]])*(1-Commission)*TabTRADERCorrupted[[#This Row],[Scale]],                    TRUE,"")</f>
        <v/>
      </c>
      <c r="AR21" s="1146">
        <f ca="1">_xlfn.XLOOKUP(TabTRADERCorrupted[[#This Row],[ClickTick]],TabCalc[Ticker],TabCalc[Ann%RevLB])</f>
        <v>-5.3999999999999986</v>
      </c>
      <c r="AS21" s="1224">
        <f ca="1">_xlfn.XLOOKUP(TabTRADERCorrupted[[#This Row],[ClickTick]],TabCalc[Ticker],TabCalc[Up20])</f>
        <v>0</v>
      </c>
      <c r="AT21" s="308"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3.0927835051546382E-2</v>
      </c>
      <c r="AU21" s="820" cm="1">
        <f t="array" aca="1" ref="AU21" ca="1">_xlfn.IFS(         TabTRADERCorrupted[[#This Row],[Traps]]=MDown,TabTRADERCorrupted[[#This Row],[L_Bn]]*TabTRADERCorrupted[[#This Row],[M]]*(-(TabTRADERCorrupted[[#This Row],[L_Bp]]+TabTRADERCorrupted[[#This Row],[M]])/TabTRADERCorrupted[[#This Row],[M]])*(1-Commission)*TabTRADERCorrupted[[#This Row],[Scale]],                               TRUE,"")</f>
        <v>4637.909999999998</v>
      </c>
      <c r="AV21" s="1140" cm="1">
        <f t="array" aca="1" ref="AV21" ca="1">_xlfn.IFS(   TabTRADERCorrupted[[#This Row],[Traps]]=MUp,TabTRADERCorrupted[[#This Row],[TakeGain_A]]-Commission,        TabTRADERCorrupted[[#This Row],[Traps]]=MDown,(TabTRADERCorrupted[[#This Row],[A]]-TabTRADERCorrupted[[#This Row],[M]])/TabTRADERCorrupted[[#This Row],[M]]-Commission,                              TRUE,"")</f>
        <v>6.3937005653475057E-2</v>
      </c>
      <c r="AW21" s="820"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24944.572047799938</v>
      </c>
      <c r="AX21" s="755"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1" s="731"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-0.46</v>
      </c>
      <c r="AZ21" s="760"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-6.2223822602493109E-2</v>
      </c>
      <c r="BA21" s="757"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6.3937005653475057E-2</v>
      </c>
      <c r="BB21" s="322">
        <f ca="1">_xlfn.XLOOKUP(TabTRADERCorrupted[[#This Row],[ClickTick]],TabCalc[Ticker],TabCalc[L_Sn])</f>
        <v>3200</v>
      </c>
      <c r="BC21" s="723">
        <f ca="1">_xlfn.XLOOKUP(TabTRADERCorrupted[[#This Row],[ClickTick]],TabCalc[Ticker],TabCalc[L_Sp])</f>
        <v>16.12</v>
      </c>
      <c r="BD21" s="759">
        <f ca="1">-IFERROR((TabTRADERCorrupted[[#This Row],[M]]-TabTRADERCorrupted[[#This Row],[L_Sp]])/TabTRADERCorrupted[[#This Row],[L_Sp]],0)</f>
        <v>6.730769230769236E-2</v>
      </c>
      <c r="BE21" s="724">
        <f ca="1">TabTRADERCorrupted[[#This Row],[L_Sn]]*(TabTRADERCorrupted[[#This Row],[M]]-TabTRADERCorrupted[[#This Row],[L_Sp]])*(1-Commission)*TabTRADERCorrupted[[#This Row],[Scale]]</f>
        <v>-3462.9728000000027</v>
      </c>
      <c r="BF21" s="687">
        <f ca="1">TabTRADERCorrupted[[#This Row],[L_Sn]]*(TabTRADERCorrupted[[#This Row],[Agiotage]]-TabTRADERCorrupted[[#This Row],[M]])/(TabTRADERCorrupted[[#This Row],[L_Bn]]*TabTRADERCorrupted[[#This Row],[M]])</f>
        <v>-0.31982808263950546</v>
      </c>
      <c r="BG21" s="630">
        <f ca="1">IFERROR((TabTRADERCorrupted[[#This Row],[M]]-TabTRADERCorrupted[[#This Row],[A]])/TabTRADERCorrupted[[#This Row],[A]],0)</f>
        <v>-6.2386026270797187E-2</v>
      </c>
      <c r="BH2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-24,945$</v>
      </c>
      <c r="BI21" s="679">
        <f ca="1">_xlfn.XLOOKUP(TabTRADERCorrupted[[#This Row],[ClickTick]],TabCalc[[#This Row],[Ticker]],TabCalc[[#This Row],[GL]])*(1-Commission)</f>
        <v>1143916.6868220691</v>
      </c>
      <c r="BJ21" s="679"/>
      <c r="BK21" s="664" t="str">
        <f ca="1">TabTRADERCorrupted[[#This Row],[ClickTick]]&amp;": "&amp;_xlfn.XLOOKUP(TabTRADERCorrupted[[#This Row],[ClickTick]],TabCalc[Ticker],TabCalc[Pile?])</f>
        <v>EOAN: Pile</v>
      </c>
      <c r="BL21" s="349" t="s">
        <v>1941</v>
      </c>
      <c r="BM21" s="750" t="str" cm="1">
        <f t="array" aca="1" ref="BM21" ca="1">_xlfn.TEXTJOIN("",,INDEX({"M","A","Y"}, _xlfn.SORTBY({1,2,3}, -CHOOSE({1,2,3}, TabTRADERCorrupted[[#This Row],[M]], TabTRADERCorrupted[[#This Row],[A]], TabTRADERCorrupted[[#This Row],[Agiotage]]))))</f>
        <v>AMY</v>
      </c>
      <c r="BN21" s="896"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3.0927835051546382E-2</v>
      </c>
      <c r="BO21" s="674" t="e">
        <f ca="1">TabTRADERCorrupted[[#This Row],[L_Sn]]*TabTRADERCorrupted[[#This Row],[L_Sp]]+TabTRADERCorrupted[[#This Row],[SellMore]]*TabTRADERCorrupted[[#This Row],[M]]</f>
        <v>#N/A</v>
      </c>
      <c r="BP21" s="674" t="e">
        <f ca="1">INDEX(
  INDEX(TabConsolid[], , _xlfn.XMATCH(TabTRADERCorrupted[[#This Row],[ClickTick]]&amp;1, TabConsolid[#Headers])),
  MATCH(
    -TabTRADERCorrupted[[#This Row],[M]],
    INDEX(TabConsolid[], , _xlfn.XMATCH(TabTRADERCorrupted[[#This Row],[ClickTick]]&amp;2, TabConsolid[#Headers])),
    -1
  )
)</f>
        <v>#N/A</v>
      </c>
      <c r="BQ21" s="674"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550</v>
      </c>
      <c r="BR21" s="1113" t="e">
        <f ca="1">TabTRADERCorrupted[[#This Row],[ReBuy]]/(TabTRADERCorrupted[[#This Row],[L_Sn]]+TabTRADERCorrupted[[#This Row],[SellMore]])</f>
        <v>#N/A</v>
      </c>
      <c r="BS2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-5.2969902060185934E-3</v>
      </c>
      <c r="BT21" s="682">
        <f ca="1">(TabTRADERCorrupted[[#This Row],[M]]-TabTRADERCorrupted[[#This Row],[Agiotage]])/(TabTRADERCorrupted[[#This Row],[M]]-TabTRADERCorrupted[[#This Row],[A]])-1</f>
        <v>-16.021156248804758</v>
      </c>
      <c r="BU21" s="1221">
        <f ca="1">_xlfn.XMATCH(TabTRADERCorrupted[[#This Row],[ClickTick]]&amp;1, TabConsolid[#Headers])</f>
        <v>56</v>
      </c>
      <c r="BV21" t="str">
        <f ca="1">IF(ABS(TabTRADERCorrupted[[#This Row],[L_Bp]])&gt;=TabTRADERCorrupted[[#This Row],[M]],"OK")</f>
        <v>OK</v>
      </c>
    </row>
    <row r="22" spans="1:74" ht="22" customHeight="1">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3"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cm="1">
        <f t="array" aca="1" ref="N22" ca="1">_xlfn.XLOOKUP(TabTRADERCorrupted[[#This Row],[ClickTick]],ListTickers,Tab2RSIConventional[RSIConv20])</f>
        <v>98</v>
      </c>
      <c r="O22" s="698"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6">
        <f ca="1">_xlfn.XLOOKUP(TabTRADERCorrupted[[#This Row],[ClickTick]],TabCalc[Ticker],TabCalc[L_Bp])</f>
        <v>-1.72</v>
      </c>
      <c r="R22" s="759">
        <f ca="1">(TabTRADERCorrupted[[#This Row],[M]]+TabTRADERCorrupted[[#This Row],[L_Bp]])/ABS(TabTRADERCorrupted[[#This Row],[L_Bp]])</f>
        <v>-0.88302325581395347</v>
      </c>
      <c r="S22" s="678">
        <f ca="1">_xlfn.XLOOKUP(TabTRADERCorrupted[[#This Row],[ClickTick]],TabCalc[Ticker],TabCalc[Rev(MinStock)])*(1-Commission)</f>
        <v>-18129.739799999999</v>
      </c>
      <c r="T22" s="777">
        <f ca="1">_xlfn.XLOOKUP(TabTRADERCorrupted[[#This Row],[ClickTick]],TabCalc[Ticker],TabCalc[Agiotage])</f>
        <v>1.8522760022071003</v>
      </c>
      <c r="U22" s="742"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4" t="str">
        <f ca="1">_xlfn.XLOOKUP(TabTRADERCorrupted[[#This Row],[ClickTick]],[1]!RTData[Ticker_Symbol],[1]!RTData[Currency])</f>
        <v>USD</v>
      </c>
      <c r="W22" s="744">
        <f ca="1">_xlfn.XLOOKUP(TabTRADERCorrupted[[#This Row],[ClickTick]],TabCalc[Ticker],TabCalc[M])</f>
        <v>0.20119999999999999</v>
      </c>
      <c r="X22" s="1271" t="str">
        <f ca="1">SORTING!B22</f>
        <v>EPIX</v>
      </c>
      <c r="Y22" s="798">
        <f ca="1">_xlfn.XLOOKUP(TabTRADERCorrupted[[#This Row],[ClickTick]],TabCalc[Ticker],TabCalc[Y])</f>
        <v>0</v>
      </c>
      <c r="Z22" s="812">
        <f ca="1">_xlfn.XLOOKUP(TabTRADERCorrupted[[#This Row],[ClickTick]],[1]!RTData[Ticker_Symbol],[1]!RTData[YTChange])</f>
        <v>0</v>
      </c>
      <c r="AA22" s="827">
        <f ca="1">-_xlfn.XLOOKUP(TabTRADERCorrupted[[#This Row],[ClickTick]]&amp;2,Consolid!B$3:JZ$3,Consolid!B$4:JZ$4)</f>
        <v>2.1324098880000002</v>
      </c>
      <c r="AB22" s="812" cm="1">
        <f t="array" aca="1" ref="AB22" ca="1">_xlfn.XLOOKUP(TabTRADERCorrupted[[#This Row],[ClickTick]],ListTickers,Tab1ChangePercent[Change%19])</f>
        <v>0</v>
      </c>
      <c r="AC22" s="763">
        <f ca="1">_xlfn.XLOOKUP(TabTRADERCorrupted[[#This Row],[ClickTick]],TabCalc[Ticker],TabCalc[NAfter])</f>
        <v>30000</v>
      </c>
      <c r="AD2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0/6 K$</v>
      </c>
      <c r="AE22" s="1147"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31"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31"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31"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31" t="str" cm="1">
        <f t="array" aca="1" ref="AI22" ca="1">_xlfn.IFS(   TabTRADERCorrupted[[#This Row],[Traps]]=MUp,TEXT(MIN(TabTRADERCorrupted[[#This Row],[L_Sn]],TabTRADERCorrupted[[#This Row],[N]]),"#,#0")&amp;" x "&amp;TEXT(TabTRADERCorrupted[[#This Row],[L_Sp]],"#,#0.#0"),          TRUE,"")</f>
        <v/>
      </c>
      <c r="AJ22" s="1131"/>
      <c r="AK22" s="1131"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31"/>
      <c r="AM22" s="1131"/>
      <c r="AN22" s="1131"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40"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40"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TabTRADERCorrupted[[#This Row],[Traps]]=SellMorePercentGain,                     MIN(TabTRADERCorrupted[[#This Row],[L_Sn]],TabTRADERCorrupted[[#This Row],[N]])*(TabTRADERCorrupted[[#This Row],[M]]-TabTRADERCorrupted[[#This Row],[L_Sp]])*(1-Commission)*TabTRADERCorrupted[[#This Row],[Scale]],                    TRUE,"")</f>
        <v/>
      </c>
      <c r="AR22" s="1129">
        <f ca="1">_xlfn.XLOOKUP(TabTRADERCorrupted[[#This Row],[ClickTick]],TabCalc[Ticker],TabCalc[Ann%RevLB])</f>
        <v>-1.0059758610538709</v>
      </c>
      <c r="AS22" s="1225">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20"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40"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20"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5"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22" s="731"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60"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7"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3">
        <f ca="1">_xlfn.XLOOKUP(TabTRADERCorrupted[[#This Row],[ClickTick]],TabCalc[Ticker],TabCalc[L_Sp])</f>
        <v>5.77</v>
      </c>
      <c r="BD22" s="759">
        <f ca="1">-IFERROR((TabTRADERCorrupted[[#This Row],[M]]-TabTRADERCorrupted[[#This Row],[L_Sp]])/TabTRADERCorrupted[[#This Row],[L_Sp]],0)</f>
        <v>0.96512998266897743</v>
      </c>
      <c r="BE22" s="724">
        <f ca="1">TabTRADERCorrupted[[#This Row],[L_Sn]]*(TabTRADERCorrupted[[#This Row],[M]]-TabTRADERCorrupted[[#This Row],[L_Sp]])*(1-Commission)*TabTRADERCorrupted[[#This Row],[Scale]]</f>
        <v>-55543.211199999991</v>
      </c>
      <c r="BF22" s="687">
        <f ca="1">TabTRADERCorrupted[[#This Row],[L_Sn]]*(TabTRADERCorrupted[[#This Row],[Agiotage]]-TabTRADERCorrupted[[#This Row],[M]])/(TabTRADERCorrupted[[#This Row],[L_Bn]]*TabTRADERCorrupted[[#This Row],[M]])</f>
        <v>6.8384526267689694</v>
      </c>
      <c r="BG22" s="630">
        <f ca="1">IFERROR((TabTRADERCorrupted[[#This Row],[M]]-TabTRADERCorrupted[[#This Row],[A]])/TabTRADERCorrupted[[#This Row],[A]],0)</f>
        <v>-0.90564665774050279</v>
      </c>
      <c r="BH2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9">
        <f ca="1">_xlfn.XLOOKUP(TabTRADERCorrupted[[#This Row],[ClickTick]],TabCalc[[#This Row],[Ticker]],TabCalc[[#This Row],[GL]])*(1-Commission)</f>
        <v>-379.75151209640836</v>
      </c>
      <c r="BJ22" s="679"/>
      <c r="BK22" s="664" t="str">
        <f ca="1">TabTRADERCorrupted[[#This Row],[ClickTick]]&amp;": "&amp;_xlfn.XLOOKUP(TabTRADERCorrupted[[#This Row],[ClickTick]],TabCalc[Ticker],TabCalc[Pile?])</f>
        <v xml:space="preserve">EPIX: </v>
      </c>
      <c r="BL22" s="349" t="s">
        <v>1942</v>
      </c>
      <c r="BM22" s="750" t="str" cm="1">
        <f t="array" aca="1" ref="BM22" ca="1">_xlfn.TEXTJOIN("",,INDEX({"M","A","Y"}, _xlfn.SORTBY({1,2,3}, -CHOOSE({1,2,3}, TabTRADERCorrupted[[#This Row],[M]], TabTRADERCorrupted[[#This Row],[A]], TabTRADERCorrupted[[#This Row],[Agiotage]]))))</f>
        <v>AYM</v>
      </c>
      <c r="BN22" s="896"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TabTRADERCorrupted[[#This Row],[L_Sn]]*TabTRADERCorrupted[[#This Row],[L_Sp]]+TabTRADERCorrupted[[#This Row],[SellMore]]*TabTRADERCorrupted[[#This Row],[M]]</f>
        <v>#N/A</v>
      </c>
      <c r="BP22" s="674" t="e">
        <f ca="1">INDEX(
  INDEX(TabConsolid[], , _xlfn.XMATCH(TabTRADERCorrupted[[#This Row],[ClickTick]]&amp;1, TabConsolid[#Headers])),
  MATCH(
    -TabTRADERCorrupted[[#This Row],[M]],
    INDEX(TabConsolid[], , _xlfn.XMATCH(TabTRADERCorrupted[[#This Row],[ClickTick]]&amp;2, TabConsolid[#Headers])),
    -1
  )
)</f>
        <v>#N/A</v>
      </c>
      <c r="BQ22" s="674"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13" t="e">
        <f ca="1">TabTRADERCorrupted[[#This Row],[ReBuy]]/(TabTRADERCorrupted[[#This Row],[L_Sn]]+TabTRADERCorrupted[[#This Row],[SellMore]])</f>
        <v>#N/A</v>
      </c>
      <c r="BS2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2">
        <f ca="1">(TabTRADERCorrupted[[#This Row],[M]]-TabTRADERCorrupted[[#This Row],[Agiotage]])/(TabTRADERCorrupted[[#This Row],[M]]-TabTRADERCorrupted[[#This Row],[A]])-1</f>
        <v>-0.14505615755883072</v>
      </c>
      <c r="BU22" s="1221">
        <f ca="1">_xlfn.XMATCH(TabTRADERCorrupted[[#This Row],[ClickTick]]&amp;1, TabConsolid[#Headers])</f>
        <v>59</v>
      </c>
      <c r="BV22" t="str">
        <f ca="1">IF(ABS(TabTRADERCorrupted[[#This Row],[L_Bp]])&gt;=TabTRADERCorrupted[[#This Row],[M]],"OK")</f>
        <v>OK</v>
      </c>
    </row>
    <row r="23" spans="1:74" ht="22" customHeight="1">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+34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42.3%</v>
      </c>
      <c r="D23" s="683"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37$</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35$</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-4.8% = 0</v>
      </c>
      <c r="I23" s="224" t="str">
        <f ca="1">IFERROR(TRUNC(TabCalc[[#This Row],[L_S1p]],2)&amp;"x"&amp;TabCalc[[#This Row],[L_S1n]]&amp;"=   "&amp;TEXT(TabCalc[[#This Row],[ReverseB1]],"#,#0"),"")</f>
        <v>47.63x990=   -32,880</v>
      </c>
      <c r="J23" s="293">
        <f ca="1">_xlfn.XLOOKUP(TabTRADERCorrupted[[#This Row],[ClickTick]],TabCalc[Ticker],ListGravity)</f>
        <v>0.91866200754530269</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1.0689103082554057</v>
      </c>
      <c r="N23" s="322" cm="1">
        <f t="array" aca="1" ref="N23" ca="1">_xlfn.XLOOKUP(TabTRADERCorrupted[[#This Row],[ClickTick]],ListTickers,Tab2RSIConventional[RSIConv20])</f>
        <v>74</v>
      </c>
      <c r="O23" s="698"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6">
        <f ca="1">_xlfn.XLOOKUP(TabTRADERCorrupted[[#This Row],[ClickTick]],TabCalc[Ticker],TabCalc[L_Bp])</f>
        <v>-46.676000000000002</v>
      </c>
      <c r="R23" s="759">
        <f ca="1">(TabTRADERCorrupted[[#This Row],[M]]+TabTRADERCorrupted[[#This Row],[L_Bp]])/ABS(TabTRADERCorrupted[[#This Row],[L_Bp]])</f>
        <v>0.73204644785328643</v>
      </c>
      <c r="S23" s="678">
        <f ca="1">_xlfn.XLOOKUP(TabTRADERCorrupted[[#This Row],[ClickTick]],TabCalc[Ticker],TabCalc[Rev(MinStock)])*(1-Commission)</f>
        <v>33.9116</v>
      </c>
      <c r="T23" s="777">
        <f ca="1">_xlfn.XLOOKUP(TabTRADERCorrupted[[#This Row],[ClickTick]],TabCalc[Ticker],TabCalc[Agiotage])</f>
        <v>1.0689103082554057</v>
      </c>
      <c r="U23" s="742"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23" s="734" t="str">
        <f ca="1">_xlfn.XLOOKUP(TabTRADERCorrupted[[#This Row],[ClickTick]],[1]!RTData[Ticker_Symbol],[1]!RTData[Currency])</f>
        <v>USD</v>
      </c>
      <c r="W23" s="744">
        <f ca="1">_xlfn.XLOOKUP(TabTRADERCorrupted[[#This Row],[ClickTick]],TabCalc[Ticker],TabCalc[M])</f>
        <v>80.844999999999999</v>
      </c>
      <c r="X23" s="1271" t="str">
        <f ca="1">SORTING!B23</f>
        <v>GM</v>
      </c>
      <c r="Y23" s="798">
        <f ca="1">_xlfn.XLOOKUP(TabTRADERCorrupted[[#This Row],[ClickTick]],TabCalc[Ticker],TabCalc[Y])</f>
        <v>74.269229999999993</v>
      </c>
      <c r="Z23" s="812">
        <f ca="1">_xlfn.XLOOKUP(TabTRADERCorrupted[[#This Row],[ClickTick]],[1]!RTData[Ticker_Symbol],[1]!RTData[YTChange])</f>
        <v>6.9688015021459222</v>
      </c>
      <c r="AA23" s="827">
        <f ca="1">-_xlfn.XLOOKUP(TabTRADERCorrupted[[#This Row],[ClickTick]]&amp;2,Consolid!B$3:JZ$3,Consolid!B$4:JZ$4)</f>
        <v>46.797357599999998</v>
      </c>
      <c r="AB23" s="812" cm="1">
        <f t="array" aca="1" ref="AB23" ca="1">_xlfn.XLOOKUP(TabTRADERCorrupted[[#This Row],[ClickTick]],ListTickers,Tab1ChangePercent[Change%19])</f>
        <v>5.5690000000000004E-4</v>
      </c>
      <c r="AC23" s="763">
        <f ca="1">_xlfn.XLOOKUP(TabTRADERCorrupted[[#This Row],[ClickTick]],TabCalc[Ticker],TabCalc[NAfter])</f>
        <v>1</v>
      </c>
      <c r="AD2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^15/0 K$</v>
      </c>
      <c r="AE23" s="1147"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31"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80.845, 05.0%</v>
      </c>
      <c r="AG23" s="1131"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31" cm="1">
        <f t="array" aca="1" ref="AH23" ca="1">_xlfn.IFS(     TabTRADERCorrupted[[#This Row],[Traps]]=MUp,MIN(TabTRADERCorrupted[[#This Row],[L_Sn]],TabTRADERCorrupted[[#This Row],[N]])*(TabTRADERCorrupted[[#This Row],[M]]-TabTRADERCorrupted[[#This Row],[L_Sp]])*(1-Commission)*TabTRADERCorrupted[[#This Row],[Scale]],                                  TRUE,"M= "&amp;TabTRADERCorrupted[[#This Row],[M]])</f>
        <v>3.874899000000005</v>
      </c>
      <c r="AI23" s="1131" t="str" cm="1">
        <f t="array" aca="1" ref="AI23" ca="1">_xlfn.IFS(   TabTRADERCorrupted[[#This Row],[Traps]]=MUp,TEXT(MIN(TabTRADERCorrupted[[#This Row],[L_Sn]],TabTRADERCorrupted[[#This Row],[N]]),"#,#0")&amp;" x "&amp;TEXT(TabTRADERCorrupted[[#This Row],[L_Sp]],"#,#0.#0"),          TRUE,"")</f>
        <v>1 x 76.96</v>
      </c>
      <c r="AJ23" s="1131"/>
      <c r="AK23" s="1131"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3.874899000000005</v>
      </c>
      <c r="AL23" s="1131"/>
      <c r="AM23" s="1131"/>
      <c r="AN23" s="1131"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33.959118529759998</v>
      </c>
      <c r="AO23" s="1140"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0.72755480535935224</v>
      </c>
      <c r="AP23" s="1140"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4.5454919908466888E-2</v>
      </c>
      <c r="AQ23" s="820" cm="1">
        <f t="array" aca="1" ref="AQ23" ca="1">_xlfn.IFS(   TabTRADERCorrupted[[#This Row],[Traps]]=SellMorePercentGain,                     MIN(TabTRADERCorrupted[[#This Row],[L_Sn]],TabTRADERCorrupted[[#This Row],[N]])*(TabTRADERCorrupted[[#This Row],[M]]-TabTRADERCorrupted[[#This Row],[L_Sp]])*(1-Commission)*TabTRADERCorrupted[[#This Row],[Scale]],                    TRUE,"")</f>
        <v>3.874899000000005</v>
      </c>
      <c r="AR23" s="1129">
        <f ca="1">_xlfn.XLOOKUP(TabTRADERCorrupted[[#This Row],[ClickTick]],TabCalc[Ticker],TabCalc[Ann%RevLB])</f>
        <v>0.53673466645047474</v>
      </c>
      <c r="AS23" s="1225">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20"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40" cm="1">
        <f t="array" aca="1" ref="AV23" ca="1">_xlfn.IFS(   TabTRADERCorrupted[[#This Row],[Traps]]=MUp,TabTRADERCorrupted[[#This Row],[TakeGain_A]]-Commission,        TabTRADERCorrupted[[#This Row],[Traps]]=MDown,(TabTRADERCorrupted[[#This Row],[A]]-TabTRADERCorrupted[[#This Row],[M]])/TabTRADERCorrupted[[#This Row],[M]]-Commission,                              TRUE,"")</f>
        <v>0.72495480535935219</v>
      </c>
      <c r="AW23" s="820"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58.666238401854713</v>
      </c>
      <c r="AX23" s="755"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23" s="731"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1x34.04</v>
      </c>
      <c r="AZ23" s="760"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0.72566316286541788</v>
      </c>
      <c r="BA23" s="757"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-0.42374716308986332</v>
      </c>
      <c r="BB23" s="322">
        <f ca="1">_xlfn.XLOOKUP(TabTRADERCorrupted[[#This Row],[ClickTick]],TabCalc[Ticker],TabCalc[L_Sn])</f>
        <v>9</v>
      </c>
      <c r="BC23" s="723">
        <f ca="1">_xlfn.XLOOKUP(TabTRADERCorrupted[[#This Row],[ClickTick]],TabCalc[Ticker],TabCalc[L_Sp])</f>
        <v>76.959999999999994</v>
      </c>
      <c r="BD23" s="759">
        <f ca="1">-IFERROR((TabTRADERCorrupted[[#This Row],[M]]-TabTRADERCorrupted[[#This Row],[L_Sp]])/TabTRADERCorrupted[[#This Row],[L_Sp]],0)</f>
        <v>-5.0480769230769301E-2</v>
      </c>
      <c r="BE23" s="724">
        <f ca="1">TabTRADERCorrupted[[#This Row],[L_Sn]]*(TabTRADERCorrupted[[#This Row],[M]]-TabTRADERCorrupted[[#This Row],[L_Sp]])*(1-Commission)*TabTRADERCorrupted[[#This Row],[Scale]]</f>
        <v>34.874091000000043</v>
      </c>
      <c r="BF23" s="687">
        <f ca="1">TabTRADERCorrupted[[#This Row],[L_Sn]]*(TabTRADERCorrupted[[#This Row],[Agiotage]]-TabTRADERCorrupted[[#This Row],[M]])/(TabTRADERCorrupted[[#This Row],[L_Bn]]*TabTRADERCorrupted[[#This Row],[M]])</f>
        <v>-8.9707115964606319E-3</v>
      </c>
      <c r="BG23" s="630">
        <f ca="1">IFERROR((TabTRADERCorrupted[[#This Row],[M]]-TabTRADERCorrupted[[#This Row],[A]])/TabTRADERCorrupted[[#This Row],[A]],0)</f>
        <v>0.72755480535935224</v>
      </c>
      <c r="BH2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34$</v>
      </c>
      <c r="BI23" s="679">
        <f ca="1">_xlfn.XLOOKUP(TabTRADERCorrupted[[#This Row],[ClickTick]],TabCalc[[#This Row],[Ticker]],TabCalc[[#This Row],[GL]])*(1-Commission)</f>
        <v>14480.680656747214</v>
      </c>
      <c r="BJ23" s="679"/>
      <c r="BK23" s="664" t="str">
        <f ca="1">TabTRADERCorrupted[[#This Row],[ClickTick]]&amp;": "&amp;_xlfn.XLOOKUP(TabTRADERCorrupted[[#This Row],[ClickTick]],TabCalc[Ticker],TabCalc[Pile?])</f>
        <v>GM: Pile</v>
      </c>
      <c r="BL23" s="349" t="s">
        <v>1943</v>
      </c>
      <c r="BM23" s="750" t="str" cm="1">
        <f t="array" aca="1" ref="BM23" ca="1">_xlfn.TEXTJOIN("",,INDEX({"M","A","Y"}, _xlfn.SORTBY({1,2,3}, -CHOOSE({1,2,3}, TabTRADERCorrupted[[#This Row],[M]], TabTRADERCorrupted[[#This Row],[A]], TabTRADERCorrupted[[#This Row],[Agiotage]]))))</f>
        <v>MAY</v>
      </c>
      <c r="BN23" s="896"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4.8054919908466887E-2</v>
      </c>
      <c r="BO23" s="674">
        <f ca="1">TabTRADERCorrupted[[#This Row],[L_Sn]]*TabTRADERCorrupted[[#This Row],[L_Sp]]+TabTRADERCorrupted[[#This Row],[SellMore]]*TabTRADERCorrupted[[#This Row],[M]]</f>
        <v>1501.0900000000001</v>
      </c>
      <c r="BP23" s="674">
        <f ca="1">INDEX(
  INDEX(TabConsolid[], , _xlfn.XMATCH(TabTRADERCorrupted[[#This Row],[ClickTick]]&amp;1, TabConsolid[#Headers])),
  MATCH(
    -TabTRADERCorrupted[[#This Row],[M]],
    INDEX(TabConsolid[], , _xlfn.XMATCH(TabTRADERCorrupted[[#This Row],[ClickTick]]&amp;2, TabConsolid[#Headers])),
    -1
  )
)</f>
        <v>10</v>
      </c>
      <c r="BQ23" s="674"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13">
        <f ca="1">TabTRADERCorrupted[[#This Row],[ReBuy]]/(TabTRADERCorrupted[[#This Row],[L_Sn]]+TabTRADERCorrupted[[#This Row],[SellMore]])</f>
        <v>79.004736842105274</v>
      </c>
      <c r="BS2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-88.640099657493977</v>
      </c>
      <c r="BT23" s="682">
        <f ca="1">(TabTRADERCorrupted[[#This Row],[M]]-TabTRADERCorrupted[[#This Row],[Agiotage]])/(TabTRADERCorrupted[[#This Row],[M]]-TabTRADERCorrupted[[#This Row],[A]])-1</f>
        <v>1.3430723559216124</v>
      </c>
      <c r="BU23" s="1221">
        <f ca="1">_xlfn.XMATCH(TabTRADERCorrupted[[#This Row],[ClickTick]]&amp;1, TabConsolid[#Headers])</f>
        <v>62</v>
      </c>
      <c r="BV23" t="b">
        <f ca="1">IF(ABS(TabTRADERCorrupted[[#This Row],[L_Bp]])&gt;=TabTRADERCorrupted[[#This Row],[M]],"OK")</f>
        <v>0</v>
      </c>
    </row>
    <row r="24" spans="1:74" ht="22" customHeight="1">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+12,865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10.5%</v>
      </c>
      <c r="D24" s="683"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1,938/14,200=47,558</v>
      </c>
      <c r="E2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4" s="224" t="str">
        <f ca="1">TRUNC(TabCalc[[#This Row],[L_B1p]],2)&amp;"x"&amp;TabCalc[[#This Row],[L_B1n]]&amp;"=   "&amp;TEXT(TabCalc[[#This Row],[ReverseS1]],"#,#0")&amp;"$"</f>
        <v>-22.63x1800=   3,438$</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24.12x1800=   756$</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 = 0</v>
      </c>
      <c r="I24" s="224" t="str">
        <f ca="1">IFERROR(TRUNC(TabCalc[[#This Row],[L_S1p]],2)&amp;"x"&amp;TabCalc[[#This Row],[L_S1n]]&amp;"=   "&amp;TEXT(TabCalc[[#This Row],[ReverseB1]],"#,#0"),"")</f>
        <v>26.07x1200=   1,836</v>
      </c>
      <c r="J24" s="293">
        <f ca="1">_xlfn.XLOOKUP(TabTRADERCorrupted[[#This Row],[ClickTick]],TabCalc[Ticker],ListGravity)</f>
        <v>1.0753418907905461</v>
      </c>
      <c r="K24" s="320" cm="1">
        <f t="array" aca="1" ref="K24" ca="1">IF(_xlfn.XLOOKUP(TabTRADERCorrupted[[#This Row],[ClickTick]],TabTRADERCorrupted[ClickTick],ListExtra_n)&gt;0,_xlfn.XLOOKUP(TabTRADERCorrupted[[#This Row],[ClickTick]],TabTRADERCorrupted[ClickTick],ListExtra_n),"")</f>
        <v>2200</v>
      </c>
      <c r="L24" s="318">
        <f ca="1">IF(_xlfn.XLOOKUP(TabTRADERCorrupted[[#This Row],[ClickTick]],TabCalc[Ticker],ListExtra_n)&gt;0,_xlfn.XLOOKUP(TabTRADERCorrupted[[#This Row],[ClickTick]],TabCalc[Ticker],ListExtra_n)*TabTRADERCorrupted[[#This Row],[M]]*_xlfn.XLOOKUP(TabTRADERCorrupted[[#This Row],[ClickTick]],TabCalc[Ticker],ListScale),"")</f>
        <v>53988</v>
      </c>
      <c r="M24" s="321">
        <f ca="1">_xlfn.XLOOKUP(TabTRADERCorrupted[[#This Row],[ClickTick]],TabCalc[Ticker],TabCalc[Agiotage])</f>
        <v>0.88895401902287108</v>
      </c>
      <c r="N24" s="322" cm="1">
        <f t="array" aca="1" ref="N24" ca="1">_xlfn.XLOOKUP(TabTRADERCorrupted[[#This Row],[ClickTick]],ListTickers,Tab2RSIConventional[RSIConv20])</f>
        <v>80</v>
      </c>
      <c r="O24" s="698"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6">
        <f ca="1">_xlfn.XLOOKUP(TabTRADERCorrupted[[#This Row],[ClickTick]],TabCalc[Ticker],TabCalc[L_Bp])</f>
        <v>-21.96</v>
      </c>
      <c r="R24" s="759">
        <f ca="1">(TabTRADERCorrupted[[#This Row],[M]]+TabTRADERCorrupted[[#This Row],[L_Bp]])/ABS(TabTRADERCorrupted[[#This Row],[L_Bp]])</f>
        <v>0.11748633879781413</v>
      </c>
      <c r="S24" s="678">
        <f ca="1">_xlfn.XLOOKUP(TabTRADERCorrupted[[#This Row],[ClickTick]],TabCalc[Ticker],TabCalc[Rev(MinStock)])*(1-Commission)</f>
        <v>12831.550999999999</v>
      </c>
      <c r="T24" s="777">
        <f ca="1">_xlfn.XLOOKUP(TabTRADERCorrupted[[#This Row],[ClickTick]],TabCalc[Ticker],TabCalc[Agiotage])</f>
        <v>0.88895401902287108</v>
      </c>
      <c r="U24" s="742"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-2,272/-2,272=&gt;-2.9% / -2.9%</v>
      </c>
      <c r="V24" s="734" t="str">
        <f ca="1">_xlfn.XLOOKUP(TabTRADERCorrupted[[#This Row],[ClickTick]],[1]!RTData[Ticker_Symbol],[1]!RTData[Currency])</f>
        <v>USD</v>
      </c>
      <c r="W24" s="744">
        <f ca="1">_xlfn.XLOOKUP(TabTRADERCorrupted[[#This Row],[ClickTick]],TabCalc[Ticker],TabCalc[M])</f>
        <v>24.54</v>
      </c>
      <c r="X24" s="1271" t="str">
        <f ca="1">SORTING!B24</f>
        <v>HPE</v>
      </c>
      <c r="Y24" s="798">
        <f ca="1">_xlfn.XLOOKUP(TabTRADERCorrupted[[#This Row],[ClickTick]],TabCalc[Ticker],TabCalc[Y])</f>
        <v>26.38889</v>
      </c>
      <c r="Z24" s="812">
        <f ca="1">_xlfn.XLOOKUP(TabTRADERCorrupted[[#This Row],[ClickTick]],[1]!RTData[Ticker_Symbol],[1]!RTData[YTChange])</f>
        <v>-0.53086417777777772</v>
      </c>
      <c r="AA24" s="827">
        <f ca="1">-_xlfn.XLOOKUP(TabTRADERCorrupted[[#This Row],[ClickTick]]&amp;2,Consolid!B$3:JZ$3,Consolid!B$4:JZ$4)</f>
        <v>20.994714560788733</v>
      </c>
      <c r="AB24" s="812" cm="1">
        <f t="array" aca="1" ref="AB24" ca="1">_xlfn.XLOOKUP(TabTRADERCorrupted[[#This Row],[ClickTick]],ListTickers,Tab1ChangePercent[Change%19])</f>
        <v>-2.8504000000000002E-2</v>
      </c>
      <c r="AC24" s="763">
        <f ca="1">_xlfn.XLOOKUP(TabTRADERCorrupted[[#This Row],[ClickTick]],TabCalc[Ticker],TabCalc[NAfter])</f>
        <v>14200</v>
      </c>
      <c r="AD2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^200/348 K$</v>
      </c>
      <c r="AE24" s="1147"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4" s="1131"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-21.96</v>
      </c>
      <c r="AG24" s="1131"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12831.550999999999</v>
      </c>
      <c r="AH24" s="1131"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24.54</v>
      </c>
      <c r="AI24" s="1131" t="str" cm="1">
        <f t="array" aca="1" ref="AI24" ca="1">_xlfn.IFS(   TabTRADERCorrupted[[#This Row],[Traps]]=MUp,TEXT(MIN(TabTRADERCorrupted[[#This Row],[L_Sn]],TabTRADERCorrupted[[#This Row],[N]]),"#,#0")&amp;" x "&amp;TEXT(TabTRADERCorrupted[[#This Row],[L_Sp]],"#,#0.#0"),          TRUE,"")</f>
        <v/>
      </c>
      <c r="AJ24" s="1131"/>
      <c r="AK24" s="1131"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31"/>
      <c r="AM24" s="1131"/>
      <c r="AN24" s="1131"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12831.550999999999</v>
      </c>
      <c r="AO24" s="1140"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0.11748633879781413</v>
      </c>
      <c r="AP24" s="1140"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TabTRADERCorrupted[[#This Row],[Traps]]=SellMorePercentGain,                     MIN(TabTRADERCorrupted[[#This Row],[L_Sn]],TabTRADERCorrupted[[#This Row],[N]])*(TabTRADERCorrupted[[#This Row],[M]]-TabTRADERCorrupted[[#This Row],[L_Sp]])*(1-Commission)*TabTRADERCorrupted[[#This Row],[Scale]],                    TRUE,"")</f>
        <v/>
      </c>
      <c r="AR24" s="1129">
        <f ca="1">_xlfn.XLOOKUP(TabTRADERCorrupted[[#This Row],[ClickTick]],TabCalc[Ticker],TabCalc[Ann%RevLB])</f>
        <v>4.6994535519125655</v>
      </c>
      <c r="AS24" s="1225">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20"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40" t="str" cm="1">
        <f t="array" aca="1" ref="AV24" ca="1">_xlfn.IFS(   TabTRADERCorrupted[[#This Row],[Traps]]=MUp,TabTRADERCorrupted[[#This Row],[TakeGain_A]]-Commission,        TabTRADERCorrupted[[#This Row],[Traps]]=MDown,(TabTRADERCorrupted[[#This Row],[A]]-TabTRADERCorrupted[[#This Row],[M]])/TabTRADERCorrupted[[#This Row],[M]]-Commission,                              TRUE,"")</f>
        <v/>
      </c>
      <c r="AW24" s="820"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58691.268923641852</v>
      </c>
      <c r="AX24" s="755"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24" s="731"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4" s="760" t="str"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4" s="757"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-0.14706965929956259</v>
      </c>
      <c r="BB24" s="322">
        <f ca="1">_xlfn.XLOOKUP(TabTRADERCorrupted[[#This Row],[ClickTick]],TabCalc[Ticker],TabCalc[L_Sn])</f>
        <v>1800</v>
      </c>
      <c r="BC24" s="723">
        <f ca="1">_xlfn.XLOOKUP(TabTRADERCorrupted[[#This Row],[ClickTick]],TabCalc[Ticker],TabCalc[L_Sp])</f>
        <v>24.12</v>
      </c>
      <c r="BD24" s="759">
        <f ca="1">-IFERROR((TabTRADERCorrupted[[#This Row],[M]]-TabTRADERCorrupted[[#This Row],[L_Sp]])/TabTRADERCorrupted[[#This Row],[L_Sp]],0)</f>
        <v>-1.7412935323383009E-2</v>
      </c>
      <c r="BE24" s="724">
        <f ca="1">TabTRADERCorrupted[[#This Row],[L_Sn]]*(TabTRADERCorrupted[[#This Row],[M]]-TabTRADERCorrupted[[#This Row],[L_Sp]])*(1-Commission)*TabTRADERCorrupted[[#This Row],[Scale]]</f>
        <v>754.03439999999671</v>
      </c>
      <c r="BF24" s="687">
        <f ca="1">TabTRADERCorrupted[[#This Row],[L_Sn]]*(TabTRADERCorrupted[[#This Row],[Agiotage]]-TabTRADERCorrupted[[#This Row],[M]])/(TabTRADERCorrupted[[#This Row],[L_Bn]]*TabTRADERCorrupted[[#This Row],[M]])</f>
        <v>-0.34695910974538569</v>
      </c>
      <c r="BG24" s="630">
        <f ca="1">IFERROR((TabTRADERCorrupted[[#This Row],[M]]-TabTRADERCorrupted[[#This Row],[A]])/TabTRADERCorrupted[[#This Row],[A]],0)</f>
        <v>0.16886561753179066</v>
      </c>
      <c r="BH2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14,200 : 50,212$</v>
      </c>
      <c r="BI24" s="679">
        <f ca="1">_xlfn.XLOOKUP(TabTRADERCorrupted[[#This Row],[ClickTick]],TabCalc[[#This Row],[Ticker]],TabCalc[[#This Row],[GL]])*(1-Commission)</f>
        <v>199633.33214256199</v>
      </c>
      <c r="BJ24" s="679"/>
      <c r="BK24" s="664" t="str">
        <f ca="1">TabTRADERCorrupted[[#This Row],[ClickTick]]&amp;": "&amp;_xlfn.XLOOKUP(TabTRADERCorrupted[[#This Row],[ClickTick]],TabCalc[Ticker],TabCalc[Pile?])</f>
        <v xml:space="preserve">HPE: </v>
      </c>
      <c r="BL24" s="349" t="s">
        <v>1944</v>
      </c>
      <c r="BM24" s="750" t="str" cm="1">
        <f t="array" aca="1" ref="BM24" ca="1">_xlfn.TEXTJOIN("",,INDEX({"M","A","Y"}, _xlfn.SORTBY({1,2,3}, -CHOOSE({1,2,3}, TabTRADERCorrupted[[#This Row],[M]], TabTRADERCorrupted[[#This Row],[A]], TabTRADERCorrupted[[#This Row],[Agiotage]]))))</f>
        <v>MAY</v>
      </c>
      <c r="BN24" s="896"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4">
        <f ca="1">TabTRADERCorrupted[[#This Row],[L_Sn]]*TabTRADERCorrupted[[#This Row],[L_Sp]]+TabTRADERCorrupted[[#This Row],[SellMore]]*TabTRADERCorrupted[[#This Row],[M]]</f>
        <v>87588</v>
      </c>
      <c r="BP24" s="674">
        <f ca="1">INDEX(
  INDEX(TabConsolid[], , _xlfn.XMATCH(TabTRADERCorrupted[[#This Row],[ClickTick]]&amp;1, TabConsolid[#Headers])),
  MATCH(
    -TabTRADERCorrupted[[#This Row],[M]],
    INDEX(TabConsolid[], , _xlfn.XMATCH(TabTRADERCorrupted[[#This Row],[ClickTick]]&amp;2, TabConsolid[#Headers])),
    -1
  )
)</f>
        <v>1800</v>
      </c>
      <c r="BQ24" s="674"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13">
        <f ca="1">TabTRADERCorrupted[[#This Row],[ReBuy]]/(TabTRADERCorrupted[[#This Row],[L_Sn]]+TabTRADERCorrupted[[#This Row],[SellMore]])</f>
        <v>24.33</v>
      </c>
      <c r="BS2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-1.4805036607810408E-2</v>
      </c>
      <c r="BT24" s="682">
        <f ca="1">(TabTRADERCorrupted[[#This Row],[M]]-TabTRADERCorrupted[[#This Row],[Agiotage]])/(TabTRADERCorrupted[[#This Row],[M]]-TabTRADERCorrupted[[#This Row],[A]])-1</f>
        <v>5.6711260310365503</v>
      </c>
      <c r="BU24" s="1221">
        <f ca="1">_xlfn.XMATCH(TabTRADERCorrupted[[#This Row],[ClickTick]]&amp;1, TabConsolid[#Headers])</f>
        <v>65</v>
      </c>
      <c r="BV24" t="b">
        <f ca="1">IF(ABS(TabTRADERCorrupted[[#This Row],[L_Bp]])&gt;=TabTRADERCorrupted[[#This Row],[M]],"OK")</f>
        <v>0</v>
      </c>
    </row>
    <row r="25" spans="1:74" ht="22" customHeight="1">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+498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0.5%</v>
      </c>
      <c r="D25" s="683"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-2,125$</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-3,535$</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13.9% = 1,414</v>
      </c>
      <c r="I25" s="224" t="str">
        <f ca="1">IFERROR(TRUNC(TabCalc[[#This Row],[L_S1p]],2)&amp;"x"&amp;TabCalc[[#This Row],[L_S1n]]&amp;"=   "&amp;TEXT(TabCalc[[#This Row],[ReverseB1]],"#,#0"),"")</f>
        <v>27.08x4000=   6,700</v>
      </c>
      <c r="J25" s="293">
        <f ca="1">_xlfn.XLOOKUP(TabTRADERCorrupted[[#This Row],[ClickTick]],TabCalc[Ticker],ListGravity)</f>
        <v>1.018746309781539</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203240</v>
      </c>
      <c r="M25" s="321">
        <f ca="1">_xlfn.XLOOKUP(TabTRADERCorrupted[[#This Row],[ClickTick]],TabCalc[Ticker],TabCalc[Agiotage])</f>
        <v>0.75804832493027485</v>
      </c>
      <c r="N25" s="322" cm="1">
        <f t="array" aca="1" ref="N25" ca="1">_xlfn.XLOOKUP(TabTRADERCorrupted[[#This Row],[ClickTick]],ListTickers,Tab2RSIConventional[RSIConv20])</f>
        <v>55</v>
      </c>
      <c r="O25" s="698"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6">
        <f ca="1">_xlfn.XLOOKUP(TabTRADERCorrupted[[#This Row],[ClickTick]],TabCalc[Ticker],TabCalc[L_Bp])</f>
        <v>-25.28</v>
      </c>
      <c r="R25" s="759">
        <f ca="1">(TabTRADERCorrupted[[#This Row],[M]]+TabTRADERCorrupted[[#This Row],[L_Bp]])/ABS(TabTRADERCorrupted[[#This Row],[L_Bp]])</f>
        <v>4.9446202531645564E-3</v>
      </c>
      <c r="S25" s="678">
        <f ca="1">_xlfn.XLOOKUP(TabTRADERCorrupted[[#This Row],[ClickTick]],TabCalc[Ticker],TabCalc[Rev(MinStock)])*(1-Commission)</f>
        <v>496.70519999999999</v>
      </c>
      <c r="T25" s="777">
        <f ca="1">_xlfn.XLOOKUP(TabTRADERCorrupted[[#This Row],[ClickTick]],TabCalc[Ticker],TabCalc[Agiotage])</f>
        <v>0.75804832493027485</v>
      </c>
      <c r="U25" s="742"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2,655/2,655=&gt;0.9% / 0.9%</v>
      </c>
      <c r="V25" s="734" t="str">
        <f ca="1">_xlfn.XLOOKUP(TabTRADERCorrupted[[#This Row],[ClickTick]],[1]!RTData[Ticker_Symbol],[1]!RTData[Currency])</f>
        <v>USD</v>
      </c>
      <c r="W25" s="744">
        <f ca="1">_xlfn.XLOOKUP(TabTRADERCorrupted[[#This Row],[ClickTick]],TabCalc[Ticker],TabCalc[M])</f>
        <v>25.405000000000001</v>
      </c>
      <c r="X25" s="1271" t="str">
        <f ca="1">SORTING!B25</f>
        <v>HPQ</v>
      </c>
      <c r="Y25" s="798">
        <f ca="1">_xlfn.XLOOKUP(TabTRADERCorrupted[[#This Row],[ClickTick]],TabCalc[Ticker],TabCalc[Y])</f>
        <v>25.881250000000001</v>
      </c>
      <c r="Z25" s="812">
        <f ca="1">_xlfn.XLOOKUP(TabTRADERCorrupted[[#This Row],[ClickTick]],[1]!RTData[Ticker_Symbol],[1]!RTData[YTChange])</f>
        <v>0.20546110852352131</v>
      </c>
      <c r="AA25" s="827">
        <f ca="1">-_xlfn.XLOOKUP(TabTRADERCorrupted[[#This Row],[ClickTick]]&amp;2,Consolid!B$3:JZ$3,Consolid!B$4:JZ$4)</f>
        <v>25.801354</v>
      </c>
      <c r="AB25" s="812" cm="1">
        <f t="array" aca="1" ref="AB25" ca="1">_xlfn.XLOOKUP(TabTRADERCorrupted[[#This Row],[ClickTick]],ListTickers,Tab1ChangePercent[Change%19])</f>
        <v>8.5350000000000009E-3</v>
      </c>
      <c r="AC25" s="763">
        <f ca="1">_xlfn.XLOOKUP(TabTRADERCorrupted[[#This Row],[ClickTick]],TabCalc[Ticker],TabCalc[NAfter])</f>
        <v>9000</v>
      </c>
      <c r="AD2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^42/228 K$</v>
      </c>
      <c r="AE25" s="1127"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5" s="1131"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-25.28</v>
      </c>
      <c r="AG25" s="1131"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496.70519999999999</v>
      </c>
      <c r="AH25" s="1131"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25.405</v>
      </c>
      <c r="AI25" s="1131" t="str" cm="1">
        <f t="array" aca="1" ref="AI25" ca="1">_xlfn.IFS(   TabTRADERCorrupted[[#This Row],[Traps]]=MUp,TEXT(MIN(TabTRADERCorrupted[[#This Row],[L_Sn]],TabTRADERCorrupted[[#This Row],[N]]),"#,#0")&amp;" x "&amp;TEXT(TabTRADERCorrupted[[#This Row],[L_Sp]],"#,#0.#0"),          TRUE,"")</f>
        <v/>
      </c>
      <c r="AJ25" s="1131"/>
      <c r="AK25" s="1131" t="str"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5" s="1131"/>
      <c r="AM25" s="1131"/>
      <c r="AN25" s="1131"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496.70519999999999</v>
      </c>
      <c r="AO25" s="1140"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4.9446202531645564E-3</v>
      </c>
      <c r="AP25" s="1140" t="str"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5" s="820" t="str" cm="1">
        <f t="array" aca="1" ref="AQ25" ca="1">_xlfn.IFS(   TabTRADERCorrupted[[#This Row],[Traps]]=SellMorePercentGain,                     MIN(TabTRADERCorrupted[[#This Row],[L_Sn]],TabTRADERCorrupted[[#This Row],[N]])*(TabTRADERCorrupted[[#This Row],[M]]-TabTRADERCorrupted[[#This Row],[L_Sp]])*(1-Commission)*TabTRADERCorrupted[[#This Row],[Scale]],                    TRUE,"")</f>
        <v/>
      </c>
      <c r="AR25" s="1146">
        <f ca="1">_xlfn.XLOOKUP(TabTRADERCorrupted[[#This Row],[ClickTick]],TabCalc[Ticker],TabCalc[Ann%RevLB])</f>
        <v>0.22250791139240503</v>
      </c>
      <c r="AS25" s="1146">
        <f ca="1">_xlfn.XLOOKUP(TabTRADERCorrupted[[#This Row],[ClickTick]],TabCalc[Ticker],TabCalc[Up20])</f>
        <v>0</v>
      </c>
      <c r="AT25" s="308" t="str"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5" s="820" t="str" cm="1">
        <f t="array" aca="1" ref="AU25" ca="1">_xlfn.IFS(         TabTRADERCorrupted[[#This Row],[Traps]]=MDown,TabTRADERCorrupted[[#This Row],[L_Bn]]*TabTRADERCorrupted[[#This Row],[M]]*(-(TabTRADERCorrupted[[#This Row],[L_Bp]]+TabTRADERCorrupted[[#This Row],[M]])/TabTRADERCorrupted[[#This Row],[M]])*(1-Commission)*TabTRADERCorrupted[[#This Row],[Scale]],                               TRUE,"")</f>
        <v/>
      </c>
      <c r="AV25" s="1140" t="str" cm="1">
        <f t="array" aca="1" ref="AV25" ca="1">_xlfn.IFS(   TabTRADERCorrupted[[#This Row],[Traps]]=MUp,TabTRADERCorrupted[[#This Row],[TakeGain_A]]-Commission,        TabTRADERCorrupted[[#This Row],[Traps]]=MDown,(TabTRADERCorrupted[[#This Row],[A]]-TabTRADERCorrupted[[#This Row],[M]])/TabTRADERCorrupted[[#This Row],[M]]-Commission,                              TRUE,"")</f>
        <v/>
      </c>
      <c r="AW25" s="820"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-3503.2555653141972</v>
      </c>
      <c r="AX25" s="755"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1.0%</v>
      </c>
      <c r="AY25" s="731" t="str"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5" s="760" t="str"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5" s="757"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1.3001417043888949E-2</v>
      </c>
      <c r="BB25" s="322">
        <f ca="1">_xlfn.XLOOKUP(TabTRADERCorrupted[[#This Row],[ClickTick]],TabCalc[Ticker],TabCalc[L_Sn])</f>
        <v>1000</v>
      </c>
      <c r="BC25" s="723">
        <f ca="1">_xlfn.XLOOKUP(TabTRADERCorrupted[[#This Row],[ClickTick]],TabCalc[Ticker],TabCalc[L_Sp])</f>
        <v>28.94</v>
      </c>
      <c r="BD25" s="759">
        <f ca="1">-IFERROR((TabTRADERCorrupted[[#This Row],[M]]-TabTRADERCorrupted[[#This Row],[L_Sp]])/TabTRADERCorrupted[[#This Row],[L_Sp]],0)</f>
        <v>0.12214927436074637</v>
      </c>
      <c r="BE25" s="724">
        <f ca="1">TabTRADERCorrupted[[#This Row],[L_Sn]]*(TabTRADERCorrupted[[#This Row],[M]]-TabTRADERCorrupted[[#This Row],[L_Sp]])*(1-Commission)*TabTRADERCorrupted[[#This Row],[Scale]]</f>
        <v>-3525.8089999999997</v>
      </c>
      <c r="BF25" s="687">
        <f ca="1">TabTRADERCorrupted[[#This Row],[L_Sn]]*(TabTRADERCorrupted[[#This Row],[Agiotage]]-TabTRADERCorrupted[[#This Row],[M]])/(TabTRADERCorrupted[[#This Row],[L_Bn]]*TabTRADERCorrupted[[#This Row],[M]])</f>
        <v>-0.24254036287216812</v>
      </c>
      <c r="BG25" s="630">
        <f ca="1">IFERROR((TabTRADERCorrupted[[#This Row],[M]]-TabTRADERCorrupted[[#This Row],[A]])/TabTRADERCorrupted[[#This Row],[A]],0)</f>
        <v>-1.5361751945266081E-2</v>
      </c>
      <c r="BH2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-3,558$</v>
      </c>
      <c r="BI25" s="679">
        <f ca="1">_xlfn.XLOOKUP(TabTRADERCorrupted[[#This Row],[ClickTick]],TabCalc[[#This Row],[Ticker]],TabCalc[[#This Row],[GL]])*(1-Commission)</f>
        <v>41768.915255125408</v>
      </c>
      <c r="BJ25" s="679"/>
      <c r="BK25" s="664" t="str">
        <f ca="1">TabTRADERCorrupted[[#This Row],[ClickTick]]&amp;": "&amp;_xlfn.XLOOKUP(TabTRADERCorrupted[[#This Row],[ClickTick]],TabCalc[Ticker],TabCalc[Pile?])</f>
        <v xml:space="preserve">HPQ: </v>
      </c>
      <c r="BL25" s="349" t="s">
        <v>1949</v>
      </c>
      <c r="BM25" s="750" t="str" cm="1">
        <f t="array" aca="1" ref="BM25" ca="1">_xlfn.TEXTJOIN("",,INDEX({"M","A","Y"}, _xlfn.SORTBY({1,2,3}, -CHOOSE({1,2,3}, TabTRADERCorrupted[[#This Row],[M]], TabTRADERCorrupted[[#This Row],[A]], TabTRADERCorrupted[[#This Row],[Agiotage]]))))</f>
        <v>AMY</v>
      </c>
      <c r="BN25" s="896" t="str"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5" s="674" t="e">
        <f ca="1">TabTRADERCorrupted[[#This Row],[L_Sn]]*TabTRADERCorrupted[[#This Row],[L_Sp]]+TabTRADERCorrupted[[#This Row],[SellMore]]*TabTRADERCorrupted[[#This Row],[M]]</f>
        <v>#N/A</v>
      </c>
      <c r="BP25" s="674" t="e">
        <f ca="1">INDEX(
  INDEX(TabConsolid[], , _xlfn.XMATCH(TabTRADERCorrupted[[#This Row],[ClickTick]]&amp;1, TabConsolid[#Headers])),
  MATCH(
    -TabTRADERCorrupted[[#This Row],[M]],
    INDEX(TabConsolid[], , _xlfn.XMATCH(TabTRADERCorrupted[[#This Row],[ClickTick]]&amp;2, TabConsolid[#Headers])),
    -1
  )
)</f>
        <v>#N/A</v>
      </c>
      <c r="BQ25" s="674"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13" t="e">
        <f ca="1">TabTRADERCorrupted[[#This Row],[ReBuy]]/(TabTRADERCorrupted[[#This Row],[L_Sn]]+TabTRADERCorrupted[[#This Row],[SellMore]])</f>
        <v>#N/A</v>
      </c>
      <c r="BS2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-2.7385501861188582E-2</v>
      </c>
      <c r="BT25" s="682">
        <f ca="1">(TabTRADERCorrupted[[#This Row],[M]]-TabTRADERCorrupted[[#This Row],[Agiotage]])/(TabTRADERCorrupted[[#This Row],[M]]-TabTRADERCorrupted[[#This Row],[A]])-1</f>
        <v>-63.184188061858343</v>
      </c>
      <c r="BU25" s="1221">
        <f ca="1">_xlfn.XMATCH(TabTRADERCorrupted[[#This Row],[ClickTick]]&amp;1, TabConsolid[#Headers])</f>
        <v>68</v>
      </c>
      <c r="BV25" t="b">
        <f ca="1">IF(ABS(TabTRADERCorrupted[[#This Row],[L_Bp]])&gt;=TabTRADERCorrupted[[#This Row],[M]],"OK")</f>
        <v>0</v>
      </c>
    </row>
    <row r="26" spans="1:74" ht="22" customHeight="1">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+2,233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5.6%</v>
      </c>
      <c r="D26" s="683"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1,219,512</v>
      </c>
      <c r="F26" s="224" t="str">
        <f ca="1">TRUNC(TabCalc[[#This Row],[L_B1p]],2)&amp;"x"&amp;TabCalc[[#This Row],[L_B1n]]&amp;"=   "&amp;TEXT(TabCalc[[#This Row],[ReverseS1]],"#,#0")&amp;"$"</f>
        <v>-249.01x20000=   29,718$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398.01x10000=   -41$</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12,195</v>
      </c>
      <c r="I26" s="224" t="str">
        <f ca="1">IFERROR(TRUNC(TabCalc[[#This Row],[L_S1p]],2)&amp;"x"&amp;TabCalc[[#This Row],[L_S1n]]&amp;"=   "&amp;TEXT(TabCalc[[#This Row],[ReverseB1]],"#,#0"),"")</f>
        <v>399.2x10000=   160</v>
      </c>
      <c r="J26" s="293">
        <f ca="1">_xlfn.XLOOKUP(TabTRADERCorrupted[[#This Row],[ClickTick]],TabCalc[Ticker],ListGravity)</f>
        <v>1.160889134808853</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0.83897669667496144</v>
      </c>
      <c r="N26" s="322" cm="1">
        <f t="array" aca="1" ref="N26" ca="1">_xlfn.XLOOKUP(TabTRADERCorrupted[[#This Row],[ClickTick]],ListTickers,Tab2RSIConventional[RSIConv20])</f>
        <v>33</v>
      </c>
      <c r="O26" s="698" t="str">
        <f ca="1">TEXT(_xlfn.XLOOKUP(TabTRADERCorrupted[[#This Row],[ClickTick]],TabCalc[Ticker],TabCalc[Nbegin]),"#,#0")&amp;": "&amp;_xlfn.XLOOKUP(TabTRADERCorrupted[[#This Row],[ClickTick]],TabCalc[Ticker],TabCalc[Pile?])</f>
        <v>500,000: Pile</v>
      </c>
      <c r="P26" s="322">
        <f ca="1">_xlfn.XLOOKUP(TabTRADERCorrupted[[#This Row],[ClickTick]],TabCalc[Ticker],TabCalc[L_Bn])</f>
        <v>10000</v>
      </c>
      <c r="Q26" s="676">
        <f ca="1">_xlfn.XLOOKUP(TabTRADERCorrupted[[#This Row],[ClickTick]],TabCalc[Ticker],TabCalc[L_Bp])</f>
        <v>-375.2</v>
      </c>
      <c r="R26" s="759">
        <f ca="1">(TabTRADERCorrupted[[#This Row],[M]]+TabTRADERCorrupted[[#This Row],[L_Bp]])/ABS(TabTRADERCorrupted[[#This Row],[L_Bp]])</f>
        <v>5.9701492537313529E-2</v>
      </c>
      <c r="S26" s="678">
        <f ca="1">_xlfn.XLOOKUP(TabTRADERCorrupted[[#This Row],[ClickTick]],TabCalc[Ticker],TabCalc[Rev(MinStock)])*(1-Commission)</f>
        <v>2227.1941999999999</v>
      </c>
      <c r="T26" s="777">
        <f ca="1">_xlfn.XLOOKUP(TabTRADERCorrupted[[#This Row],[ClickTick]],TabCalc[Ticker],TabCalc[Agiotage])</f>
        <v>0.83897669667496144</v>
      </c>
      <c r="U26" s="742"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8,700/8,700=&gt;3.1% / 3.1%</v>
      </c>
      <c r="V26" s="734" t="str">
        <f ca="1">_xlfn.XLOOKUP(TabTRADERCorrupted[[#This Row],[ClickTick]],[1]!RTData[Ticker_Symbol],[1]!RTData[Currency])</f>
        <v>GBp</v>
      </c>
      <c r="W26" s="744">
        <f ca="1">_xlfn.XLOOKUP(TabTRADERCorrupted[[#This Row],[ClickTick]],TabCalc[Ticker],TabCalc[M])</f>
        <v>397.6</v>
      </c>
      <c r="X26" s="1271" t="str">
        <f ca="1">SORTING!B26</f>
        <v>IAG</v>
      </c>
      <c r="Y26" s="798">
        <f ca="1">_xlfn.XLOOKUP(TabTRADERCorrupted[[#This Row],[ClickTick]],TabCalc[Ticker],TabCalc[Y])</f>
        <v>461.56952000000001</v>
      </c>
      <c r="Z26" s="812">
        <f ca="1">_xlfn.XLOOKUP(TabTRADERCorrupted[[#This Row],[ClickTick]],[1]!RTData[Ticker_Symbol],[1]!RTData[YTChange])</f>
        <v>11.729440706012136</v>
      </c>
      <c r="AA26" s="827">
        <f ca="1">-_xlfn.XLOOKUP(TabTRADERCorrupted[[#This Row],[ClickTick]]&amp;2,Consolid!B$3:JZ$3,Consolid!B$4:JZ$4)</f>
        <v>294.65409394800002</v>
      </c>
      <c r="AB26" s="812" cm="1">
        <f t="array" aca="1" ref="AB26" ca="1">_xlfn.XLOOKUP(TabTRADERCorrupted[[#This Row],[ClickTick]],ListTickers,Tab1ChangePercent[Change%19])</f>
        <v>3.1120000000000002E-2</v>
      </c>
      <c r="AC26" s="763">
        <f ca="1">_xlfn.XLOOKUP(TabTRADERCorrupted[[#This Row],[ClickTick]],TabCalc[Ticker],TabCalc[NAfter])</f>
        <v>100000</v>
      </c>
      <c r="AD2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^1,169/397 K$</v>
      </c>
      <c r="AE26" s="1127"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31"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398.01</v>
      </c>
      <c r="AG26" s="1131"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40.893399999996824</v>
      </c>
      <c r="AH26" s="1131" t="str" cm="1">
        <f t="array" aca="1" ref="AH26" ca="1">_xlfn.IFS(     TabTRADERCorrupted[[#This Row],[Traps]]=MUp,MIN(TabTRADERCorrupted[[#This Row],[L_Sn]],TabTRADERCorrupted[[#This Row],[N]])*(TabTRADERCorrupted[[#This Row],[M]]-TabTRADERCorrupted[[#This Row],[L_Sp]])*(1-Commission)*TabTRADERCorrupted[[#This Row],[Scale]],                                  TRUE,"M= "&amp;TabTRADERCorrupted[[#This Row],[M]])</f>
        <v>M= 397.6</v>
      </c>
      <c r="AI26" s="1131" t="str" cm="1">
        <f t="array" aca="1" ref="AI26" ca="1">_xlfn.IFS(   TabTRADERCorrupted[[#This Row],[Traps]]=MUp,TEXT(MIN(TabTRADERCorrupted[[#This Row],[L_Sn]],TabTRADERCorrupted[[#This Row],[N]]),"#,#0")&amp;" x "&amp;TEXT(TabTRADERCorrupted[[#This Row],[L_Sp]],"#,#0.#0"),          TRUE,"")</f>
        <v/>
      </c>
      <c r="AJ26" s="1131"/>
      <c r="AK26" s="1131"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31"/>
      <c r="AM26" s="1131"/>
      <c r="AN26" s="1131"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40.893399999996824</v>
      </c>
      <c r="AO26" s="1140"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1.0301248712343111E-3</v>
      </c>
      <c r="AP26" s="1140"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TabTRADERCorrupted[[#This Row],[Traps]]=SellMorePercentGain,                     MIN(TabTRADERCorrupted[[#This Row],[L_Sn]],TabTRADERCorrupted[[#This Row],[N]])*(TabTRADERCorrupted[[#This Row],[M]]-TabTRADERCorrupted[[#This Row],[L_Sp]])*(1-Commission)*TabTRADERCorrupted[[#This Row],[Scale]],                    TRUE,"")</f>
        <v/>
      </c>
      <c r="AR26" s="1146">
        <f ca="1">_xlfn.XLOOKUP(TabTRADERCorrupted[[#This Row],[ClickTick]],TabCalc[Ticker],TabCalc[Ann%RevLB])</f>
        <v>1.0746268656716436</v>
      </c>
      <c r="AS26" s="1224">
        <f ca="1">_xlfn.XLOOKUP(TabTRADERCorrupted[[#This Row],[ClickTick]],TabCalc[Ticker],TabCalc[Up20])</f>
        <v>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20"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40" t="str" cm="1">
        <f t="array" aca="1" ref="AV26" ca="1">_xlfn.IFS(   TabTRADERCorrupted[[#This Row],[Traps]]=MUp,TabTRADERCorrupted[[#This Row],[TakeGain_A]]-Commission,        TabTRADERCorrupted[[#This Row],[Traps]]=MDown,(TabTRADERCorrupted[[#This Row],[A]]-TabTRADERCorrupted[[#This Row],[M]])/TabTRADERCorrupted[[#This Row],[M]]-Commission,                              TRUE,"")</f>
        <v/>
      </c>
      <c r="AW26" s="820"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102678.2466962648</v>
      </c>
      <c r="AX26" s="755" t="str"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-1.0%</v>
      </c>
      <c r="AY26" s="731"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60"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0.34847045673285387</v>
      </c>
      <c r="BA26" s="757"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-0.26151827477867201</v>
      </c>
      <c r="BB26" s="322">
        <f ca="1">_xlfn.XLOOKUP(TabTRADERCorrupted[[#This Row],[ClickTick]],TabCalc[Ticker],TabCalc[L_Sn])</f>
        <v>10000</v>
      </c>
      <c r="BC26" s="723">
        <f ca="1">_xlfn.XLOOKUP(TabTRADERCorrupted[[#This Row],[ClickTick]],TabCalc[Ticker],TabCalc[L_Sp])</f>
        <v>398.01</v>
      </c>
      <c r="BD26" s="759">
        <f ca="1">-IFERROR((TabTRADERCorrupted[[#This Row],[M]]-TabTRADERCorrupted[[#This Row],[L_Sp]])/TabTRADERCorrupted[[#This Row],[L_Sp]],0)</f>
        <v>1.0301248712343111E-3</v>
      </c>
      <c r="BE26" s="724">
        <f ca="1">TabTRADERCorrupted[[#This Row],[L_Sn]]*(TabTRADERCorrupted[[#This Row],[M]]-TabTRADERCorrupted[[#This Row],[L_Sp]])*(1-Commission)*TabTRADERCorrupted[[#This Row],[Scale]]</f>
        <v>-40.893399999996824</v>
      </c>
      <c r="BF26" s="687">
        <f ca="1">TabTRADERCorrupted[[#This Row],[L_Sn]]*(TabTRADERCorrupted[[#This Row],[Agiotage]]-TabTRADERCorrupted[[#This Row],[M]])/(TabTRADERCorrupted[[#This Row],[L_Bn]]*TabTRADERCorrupted[[#This Row],[M]])</f>
        <v>-0.99788989764417779</v>
      </c>
      <c r="BG26" s="630">
        <f ca="1">IFERROR((TabTRADERCorrupted[[#This Row],[M]]-TabTRADERCorrupted[[#This Row],[A]])/TabTRADERCorrupted[[#This Row],[A]],0)</f>
        <v>0.34937884172132933</v>
      </c>
      <c r="BH2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100,000 : 102,678$</v>
      </c>
      <c r="BI26" s="679">
        <f ca="1">_xlfn.XLOOKUP(TabTRADERCorrupted[[#This Row],[ClickTick]],TabCalc[[#This Row],[Ticker]],TabCalc[[#This Row],[GL]])*(1-Commission)</f>
        <v>1166143.6733549351</v>
      </c>
      <c r="BJ26" s="679"/>
      <c r="BK26" s="664" t="str">
        <f ca="1">TabTRADERCorrupted[[#This Row],[ClickTick]]&amp;": "&amp;_xlfn.XLOOKUP(TabTRADERCorrupted[[#This Row],[ClickTick]],TabCalc[Ticker],TabCalc[Pile?])</f>
        <v>IAG: Pile</v>
      </c>
      <c r="BL26" s="349" t="s">
        <v>1954</v>
      </c>
      <c r="BM26" s="750" t="str" cm="1">
        <f t="array" aca="1" ref="BM26" ca="1">_xlfn.TEXTJOIN("",,INDEX({"M","A","Y"}, _xlfn.SORTBY({1,2,3}, -CHOOSE({1,2,3}, TabTRADERCorrupted[[#This Row],[M]], TabTRADERCorrupted[[#This Row],[A]], TabTRADERCorrupted[[#This Row],[Agiotage]]))))</f>
        <v>MAY</v>
      </c>
      <c r="BN26" s="896"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4">
        <f ca="1">TabTRADERCorrupted[[#This Row],[L_Sn]]*TabTRADERCorrupted[[#This Row],[L_Sp]]+TabTRADERCorrupted[[#This Row],[SellMore]]*TabTRADERCorrupted[[#This Row],[M]]</f>
        <v>7956100</v>
      </c>
      <c r="BP26" s="674">
        <f ca="1">INDEX(
  INDEX(TabConsolid[], , _xlfn.XMATCH(TabTRADERCorrupted[[#This Row],[ClickTick]]&amp;1, TabConsolid[#Headers])),
  MATCH(
    -TabTRADERCorrupted[[#This Row],[M]],
    INDEX(TabConsolid[], , _xlfn.XMATCH(TabTRADERCorrupted[[#This Row],[ClickTick]]&amp;2, TabConsolid[#Headers])),
    -1
  )
)</f>
        <v>10000</v>
      </c>
      <c r="BQ26" s="674"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13">
        <f ca="1">TabTRADERCorrupted[[#This Row],[ReBuy]]/(TabTRADERCorrupted[[#This Row],[L_Sn]]+TabTRADERCorrupted[[#This Row],[SellMore]])</f>
        <v>397.80500000000001</v>
      </c>
      <c r="BS2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-4.3643712563365758E-2</v>
      </c>
      <c r="BT26" s="682">
        <f ca="1">(TabTRADERCorrupted[[#This Row],[M]]-TabTRADERCorrupted[[#This Row],[Agiotage]])/(TabTRADERCorrupted[[#This Row],[M]]-TabTRADERCorrupted[[#This Row],[A]])-1</f>
        <v>2.8540728671902049</v>
      </c>
      <c r="BU26" s="1221">
        <f ca="1">_xlfn.XMATCH(TabTRADERCorrupted[[#This Row],[ClickTick]]&amp;1, TabConsolid[#Headers])</f>
        <v>71</v>
      </c>
      <c r="BV26" t="b">
        <f ca="1">IF(ABS(TabTRADERCorrupted[[#This Row],[L_Bp]])&gt;=TabTRADERCorrupted[[#This Row],[M]],"OK")</f>
        <v>0</v>
      </c>
    </row>
    <row r="27" spans="1:74" ht="22" customHeight="1">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+468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0.4%</v>
      </c>
      <c r="D27" s="683"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-2,950$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67.35x1000=   -5,135$</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8.3% = 974</v>
      </c>
      <c r="I27" s="224" t="str">
        <f ca="1">IFERROR(TRUNC(TabCalc[[#This Row],[L_S1p]],2)&amp;"x"&amp;TabCalc[[#This Row],[L_S1n]]&amp;"=   "&amp;TEXT(TabCalc[[#This Row],[ReverseB1]],"#,#0"),"")</f>
        <v>64.9x1000=   2,685</v>
      </c>
      <c r="J27" s="293">
        <f ca="1">_xlfn.XLOOKUP(TabTRADERCorrupted[[#This Row],[ClickTick]],TabCalc[Ticker],ListGravity)</f>
        <v>1.195268665112915</v>
      </c>
      <c r="K27" s="320" cm="1">
        <f t="array" aca="1" ref="K27" ca="1">IF(_xlfn.XLOOKUP(TabTRADERCorrupted[[#This Row],[ClickTick]],TabTRADERCorrupted[ClickTick],ListExtra_n)&gt;0,_xlfn.XLOOKUP(TabTRADERCorrupted[[#This Row],[ClickTick]],TabTRADERCorrupted[ClickTick],ListExtra_n),"")</f>
        <v>2000</v>
      </c>
      <c r="L27" s="318">
        <f ca="1">IF(_xlfn.XLOOKUP(TabTRADERCorrupted[[#This Row],[ClickTick]],TabCalc[Ticker],ListExtra_n)&gt;0,_xlfn.XLOOKUP(TabTRADERCorrupted[[#This Row],[ClickTick]],TabCalc[Ticker],ListExtra_n)*TabTRADERCorrupted[[#This Row],[M]]*_xlfn.XLOOKUP(TabTRADERCorrupted[[#This Row],[ClickTick]],TabCalc[Ticker],ListScale),"")</f>
        <v>124430</v>
      </c>
      <c r="M27" s="321">
        <f ca="1">_xlfn.XLOOKUP(TabTRADERCorrupted[[#This Row],[ClickTick]],TabCalc[Ticker],TabCalc[Agiotage])</f>
        <v>1.053096110163761</v>
      </c>
      <c r="N27" s="322" cm="1">
        <f t="array" aca="1" ref="N27" ca="1">_xlfn.XLOOKUP(TabTRADERCorrupted[[#This Row],[ClickTick]],ListTickers,Tab2RSIConventional[RSIConv20])</f>
        <v>71</v>
      </c>
      <c r="O27" s="698"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6">
        <f ca="1">_xlfn.XLOOKUP(TabTRADERCorrupted[[#This Row],[ClickTick]],TabCalc[Ticker],TabCalc[L_Bp])</f>
        <v>-61.98</v>
      </c>
      <c r="R27" s="759">
        <f ca="1">(TabTRADERCorrupted[[#This Row],[M]]+TabTRADERCorrupted[[#This Row],[L_Bp]])/ABS(TabTRADERCorrupted[[#This Row],[L_Bp]])</f>
        <v>3.7915456598903927E-3</v>
      </c>
      <c r="S27" s="678">
        <f ca="1">_xlfn.XLOOKUP(TabTRADERCorrupted[[#This Row],[ClickTick]],TabCalc[Ticker],TabCalc[Rev(MinStock)])*(1-Commission)</f>
        <v>466.78319999999997</v>
      </c>
      <c r="T27" s="777">
        <f ca="1">_xlfn.XLOOKUP(TabTRADERCorrupted[[#This Row],[ClickTick]],TabCalc[Ticker],TabCalc[Agiotage])</f>
        <v>1.053096110163761</v>
      </c>
      <c r="U27" s="742"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4,235/4,235=&gt;1.6% / 1.6%</v>
      </c>
      <c r="V27" s="734" t="str">
        <f ca="1">_xlfn.XLOOKUP(TabTRADERCorrupted[[#This Row],[ClickTick]],[1]!RTData[Ticker_Symbol],[1]!RTData[Currency])</f>
        <v>USD</v>
      </c>
      <c r="W27" s="744">
        <f ca="1">_xlfn.XLOOKUP(TabTRADERCorrupted[[#This Row],[ClickTick]],TabCalc[Ticker],TabCalc[M])</f>
        <v>62.215000000000003</v>
      </c>
      <c r="X27" s="1271" t="str">
        <f ca="1">SORTING!B27</f>
        <v>KR</v>
      </c>
      <c r="Y27" s="798">
        <f ca="1">_xlfn.XLOOKUP(TabTRADERCorrupted[[#This Row],[ClickTick]],TabCalc[Ticker],TabCalc[Y])</f>
        <v>74.363640000000004</v>
      </c>
      <c r="Z27" s="812">
        <f ca="1">_xlfn.XLOOKUP(TabTRADERCorrupted[[#This Row],[ClickTick]],[1]!RTData[Ticker_Symbol],[1]!RTData[YTChange])</f>
        <v>-0.81082767743576689</v>
      </c>
      <c r="AA27" s="827">
        <f ca="1">-_xlfn.XLOOKUP(TabTRADERCorrupted[[#This Row],[ClickTick]]&amp;2,Consolid!B$3:JZ$3,Consolid!B$4:JZ$4)</f>
        <v>65.184325457142847</v>
      </c>
      <c r="AB27" s="812" cm="1">
        <f t="array" aca="1" ref="AB27" ca="1">_xlfn.XLOOKUP(TabTRADERCorrupted[[#This Row],[ClickTick]],ListTickers,Tab1ChangePercent[Change%19])</f>
        <v>1.5921000000000001E-2</v>
      </c>
      <c r="AC27" s="763">
        <f ca="1">_xlfn.XLOOKUP(TabTRADERCorrupted[[#This Row],[ClickTick]],TabCalc[Ticker],TabCalc[NAfter])</f>
        <v>7000</v>
      </c>
      <c r="AD2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^87/434 K$</v>
      </c>
      <c r="AE27" s="1147"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7" s="1131"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-61.98</v>
      </c>
      <c r="AG27" s="1131"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466.78319999999997</v>
      </c>
      <c r="AH27" s="1131"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62.215</v>
      </c>
      <c r="AI27" s="1131" t="str" cm="1">
        <f t="array" aca="1" ref="AI27" ca="1">_xlfn.IFS(   TabTRADERCorrupted[[#This Row],[Traps]]=MUp,TEXT(MIN(TabTRADERCorrupted[[#This Row],[L_Sn]],TabTRADERCorrupted[[#This Row],[N]]),"#,#0")&amp;" x "&amp;TEXT(TabTRADERCorrupted[[#This Row],[L_Sp]],"#,#0.#0"),          TRUE,"")</f>
        <v/>
      </c>
      <c r="AJ27" s="1131"/>
      <c r="AK27" s="1131"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31"/>
      <c r="AM27" s="1131"/>
      <c r="AN27" s="1131"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466.78319999999997</v>
      </c>
      <c r="AO27" s="1140"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3.7915456598903927E-3</v>
      </c>
      <c r="AP27" s="1140"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TabTRADERCorrupted[[#This Row],[Traps]]=SellMorePercentGain,                     MIN(TabTRADERCorrupted[[#This Row],[L_Sn]],TabTRADERCorrupted[[#This Row],[N]])*(TabTRADERCorrupted[[#This Row],[M]]-TabTRADERCorrupted[[#This Row],[L_Sp]])*(1-Commission)*TabTRADERCorrupted[[#This Row],[Scale]],                    TRUE,"")</f>
        <v/>
      </c>
      <c r="AR27" s="1129">
        <f ca="1">_xlfn.XLOOKUP(TabTRADERCorrupted[[#This Row],[ClickTick]],TabCalc[Ticker],TabCalc[Ann%RevLB])</f>
        <v>0.19499377679436306</v>
      </c>
      <c r="AS27" s="1225">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20"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40" t="str" cm="1">
        <f t="array" aca="1" ref="AV27" ca="1">_xlfn.IFS(   TabTRADERCorrupted[[#This Row],[Traps]]=MUp,TabTRADERCorrupted[[#This Row],[TakeGain_A]]-Commission,        TabTRADERCorrupted[[#This Row],[Traps]]=MDown,(TabTRADERCorrupted[[#This Row],[A]]-TabTRADERCorrupted[[#This Row],[M]])/TabTRADERCorrupted[[#This Row],[M]]-Commission,                              TRUE,"")</f>
        <v/>
      </c>
      <c r="AW27" s="755"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-19786.871588395115</v>
      </c>
      <c r="AX27" s="755"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27" s="731"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7" s="760" t="str"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7" s="757"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4.5126841712494481E-2</v>
      </c>
      <c r="BB27" s="322">
        <f ca="1">_xlfn.XLOOKUP(TabTRADERCorrupted[[#This Row],[ClickTick]],TabCalc[Ticker],TabCalc[L_Sn])</f>
        <v>1000</v>
      </c>
      <c r="BC27" s="723">
        <f ca="1">_xlfn.XLOOKUP(TabTRADERCorrupted[[#This Row],[ClickTick]],TabCalc[Ticker],TabCalc[L_Sp])</f>
        <v>67.349999999999994</v>
      </c>
      <c r="BD27" s="759">
        <f ca="1">-IFERROR((TabTRADERCorrupted[[#This Row],[M]]-TabTRADERCorrupted[[#This Row],[L_Sp]])/TabTRADERCorrupted[[#This Row],[L_Sp]],0)</f>
        <v>7.6243504083147604E-2</v>
      </c>
      <c r="BE27" s="724">
        <f ca="1">TabTRADERCorrupted[[#This Row],[L_Sn]]*(TabTRADERCorrupted[[#This Row],[M]]-TabTRADERCorrupted[[#This Row],[L_Sp]])*(1-Commission)*TabTRADERCorrupted[[#This Row],[Scale]]</f>
        <v>-5121.6489999999903</v>
      </c>
      <c r="BF27" s="687">
        <f ca="1">TabTRADERCorrupted[[#This Row],[L_Sn]]*(TabTRADERCorrupted[[#This Row],[Agiotage]]-TabTRADERCorrupted[[#This Row],[M]])/(TabTRADERCorrupted[[#This Row],[L_Bn]]*TabTRADERCorrupted[[#This Row],[M]])</f>
        <v>-0.49153663818883098</v>
      </c>
      <c r="BG27" s="630">
        <f ca="1">IFERROR((TabTRADERCorrupted[[#This Row],[M]]-TabTRADERCorrupted[[#This Row],[A]])/TabTRADERCorrupted[[#This Row],[A]],0)</f>
        <v>-4.5552752695049444E-2</v>
      </c>
      <c r="BH2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7,000 : -20,731$</v>
      </c>
      <c r="BI27" s="679">
        <f ca="1">_xlfn.XLOOKUP(TabTRADERCorrupted[[#This Row],[ClickTick]],TabCalc[[#This Row],[Ticker]],TabCalc[[#This Row],[GL]])*(1-Commission)</f>
        <v>86753.885431950272</v>
      </c>
      <c r="BJ27" s="679"/>
      <c r="BK27" s="664" t="str">
        <f ca="1">TabTRADERCorrupted[[#This Row],[ClickTick]]&amp;": "&amp;_xlfn.XLOOKUP(TabTRADERCorrupted[[#This Row],[ClickTick]],TabCalc[Ticker],TabCalc[Pile?])</f>
        <v>KR: Pile</v>
      </c>
      <c r="BL27" s="349" t="s">
        <v>1955</v>
      </c>
      <c r="BM27" s="750" t="str" cm="1">
        <f t="array" aca="1" ref="BM27" ca="1">_xlfn.TEXTJOIN("",,INDEX({"M","A","Y"}, _xlfn.SORTBY({1,2,3}, -CHOOSE({1,2,3}, TabTRADERCorrupted[[#This Row],[M]], TabTRADERCorrupted[[#This Row],[A]], TabTRADERCorrupted[[#This Row],[Agiotage]]))))</f>
        <v>AMY</v>
      </c>
      <c r="BN27" s="896"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4" t="e">
        <f ca="1">TabTRADERCorrupted[[#This Row],[L_Sn]]*TabTRADERCorrupted[[#This Row],[L_Sp]]+TabTRADERCorrupted[[#This Row],[SellMore]]*TabTRADERCorrupted[[#This Row],[M]]</f>
        <v>#N/A</v>
      </c>
      <c r="BP27" s="674" t="e">
        <f ca="1">INDEX(
  INDEX(TabConsolid[], , _xlfn.XMATCH(TabTRADERCorrupted[[#This Row],[ClickTick]]&amp;1, TabConsolid[#Headers])),
  MATCH(
    -TabTRADERCorrupted[[#This Row],[M]],
    INDEX(TabConsolid[], , _xlfn.XMATCH(TabTRADERCorrupted[[#This Row],[ClickTick]]&amp;2, TabConsolid[#Headers])),
    -1
  )
)</f>
        <v>#N/A</v>
      </c>
      <c r="BQ27" s="674"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13" t="e">
        <f ca="1">TabTRADERCorrupted[[#This Row],[ReBuy]]/(TabTRADERCorrupted[[#This Row],[L_Sn]]+TabTRADERCorrupted[[#This Row],[SellMore]])</f>
        <v>#N/A</v>
      </c>
      <c r="BS2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-6.9899318731241417E-2</v>
      </c>
      <c r="BT27" s="682">
        <f ca="1">(TabTRADERCorrupted[[#This Row],[M]]-TabTRADERCorrupted[[#This Row],[Agiotage]])/(TabTRADERCorrupted[[#This Row],[M]]-TabTRADERCorrupted[[#This Row],[A]])-1</f>
        <v>-21.597911806100125</v>
      </c>
      <c r="BU27" s="1221">
        <f ca="1">_xlfn.XMATCH(TabTRADERCorrupted[[#This Row],[ClickTick]]&amp;1, TabConsolid[#Headers])</f>
        <v>74</v>
      </c>
      <c r="BV27" t="b">
        <f ca="1">IF(ABS(TabTRADERCorrupted[[#This Row],[L_Bp]])&gt;=TabTRADERCorrupted[[#This Row],[M]],"OK")</f>
        <v>0</v>
      </c>
    </row>
    <row r="28" spans="1:74" ht="22" customHeight="1">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35.5%</v>
      </c>
      <c r="D28" s="683"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9,120$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26.4% = 0</v>
      </c>
      <c r="I28" s="224" t="str">
        <f ca="1">IFERROR(TRUNC(TabCalc[[#This Row],[L_S1p]],2)&amp;"x"&amp;TabCalc[[#This Row],[L_S1n]]&amp;"=   "&amp;TEXT(TabCalc[[#This Row],[ReverseB1]],"#,#0"),"")</f>
        <v>4.96x2276=   -14,878</v>
      </c>
      <c r="J28" s="293">
        <f ca="1">_xlfn.XLOOKUP(TabTRADERCorrupted[[#This Row],[ClickTick]],TabCalc[Ticker],ListGravity)</f>
        <v>1.3043478260869565</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0.63306340549771389</v>
      </c>
      <c r="N28" s="322" cm="1">
        <f t="array" aca="1" ref="N28" ca="1">_xlfn.XLOOKUP(TabTRADERCorrupted[[#This Row],[ClickTick]],ListTickers,Tab2RSIConventional[RSIConv20])</f>
        <v>62</v>
      </c>
      <c r="O28" s="698"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6">
        <f ca="1">_xlfn.XLOOKUP(TabTRADERCorrupted[[#This Row],[ClickTick]],TabCalc[Ticker],TabCalc[L_Bp])</f>
        <v>-7.42</v>
      </c>
      <c r="R28" s="759">
        <f ca="1">(TabTRADERCorrupted[[#This Row],[M]]+TabTRADERCorrupted[[#This Row],[L_Bp]])/ABS(TabTRADERCorrupted[[#This Row],[L_Bp]])</f>
        <v>0.54986522911051217</v>
      </c>
      <c r="S28" s="678">
        <f ca="1">_xlfn.XLOOKUP(TabTRADERCorrupted[[#This Row],[ClickTick]],TabCalc[Ticker],TabCalc[Rev(MinStock)])*(1-Commission)</f>
        <v>0</v>
      </c>
      <c r="T28" s="777">
        <f ca="1">_xlfn.XLOOKUP(TabTRADERCorrupted[[#This Row],[ClickTick]],TabCalc[Ticker],TabCalc[Agiotage])</f>
        <v>0.63306340549771389</v>
      </c>
      <c r="U28" s="742"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28" s="734" t="str">
        <f ca="1">_xlfn.XLOOKUP(TabTRADERCorrupted[[#This Row],[ClickTick]],[1]!RTData[Ticker_Symbol],[1]!RTData[Currency])</f>
        <v>USD</v>
      </c>
      <c r="W28" s="744">
        <f ca="1">_xlfn.XLOOKUP(TabTRADERCorrupted[[#This Row],[ClickTick]],TabCalc[Ticker],TabCalc[M])</f>
        <v>11.5</v>
      </c>
      <c r="X28" s="1271" t="str">
        <f ca="1">SORTING!B28</f>
        <v>LNSR</v>
      </c>
      <c r="Y28" s="798">
        <f ca="1">_xlfn.XLOOKUP(TabTRADERCorrupted[[#This Row],[ClickTick]],TabCalc[Ticker],TabCalc[Y])</f>
        <v>15</v>
      </c>
      <c r="Z28" s="812">
        <f ca="1">_xlfn.XLOOKUP(TabTRADERCorrupted[[#This Row],[ClickTick]],[1]!RTData[Ticker_Symbol],[1]!RTData[YTChange])</f>
        <v>-0.77443609022556392</v>
      </c>
      <c r="AA28" s="827">
        <f ca="1">-_xlfn.XLOOKUP(TabTRADERCorrupted[[#This Row],[ClickTick]]&amp;2,Consolid!B$3:JZ$3,Consolid!B$4:JZ$4)</f>
        <v>0</v>
      </c>
      <c r="AB28" s="812" cm="1">
        <f t="array" aca="1" ref="AB28" ca="1">_xlfn.XLOOKUP(TabTRADERCorrupted[[#This Row],[ClickTick]],ListTickers,Tab1ChangePercent[Change%19])</f>
        <v>-4.3290000000000004E-3</v>
      </c>
      <c r="AC28" s="763">
        <f ca="1">_xlfn.XLOOKUP(TabTRADERCorrupted[[#This Row],[ClickTick]],TabCalc[Ticker],TabCalc[NAfter])</f>
        <v>0</v>
      </c>
      <c r="AD2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-16/0 K$</v>
      </c>
      <c r="AE28" s="1127"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31"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 35.9%</v>
      </c>
      <c r="AG28" s="1131"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31"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11.5</v>
      </c>
      <c r="AI28" s="1131" t="str" cm="1">
        <f t="array" aca="1" ref="AI28" ca="1">_xlfn.IFS(   TabTRADERCorrupted[[#This Row],[Traps]]=MUp,TEXT(MIN(TabTRADERCorrupted[[#This Row],[L_Sn]],TabTRADERCorrupted[[#This Row],[N]]),"#,#0")&amp;" x "&amp;TEXT(TabTRADERCorrupted[[#This Row],[L_Sp]],"#,#0.#0"),          TRUE,"")</f>
        <v/>
      </c>
      <c r="AJ28" s="1131"/>
      <c r="AK28" s="1131"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31"/>
      <c r="AM28" s="1131"/>
      <c r="AN28" s="1131"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40"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40"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TabTRADERCorrupted[[#This Row],[Traps]]=SellMorePercentGain,                     MIN(TabTRADERCorrupted[[#This Row],[L_Sn]],TabTRADERCorrupted[[#This Row],[N]])*(TabTRADERCorrupted[[#This Row],[M]]-TabTRADERCorrupted[[#This Row],[L_Sp]])*(1-Commission)*TabTRADERCorrupted[[#This Row],[Scale]],                    TRUE,"")</f>
        <v/>
      </c>
      <c r="AR28" s="1146">
        <f ca="1">_xlfn.XLOOKUP(TabTRADERCorrupted[[#This Row],[ClickTick]],TabCalc[Ticker],TabCalc[Ann%RevLB])</f>
        <v>0.55139688713031865</v>
      </c>
      <c r="AS28" s="1224">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20"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40" t="str" cm="1">
        <f t="array" aca="1" ref="AV28" ca="1">_xlfn.IFS(   TabTRADERCorrupted[[#This Row],[Traps]]=MUp,TabTRADERCorrupted[[#This Row],[TakeGain_A]]-Commission,        TabTRADERCorrupted[[#This Row],[Traps]]=MDown,(TabTRADERCorrupted[[#This Row],[A]]-TabTRADERCorrupted[[#This Row],[M]])/TabTRADERCorrupted[[#This Row],[M]]-Commission,                              TRUE,"")</f>
        <v/>
      </c>
      <c r="AW28" s="820"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5"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-0.7%</v>
      </c>
      <c r="AY28" s="731"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0x11.5</v>
      </c>
      <c r="AZ28" s="760"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7"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-0.26694782608695644</v>
      </c>
      <c r="BB28" s="322">
        <f ca="1">_xlfn.XLOOKUP(TabTRADERCorrupted[[#This Row],[ClickTick]],TabCalc[Ticker],TabCalc[L_Sn])</f>
        <v>3000</v>
      </c>
      <c r="BC28" s="723">
        <f ca="1">_xlfn.XLOOKUP(TabTRADERCorrupted[[#This Row],[ClickTick]],TabCalc[Ticker],TabCalc[L_Sp])</f>
        <v>8.4600000000000009</v>
      </c>
      <c r="BD28" s="759">
        <f ca="1">-IFERROR((TabTRADERCorrupted[[#This Row],[M]]-TabTRADERCorrupted[[#This Row],[L_Sp]])/TabTRADERCorrupted[[#This Row],[L_Sp]],0)</f>
        <v>-0.35933806146572089</v>
      </c>
      <c r="BE28" s="724">
        <f ca="1">TabTRADERCorrupted[[#This Row],[L_Sn]]*(TabTRADERCorrupted[[#This Row],[M]]-TabTRADERCorrupted[[#This Row],[L_Sp]])*(1-Commission)*TabTRADERCorrupted[[#This Row],[Scale]]</f>
        <v>9096.2879999999986</v>
      </c>
      <c r="BF28" s="687">
        <f ca="1">TabTRADERCorrupted[[#This Row],[L_Sn]]*(TabTRADERCorrupted[[#This Row],[Agiotage]]-TabTRADERCorrupted[[#This Row],[M]])/(TabTRADERCorrupted[[#This Row],[L_Bn]]*TabTRADERCorrupted[[#This Row],[M]])</f>
        <v>-0.94495100821759015</v>
      </c>
      <c r="BG28" s="630">
        <f ca="1">IFERROR((TabTRADERCorrupted[[#This Row],[M]]-TabTRADERCorrupted[[#This Row],[A]])/TabTRADERCorrupted[[#This Row],[A]],0)</f>
        <v>0</v>
      </c>
      <c r="BH2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9">
        <f ca="1">_xlfn.XLOOKUP(TabTRADERCorrupted[[#This Row],[ClickTick]],TabCalc[[#This Row],[Ticker]],TabCalc[[#This Row],[GL]])*(1-Commission)</f>
        <v>-16028.876444062746</v>
      </c>
      <c r="BJ28" s="679"/>
      <c r="BK28" s="664" t="str">
        <f ca="1">TabTRADERCorrupted[[#This Row],[ClickTick]]&amp;": "&amp;_xlfn.XLOOKUP(TabTRADERCorrupted[[#This Row],[ClickTick]],TabCalc[Ticker],TabCalc[Pile?])</f>
        <v>LNSR: Pile</v>
      </c>
      <c r="BL28" s="349" t="s">
        <v>1956</v>
      </c>
      <c r="BM28" s="750" t="str" cm="1">
        <f t="array" aca="1" ref="BM28" ca="1">_xlfn.TEXTJOIN("",,INDEX({"M","A","Y"}, _xlfn.SORTBY({1,2,3}, -CHOOSE({1,2,3}, TabTRADERCorrupted[[#This Row],[M]], TabTRADERCorrupted[[#This Row],[A]], TabTRADERCorrupted[[#This Row],[Agiotage]]))))</f>
        <v>MYA</v>
      </c>
      <c r="BN28" s="896"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4" t="e">
        <f ca="1">TabTRADERCorrupted[[#This Row],[L_Sn]]*TabTRADERCorrupted[[#This Row],[L_Sp]]+TabTRADERCorrupted[[#This Row],[SellMore]]*TabTRADERCorrupted[[#This Row],[M]]</f>
        <v>#N/A</v>
      </c>
      <c r="BP28" s="674" t="e">
        <f ca="1">INDEX(
  INDEX(TabConsolid[], , _xlfn.XMATCH(TabTRADERCorrupted[[#This Row],[ClickTick]]&amp;1, TabConsolid[#Headers])),
  MATCH(
    -TabTRADERCorrupted[[#This Row],[M]],
    INDEX(TabConsolid[], , _xlfn.XMATCH(TabTRADERCorrupted[[#This Row],[ClickTick]]&amp;2, TabConsolid[#Headers])),
    -1
  )
)</f>
        <v>#N/A</v>
      </c>
      <c r="BQ28" s="674"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13" t="e">
        <f ca="1">TabTRADERCorrupted[[#This Row],[ReBuy]]/(TabTRADERCorrupted[[#This Row],[L_Sn]]+TabTRADERCorrupted[[#This Row],[SellMore]])</f>
        <v>#N/A</v>
      </c>
      <c r="BS2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2">
        <f ca="1">(TabTRADERCorrupted[[#This Row],[M]]-TabTRADERCorrupted[[#This Row],[Agiotage]])/(TabTRADERCorrupted[[#This Row],[M]]-TabTRADERCorrupted[[#This Row],[A]])-1</f>
        <v>-5.5048991782409851E-2</v>
      </c>
      <c r="BU28" s="1221">
        <f ca="1">_xlfn.XMATCH(TabTRADERCorrupted[[#This Row],[ClickTick]]&amp;1, TabConsolid[#Headers])</f>
        <v>77</v>
      </c>
      <c r="BV28" t="b">
        <f ca="1">IF(ABS(TabTRADERCorrupted[[#This Row],[L_Bp]])&gt;=TabTRADERCorrupted[[#This Row],[M]],"OK")</f>
        <v>0</v>
      </c>
    </row>
    <row r="29" spans="1:74" ht="22" customHeight="1">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+35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41.4%</v>
      </c>
      <c r="D29" s="683"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57$</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1,832$</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-21.4% = 0</v>
      </c>
      <c r="I29" s="224" t="str">
        <f ca="1">IFERROR(TRUNC(TabCalc[[#This Row],[L_S1p]],2)&amp;"x"&amp;TabCalc[[#This Row],[L_S1n]]&amp;"=   "&amp;TEXT(TabCalc[[#This Row],[ReverseB1]],"#,#0"),"")</f>
        <v>5.56x1000=   -3,090</v>
      </c>
      <c r="J29" s="293">
        <f ca="1">_xlfn.XLOOKUP(TabTRADERCorrupted[[#This Row],[ClickTick]],TabCalc[Ticker],ListGravity)</f>
        <v>0.83618497109826584</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0.59192387880588593</v>
      </c>
      <c r="N29" s="322" cm="1">
        <f t="array" aca="1" ref="N29" ca="1">_xlfn.XLOOKUP(TabTRADERCorrupted[[#This Row],[ClickTick]],ListTickers,Tab2RSIConventional[RSIConv20])</f>
        <v>74</v>
      </c>
      <c r="O29" s="698"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3">
        <f ca="1">_xlfn.XLOOKUP(TabTRADERCorrupted[[#This Row],[ClickTick]],TabCalc[Ticker],TabCalc[L_Bp])</f>
        <v>-5.0682999999999998</v>
      </c>
      <c r="R29" s="759">
        <f ca="1">(TabTRADERCorrupted[[#This Row],[M]]+TabTRADERCorrupted[[#This Row],[L_Bp]])/ABS(TabTRADERCorrupted[[#This Row],[L_Bp]])</f>
        <v>0.70668666022137616</v>
      </c>
      <c r="S29" s="678">
        <f ca="1">_xlfn.XLOOKUP(TabTRADERCorrupted[[#This Row],[ClickTick]],TabCalc[Ticker],TabCalc[Rev(MinStock)])*(1-Commission)</f>
        <v>34.908999999999999</v>
      </c>
      <c r="T29" s="777">
        <f ca="1">_xlfn.XLOOKUP(TabTRADERCorrupted[[#This Row],[ClickTick]],TabCalc[Ticker],TabCalc[Agiotage])</f>
        <v>0.59192387880588593</v>
      </c>
      <c r="U29" s="742"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29" s="734" t="str">
        <f ca="1">_xlfn.XLOOKUP(TabTRADERCorrupted[[#This Row],[ClickTick]],[1]!RTData[Ticker_Symbol],[1]!RTData[Currency])</f>
        <v>USD</v>
      </c>
      <c r="W29" s="744">
        <f ca="1">_xlfn.XLOOKUP(TabTRADERCorrupted[[#This Row],[ClickTick]],TabCalc[Ticker],TabCalc[M])</f>
        <v>8.65</v>
      </c>
      <c r="X29" s="1271" t="str">
        <f ca="1">SORTING!B29</f>
        <v>LUMN</v>
      </c>
      <c r="Y29" s="798">
        <f ca="1">_xlfn.XLOOKUP(TabTRADERCorrupted[[#This Row],[ClickTick]],TabCalc[Ticker],TabCalc[Y])</f>
        <v>7.2329999999999997</v>
      </c>
      <c r="Z29" s="812">
        <f ca="1">_xlfn.XLOOKUP(TabTRADERCorrupted[[#This Row],[ClickTick]],[1]!RTData[Ticker_Symbol],[1]!RTData[YTChange])</f>
        <v>-0.53335483870967737</v>
      </c>
      <c r="AA29" s="827">
        <f ca="1">-_xlfn.XLOOKUP(TabTRADERCorrupted[[#This Row],[ClickTick]]&amp;2,Consolid!B$3:JZ$3,Consolid!B$4:JZ$4)</f>
        <v>5.0814775799999996</v>
      </c>
      <c r="AB29" s="812" cm="1">
        <f t="array" aca="1" ref="AB29" ca="1">_xlfn.XLOOKUP(TabTRADERCorrupted[[#This Row],[ClickTick]],ListTickers,Tab1ChangePercent[Change%19])</f>
        <v>-4.6029999999999995E-3</v>
      </c>
      <c r="AC29" s="763">
        <f ca="1">_xlfn.XLOOKUP(TabTRADERCorrupted[[#This Row],[ClickTick]],TabCalc[Ticker],TabCalc[NAfter])</f>
        <v>10</v>
      </c>
      <c r="AD2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^15/0 K$</v>
      </c>
      <c r="AE29" s="1147"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31"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8.65, 27.2%</v>
      </c>
      <c r="AG29" s="1131"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31" cm="1">
        <f t="array" aca="1" ref="AH29" ca="1">_xlfn.IFS(     TabTRADERCorrupted[[#This Row],[Traps]]=MUp,MIN(TabTRADERCorrupted[[#This Row],[L_Sn]],TabTRADERCorrupted[[#This Row],[N]])*(TabTRADERCorrupted[[#This Row],[M]]-TabTRADERCorrupted[[#This Row],[L_Sp]])*(1-Commission)*TabTRADERCorrupted[[#This Row],[Scale]],                                  TRUE,"M= "&amp;TabTRADERCorrupted[[#This Row],[M]])</f>
        <v>18.451900000000006</v>
      </c>
      <c r="AI29" s="1131" t="str" cm="1">
        <f t="array" aca="1" ref="AI29" ca="1">_xlfn.IFS(   TabTRADERCorrupted[[#This Row],[Traps]]=MUp,TEXT(MIN(TabTRADERCorrupted[[#This Row],[L_Sn]],TabTRADERCorrupted[[#This Row],[N]]),"#,#0")&amp;" x "&amp;TEXT(TabTRADERCorrupted[[#This Row],[L_Sp]],"#,#0.#0"),          TRUE,"")</f>
        <v>10 x 6.80</v>
      </c>
      <c r="AJ29" s="1131"/>
      <c r="AK29" s="1131"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18.451900000000006</v>
      </c>
      <c r="AL29" s="1131"/>
      <c r="AM29" s="1131"/>
      <c r="AN29" s="1131"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35.592442617080003</v>
      </c>
      <c r="AO29" s="1140"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0.70226078218768817</v>
      </c>
      <c r="AP29" s="1140"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0.21127283236994227</v>
      </c>
      <c r="AQ29" s="820" cm="1">
        <f t="array" aca="1" ref="AQ29" ca="1">_xlfn.IFS(   TabTRADERCorrupted[[#This Row],[Traps]]=SellMorePercentGain,                     MIN(TabTRADERCorrupted[[#This Row],[L_Sn]],TabTRADERCorrupted[[#This Row],[N]])*(TabTRADERCorrupted[[#This Row],[M]]-TabTRADERCorrupted[[#This Row],[L_Sp]])*(1-Commission)*TabTRADERCorrupted[[#This Row],[Scale]],                    TRUE,"")</f>
        <v>18.451900000000006</v>
      </c>
      <c r="AR29" s="1129">
        <f ca="1">_xlfn.XLOOKUP(TabTRADERCorrupted[[#This Row],[ClickTick]],TabCalc[Ticker],TabCalc[Ann%RevLB])</f>
        <v>0.80002263421287867</v>
      </c>
      <c r="AS29" s="1225">
        <f ca="1">_xlfn.XLOOKUP(TabTRADERCorrupted[[#This Row],[ClickTick]],TabCalc[Ticker],TabCalc[Up20])</f>
        <v>0</v>
      </c>
      <c r="AT29" s="1141"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20"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40" cm="1">
        <f t="array" aca="1" ref="AV29" ca="1">_xlfn.IFS(   TabTRADERCorrupted[[#This Row],[Traps]]=MUp,TabTRADERCorrupted[[#This Row],[TakeGain_A]]-Commission,        TabTRADERCorrupted[[#This Row],[Traps]]=MDown,(TabTRADERCorrupted[[#This Row],[A]]-TabTRADERCorrupted[[#This Row],[M]])/TabTRADERCorrupted[[#This Row],[M]]-Commission,                              TRUE,"")</f>
        <v>0.69966078218768812</v>
      </c>
      <c r="AW29" s="820"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60.587619209321012</v>
      </c>
      <c r="AX29" s="755"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2.1%</v>
      </c>
      <c r="AY29" s="731"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10x3.56</v>
      </c>
      <c r="AZ29" s="760"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0.70043490415400012</v>
      </c>
      <c r="BA29" s="757"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-0.41514594450867059</v>
      </c>
      <c r="BB29" s="322">
        <f ca="1">_xlfn.XLOOKUP(TabTRADERCorrupted[[#This Row],[ClickTick]],TabCalc[Ticker],TabCalc[L_Sn])</f>
        <v>990</v>
      </c>
      <c r="BC29" s="723">
        <f ca="1">_xlfn.XLOOKUP(TabTRADERCorrupted[[#This Row],[ClickTick]],TabCalc[Ticker],TabCalc[L_Sp])</f>
        <v>6.8</v>
      </c>
      <c r="BD29" s="759">
        <f ca="1">-IFERROR((TabTRADERCorrupted[[#This Row],[M]]-TabTRADERCorrupted[[#This Row],[L_Sp]])/TabTRADERCorrupted[[#This Row],[L_Sp]],0)</f>
        <v>-0.27205882352941185</v>
      </c>
      <c r="BE29" s="724">
        <f ca="1">TabTRADERCorrupted[[#This Row],[L_Sn]]*(TabTRADERCorrupted[[#This Row],[M]]-TabTRADERCorrupted[[#This Row],[L_Sp]])*(1-Commission)*TabTRADERCorrupted[[#This Row],[Scale]]</f>
        <v>1826.7381000000003</v>
      </c>
      <c r="BF29" s="687">
        <f ca="1">TabTRADERCorrupted[[#This Row],[L_Sn]]*(TabTRADERCorrupted[[#This Row],[Agiotage]]-TabTRADERCorrupted[[#This Row],[M]])/(TabTRADERCorrupted[[#This Row],[L_Bn]]*TabTRADERCorrupted[[#This Row],[M]])</f>
        <v>-0.46112689942093482</v>
      </c>
      <c r="BG29" s="630">
        <f ca="1">IFERROR((TabTRADERCorrupted[[#This Row],[M]]-TabTRADERCorrupted[[#This Row],[A]])/TabTRADERCorrupted[[#This Row],[A]],0)</f>
        <v>0.70226078218768817</v>
      </c>
      <c r="BH2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36$</v>
      </c>
      <c r="BI29" s="679">
        <f ca="1">_xlfn.XLOOKUP(TabTRADERCorrupted[[#This Row],[ClickTick]],TabCalc[[#This Row],[Ticker]],TabCalc[[#This Row],[GL]])*(1-Commission)</f>
        <v>14776.619137137201</v>
      </c>
      <c r="BJ29" s="679"/>
      <c r="BK29" s="664" t="str">
        <f ca="1">TabTRADERCorrupted[[#This Row],[ClickTick]]&amp;": "&amp;_xlfn.XLOOKUP(TabTRADERCorrupted[[#This Row],[ClickTick]],TabCalc[Ticker],TabCalc[Pile?])</f>
        <v xml:space="preserve">LUMN: </v>
      </c>
      <c r="BL29" s="349" t="s">
        <v>1957</v>
      </c>
      <c r="BM29" s="750" t="str" cm="1">
        <f t="array" aca="1" ref="BM29" ca="1">_xlfn.TEXTJOIN("",,INDEX({"M","A","Y"}, _xlfn.SORTBY({1,2,3}, -CHOOSE({1,2,3}, TabTRADERCorrupted[[#This Row],[M]], TabTRADERCorrupted[[#This Row],[A]], TabTRADERCorrupted[[#This Row],[Agiotage]]))))</f>
        <v>MAY</v>
      </c>
      <c r="BN29" s="896"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0.21387283236994226</v>
      </c>
      <c r="BO29" s="674">
        <f ca="1">TabTRADERCorrupted[[#This Row],[L_Sn]]*TabTRADERCorrupted[[#This Row],[L_Sp]]+TabTRADERCorrupted[[#This Row],[SellMore]]*TabTRADERCorrupted[[#This Row],[M]]</f>
        <v>6818.5</v>
      </c>
      <c r="BP29" s="674">
        <f ca="1">INDEX(
  INDEX(TabConsolid[], , _xlfn.XMATCH(TabTRADERCorrupted[[#This Row],[ClickTick]]&amp;1, TabConsolid[#Headers])),
  MATCH(
    -TabTRADERCorrupted[[#This Row],[M]],
    INDEX(TabConsolid[], , _xlfn.XMATCH(TabTRADERCorrupted[[#This Row],[ClickTick]]&amp;2, TabConsolid[#Headers])),
    -1
  )
)</f>
        <v>10</v>
      </c>
      <c r="BQ29" s="674"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13">
        <f ca="1">TabTRADERCorrupted[[#This Row],[ReBuy]]/(TabTRADERCorrupted[[#This Row],[L_Sn]]+TabTRADERCorrupted[[#This Row],[SellMore]])</f>
        <v>6.8185000000000002</v>
      </c>
      <c r="BS2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-0.81394708294890039</v>
      </c>
      <c r="BT29" s="682">
        <f ca="1">(TabTRADERCorrupted[[#This Row],[M]]-TabTRADERCorrupted[[#This Row],[Agiotage]])/(TabTRADERCorrupted[[#This Row],[M]]-TabTRADERCorrupted[[#This Row],[A]])-1</f>
        <v>1.2580987794926375</v>
      </c>
      <c r="BU29" s="1221">
        <f ca="1">_xlfn.XMATCH(TabTRADERCorrupted[[#This Row],[ClickTick]]&amp;1, TabConsolid[#Headers])</f>
        <v>80</v>
      </c>
      <c r="BV29" t="b">
        <f ca="1">IF(ABS(TabTRADERCorrupted[[#This Row],[L_Bp]])&gt;=TabTRADERCorrupted[[#This Row],[M]],"OK")</f>
        <v>0</v>
      </c>
    </row>
    <row r="30" spans="1:74" ht="22" customHeight="1">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-35,066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-39.6%</v>
      </c>
      <c r="D30" s="683"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-17,500$</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-87,915$</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197.8% = 85</v>
      </c>
      <c r="I30" s="224" t="str">
        <f ca="1">IFERROR(TRUNC(TabCalc[[#This Row],[L_S1p]],2)&amp;"x"&amp;TabCalc[[#This Row],[L_S1n]]&amp;"=   "&amp;TEXT(TabCalc[[#This Row],[ReverseB1]],"#,#0"),"")</f>
        <v>125.31x2800=   267,904</v>
      </c>
      <c r="J30" s="293">
        <f ca="1">_xlfn.XLOOKUP(TabTRADERCorrupted[[#This Row],[ClickTick]],TabCalc[Ticker],ListGravity)</f>
        <v>1.207484981437732</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349634</v>
      </c>
      <c r="M30" s="321">
        <f ca="1">_xlfn.XLOOKUP(TabTRADERCorrupted[[#This Row],[ClickTick]],TabCalc[Ticker],TabCalc[Agiotage])</f>
        <v>0.78849697446149747</v>
      </c>
      <c r="N30" s="322" cm="1">
        <f t="array" aca="1" ref="N30" ca="1">_xlfn.XLOOKUP(TabTRADERCorrupted[[#This Row],[ClickTick]],ListTickers,Tab2RSIConventional[RSIConv20])</f>
        <v>43</v>
      </c>
      <c r="O30" s="698"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6">
        <f ca="1">_xlfn.XLOOKUP(TabTRADERCorrupted[[#This Row],[ClickTick]],TabCalc[Ticker],TabCalc[L_Bp])</f>
        <v>-41.35</v>
      </c>
      <c r="R30" s="759">
        <f ca="1">(TabTRADERCorrupted[[#This Row],[M]]+TabTRADERCorrupted[[#This Row],[L_Bp]])/ABS(TabTRADERCorrupted[[#This Row],[L_Bp]])</f>
        <v>-0.28343409915356715</v>
      </c>
      <c r="S30" s="678">
        <f ca="1">_xlfn.XLOOKUP(TabTRADERCorrupted[[#This Row],[ClickTick]],TabCalc[Ticker],TabCalc[Rev(MinStock)])*(1-Commission)</f>
        <v>-34974.828399999999</v>
      </c>
      <c r="T30" s="777">
        <f ca="1">_xlfn.XLOOKUP(TabTRADERCorrupted[[#This Row],[ClickTick]],TabCalc[Ticker],TabCalc[Agiotage])</f>
        <v>0.78849697446149747</v>
      </c>
      <c r="U30" s="742"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7,560/7,560=&gt;2.1% / 2.1%</v>
      </c>
      <c r="V30" s="734" t="str">
        <f ca="1">_xlfn.XLOOKUP(TabTRADERCorrupted[[#This Row],[ClickTick]],[1]!RTData[Ticker_Symbol],[1]!RTData[Currency])</f>
        <v>USD</v>
      </c>
      <c r="W30" s="744">
        <f ca="1">_xlfn.XLOOKUP(TabTRADERCorrupted[[#This Row],[ClickTick]],TabCalc[Ticker],TabCalc[M])</f>
        <v>29.63</v>
      </c>
      <c r="X30" s="1271" t="str">
        <f ca="1">SORTING!B30</f>
        <v>MRNA</v>
      </c>
      <c r="Y30" s="798">
        <f ca="1">_xlfn.XLOOKUP(TabTRADERCorrupted[[#This Row],[ClickTick]],TabCalc[Ticker],TabCalc[Y])</f>
        <v>35.77778</v>
      </c>
      <c r="Z30" s="812">
        <f ca="1">_xlfn.XLOOKUP(TabTRADERCorrupted[[#This Row],[ClickTick]],[1]!RTData[Ticker_Symbol],[1]!RTData[YTChange])</f>
        <v>6.7441082251082252</v>
      </c>
      <c r="AA30" s="827">
        <f ca="1">-_xlfn.XLOOKUP(TabTRADERCorrupted[[#This Row],[ClickTick]]&amp;2,Consolid!B$3:JZ$3,Consolid!B$4:JZ$4)</f>
        <v>71.831614541999997</v>
      </c>
      <c r="AB30" s="812" cm="1">
        <f t="array" aca="1" ref="AB30" ca="1">_xlfn.XLOOKUP(TabTRADERCorrupted[[#This Row],[ClickTick]],ListTickers,Tab1ChangePercent[Change%19])</f>
        <v>2.0668000000000002E-2</v>
      </c>
      <c r="AC30" s="763">
        <f ca="1">_xlfn.XLOOKUP(TabTRADERCorrupted[[#This Row],[ClickTick]],TabCalc[Ticker],TabCalc[NAfter])</f>
        <v>12000</v>
      </c>
      <c r="AD3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-462/355 K$</v>
      </c>
      <c r="AE30" s="1147"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31"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29.63, -66.4%</v>
      </c>
      <c r="AG30" s="1131"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31" t="str" cm="1">
        <f t="array" aca="1" ref="AH30" ca="1">_xlfn.IFS(     TabTRADERCorrupted[[#This Row],[Traps]]=MUp,MIN(TabTRADERCorrupted[[#This Row],[L_Sn]],TabTRADERCorrupted[[#This Row],[N]])*(TabTRADERCorrupted[[#This Row],[M]]-TabTRADERCorrupted[[#This Row],[L_Sp]])*(1-Commission)*TabTRADERCorrupted[[#This Row],[Scale]],                                  TRUE,"M= "&amp;TabTRADERCorrupted[[#This Row],[M]])</f>
        <v>M= 29.63</v>
      </c>
      <c r="AI30" s="1131" t="str" cm="1">
        <f t="array" aca="1" ref="AI30" ca="1">_xlfn.IFS(   TabTRADERCorrupted[[#This Row],[Traps]]=MUp,TEXT(MIN(TabTRADERCorrupted[[#This Row],[L_Sn]],TabTRADERCorrupted[[#This Row],[N]]),"#,#0")&amp;" x "&amp;TEXT(TabTRADERCorrupted[[#This Row],[L_Sp]],"#,#0.#0"),          TRUE,"")</f>
        <v/>
      </c>
      <c r="AJ30" s="1131"/>
      <c r="AK30" s="1131"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35068.584000000003</v>
      </c>
      <c r="AL30" s="1131"/>
      <c r="AM30" s="1131"/>
      <c r="AN30" s="1131"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355560</v>
      </c>
      <c r="AO30" s="1140"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0.58750753148287771</v>
      </c>
      <c r="AP30" s="1140"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0.39294505568680405</v>
      </c>
      <c r="AQ30" s="820" t="str" cm="1">
        <f t="array" aca="1" ref="AQ30" ca="1">_xlfn.IFS(   TabTRADERCorrupted[[#This Row],[Traps]]=SellMorePercentGain,                     MIN(TabTRADERCorrupted[[#This Row],[L_Sn]],TabTRADERCorrupted[[#This Row],[N]])*(TabTRADERCorrupted[[#This Row],[M]]-TabTRADERCorrupted[[#This Row],[L_Sp]])*(1-Commission)*TabTRADERCorrupted[[#This Row],[Scale]],                    TRUE,"")</f>
        <v/>
      </c>
      <c r="AR30" s="1129">
        <f ca="1">_xlfn.XLOOKUP(TabTRADERCorrupted[[#This Row],[ClickTick]],TabCalc[Ticker],TabCalc[Ann%RevLB])</f>
        <v>-0.3228996066306461</v>
      </c>
      <c r="AS30" s="1225">
        <f ca="1">_xlfn.XLOOKUP(TabTRADERCorrupted[[#This Row],[ClickTick]],TabCalc[Ticker],TabCalc[Up20])</f>
        <v>0</v>
      </c>
      <c r="AT30" s="1141"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0.39554505568680404</v>
      </c>
      <c r="AU30" s="820" cm="1">
        <f t="array" aca="1" ref="AU30" ca="1">_xlfn.IFS(         TabTRADERCorrupted[[#This Row],[Traps]]=MDown,TabTRADERCorrupted[[#This Row],[L_Bn]]*TabTRADERCorrupted[[#This Row],[M]]*(-(TabTRADERCorrupted[[#This Row],[L_Bp]]+TabTRADERCorrupted[[#This Row],[M]])/TabTRADERCorrupted[[#This Row],[M]])*(1-Commission)*TabTRADERCorrupted[[#This Row],[Scale]],                               TRUE,"")</f>
        <v>35068.584000000003</v>
      </c>
      <c r="AV30" s="1140" cm="1">
        <f t="array" aca="1" ref="AV30" ca="1">_xlfn.IFS(   TabTRADERCorrupted[[#This Row],[Traps]]=MUp,TabTRADERCorrupted[[#This Row],[TakeGain_A]]-Commission,        TabTRADERCorrupted[[#This Row],[Traps]]=MDown,(TabTRADERCorrupted[[#This Row],[A]]-TabTRADERCorrupted[[#This Row],[M]])/TabTRADERCorrupted[[#This Row],[M]]-Commission,                              TRUE,"")</f>
        <v>1.42168668720891</v>
      </c>
      <c r="AW30" s="820"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505102.68413028959</v>
      </c>
      <c r="AX30" s="755"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30" s="731"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-11.72</v>
      </c>
      <c r="AZ30" s="760"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-0.58598001190102222</v>
      </c>
      <c r="BA30" s="757"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1.42168668720891</v>
      </c>
      <c r="BB30" s="322">
        <f ca="1">_xlfn.XLOOKUP(TabTRADERCorrupted[[#This Row],[ClickTick]],TabCalc[Ticker],TabCalc[L_Sn])</f>
        <v>1500</v>
      </c>
      <c r="BC30" s="723">
        <f ca="1">_xlfn.XLOOKUP(TabTRADERCorrupted[[#This Row],[ClickTick]],TabCalc[Ticker],TabCalc[L_Sp])</f>
        <v>88.24</v>
      </c>
      <c r="BD30" s="759">
        <f ca="1">-IFERROR((TabTRADERCorrupted[[#This Row],[M]]-TabTRADERCorrupted[[#This Row],[L_Sp]])/TabTRADERCorrupted[[#This Row],[L_Sp]],0)</f>
        <v>0.66421124206708981</v>
      </c>
      <c r="BE30" s="724">
        <f ca="1">TabTRADERCorrupted[[#This Row],[L_Sn]]*(TabTRADERCorrupted[[#This Row],[M]]-TabTRADERCorrupted[[#This Row],[L_Sp]])*(1-Commission)*TabTRADERCorrupted[[#This Row],[Scale]]</f>
        <v>-87686.421000000002</v>
      </c>
      <c r="BF30" s="687">
        <f ca="1">TabTRADERCorrupted[[#This Row],[L_Sn]]*(TabTRADERCorrupted[[#This Row],[Agiotage]]-TabTRADERCorrupted[[#This Row],[M]])/(TabTRADERCorrupted[[#This Row],[L_Bn]]*TabTRADERCorrupted[[#This Row],[M]])</f>
        <v>-0.48669427987746372</v>
      </c>
      <c r="BG30" s="630">
        <f ca="1">IFERROR((TabTRADERCorrupted[[#This Row],[M]]-TabTRADERCorrupted[[#This Row],[A]])/TabTRADERCorrupted[[#This Row],[A]],0)</f>
        <v>-0.58750753148287771</v>
      </c>
      <c r="BH3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-505,103$</v>
      </c>
      <c r="BI30" s="679">
        <f ca="1">_xlfn.XLOOKUP(TabTRADERCorrupted[[#This Row],[ClickTick]],TabCalc[[#This Row],[Ticker]],TabCalc[[#This Row],[GL]])*(1-Commission)</f>
        <v>-460438.00759636384</v>
      </c>
      <c r="BJ30" s="679"/>
      <c r="BK30" s="664" t="str">
        <f ca="1">TabTRADERCorrupted[[#This Row],[ClickTick]]&amp;": "&amp;_xlfn.XLOOKUP(TabTRADERCorrupted[[#This Row],[ClickTick]],TabCalc[Ticker],TabCalc[Pile?])</f>
        <v>MRNA: Pile</v>
      </c>
      <c r="BL30" s="349" t="s">
        <v>1962</v>
      </c>
      <c r="BM30" s="750" t="str" cm="1">
        <f t="array" aca="1" ref="BM30" ca="1">_xlfn.TEXTJOIN("",,INDEX({"M","A","Y"}, _xlfn.SORTBY({1,2,3}, -CHOOSE({1,2,3}, TabTRADERCorrupted[[#This Row],[M]], TabTRADERCorrupted[[#This Row],[A]], TabTRADERCorrupted[[#This Row],[Agiotage]]))))</f>
        <v>AMY</v>
      </c>
      <c r="BN30" s="896"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0.39554505568680404</v>
      </c>
      <c r="BO30" s="674" t="e">
        <f ca="1">TabTRADERCorrupted[[#This Row],[L_Sn]]*TabTRADERCorrupted[[#This Row],[L_Sp]]+TabTRADERCorrupted[[#This Row],[SellMore]]*TabTRADERCorrupted[[#This Row],[M]]</f>
        <v>#N/A</v>
      </c>
      <c r="BP30" s="674" t="e">
        <f ca="1">INDEX(
  INDEX(TabConsolid[], , _xlfn.XMATCH(TabTRADERCorrupted[[#This Row],[ClickTick]]&amp;1, TabConsolid[#Headers])),
  MATCH(
    -TabTRADERCorrupted[[#This Row],[M]],
    INDEX(TabConsolid[], , _xlfn.XMATCH(TabTRADERCorrupted[[#This Row],[ClickTick]]&amp;2, TabConsolid[#Headers])),
    -1
  )
)</f>
        <v>#N/A</v>
      </c>
      <c r="BQ30" s="674"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13" t="e">
        <f ca="1">TabTRADERCorrupted[[#This Row],[ReBuy]]/(TabTRADERCorrupted[[#This Row],[L_Sn]]+TabTRADERCorrupted[[#This Row],[SellMore]])</f>
        <v>#N/A</v>
      </c>
      <c r="BS3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-2.1631127269153873E-2</v>
      </c>
      <c r="BT30" s="682">
        <f ca="1">(TabTRADERCorrupted[[#This Row],[M]]-TabTRADERCorrupted[[#This Row],[Agiotage]])/(TabTRADERCorrupted[[#This Row],[M]]-TabTRADERCorrupted[[#This Row],[A]])-1</f>
        <v>-1.6834217917618952</v>
      </c>
      <c r="BU30" s="1221">
        <f ca="1">_xlfn.XMATCH(TabTRADERCorrupted[[#This Row],[ClickTick]]&amp;1, TabConsolid[#Headers])</f>
        <v>83</v>
      </c>
      <c r="BV30" t="str">
        <f ca="1">IF(ABS(TabTRADERCorrupted[[#This Row],[L_Bp]])&gt;=TabTRADERCorrupted[[#This Row],[M]],"OK")</f>
        <v>OK</v>
      </c>
    </row>
    <row r="31" spans="1:74" ht="22" customHeight="1">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+915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31" s="683"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124</v>
      </c>
      <c r="F31" s="224" t="str">
        <f ca="1">TRUNC(TabCalc[[#This Row],[L_B1p]],2)&amp;"x"&amp;TabCalc[[#This Row],[L_B1n]]&amp;"=   "&amp;TEXT(TabCalc[[#This Row],[ReverseS1]],"#,#0")&amp;"$"</f>
        <v>-513.83x150=   -4,554$</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-6,067$</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8.4% = 124</v>
      </c>
      <c r="I31" s="224" t="str">
        <f ca="1">IFERROR(TRUNC(TabCalc[[#This Row],[L_S1p]],2)&amp;"x"&amp;TabCalc[[#This Row],[L_S1n]]&amp;"=   "&amp;TEXT(TabCalc[[#This Row],[ReverseB1]],"#,#0"),"")</f>
        <v>515.24x200=   6,355</v>
      </c>
      <c r="J31" s="293">
        <f ca="1">_xlfn.XLOOKUP(TabTRADERCorrupted[[#This Row],[ClickTick]],TabCalc[Ticker],ListGravity)</f>
        <v>1.2935851242062588</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0.86604808882101203</v>
      </c>
      <c r="N31" s="322" cm="1">
        <f t="array" aca="1" ref="N31" ca="1">_xlfn.XLOOKUP(TabTRADERCorrupted[[#This Row],[ClickTick]],ListTickers,Tab2RSIConventional[RSIConv20])</f>
        <v>58</v>
      </c>
      <c r="O31" s="698" t="str">
        <f ca="1">TEXT(_xlfn.XLOOKUP(TabTRADERCorrupted[[#This Row],[ClickTick]],TabCalc[Ticker],TabCalc[Nbegin]),"#,#0")&amp;": "&amp;_xlfn.XLOOKUP(TabTRADERCorrupted[[#This Row],[ClickTick]],TabCalc[Ticker],TabCalc[Pile?])</f>
        <v xml:space="preserve">10,000: </v>
      </c>
      <c r="P31" s="729">
        <f ca="1">_xlfn.XLOOKUP(TabTRADERCorrupted[[#This Row],[ClickTick]],TabCalc[Ticker],TabCalc[L_Bn])</f>
        <v>200</v>
      </c>
      <c r="Q31" s="676">
        <f ca="1">_xlfn.XLOOKUP(TabTRADERCorrupted[[#This Row],[ClickTick]],TabCalc[Ticker],TabCalc[L_Bp])</f>
        <v>-478.88</v>
      </c>
      <c r="R31" s="759">
        <f ca="1">(TabTRADERCorrupted[[#This Row],[M]]+TabTRADERCorrupted[[#This Row],[L_Bp]])/ABS(TabTRADERCorrupted[[#This Row],[L_Bp]])</f>
        <v>9.5848646842633476E-3</v>
      </c>
      <c r="S31" s="678">
        <f ca="1">_xlfn.XLOOKUP(TabTRADERCorrupted[[#This Row],[ClickTick]],TabCalc[Ticker],TabCalc[Rev(MinStock)])*(1-Commission)</f>
        <v>912.62099999999998</v>
      </c>
      <c r="T31" s="777">
        <f ca="1">_xlfn.XLOOKUP(TabTRADERCorrupted[[#This Row],[ClickTick]],TabCalc[Ticker],TabCalc[Agiotage])</f>
        <v>0.86604808882101203</v>
      </c>
      <c r="U31" s="742"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70,700/70,700=&gt;1.0% / 1.0%</v>
      </c>
      <c r="V31" s="734" t="str">
        <f ca="1">_xlfn.XLOOKUP(TabTRADERCorrupted[[#This Row],[ClickTick]],[1]!RTData[Ticker_Symbol],[1]!RTData[Currency])</f>
        <v>USD</v>
      </c>
      <c r="W31" s="744">
        <f ca="1">_xlfn.XLOOKUP(TabTRADERCorrupted[[#This Row],[ClickTick]],TabCalc[Ticker],TabCalc[M])</f>
        <v>483.47</v>
      </c>
      <c r="X31" s="1271" t="str">
        <f ca="1">SORTING!B31</f>
        <v>MSFT</v>
      </c>
      <c r="Y31" s="798">
        <f ca="1">_xlfn.XLOOKUP(TabTRADERCorrupted[[#This Row],[ClickTick]],TabCalc[Ticker],TabCalc[Y])</f>
        <v>625.40959999999995</v>
      </c>
      <c r="Z31" s="812">
        <f ca="1">_xlfn.XLOOKUP(TabTRADERCorrupted[[#This Row],[ClickTick]],[1]!RTData[Ticker_Symbol],[1]!RTData[YTChange])</f>
        <v>5.2647460683161365</v>
      </c>
      <c r="AA31" s="827">
        <f ca="1">-_xlfn.XLOOKUP(TabTRADERCorrupted[[#This Row],[ClickTick]]&amp;2,Consolid!B$3:JZ$3,Consolid!B$4:JZ$4)</f>
        <v>337.75484529599998</v>
      </c>
      <c r="AB31" s="812" cm="1">
        <f t="array" aca="1" ref="AB31" ca="1">_xlfn.XLOOKUP(TabTRADERCorrupted[[#This Row],[ClickTick]],ListTickers,Tab1ChangePercent[Change%19])</f>
        <v>1.026E-2</v>
      </c>
      <c r="AC31" s="763">
        <f ca="1">_xlfn.XLOOKUP(TabTRADERCorrupted[[#This Row],[ClickTick]],TabCalc[Ticker],TabCalc[NAfter])</f>
        <v>10000</v>
      </c>
      <c r="AD3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^3,796/4,822 K$</v>
      </c>
      <c r="AE31" s="1147"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1" s="1131"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-478.88</v>
      </c>
      <c r="AG31" s="1131"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912.62099999999998</v>
      </c>
      <c r="AH31" s="1131"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483.47</v>
      </c>
      <c r="AI31" s="1131" t="str" cm="1">
        <f t="array" aca="1" ref="AI31" ca="1">_xlfn.IFS(   TabTRADERCorrupted[[#This Row],[Traps]]=MUp,TEXT(MIN(TabTRADERCorrupted[[#This Row],[L_Sn]],TabTRADERCorrupted[[#This Row],[N]]),"#,#0")&amp;" x "&amp;TEXT(TabTRADERCorrupted[[#This Row],[L_Sp]],"#,#0.#0"),          TRUE,"")</f>
        <v/>
      </c>
      <c r="AJ31" s="1131"/>
      <c r="AK31" s="1131" t="str"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1" s="1131"/>
      <c r="AM31" s="1131"/>
      <c r="AN31" s="1131"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912.62099999999998</v>
      </c>
      <c r="AO31" s="1140"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9.5848646842633476E-3</v>
      </c>
      <c r="AP31" s="1140" t="str"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1" s="820" t="str" cm="1">
        <f t="array" aca="1" ref="AQ31" ca="1">_xlfn.IFS(   TabTRADERCorrupted[[#This Row],[Traps]]=SellMorePercentGain,                     MIN(TabTRADERCorrupted[[#This Row],[L_Sn]],TabTRADERCorrupted[[#This Row],[N]])*(TabTRADERCorrupted[[#This Row],[M]]-TabTRADERCorrupted[[#This Row],[L_Sp]])*(1-Commission)*TabTRADERCorrupted[[#This Row],[Scale]],                    TRUE,"")</f>
        <v/>
      </c>
      <c r="AR31" s="1269">
        <f ca="1">_xlfn.XLOOKUP(TabTRADERCorrupted[[#This Row],[ClickTick]],TabCalc[Ticker],TabCalc[Ann%RevLB])</f>
        <v>0.43131891079185064</v>
      </c>
      <c r="AS31" s="1225">
        <f ca="1">_xlfn.XLOOKUP(TabTRADERCorrupted[[#This Row],[ClickTick]],TabCalc[Ticker],TabCalc[Up20])</f>
        <v>0</v>
      </c>
      <c r="AT31" s="1141"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20"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40" t="str" cm="1">
        <f t="array" aca="1" ref="AV31" ca="1">_xlfn.IFS(   TabTRADERCorrupted[[#This Row],[Traps]]=MUp,TabTRADERCorrupted[[#This Row],[TakeGain_A]]-Commission,        TabTRADERCorrupted[[#This Row],[Traps]]=MDown,(TabTRADERCorrupted[[#This Row],[A]]-TabTRADERCorrupted[[#This Row],[M]])/TabTRADERCorrupted[[#This Row],[M]]-Commission,                              TRUE,"")</f>
        <v/>
      </c>
      <c r="AW31" s="820"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2080376.9262870948</v>
      </c>
      <c r="AX31" s="755"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31" s="731"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1" s="760" t="str"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1" s="757"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-0.30399440855482252</v>
      </c>
      <c r="BB31" s="322">
        <f ca="1">_xlfn.XLOOKUP(TabTRADERCorrupted[[#This Row],[ClickTick]],TabCalc[Ticker],TabCalc[L_Sn])</f>
        <v>150</v>
      </c>
      <c r="BC31" s="723">
        <f ca="1">_xlfn.XLOOKUP(TabTRADERCorrupted[[#This Row],[ClickTick]],TabCalc[Ticker],TabCalc[L_Sp])</f>
        <v>523.91999999999996</v>
      </c>
      <c r="BD31" s="759">
        <f ca="1">-IFERROR((TabTRADERCorrupted[[#This Row],[M]]-TabTRADERCorrupted[[#This Row],[L_Sp]])/TabTRADERCorrupted[[#This Row],[L_Sp]],0)</f>
        <v>7.720644373186733E-2</v>
      </c>
      <c r="BE31" s="724">
        <f ca="1">TabTRADERCorrupted[[#This Row],[L_Sn]]*(TabTRADERCorrupted[[#This Row],[M]]-TabTRADERCorrupted[[#This Row],[L_Sp]])*(1-Commission)*TabTRADERCorrupted[[#This Row],[Scale]]</f>
        <v>-6051.7244999999893</v>
      </c>
      <c r="BF31" s="687">
        <f ca="1">TabTRADERCorrupted[[#This Row],[L_Sn]]*(TabTRADERCorrupted[[#This Row],[Agiotage]]-TabTRADERCorrupted[[#This Row],[M]])/(TabTRADERCorrupted[[#This Row],[L_Bn]]*TabTRADERCorrupted[[#This Row],[M]])</f>
        <v>-0.7486565121587363</v>
      </c>
      <c r="BG31" s="630">
        <f ca="1">IFERROR((TabTRADERCorrupted[[#This Row],[M]]-TabTRADERCorrupted[[#This Row],[A]])/TabTRADERCorrupted[[#This Row],[A]],0)</f>
        <v>0.43142284036310091</v>
      </c>
      <c r="BH3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1,453,363$</v>
      </c>
      <c r="BI31" s="679">
        <f ca="1">_xlfn.XLOOKUP(TabTRADERCorrupted[[#This Row],[ClickTick]],TabCalc[[#This Row],[Ticker]],TabCalc[[#This Row],[GL]])*(1-Commission)</f>
        <v>3786386.7326477892</v>
      </c>
      <c r="BJ31" s="679"/>
      <c r="BK31" s="664" t="str">
        <f ca="1">TabTRADERCorrupted[[#This Row],[ClickTick]]&amp;": "&amp;_xlfn.XLOOKUP(TabTRADERCorrupted[[#This Row],[ClickTick]],TabCalc[Ticker],TabCalc[Pile?])</f>
        <v xml:space="preserve">MSFT: </v>
      </c>
      <c r="BL31" s="349" t="s">
        <v>1967</v>
      </c>
      <c r="BM31" s="750" t="str" cm="1">
        <f t="array" aca="1" ref="BM31" ca="1">_xlfn.TEXTJOIN("",,INDEX({"M","A","Y"}, _xlfn.SORTBY({1,2,3}, -CHOOSE({1,2,3}, TabTRADERCorrupted[[#This Row],[M]], TabTRADERCorrupted[[#This Row],[A]], TabTRADERCorrupted[[#This Row],[Agiotage]]))))</f>
        <v>MAY</v>
      </c>
      <c r="BN31" s="896" t="str"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1" s="674">
        <f ca="1">TabTRADERCorrupted[[#This Row],[L_Sn]]*TabTRADERCorrupted[[#This Row],[L_Sp]]+TabTRADERCorrupted[[#This Row],[SellMore]]*TabTRADERCorrupted[[#This Row],[M]]</f>
        <v>175282</v>
      </c>
      <c r="BP31" s="674">
        <f ca="1">INDEX(
  INDEX(TabConsolid[], , _xlfn.XMATCH(TabTRADERCorrupted[[#This Row],[ClickTick]]&amp;1, TabConsolid[#Headers])),
  MATCH(
    -TabTRADERCorrupted[[#This Row],[M]],
    INDEX(TabConsolid[], , _xlfn.XMATCH(TabTRADERCorrupted[[#This Row],[ClickTick]]&amp;2, TabConsolid[#Headers])),
    -1
  )
)</f>
        <v>200</v>
      </c>
      <c r="BQ31" s="674"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13">
        <f ca="1">TabTRADERCorrupted[[#This Row],[ReBuy]]/(TabTRADERCorrupted[[#This Row],[L_Sn]]+TabTRADERCorrupted[[#This Row],[SellMore]])</f>
        <v>500.80571428571426</v>
      </c>
      <c r="BS3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-3.2656200745989779</v>
      </c>
      <c r="BT31" s="682">
        <f ca="1">(TabTRADERCorrupted[[#This Row],[M]]-TabTRADERCorrupted[[#This Row],[Agiotage]])/(TabTRADERCorrupted[[#This Row],[M]]-TabTRADERCorrupted[[#This Row],[A]])-1</f>
        <v>2.3119681538376806</v>
      </c>
      <c r="BU31" s="1221">
        <f ca="1">_xlfn.XMATCH(TabTRADERCorrupted[[#This Row],[ClickTick]]&amp;1, TabConsolid[#Headers])</f>
        <v>86</v>
      </c>
      <c r="BV31" t="b">
        <f ca="1">IF(ABS(TabTRADERCorrupted[[#This Row],[L_Bp]])&gt;=TabTRADERCorrupted[[#This Row],[M]],"OK")</f>
        <v>0</v>
      </c>
    </row>
    <row r="32" spans="1:74" ht="22" customHeight="1">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-7,660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-3.2%</v>
      </c>
      <c r="D32" s="683"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30,669$</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-259$</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0.8% = 7,692</v>
      </c>
      <c r="I32" s="224" t="str">
        <f ca="1">IFERROR(TRUNC(TabCalc[[#This Row],[L_S1p]],2)&amp;"x"&amp;TabCalc[[#This Row],[L_S1n]]&amp;"=   "&amp;TEXT(TabCalc[[#This Row],[ReverseB1]],"#,#0"),"")</f>
        <v>84.7x300=   1,046</v>
      </c>
      <c r="J32" s="293">
        <f ca="1">_xlfn.XLOOKUP(TabTRADERCorrupted[[#This Row],[ClickTick]],TabCalc[Ticker],ListGravity)</f>
        <v>1.1204136912090619</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0.90268026031108495</v>
      </c>
      <c r="N32" s="322" cm="1">
        <f t="array" aca="1" ref="N32" ca="1">_xlfn.XLOOKUP(TabTRADERCorrupted[[#This Row],[ClickTick]],ListTickers,Tab2RSIConventional[RSIConv20])</f>
        <v>74</v>
      </c>
      <c r="O32" s="698"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6">
        <f ca="1">_xlfn.XLOOKUP(TabTRADERCorrupted[[#This Row],[ClickTick]],TabCalc[Ticker],TabCalc[L_Bp])</f>
        <v>-83.78</v>
      </c>
      <c r="R32" s="759">
        <f ca="1">(TabTRADERCorrupted[[#This Row],[M]]+TabTRADERCorrupted[[#This Row],[L_Bp]])/ABS(TabTRADERCorrupted[[#This Row],[L_Bp]])</f>
        <v>-3.055621866793987E-2</v>
      </c>
      <c r="S32" s="678">
        <f ca="1">_xlfn.XLOOKUP(TabTRADERCorrupted[[#This Row],[ClickTick]],TabCalc[Ticker],TabCalc[Rev(MinStock)])*(1-Commission)</f>
        <v>-7640.0839999999998</v>
      </c>
      <c r="T32" s="777">
        <f ca="1">_xlfn.XLOOKUP(TabTRADERCorrupted[[#This Row],[ClickTick]],TabCalc[Ticker],TabCalc[Agiotage])</f>
        <v>0.90268026031108495</v>
      </c>
      <c r="U32" s="742"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-180/-180=&gt;-0.1% / -0.1%</v>
      </c>
      <c r="V32" s="734" t="str">
        <f ca="1">_xlfn.XLOOKUP(TabTRADERCorrupted[[#This Row],[ClickTick]],[1]!RTData[Ticker_Symbol],[1]!RTData[Currency])</f>
        <v>USD</v>
      </c>
      <c r="W32" s="744">
        <f ca="1">_xlfn.XLOOKUP(TabTRADERCorrupted[[#This Row],[ClickTick]],TabCalc[Ticker],TabCalc[M])</f>
        <v>81.22</v>
      </c>
      <c r="X32" s="1271" t="str">
        <f ca="1">SORTING!B32</f>
        <v>NEE</v>
      </c>
      <c r="Y32" s="798">
        <f ca="1">_xlfn.XLOOKUP(TabTRADERCorrupted[[#This Row],[ClickTick]],TabCalc[Ticker],TabCalc[Y])</f>
        <v>91</v>
      </c>
      <c r="Z32" s="812">
        <f ca="1">_xlfn.XLOOKUP(TabTRADERCorrupted[[#This Row],[ClickTick]],[1]!RTData[Ticker_Symbol],[1]!RTData[YTChange])</f>
        <v>-0.82013677511167327</v>
      </c>
      <c r="AA32" s="827">
        <f ca="1">-_xlfn.XLOOKUP(TabTRADERCorrupted[[#This Row],[ClickTick]]&amp;2,Consolid!B$3:JZ$3,Consolid!B$4:JZ$4)</f>
        <v>83.993558495218849</v>
      </c>
      <c r="AB32" s="812" cm="1">
        <f t="array" aca="1" ref="AB32" ca="1">_xlfn.XLOOKUP(TabTRADERCorrupted[[#This Row],[ClickTick]],ListTickers,Tab1ChangePercent[Change%19])</f>
        <v>-6.1519999999999999E-4</v>
      </c>
      <c r="AC32" s="763">
        <f ca="1">_xlfn.XLOOKUP(TabTRADERCorrupted[[#This Row],[ClickTick]],TabCalc[Ticker],TabCalc[NAfter])</f>
        <v>3001</v>
      </c>
      <c r="AD3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^57/243 K$</v>
      </c>
      <c r="AE32" s="1147"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31"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81.22, -00.8%</v>
      </c>
      <c r="AG32" s="1131"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31"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81.22</v>
      </c>
      <c r="AI32" s="1131" t="str" cm="1">
        <f t="array" aca="1" ref="AI32" ca="1">_xlfn.IFS(   TabTRADERCorrupted[[#This Row],[Traps]]=MUp,TEXT(MIN(TabTRADERCorrupted[[#This Row],[L_Sn]],TabTRADERCorrupted[[#This Row],[N]]),"#,#0")&amp;" x "&amp;TEXT(TabTRADERCorrupted[[#This Row],[L_Sp]],"#,#0.#0"),          TRUE,"")</f>
        <v/>
      </c>
      <c r="AJ32" s="1131"/>
      <c r="AK32" s="1131"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7660.0320000000065</v>
      </c>
      <c r="AL32" s="1131"/>
      <c r="AM32" s="1131"/>
      <c r="AN32" s="1131"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243741.22</v>
      </c>
      <c r="AO32" s="1140"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3.3021085722623945E-2</v>
      </c>
      <c r="AP32" s="1140"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2.8919330214232979E-2</v>
      </c>
      <c r="AQ32" s="820" t="str" cm="1">
        <f t="array" aca="1" ref="AQ32" ca="1">_xlfn.IFS(   TabTRADERCorrupted[[#This Row],[Traps]]=SellMorePercentGain,                     MIN(TabTRADERCorrupted[[#This Row],[L_Sn]],TabTRADERCorrupted[[#This Row],[N]])*(TabTRADERCorrupted[[#This Row],[M]]-TabTRADERCorrupted[[#This Row],[L_Sp]])*(1-Commission)*TabTRADERCorrupted[[#This Row],[Scale]],                    TRUE,"")</f>
        <v/>
      </c>
      <c r="AR32" s="1129">
        <f ca="1">_xlfn.XLOOKUP(TabTRADERCorrupted[[#This Row],[ClickTick]],TabCalc[Ticker],TabCalc[Ann%RevLB])</f>
        <v>-1.5714626743511932</v>
      </c>
      <c r="AS32" s="1225">
        <f ca="1">_xlfn.XLOOKUP(TabTRADERCorrupted[[#This Row],[ClickTick]],TabCalc[Ticker],TabCalc[Up20])</f>
        <v>0</v>
      </c>
      <c r="AT32" s="1141"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3.1519330214232977E-2</v>
      </c>
      <c r="AU32" s="820" cm="1">
        <f t="array" aca="1" ref="AU32" ca="1">_xlfn.IFS(         TabTRADERCorrupted[[#This Row],[Traps]]=MDown,TabTRADERCorrupted[[#This Row],[L_Bn]]*TabTRADERCorrupted[[#This Row],[M]]*(-(TabTRADERCorrupted[[#This Row],[L_Bp]]+TabTRADERCorrupted[[#This Row],[M]])/TabTRADERCorrupted[[#This Row],[M]])*(1-Commission)*TabTRADERCorrupted[[#This Row],[Scale]],                               TRUE,"")</f>
        <v>7660.0320000000065</v>
      </c>
      <c r="AV32" s="1140" cm="1">
        <f t="array" aca="1" ref="AV32" ca="1">_xlfn.IFS(   TabTRADERCorrupted[[#This Row],[Traps]]=MUp,TabTRADERCorrupted[[#This Row],[TakeGain_A]]-Commission,        TabTRADERCorrupted[[#This Row],[Traps]]=MDown,(TabTRADERCorrupted[[#This Row],[A]]-TabTRADERCorrupted[[#This Row],[M]])/TabTRADERCorrupted[[#This Row],[M]]-Commission,                              TRUE,"")</f>
        <v>3.1548713312224211E-2</v>
      </c>
      <c r="AW32" s="755"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8301.8080766369749</v>
      </c>
      <c r="AX32" s="755"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32" s="731"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-2.56</v>
      </c>
      <c r="AZ32" s="760"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-3.2935230899745122E-2</v>
      </c>
      <c r="BA32" s="757"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3.1548713312224211E-2</v>
      </c>
      <c r="BB32" s="322">
        <f ca="1">_xlfn.XLOOKUP(TabTRADERCorrupted[[#This Row],[ClickTick]],TabCalc[Ticker],TabCalc[L_Sn])</f>
        <v>399</v>
      </c>
      <c r="BC32" s="723">
        <f ca="1">_xlfn.XLOOKUP(TabTRADERCorrupted[[#This Row],[ClickTick]],TabCalc[Ticker],TabCalc[L_Sp])</f>
        <v>81.87</v>
      </c>
      <c r="BD32" s="759">
        <f ca="1">-IFERROR((TabTRADERCorrupted[[#This Row],[M]]-TabTRADERCorrupted[[#This Row],[L_Sp]])/TabTRADERCorrupted[[#This Row],[L_Sp]],0)</f>
        <v>7.9394161475510646E-3</v>
      </c>
      <c r="BE32" s="724">
        <f ca="1">TabTRADERCorrupted[[#This Row],[L_Sn]]*(TabTRADERCorrupted[[#This Row],[M]]-TabTRADERCorrupted[[#This Row],[L_Sp]])*(1-Commission)*TabTRADERCorrupted[[#This Row],[Scale]]</f>
        <v>-258.67569000000231</v>
      </c>
      <c r="BF32" s="687">
        <f ca="1">TabTRADERCorrupted[[#This Row],[L_Sn]]*(TabTRADERCorrupted[[#This Row],[Agiotage]]-TabTRADERCorrupted[[#This Row],[M]])/(TabTRADERCorrupted[[#This Row],[L_Bn]]*TabTRADERCorrupted[[#This Row],[M]])</f>
        <v>-0.13152183606720791</v>
      </c>
      <c r="BG32" s="630">
        <f ca="1">IFERROR((TabTRADERCorrupted[[#This Row],[M]]-TabTRADERCorrupted[[#This Row],[A]])/TabTRADERCorrupted[[#This Row],[A]],0)</f>
        <v>-3.3021085722623945E-2</v>
      </c>
      <c r="BH3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-8,302$</v>
      </c>
      <c r="BI32" s="679">
        <f ca="1">_xlfn.XLOOKUP(TabTRADERCorrupted[[#This Row],[ClickTick]],TabCalc[[#This Row],[Ticker]],TabCalc[[#This Row],[GL]])*(1-Commission)</f>
        <v>57116.130342143697</v>
      </c>
      <c r="BJ32" s="679"/>
      <c r="BK32" s="664" t="str">
        <f ca="1">TabTRADERCorrupted[[#This Row],[ClickTick]]&amp;": "&amp;_xlfn.XLOOKUP(TabTRADERCorrupted[[#This Row],[ClickTick]],TabCalc[Ticker],TabCalc[Pile?])</f>
        <v xml:space="preserve">NEE: </v>
      </c>
      <c r="BL32" s="349" t="s">
        <v>1972</v>
      </c>
      <c r="BM32" s="750" t="str" cm="1">
        <f t="array" aca="1" ref="BM32" ca="1">_xlfn.TEXTJOIN("",,INDEX({"M","A","Y"}, _xlfn.SORTBY({1,2,3}, -CHOOSE({1,2,3}, TabTRADERCorrupted[[#This Row],[M]], TabTRADERCorrupted[[#This Row],[A]], TabTRADERCorrupted[[#This Row],[Agiotage]]))))</f>
        <v>AMY</v>
      </c>
      <c r="BN32" s="896"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3.1519330214232977E-2</v>
      </c>
      <c r="BO32" s="674" t="e">
        <f ca="1">TabTRADERCorrupted[[#This Row],[L_Sn]]*TabTRADERCorrupted[[#This Row],[L_Sp]]+TabTRADERCorrupted[[#This Row],[SellMore]]*TabTRADERCorrupted[[#This Row],[M]]</f>
        <v>#N/A</v>
      </c>
      <c r="BP32" s="674" t="e">
        <f ca="1">INDEX(
  INDEX(TabConsolid[], , _xlfn.XMATCH(TabTRADERCorrupted[[#This Row],[ClickTick]]&amp;1, TabConsolid[#Headers])),
  MATCH(
    -TabTRADERCorrupted[[#This Row],[M]],
    INDEX(TabConsolid[], , _xlfn.XMATCH(TabTRADERCorrupted[[#This Row],[ClickTick]]&amp;2, TabConsolid[#Headers])),
    -1
  )
)</f>
        <v>#N/A</v>
      </c>
      <c r="BQ32" s="674"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13" t="e">
        <f ca="1">TabTRADERCorrupted[[#This Row],[ReBuy]]/(TabTRADERCorrupted[[#This Row],[L_Sn]]+TabTRADERCorrupted[[#This Row],[SellMore]])</f>
        <v>#N/A</v>
      </c>
      <c r="BS3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-0.22806005944129093</v>
      </c>
      <c r="BT32" s="682">
        <f ca="1">(TabTRADERCorrupted[[#This Row],[M]]-TabTRADERCorrupted[[#This Row],[Agiotage]])/(TabTRADERCorrupted[[#This Row],[M]]-TabTRADERCorrupted[[#This Row],[A]])-1</f>
        <v>-29.958220956270619</v>
      </c>
      <c r="BU32" s="1221">
        <f ca="1">_xlfn.XMATCH(TabTRADERCorrupted[[#This Row],[ClickTick]]&amp;1, TabConsolid[#Headers])</f>
        <v>89</v>
      </c>
      <c r="BV32" t="str">
        <f ca="1">IF(ABS(TabTRADERCorrupted[[#This Row],[L_Bp]])&gt;=TabTRADERCorrupted[[#This Row],[M]],"OK")</f>
        <v>OK</v>
      </c>
    </row>
    <row r="33" spans="1:74" ht="22" customHeight="1">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-78.88x2000=    +40,989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20.7%</v>
      </c>
      <c r="D33" s="683"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243/17,000=24,192</v>
      </c>
      <c r="E3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3" s="224" t="str">
        <f ca="1">TRUNC(TabCalc[[#This Row],[L_B1p]],2)&amp;"x"&amp;TabCalc[[#This Row],[L_B1n]]&amp;"=   "&amp;TEXT(TabCalc[[#This Row],[ReverseS1]],"#,#0")&amp;"$"</f>
        <v>-79.88x1000=   19,550$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99.35x1000=   80$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0</v>
      </c>
      <c r="I33" s="224" t="str">
        <f ca="1">IFERROR(TRUNC(TabCalc[[#This Row],[L_S1p]],2)&amp;"x"&amp;TabCalc[[#This Row],[L_S1n]]&amp;"=   "&amp;TEXT(TabCalc[[#This Row],[ReverseB1]],"#,#0"),"")</f>
        <v>90.41x2000=   -18,040</v>
      </c>
      <c r="J33" s="293">
        <f ca="1">_xlfn.XLOOKUP(TabTRADERCorrupted[[#This Row],[ClickTick]],TabCalc[Ticker],ListGravity)</f>
        <v>1.0537966408528612</v>
      </c>
      <c r="K33" s="320" cm="1">
        <f t="array" aca="1" ref="K33" ca="1">IF(_xlfn.XLOOKUP(TabTRADERCorrupted[[#This Row],[ClickTick]],TabTRADERCorrupted[ClickTick],ListExtra_n)&gt;0,_xlfn.XLOOKUP(TabTRADERCorrupted[[#This Row],[ClickTick]],TabTRADERCorrupted[ClickTick],ListExtra_n),"")</f>
        <v>2000</v>
      </c>
      <c r="L33" s="318">
        <f ca="1">IF(_xlfn.XLOOKUP(TabTRADERCorrupted[[#This Row],[ClickTick]],TabCalc[Ticker],ListExtra_n)&gt;0,_xlfn.XLOOKUP(TabTRADERCorrupted[[#This Row],[ClickTick]],TabCalc[Ticker],ListExtra_n)*TabTRADERCorrupted[[#This Row],[M]]*_xlfn.XLOOKUP(TabTRADERCorrupted[[#This Row],[ClickTick]],TabCalc[Ticker],ListScale),"")</f>
        <v>198860</v>
      </c>
      <c r="M33" s="321">
        <f ca="1">_xlfn.XLOOKUP(TabTRADERCorrupted[[#This Row],[ClickTick]],TabCalc[Ticker],TabCalc[Agiotage])</f>
        <v>1.2314631296255434</v>
      </c>
      <c r="N33" s="322" cm="1">
        <f t="array" aca="1" ref="N33" ca="1">_xlfn.XLOOKUP(TabTRADERCorrupted[[#This Row],[ClickTick]],ListTickers,Tab2RSIConventional[RSIConv20])</f>
        <v>23</v>
      </c>
      <c r="O33" s="698" t="str">
        <f ca="1">TEXT(_xlfn.XLOOKUP(TabTRADERCorrupted[[#This Row],[ClickTick]],TabCalc[Ticker],TabCalc[Nbegin]),"#,#0")&amp;": "&amp;_xlfn.XLOOKUP(TabTRADERCorrupted[[#This Row],[ClickTick]],TabCalc[Ticker],TabCalc[Pile?])</f>
        <v xml:space="preserve">15,000: </v>
      </c>
      <c r="P33" s="729">
        <f ca="1">_xlfn.XLOOKUP(TabTRADERCorrupted[[#This Row],[ClickTick]],TabCalc[Ticker],TabCalc[L_Bn])</f>
        <v>2000</v>
      </c>
      <c r="Q33" s="723">
        <f ca="1">_xlfn.XLOOKUP(TabTRADERCorrupted[[#This Row],[ClickTick]],TabCalc[Ticker],TabCalc[L_Bp])</f>
        <v>-78.88</v>
      </c>
      <c r="R33" s="759">
        <f ca="1">(TabTRADERCorrupted[[#This Row],[M]]+TabTRADERCorrupted[[#This Row],[L_Bp]])/ABS(TabTRADERCorrupted[[#This Row],[L_Bp]])</f>
        <v>0.26052231237322532</v>
      </c>
      <c r="S33" s="678">
        <f ca="1">_xlfn.XLOOKUP(TabTRADERCorrupted[[#This Row],[ClickTick]],TabCalc[Ticker],TabCalc[Rev(MinStock)])*(1-Commission)</f>
        <v>40882.428599999999</v>
      </c>
      <c r="T33" s="777">
        <f ca="1">_xlfn.XLOOKUP(TabTRADERCorrupted[[#This Row],[ClickTick]],TabCalc[Ticker],TabCalc[Agiotage])</f>
        <v>1.2314631296255434</v>
      </c>
      <c r="U33" s="742"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75,310/75,310=&gt;5.3% / 5.3%</v>
      </c>
      <c r="V33" s="734" t="str">
        <f ca="1">_xlfn.XLOOKUP(TabTRADERCorrupted[[#This Row],[ClickTick]],[1]!RTData[Ticker_Symbol],[1]!RTData[Currency])</f>
        <v>USD</v>
      </c>
      <c r="W33" s="744">
        <f ca="1">_xlfn.XLOOKUP(TabTRADERCorrupted[[#This Row],[ClickTick]],TabCalc[Ticker],TabCalc[M])</f>
        <v>99.43</v>
      </c>
      <c r="X33" s="1271" t="str">
        <f ca="1">SORTING!B33</f>
        <v>NEM</v>
      </c>
      <c r="Y33" s="798">
        <f ca="1">_xlfn.XLOOKUP(TabTRADERCorrupted[[#This Row],[ClickTick]],TabCalc[Ticker],TabCalc[Y])</f>
        <v>104.779</v>
      </c>
      <c r="Z33" s="812">
        <f ca="1">_xlfn.XLOOKUP(TabTRADERCorrupted[[#This Row],[ClickTick]],[1]!RTData[Ticker_Symbol],[1]!RTData[YTChange])</f>
        <v>0.29197287299630093</v>
      </c>
      <c r="AA33" s="827">
        <f ca="1">-_xlfn.XLOOKUP(TabTRADERCorrupted[[#This Row],[ClickTick]]&amp;2,Consolid!B$3:JZ$3,Consolid!B$4:JZ$4)</f>
        <v>67.009778907882335</v>
      </c>
      <c r="AB33" s="813" cm="1">
        <f t="array" aca="1" ref="AB33" ca="1">_xlfn.XLOOKUP(TabTRADERCorrupted[[#This Row],[ClickTick]],ListTickers,Tab1ChangePercent[Change%19])</f>
        <v>5.3284000000000005E-2</v>
      </c>
      <c r="AC33" s="763">
        <f ca="1">_xlfn.XLOOKUP(TabTRADERCorrupted[[#This Row],[ClickTick]],TabCalc[Ticker],TabCalc[NAfter])</f>
        <v>17000</v>
      </c>
      <c r="AD3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^1,479/1,686 K$</v>
      </c>
      <c r="AE33" s="1147"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3" s="1131"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99.43, 00.1%</v>
      </c>
      <c r="AG33" s="1131" t="str"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99.35</v>
      </c>
      <c r="AH33" s="1131" cm="1">
        <f t="array" aca="1" ref="AH33" ca="1">_xlfn.IFS(     TabTRADERCorrupted[[#This Row],[Traps]]=MUp,MIN(TabTRADERCorrupted[[#This Row],[L_Sn]],TabTRADERCorrupted[[#This Row],[N]])*(TabTRADERCorrupted[[#This Row],[M]]-TabTRADERCorrupted[[#This Row],[L_Sp]])*(1-Commission)*TabTRADERCorrupted[[#This Row],[Scale]],                                  TRUE,"M= "&amp;TabTRADERCorrupted[[#This Row],[M]])</f>
        <v>79.792000000012465</v>
      </c>
      <c r="AI33" s="1131" t="str" cm="1">
        <f t="array" aca="1" ref="AI33" ca="1">_xlfn.IFS(   TabTRADERCorrupted[[#This Row],[Traps]]=MUp,TEXT(MIN(TabTRADERCorrupted[[#This Row],[L_Sn]],TabTRADERCorrupted[[#This Row],[N]]),"#,#0")&amp;" x "&amp;TEXT(TabTRADERCorrupted[[#This Row],[L_Sp]],"#,#0.#0"),          TRUE,"")</f>
        <v>1,000 x 99.35</v>
      </c>
      <c r="AJ33" s="1131"/>
      <c r="AK33" s="1131"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79.792000000012465</v>
      </c>
      <c r="AL33" s="1131"/>
      <c r="AM33" s="1131"/>
      <c r="AN33" s="1131"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549710.78479372873</v>
      </c>
      <c r="AO33" s="1140"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0.48381328248650723</v>
      </c>
      <c r="AP33" s="1140"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-1.7954138589961529E-3</v>
      </c>
      <c r="AQ33" s="820" cm="1">
        <f t="array" aca="1" ref="AQ33" ca="1">_xlfn.IFS(   TabTRADERCorrupted[[#This Row],[Traps]]=SellMorePercentGain,                     MIN(TabTRADERCorrupted[[#This Row],[L_Sn]],TabTRADERCorrupted[[#This Row],[N]])*(TabTRADERCorrupted[[#This Row],[M]]-TabTRADERCorrupted[[#This Row],[L_Sp]])*(1-Commission)*TabTRADERCorrupted[[#This Row],[Scale]],                    TRUE,"")</f>
        <v>79.792000000012465</v>
      </c>
      <c r="AR33" s="1270">
        <f ca="1">_xlfn.XLOOKUP(TabTRADERCorrupted[[#This Row],[ClickTick]],TabCalc[Ticker],TabCalc[Ann%RevLB])</f>
        <v>2.5348116879557057</v>
      </c>
      <c r="AS33" s="1224" t="str">
        <f ca="1">_xlfn.XLOOKUP(TabTRADERCorrupted[[#This Row],[ClickTick]],TabCalc[Ticker],TabCalc[Up20])</f>
        <v>/100/80%</v>
      </c>
      <c r="AT33" s="1141"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20"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40" cm="1">
        <f t="array" aca="1" ref="AV33" ca="1">_xlfn.IFS(   TabTRADERCorrupted[[#This Row],[Traps]]=MUp,TabTRADERCorrupted[[#This Row],[TakeGain_A]]-Commission,        TabTRADERCorrupted[[#This Row],[Traps]]=MDown,(TabTRADERCorrupted[[#This Row],[A]]-TabTRADERCorrupted[[#This Row],[M]])/TabTRADERCorrupted[[#This Row],[M]]-Commission,                              TRUE,"")</f>
        <v>0.48121328248650724</v>
      </c>
      <c r="AW33" s="820"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815668.16400301654</v>
      </c>
      <c r="AX33" s="755" t="str"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-1.3%</v>
      </c>
      <c r="AY33" s="731"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2,000x32.42</v>
      </c>
      <c r="AZ33" s="760"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0.48255536795204229</v>
      </c>
      <c r="BA33" s="757"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-0.32866075723743005</v>
      </c>
      <c r="BB33" s="322">
        <f ca="1">_xlfn.XLOOKUP(TabTRADERCorrupted[[#This Row],[ClickTick]],TabCalc[Ticker],TabCalc[L_Sn])</f>
        <v>1000</v>
      </c>
      <c r="BC33" s="723">
        <f ca="1">_xlfn.XLOOKUP(TabTRADERCorrupted[[#This Row],[ClickTick]],TabCalc[Ticker],TabCalc[L_Sp])</f>
        <v>99.35</v>
      </c>
      <c r="BD33" s="759">
        <f ca="1">-IFERROR((TabTRADERCorrupted[[#This Row],[M]]-TabTRADERCorrupted[[#This Row],[L_Sp]])/TabTRADERCorrupted[[#This Row],[L_Sp]],0)</f>
        <v>-8.0523402113751898E-4</v>
      </c>
      <c r="BE33" s="724">
        <f ca="1">TabTRADERCorrupted[[#This Row],[L_Sn]]*(TabTRADERCorrupted[[#This Row],[M]]-TabTRADERCorrupted[[#This Row],[L_Sp]])*(1-Commission)*TabTRADERCorrupted[[#This Row],[Scale]]</f>
        <v>79.792000000012465</v>
      </c>
      <c r="BF33" s="687">
        <f ca="1">TabTRADERCorrupted[[#This Row],[L_Sn]]*(TabTRADERCorrupted[[#This Row],[Agiotage]]-TabTRADERCorrupted[[#This Row],[M]])/(TabTRADERCorrupted[[#This Row],[L_Bn]]*TabTRADERCorrupted[[#This Row],[M]])</f>
        <v>-0.49380738645466399</v>
      </c>
      <c r="BG33" s="630">
        <f ca="1">IFERROR((TabTRADERCorrupted[[#This Row],[M]]-TabTRADERCorrupted[[#This Row],[A]])/TabTRADERCorrupted[[#This Row],[A]],0)</f>
        <v>0.48381328248650723</v>
      </c>
      <c r="BH3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17,000 : 549,711$</v>
      </c>
      <c r="BI33" s="679">
        <f ca="1">_xlfn.XLOOKUP(TabTRADERCorrupted[[#This Row],[ClickTick]],TabCalc[[#This Row],[Ticker]],TabCalc[[#This Row],[GL]])*(1-Commission)</f>
        <v>1475577.9701623351</v>
      </c>
      <c r="BJ33" s="679"/>
      <c r="BK33" s="664" t="str">
        <f ca="1">TabTRADERCorrupted[[#This Row],[ClickTick]]&amp;": "&amp;_xlfn.XLOOKUP(TabTRADERCorrupted[[#This Row],[ClickTick]],TabCalc[Ticker],TabCalc[Pile?])</f>
        <v xml:space="preserve">NEM: </v>
      </c>
      <c r="BL33" s="349" t="s">
        <v>1977</v>
      </c>
      <c r="BM33" s="750" t="str" cm="1">
        <f t="array" aca="1" ref="BM33" ca="1">_xlfn.TEXTJOIN("",,INDEX({"M","A","Y"}, _xlfn.SORTBY({1,2,3}, -CHOOSE({1,2,3}, TabTRADERCorrupted[[#This Row],[M]], TabTRADERCorrupted[[#This Row],[A]], TabTRADERCorrupted[[#This Row],[Agiotage]]))))</f>
        <v>MAY</v>
      </c>
      <c r="BN33" s="896"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8.0458614100384687E-4</v>
      </c>
      <c r="BO33" s="674">
        <f ca="1">TabTRADERCorrupted[[#This Row],[L_Sn]]*TabTRADERCorrupted[[#This Row],[L_Sp]]+TabTRADERCorrupted[[#This Row],[SellMore]]*TabTRADERCorrupted[[#This Row],[M]]</f>
        <v>298210</v>
      </c>
      <c r="BP33" s="674">
        <f ca="1">INDEX(
  INDEX(TabConsolid[], , _xlfn.XMATCH(TabTRADERCorrupted[[#This Row],[ClickTick]]&amp;1, TabConsolid[#Headers])),
  MATCH(
    -TabTRADERCorrupted[[#This Row],[M]],
    INDEX(TabConsolid[], , _xlfn.XMATCH(TabTRADERCorrupted[[#This Row],[ClickTick]]&amp;2, TabConsolid[#Headers])),
    -1
  )
)</f>
        <v>2000</v>
      </c>
      <c r="BQ33" s="674"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3" s="1113">
        <f ca="1">TabTRADERCorrupted[[#This Row],[ReBuy]]/(TabTRADERCorrupted[[#This Row],[L_Sn]]+TabTRADERCorrupted[[#This Row],[SellMore]])</f>
        <v>99.403333333333336</v>
      </c>
      <c r="BS3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-0.1039749213921612</v>
      </c>
      <c r="BT33" s="682">
        <f ca="1">(TabTRADERCorrupted[[#This Row],[M]]-TabTRADERCorrupted[[#This Row],[Agiotage]])/(TabTRADERCorrupted[[#This Row],[M]]-TabTRADERCorrupted[[#This Row],[A]])-1</f>
        <v>2.0289286612622601</v>
      </c>
      <c r="BU33" s="1221">
        <f ca="1">_xlfn.XMATCH(TabTRADERCorrupted[[#This Row],[ClickTick]]&amp;1, TabConsolid[#Headers])</f>
        <v>92</v>
      </c>
      <c r="BV33" t="b">
        <f ca="1">IF(ABS(TabTRADERCorrupted[[#This Row],[L_Bp]])&gt;=TabTRADERCorrupted[[#This Row],[M]],"OK")</f>
        <v>0</v>
      </c>
    </row>
    <row r="34" spans="1:74" ht="22" customHeight="1">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+1,605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1.7%</v>
      </c>
      <c r="D34" s="683"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-3,586$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-29,266$</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31.1% = 171</v>
      </c>
      <c r="I34" s="224" t="str">
        <f ca="1">IFERROR(TRUNC(TabCalc[[#This Row],[L_S1p]],2)&amp;"x"&amp;TabCalc[[#This Row],[L_S1n]]&amp;"=   "&amp;TEXT(TabCalc[[#This Row],[ReverseB1]],"#,#0"),"")</f>
        <v>123.53x1000=   29,443</v>
      </c>
      <c r="J34" s="293">
        <f ca="1">_xlfn.XLOOKUP(TabTRADERCorrupted[[#This Row],[ClickTick]],TabCalc[Ticker],ListGravity)</f>
        <v>1.4179237963651823</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3010880</v>
      </c>
      <c r="M34" s="321">
        <f ca="1">_xlfn.XLOOKUP(TabTRADERCorrupted[[#This Row],[ClickTick]],TabCalc[Ticker],TabCalc[Agiotage])</f>
        <v>0.93949121229058552</v>
      </c>
      <c r="N34" s="322" cm="1">
        <f t="array" aca="1" ref="N34" ca="1">_xlfn.XLOOKUP(TabTRADERCorrupted[[#This Row],[ClickTick]],ListTickers,Tab2RSIConventional[RSIConv20])</f>
        <v>21</v>
      </c>
      <c r="O34" s="698" t="str">
        <f ca="1">TEXT(_xlfn.XLOOKUP(TabTRADERCorrupted[[#This Row],[ClickTick]],TabCalc[Ticker],TabCalc[Nbegin]),"#,#0")&amp;": "&amp;_xlfn.XLOOKUP(TabTRADERCorrupted[[#This Row],[ClickTick]],TabCalc[Ticker],TabCalc[Pile?])</f>
        <v xml:space="preserve">4,000: </v>
      </c>
      <c r="P34" s="729">
        <f ca="1">_xlfn.XLOOKUP(TabTRADERCorrupted[[#This Row],[ClickTick]],TabCalc[Ticker],TabCalc[L_Bn])</f>
        <v>1000</v>
      </c>
      <c r="Q34" s="723">
        <f ca="1">_xlfn.XLOOKUP(TabTRADERCorrupted[[#This Row],[ClickTick]],TabCalc[Ticker],TabCalc[L_Bp])</f>
        <v>-92.48</v>
      </c>
      <c r="R34" s="759">
        <f ca="1">(TabTRADERCorrupted[[#This Row],[M]]+TabTRADERCorrupted[[#This Row],[L_Bp]])/ABS(TabTRADERCorrupted[[#This Row],[L_Bp]])</f>
        <v>1.7409169550173003E-2</v>
      </c>
      <c r="S34" s="678">
        <f ca="1">_xlfn.XLOOKUP(TabTRADERCorrupted[[#This Row],[ClickTick]],TabCalc[Ticker],TabCalc[Rev(MinStock)])*(1-Commission)</f>
        <v>1600.827</v>
      </c>
      <c r="T34" s="777">
        <f ca="1">_xlfn.XLOOKUP(TabTRADERCorrupted[[#This Row],[ClickTick]],TabCalc[Ticker],TabCalc[Agiotage])</f>
        <v>0.93949121229058552</v>
      </c>
      <c r="U34" s="742"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10,800/10,800=&gt;1.5% / 1.5%</v>
      </c>
      <c r="V34" s="734" t="str">
        <f ca="1">_xlfn.XLOOKUP(TabTRADERCorrupted[[#This Row],[ClickTick]],[1]!RTData[Ticker_Symbol],[1]!RTData[Currency])</f>
        <v>USD</v>
      </c>
      <c r="W34" s="744">
        <f ca="1">_xlfn.XLOOKUP(TabTRADERCorrupted[[#This Row],[ClickTick]],TabCalc[Ticker],TabCalc[M])</f>
        <v>94.09</v>
      </c>
      <c r="X34" s="1271" t="str">
        <f ca="1">SORTING!B34</f>
        <v>NFLX</v>
      </c>
      <c r="Y34" s="798">
        <f ca="1">_xlfn.XLOOKUP(TabTRADERCorrupted[[#This Row],[ClickTick]],TabCalc[Ticker],TabCalc[Y])</f>
        <v>133.41245000000001</v>
      </c>
      <c r="Z34" s="812">
        <f ca="1">_xlfn.XLOOKUP(TabTRADERCorrupted[[#This Row],[ClickTick]],[1]!RTData[Ticker_Symbol],[1]!RTData[YTChange])</f>
        <v>1.2418492690304153</v>
      </c>
      <c r="AA34" s="827">
        <f ca="1">-_xlfn.XLOOKUP(TabTRADERCorrupted[[#This Row],[ClickTick]]&amp;2,Consolid!B$3:JZ$3,Consolid!B$4:JZ$4)</f>
        <v>111.38831573142856</v>
      </c>
      <c r="AB34" s="812" cm="1">
        <f t="array" aca="1" ref="AB34" ca="1">_xlfn.XLOOKUP(TabTRADERCorrupted[[#This Row],[ClickTick]],ListTickers,Tab1ChangePercent[Change%19])</f>
        <v>1.4884999999999999E-2</v>
      </c>
      <c r="AC34" s="763">
        <f ca="1">_xlfn.XLOOKUP(TabTRADERCorrupted[[#This Row],[ClickTick]],TabCalc[Ticker],TabCalc[NAfter])</f>
        <v>36000</v>
      </c>
      <c r="AD3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^934/3,378 K$</v>
      </c>
      <c r="AE34" s="1147"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31"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31"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1600.827</v>
      </c>
      <c r="AH34" s="1131"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94.09</v>
      </c>
      <c r="AI34" s="1131" t="str" cm="1">
        <f t="array" aca="1" ref="AI34" ca="1">_xlfn.IFS(   TabTRADERCorrupted[[#This Row],[Traps]]=MUp,TEXT(MIN(TabTRADERCorrupted[[#This Row],[L_Sn]],TabTRADERCorrupted[[#This Row],[N]]),"#,#0")&amp;" x "&amp;TEXT(TabTRADERCorrupted[[#This Row],[L_Sp]],"#,#0.#0"),          TRUE,"")</f>
        <v/>
      </c>
      <c r="AJ34" s="1131"/>
      <c r="AK34" s="1131"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31"/>
      <c r="AM34" s="1131"/>
      <c r="AN34" s="1131"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1600.827</v>
      </c>
      <c r="AO34" s="1140"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1.7409169550173003E-2</v>
      </c>
      <c r="AP34" s="1140"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TabTRADERCorrupted[[#This Row],[Traps]]=SellMorePercentGain,                     MIN(TabTRADERCorrupted[[#This Row],[L_Sn]],TabTRADERCorrupted[[#This Row],[N]])*(TabTRADERCorrupted[[#This Row],[M]]-TabTRADERCorrupted[[#This Row],[L_Sp]])*(1-Commission)*TabTRADERCorrupted[[#This Row],[Scale]],                    TRUE,"")</f>
        <v/>
      </c>
      <c r="AR34" s="1129">
        <f ca="1">_xlfn.XLOOKUP(TabTRADERCorrupted[[#This Row],[ClickTick]],TabCalc[Ticker],TabCalc[Ann%RevLB])</f>
        <v>6.2673010380622811</v>
      </c>
      <c r="AS34" s="1225">
        <f ca="1">_xlfn.XLOOKUP(TabTRADERCorrupted[[#This Row],[ClickTick]],TabCalc[Ticker],TabCalc[Up20])</f>
        <v>0</v>
      </c>
      <c r="AT34" s="1141"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20"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40" t="str" cm="1">
        <f t="array" aca="1" ref="AV34" ca="1">_xlfn.IFS(   TabTRADERCorrupted[[#This Row],[Traps]]=MUp,TabTRADERCorrupted[[#This Row],[TakeGain_A]]-Commission,        TabTRADERCorrupted[[#This Row],[Traps]]=MDown,(TabTRADERCorrupted[[#This Row],[A]]-TabTRADERCorrupted[[#This Row],[M]])/TabTRADERCorrupted[[#This Row],[M]]-Commission,                              TRUE,"")</f>
        <v/>
      </c>
      <c r="AW34" s="820"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-524661.88551490568</v>
      </c>
      <c r="AX34" s="755" t="str"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34" s="731"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60"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7"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0.18124861017566754</v>
      </c>
      <c r="BB34" s="322">
        <f ca="1">_xlfn.XLOOKUP(TabTRADERCorrupted[[#This Row],[ClickTick]],TabCalc[Ticker],TabCalc[L_Sn])</f>
        <v>1000</v>
      </c>
      <c r="BC34" s="723">
        <f ca="1">_xlfn.XLOOKUP(TabTRADERCorrupted[[#This Row],[ClickTick]],TabCalc[Ticker],TabCalc[L_Sp])</f>
        <v>123.35599999999999</v>
      </c>
      <c r="BD34" s="759">
        <f ca="1">-IFERROR((TabTRADERCorrupted[[#This Row],[M]]-TabTRADERCorrupted[[#This Row],[L_Sp]])/TabTRADERCorrupted[[#This Row],[L_Sp]],0)</f>
        <v>0.23724828950355065</v>
      </c>
      <c r="BE34" s="724">
        <f ca="1">TabTRADERCorrupted[[#This Row],[L_Sn]]*(TabTRADERCorrupted[[#This Row],[M]]-TabTRADERCorrupted[[#This Row],[L_Sp]])*(1-Commission)*TabTRADERCorrupted[[#This Row],[Scale]]</f>
        <v>-29189.908399999993</v>
      </c>
      <c r="BF34" s="687">
        <f ca="1">TabTRADERCorrupted[[#This Row],[L_Sn]]*(TabTRADERCorrupted[[#This Row],[Agiotage]]-TabTRADERCorrupted[[#This Row],[M]])/(TabTRADERCorrupted[[#This Row],[L_Bn]]*TabTRADERCorrupted[[#This Row],[M]])</f>
        <v>-0.99001497276766304</v>
      </c>
      <c r="BG34" s="630">
        <f ca="1">IFERROR((TabTRADERCorrupted[[#This Row],[M]]-TabTRADERCorrupted[[#This Row],[A]])/TabTRADERCorrupted[[#This Row],[A]],0)</f>
        <v>-0.15529739917368895</v>
      </c>
      <c r="BH3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-621,120$</v>
      </c>
      <c r="BI34" s="679">
        <f ca="1">_xlfn.XLOOKUP(TabTRADERCorrupted[[#This Row],[ClickTick]],TabCalc[[#This Row],[Ticker]],TabCalc[[#This Row],[GL]])*(1-Commission)</f>
        <v>931340.60834268364</v>
      </c>
      <c r="BJ34" s="679"/>
      <c r="BK34" s="664" t="str">
        <f ca="1">TabTRADERCorrupted[[#This Row],[ClickTick]]&amp;": "&amp;_xlfn.XLOOKUP(TabTRADERCorrupted[[#This Row],[ClickTick]],TabCalc[Ticker],TabCalc[Pile?])</f>
        <v xml:space="preserve">NFLX: </v>
      </c>
      <c r="BL34" s="349" t="s">
        <v>1978</v>
      </c>
      <c r="BM34" s="750" t="str" cm="1">
        <f t="array" aca="1" ref="BM34" ca="1">_xlfn.TEXTJOIN("",,INDEX({"M","A","Y"}, _xlfn.SORTBY({1,2,3}, -CHOOSE({1,2,3}, TabTRADERCorrupted[[#This Row],[M]], TabTRADERCorrupted[[#This Row],[A]], TabTRADERCorrupted[[#This Row],[Agiotage]]))))</f>
        <v>AMY</v>
      </c>
      <c r="BN34" s="896"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4" t="e">
        <f ca="1">TabTRADERCorrupted[[#This Row],[L_Sn]]*TabTRADERCorrupted[[#This Row],[L_Sp]]+TabTRADERCorrupted[[#This Row],[SellMore]]*TabTRADERCorrupted[[#This Row],[M]]</f>
        <v>#N/A</v>
      </c>
      <c r="BP34" s="674" t="e">
        <f ca="1">INDEX(
  INDEX(TabConsolid[], , _xlfn.XMATCH(TabTRADERCorrupted[[#This Row],[ClickTick]]&amp;1, TabConsolid[#Headers])),
  MATCH(
    -TabTRADERCorrupted[[#This Row],[M]],
    INDEX(TabConsolid[], , _xlfn.XMATCH(TabTRADERCorrupted[[#This Row],[ClickTick]]&amp;2, TabConsolid[#Headers])),
    -1
  )
)</f>
        <v>#N/A</v>
      </c>
      <c r="BQ34" s="674"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4" s="1113" t="e">
        <f ca="1">TabTRADERCorrupted[[#This Row],[ReBuy]]/(TabTRADERCorrupted[[#This Row],[L_Sn]]+TabTRADERCorrupted[[#This Row],[SellMore]])</f>
        <v>#N/A</v>
      </c>
      <c r="BS3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-9.5738022920701341E-2</v>
      </c>
      <c r="BT34" s="682">
        <f ca="1">(TabTRADERCorrupted[[#This Row],[M]]-TabTRADERCorrupted[[#This Row],[Agiotage]])/(TabTRADERCorrupted[[#This Row],[M]]-TabTRADERCorrupted[[#This Row],[A]])-1</f>
        <v>-6.3849467331937007</v>
      </c>
      <c r="BU34" s="1221">
        <f ca="1">_xlfn.XMATCH(TabTRADERCorrupted[[#This Row],[ClickTick]]&amp;1, TabConsolid[#Headers])</f>
        <v>95</v>
      </c>
      <c r="BV34" t="b">
        <f ca="1">IF(ABS(TabTRADERCorrupted[[#This Row],[L_Bp]])&gt;=TabTRADERCorrupted[[#This Row],[M]],"OK")</f>
        <v>0</v>
      </c>
    </row>
    <row r="35" spans="1:74" ht="22" customHeight="1">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-300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v>
      </c>
      <c r="D35" s="683"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-1,200$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10.405697297297298</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37000</v>
      </c>
      <c r="M35" s="321">
        <f ca="1">_xlfn.XLOOKUP(TabTRADERCorrupted[[#This Row],[ClickTick]],TabCalc[Ticker],TabCalc[Agiotage])</f>
        <v>0.63952972578909406</v>
      </c>
      <c r="N35" s="322" cm="1">
        <f t="array" aca="1" ref="N35" ca="1">_xlfn.XLOOKUP(TabTRADERCorrupted[[#This Row],[ClickTick]],ListTickers,Tab2RSIConventional[RSIConv20])</f>
        <v>80</v>
      </c>
      <c r="O35" s="698" t="str">
        <f ca="1">TEXT(_xlfn.XLOOKUP(TabTRADERCorrupted[[#This Row],[ClickTick]],TabCalc[Ticker],TabCalc[Nbegin]),"#,#0")&amp;": "&amp;_xlfn.XLOOKUP(TabTRADERCorrupted[[#This Row],[ClickTick]],TabCalc[Ticker],TabCalc[Pile?])</f>
        <v>30,000: Pile</v>
      </c>
      <c r="P35" s="729">
        <f ca="1">_xlfn.XLOOKUP(TabTRADERCorrupted[[#This Row],[ClickTick]],TabCalc[Ticker],TabCalc[L_Bn])</f>
        <v>10000</v>
      </c>
      <c r="Q35" s="676">
        <f ca="1">_xlfn.XLOOKUP(TabTRADERCorrupted[[#This Row],[ClickTick]],TabCalc[Ticker],TabCalc[L_Bp])</f>
        <v>-1.88</v>
      </c>
      <c r="R35" s="759">
        <f ca="1">(TabTRADERCorrupted[[#This Row],[M]]+TabTRADERCorrupted[[#This Row],[L_Bp]])/ABS(TabTRADERCorrupted[[#This Row],[L_Bp]])</f>
        <v>-1.5957446808510536E-2</v>
      </c>
      <c r="S35" s="678">
        <f ca="1">_xlfn.XLOOKUP(TabTRADERCorrupted[[#This Row],[ClickTick]],TabCalc[Ticker],TabCalc[Rev(MinStock)])*(1-Commission)</f>
        <v>-299.21999999999997</v>
      </c>
      <c r="T35" s="777">
        <f ca="1">_xlfn.XLOOKUP(TabTRADERCorrupted[[#This Row],[ClickTick]],TabCalc[Ticker],TabCalc[Agiotage])</f>
        <v>0.63952972578909406</v>
      </c>
      <c r="U35" s="742"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-500/-500=&gt;0.0% / 0.0%</v>
      </c>
      <c r="V35" s="734" t="str">
        <f ca="1">_xlfn.XLOOKUP(TabTRADERCorrupted[[#This Row],[ClickTick]],[1]!RTData[Ticker_Symbol],[1]!RTData[Currency])</f>
        <v>USD</v>
      </c>
      <c r="W35" s="744">
        <f ca="1">_xlfn.XLOOKUP(TabTRADERCorrupted[[#This Row],[ClickTick]],TabCalc[Ticker],TabCalc[M])</f>
        <v>1.85</v>
      </c>
      <c r="X35" s="1271" t="str">
        <f ca="1">SORTING!B35</f>
        <v>NOTE</v>
      </c>
      <c r="Y35" s="798">
        <f ca="1">_xlfn.XLOOKUP(TabTRADERCorrupted[[#This Row],[ClickTick]],TabCalc[Ticker],TabCalc[Y])</f>
        <v>19.250540000000001</v>
      </c>
      <c r="Z35" s="812">
        <f ca="1">_xlfn.XLOOKUP(TabTRADERCorrupted[[#This Row],[ClickTick]],[1]!RTData[Ticker_Symbol],[1]!RTData[YTChange])</f>
        <v>-0.97481416647041896</v>
      </c>
      <c r="AA35" s="827">
        <f ca="1">-_xlfn.XLOOKUP(TabTRADERCorrupted[[#This Row],[ClickTick]]&amp;2,Consolid!B$3:JZ$3,Consolid!B$4:JZ$4)</f>
        <v>6.0004318169951993</v>
      </c>
      <c r="AB35" s="812" cm="1">
        <f t="array" aca="1" ref="AB35" ca="1">_xlfn.XLOOKUP(TabTRADERCorrupted[[#This Row],[ClickTick]],ListTickers,Tab1ChangePercent[Change%19])</f>
        <v>0</v>
      </c>
      <c r="AC35" s="763">
        <f ca="1">_xlfn.XLOOKUP(TabTRADERCorrupted[[#This Row],[ClickTick]],TabCalc[Ticker],TabCalc[NAfter])</f>
        <v>50000</v>
      </c>
      <c r="AD3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-208/92 K$</v>
      </c>
      <c r="AE35" s="1147"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31"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31"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31"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1.85</v>
      </c>
      <c r="AI35" s="1131" t="str" cm="1">
        <f t="array" aca="1" ref="AI35" ca="1">_xlfn.IFS(   TabTRADERCorrupted[[#This Row],[Traps]]=MUp,TEXT(MIN(TabTRADERCorrupted[[#This Row],[L_Sn]],TabTRADERCorrupted[[#This Row],[N]]),"#,#0")&amp;" x "&amp;TEXT(TabTRADERCorrupted[[#This Row],[L_Sp]],"#,#0.#0"),          TRUE,"")</f>
        <v/>
      </c>
      <c r="AJ35" s="1131"/>
      <c r="AK35" s="1131"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299.21999999999804</v>
      </c>
      <c r="AL35" s="1131"/>
      <c r="AM35" s="1131"/>
      <c r="AN35" s="1131"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92500</v>
      </c>
      <c r="AO35" s="1140"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0.69168885566532223</v>
      </c>
      <c r="AP35" s="1140"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1.361621621621611E-2</v>
      </c>
      <c r="AQ35" s="820" t="str" cm="1">
        <f t="array" aca="1" ref="AQ35" ca="1">_xlfn.IFS(   TabTRADERCorrupted[[#This Row],[Traps]]=SellMorePercentGain,                     MIN(TabTRADERCorrupted[[#This Row],[L_Sn]],TabTRADERCorrupted[[#This Row],[N]])*(TabTRADERCorrupted[[#This Row],[M]]-TabTRADERCorrupted[[#This Row],[L_Sp]])*(1-Commission)*TabTRADERCorrupted[[#This Row],[Scale]],                    TRUE,"")</f>
        <v/>
      </c>
      <c r="AR35" s="1146">
        <f ca="1">_xlfn.XLOOKUP(TabTRADERCorrupted[[#This Row],[ClickTick]],TabCalc[Ticker],TabCalc[Ann%RevLB])</f>
        <v>-1.9148936170212645</v>
      </c>
      <c r="AS35" s="1224">
        <f ca="1">_xlfn.XLOOKUP(TabTRADERCorrupted[[#This Row],[ClickTick]],TabCalc[Ticker],TabCalc[Up20])</f>
        <v>0</v>
      </c>
      <c r="AT35" s="1141"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1.621621621621611E-2</v>
      </c>
      <c r="AU35" s="820" cm="1">
        <f t="array" aca="1" ref="AU35" ca="1">_xlfn.IFS(         TabTRADERCorrupted[[#This Row],[Traps]]=MDown,TabTRADERCorrupted[[#This Row],[L_Bn]]*TabTRADERCorrupted[[#This Row],[M]]*(-(TabTRADERCorrupted[[#This Row],[L_Bp]]+TabTRADERCorrupted[[#This Row],[M]])/TabTRADERCorrupted[[#This Row],[M]])*(1-Commission)*TabTRADERCorrupted[[#This Row],[Scale]],                               TRUE,"")</f>
        <v>299.21999999999798</v>
      </c>
      <c r="AV35" s="1140" cm="1">
        <f t="array" aca="1" ref="AV35" ca="1">_xlfn.IFS(   TabTRADERCorrupted[[#This Row],[Traps]]=MUp,TabTRADERCorrupted[[#This Row],[TakeGain_A]]-Commission,        TabTRADERCorrupted[[#This Row],[Traps]]=MDown,(TabTRADERCorrupted[[#This Row],[A]]-TabTRADERCorrupted[[#This Row],[M]])/TabTRADERCorrupted[[#This Row],[M]]-Commission,                              TRUE,"")</f>
        <v>2.2408766578352428</v>
      </c>
      <c r="AW35" s="755"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206982.03471355062</v>
      </c>
      <c r="AX35" s="755"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35" s="731"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-0.02</v>
      </c>
      <c r="AZ35" s="760"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-0.68989046464059234</v>
      </c>
      <c r="BA35" s="757"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2.2408766578352428</v>
      </c>
      <c r="BB35" s="322">
        <f ca="1">_xlfn.XLOOKUP(TabTRADERCorrupted[[#This Row],[ClickTick]],TabCalc[Ticker],TabCalc[L_Sn])</f>
        <v>0</v>
      </c>
      <c r="BC35" s="723">
        <f ca="1">_xlfn.XLOOKUP(TabTRADERCorrupted[[#This Row],[ClickTick]],TabCalc[Ticker],TabCalc[L_Sp])</f>
        <v>0</v>
      </c>
      <c r="BD35" s="759">
        <f ca="1">-IFERROR((TabTRADERCorrupted[[#This Row],[M]]-TabTRADERCorrupted[[#This Row],[L_Sp]])/TabTRADERCorrupted[[#This Row],[L_Sp]],0)</f>
        <v>0</v>
      </c>
      <c r="BE35" s="724">
        <f ca="1">TabTRADERCorrupted[[#This Row],[L_Sn]]*(TabTRADERCorrupted[[#This Row],[M]]-TabTRADERCorrupted[[#This Row],[L_Sp]])*(1-Commission)*TabTRADERCorrupted[[#This Row],[Scale]]</f>
        <v>0</v>
      </c>
      <c r="BF35" s="687">
        <f ca="1">TabTRADERCorrupted[[#This Row],[L_Sn]]*(TabTRADERCorrupted[[#This Row],[Agiotage]]-TabTRADERCorrupted[[#This Row],[M]])/(TabTRADERCorrupted[[#This Row],[L_Bn]]*TabTRADERCorrupted[[#This Row],[M]])</f>
        <v>0</v>
      </c>
      <c r="BG35" s="630">
        <f ca="1">IFERROR((TabTRADERCorrupted[[#This Row],[M]]-TabTRADERCorrupted[[#This Row],[A]])/TabTRADERCorrupted[[#This Row],[A]],0)</f>
        <v>-0.69168885566532223</v>
      </c>
      <c r="BH3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-206,982$</v>
      </c>
      <c r="BI35" s="679">
        <f ca="1">_xlfn.XLOOKUP(TabTRADERCorrupted[[#This Row],[ClickTick]],TabCalc[[#This Row],[Ticker]],TabCalc[[#This Row],[GL]])*(1-Commission)</f>
        <v>-207470.36240186062</v>
      </c>
      <c r="BJ35" s="679"/>
      <c r="BK35" s="664" t="str">
        <f ca="1">TabTRADERCorrupted[[#This Row],[ClickTick]]&amp;": "&amp;_xlfn.XLOOKUP(TabTRADERCorrupted[[#This Row],[ClickTick]],TabCalc[Ticker],TabCalc[Pile?])</f>
        <v>NOTE: Pile</v>
      </c>
      <c r="BL35" s="349" t="s">
        <v>1979</v>
      </c>
      <c r="BM35" s="750" t="str" cm="1">
        <f t="array" aca="1" ref="BM35" ca="1">_xlfn.TEXTJOIN("",,INDEX({"M","A","Y"}, _xlfn.SORTBY({1,2,3}, -CHOOSE({1,2,3}, TabTRADERCorrupted[[#This Row],[M]], TabTRADERCorrupted[[#This Row],[A]], TabTRADERCorrupted[[#This Row],[Agiotage]]))))</f>
        <v>AMY</v>
      </c>
      <c r="BN35" s="896"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1.621621621621611E-2</v>
      </c>
      <c r="BO35" s="674" t="e">
        <f ca="1">TabTRADERCorrupted[[#This Row],[L_Sn]]*TabTRADERCorrupted[[#This Row],[L_Sp]]+TabTRADERCorrupted[[#This Row],[SellMore]]*TabTRADERCorrupted[[#This Row],[M]]</f>
        <v>#N/A</v>
      </c>
      <c r="BP35" s="674" t="e">
        <f ca="1">INDEX(
  INDEX(TabConsolid[], , _xlfn.XMATCH(TabTRADERCorrupted[[#This Row],[ClickTick]]&amp;1, TabConsolid[#Headers])),
  MATCH(
    -TabTRADERCorrupted[[#This Row],[M]],
    INDEX(TabConsolid[], , _xlfn.XMATCH(TabTRADERCorrupted[[#This Row],[ClickTick]]&amp;2, TabConsolid[#Headers])),
    -1
  )
)</f>
        <v>#N/A</v>
      </c>
      <c r="BQ35" s="674"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35" s="1113" t="e">
        <f ca="1">TabTRADERCorrupted[[#This Row],[ReBuy]]/(TabTRADERCorrupted[[#This Row],[L_Sn]]+TabTRADERCorrupted[[#This Row],[SellMore]])</f>
        <v>#N/A</v>
      </c>
      <c r="BS3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2">
        <f ca="1">(TabTRADERCorrupted[[#This Row],[M]]-TabTRADERCorrupted[[#This Row],[Agiotage]])/(TabTRADERCorrupted[[#This Row],[M]]-TabTRADERCorrupted[[#This Row],[A]])-1</f>
        <v>-1.2916492373767636</v>
      </c>
      <c r="BU35" s="1221">
        <f ca="1">_xlfn.XMATCH(TabTRADERCorrupted[[#This Row],[ClickTick]]&amp;1, TabConsolid[#Headers])</f>
        <v>98</v>
      </c>
      <c r="BV35" t="str">
        <f ca="1">IF(ABS(TabTRADERCorrupted[[#This Row],[L_Bp]])&gt;=TabTRADERCorrupted[[#This Row],[M]],"OK")</f>
        <v>OK</v>
      </c>
    </row>
    <row r="36" spans="1:74" ht="22" customHeight="1">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+14,580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29.0%</v>
      </c>
      <c r="D36" s="683"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342/1,000=17,216</v>
      </c>
      <c r="E3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22,810$</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4,890$</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-9.7% = 0</v>
      </c>
      <c r="I36" s="224" t="str">
        <f ca="1">IFERROR(TRUNC(TabCalc[[#This Row],[L_S1p]],2)&amp;"x"&amp;TabCalc[[#This Row],[L_S1n]]&amp;"=   "&amp;TEXT(TabCalc[[#This Row],[ReverseB1]],"#,#0"),"")</f>
        <v>38.85x2000=   -22,974</v>
      </c>
      <c r="J36" s="293">
        <f ca="1">_xlfn.XLOOKUP(TabTRADERCorrupted[[#This Row],[ClickTick]],TabCalc[Ticker],ListGravity)</f>
        <v>0.94854986094557003</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1.2852166012257569</v>
      </c>
      <c r="N36" s="322" cm="1">
        <f t="array" aca="1" ref="N36" ca="1">_xlfn.XLOOKUP(TabTRADERCorrupted[[#This Row],[ClickTick]],ListTickers,Tab2RSIConventional[RSIConv20])</f>
        <v>63</v>
      </c>
      <c r="O36" s="698" t="str">
        <f ca="1">TEXT(_xlfn.XLOOKUP(TabTRADERCorrupted[[#This Row],[ClickTick]],TabCalc[Ticker],TabCalc[Nbegin]),"#,#0")&amp;": "&amp;_xlfn.XLOOKUP(TabTRADERCorrupted[[#This Row],[ClickTick]],TabCalc[Ticker],TabCalc[Pile?])</f>
        <v xml:space="preserve">3,000: </v>
      </c>
      <c r="P36" s="729">
        <f ca="1">_xlfn.XLOOKUP(TabTRADERCorrupted[[#This Row],[ClickTick]],TabCalc[Ticker],TabCalc[L_Bn])</f>
        <v>1500</v>
      </c>
      <c r="Q36" s="676">
        <f ca="1">_xlfn.XLOOKUP(TabTRADERCorrupted[[#This Row],[ClickTick]],TabCalc[Ticker],TabCalc[L_Bp])</f>
        <v>-35.72</v>
      </c>
      <c r="R36" s="759">
        <f ca="1">(TabTRADERCorrupted[[#This Row],[M]]+TabTRADERCorrupted[[#This Row],[L_Bp]])/ABS(TabTRADERCorrupted[[#This Row],[L_Bp]])</f>
        <v>0.40929451287793966</v>
      </c>
      <c r="S36" s="678">
        <f ca="1">_xlfn.XLOOKUP(TabTRADERCorrupted[[#This Row],[ClickTick]],TabCalc[Ticker],TabCalc[Rev(MinStock)])*(1-Commission)</f>
        <v>14542.091999999999</v>
      </c>
      <c r="T36" s="777">
        <f ca="1">_xlfn.XLOOKUP(TabTRADERCorrupted[[#This Row],[ClickTick]],TabCalc[Ticker],TabCalc[Agiotage])</f>
        <v>1.2852166012257569</v>
      </c>
      <c r="U36" s="742"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960/960=&gt;3.5% / 3.5%</v>
      </c>
      <c r="V36" s="734" t="str">
        <f ca="1">_xlfn.XLOOKUP(TabTRADERCorrupted[[#This Row],[ClickTick]],[1]!RTData[Ticker_Symbol],[1]!RTData[Currency])</f>
        <v>USD</v>
      </c>
      <c r="W36" s="744">
        <f ca="1">_xlfn.XLOOKUP(TabTRADERCorrupted[[#This Row],[ClickTick]],TabCalc[Ticker],TabCalc[M])</f>
        <v>50.34</v>
      </c>
      <c r="X36" s="1271" t="str">
        <f ca="1">SORTING!B36</f>
        <v>PAAS</v>
      </c>
      <c r="Y36" s="798">
        <f ca="1">_xlfn.XLOOKUP(TabTRADERCorrupted[[#This Row],[ClickTick]],TabCalc[Ticker],TabCalc[Y])</f>
        <v>47.75</v>
      </c>
      <c r="Z36" s="812">
        <f ca="1">_xlfn.XLOOKUP(TabTRADERCorrupted[[#This Row],[ClickTick]],[1]!RTData[Ticker_Symbol],[1]!RTData[YTChange])</f>
        <v>0.51587301587301593</v>
      </c>
      <c r="AA36" s="827">
        <f ca="1">-_xlfn.XLOOKUP(TabTRADERCorrupted[[#This Row],[ClickTick]]&amp;2,Consolid!B$3:JZ$3,Consolid!B$4:JZ$4)</f>
        <v>35.812871999999999</v>
      </c>
      <c r="AB36" s="812" cm="1">
        <f t="array" aca="1" ref="AB36" ca="1">_xlfn.XLOOKUP(TabTRADERCorrupted[[#This Row],[ClickTick]],ListTickers,Tab1ChangePercent[Change%19])</f>
        <v>3.4525E-2</v>
      </c>
      <c r="AC36" s="763">
        <f ca="1">_xlfn.XLOOKUP(TabTRADERCorrupted[[#This Row],[ClickTick]],TabCalc[Ticker],TabCalc[NAfter])</f>
        <v>1000</v>
      </c>
      <c r="AD3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^106/50 K$</v>
      </c>
      <c r="AE36" s="1147"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31"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50.34, 10.8%</v>
      </c>
      <c r="AG36" s="1131"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31" cm="1">
        <f t="array" aca="1" ref="AH36" ca="1">_xlfn.IFS(     TabTRADERCorrupted[[#This Row],[Traps]]=MUp,MIN(TabTRADERCorrupted[[#This Row],[L_Sn]],TabTRADERCorrupted[[#This Row],[N]])*(TabTRADERCorrupted[[#This Row],[M]]-TabTRADERCorrupted[[#This Row],[L_Sp]])*(1-Commission)*TabTRADERCorrupted[[#This Row],[Scale]],                                  TRUE,"M= "&amp;TabTRADERCorrupted[[#This Row],[M]])</f>
        <v>4877.286000000001</v>
      </c>
      <c r="AI36" s="1131" t="str" cm="1">
        <f t="array" aca="1" ref="AI36" ca="1">_xlfn.IFS(   TabTRADERCorrupted[[#This Row],[Traps]]=MUp,TEXT(MIN(TabTRADERCorrupted[[#This Row],[L_Sn]],TabTRADERCorrupted[[#This Row],[N]]),"#,#0")&amp;" x "&amp;TEXT(TabTRADERCorrupted[[#This Row],[L_Sp]],"#,#0.#0"),          TRUE,"")</f>
        <v>1,000 x 45.45</v>
      </c>
      <c r="AJ36" s="1131"/>
      <c r="AK36" s="1131"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4877.286000000001</v>
      </c>
      <c r="AL36" s="1131"/>
      <c r="AM36" s="1131"/>
      <c r="AN36" s="1131"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14489.357467200003</v>
      </c>
      <c r="AO36" s="1140"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0.40563984926983809</v>
      </c>
      <c r="AP36" s="1140"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9.4539451728247917E-2</v>
      </c>
      <c r="AQ36" s="820" cm="1">
        <f t="array" aca="1" ref="AQ36" ca="1">_xlfn.IFS(   TabTRADERCorrupted[[#This Row],[Traps]]=SellMorePercentGain,                     MIN(TabTRADERCorrupted[[#This Row],[L_Sn]],TabTRADERCorrupted[[#This Row],[N]])*(TabTRADERCorrupted[[#This Row],[M]]-TabTRADERCorrupted[[#This Row],[L_Sp]])*(1-Commission)*TabTRADERCorrupted[[#This Row],[Scale]],                    TRUE,"")</f>
        <v>4877.286000000001</v>
      </c>
      <c r="AR36" s="1224">
        <f ca="1">_xlfn.XLOOKUP(TabTRADERCorrupted[[#This Row],[ClickTick]],TabCalc[Ticker],TabCalc[Ann%RevLB])</f>
        <v>2.889137737961927</v>
      </c>
      <c r="AS36" s="1224">
        <f ca="1">_xlfn.XLOOKUP(TabTRADERCorrupted[[#This Row],[ClickTick]],TabCalc[Ticker],TabCalc[Up20])</f>
        <v>0</v>
      </c>
      <c r="AT36" s="1141"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20"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40" cm="1">
        <f t="array" aca="1" ref="AV36" ca="1">_xlfn.IFS(   TabTRADERCorrupted[[#This Row],[Traps]]=MUp,TabTRADERCorrupted[[#This Row],[TakeGain_A]]-Commission,        TabTRADERCorrupted[[#This Row],[Traps]]=MDown,(TabTRADERCorrupted[[#This Row],[A]]-TabTRADERCorrupted[[#This Row],[M]])/TabTRADERCorrupted[[#This Row],[M]]-Commission,                              TRUE,"")</f>
        <v>0.4030398492698381</v>
      </c>
      <c r="AW36" s="820"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20366.818246211817</v>
      </c>
      <c r="AX36" s="755"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1.9%</v>
      </c>
      <c r="AY36" s="731"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1,000x14.52</v>
      </c>
      <c r="AZ36" s="760"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0.40458518566173651</v>
      </c>
      <c r="BA36" s="757"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-0.29118021454112042</v>
      </c>
      <c r="BB36" s="322">
        <f ca="1">_xlfn.XLOOKUP(TabTRADERCorrupted[[#This Row],[ClickTick]],TabCalc[Ticker],TabCalc[L_Sn])</f>
        <v>1000</v>
      </c>
      <c r="BC36" s="723">
        <f ca="1">_xlfn.XLOOKUP(TabTRADERCorrupted[[#This Row],[ClickTick]],TabCalc[Ticker],TabCalc[L_Sp])</f>
        <v>45.45</v>
      </c>
      <c r="BD36" s="759">
        <f ca="1">-IFERROR((TabTRADERCorrupted[[#This Row],[M]]-TabTRADERCorrupted[[#This Row],[L_Sp]])/TabTRADERCorrupted[[#This Row],[L_Sp]],0)</f>
        <v>-0.10759075907590759</v>
      </c>
      <c r="BE36" s="724">
        <f ca="1">TabTRADERCorrupted[[#This Row],[L_Sn]]*(TabTRADERCorrupted[[#This Row],[M]]-TabTRADERCorrupted[[#This Row],[L_Sp]])*(1-Commission)*TabTRADERCorrupted[[#This Row],[Scale]]</f>
        <v>4877.286000000001</v>
      </c>
      <c r="BF36" s="687">
        <f ca="1">TabTRADERCorrupted[[#This Row],[L_Sn]]*(TabTRADERCorrupted[[#This Row],[Agiotage]]-TabTRADERCorrupted[[#This Row],[M]])/(TabTRADERCorrupted[[#This Row],[L_Bn]]*TabTRADERCorrupted[[#This Row],[M]])</f>
        <v>-0.64964618459507684</v>
      </c>
      <c r="BG36" s="630">
        <f ca="1">IFERROR((TabTRADERCorrupted[[#This Row],[M]]-TabTRADERCorrupted[[#This Row],[A]])/TabTRADERCorrupted[[#This Row],[A]],0)</f>
        <v>0.40563984926983809</v>
      </c>
      <c r="BH3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14,489$</v>
      </c>
      <c r="BI36" s="679">
        <f ca="1">_xlfn.XLOOKUP(TabTRADERCorrupted[[#This Row],[ClickTick]],TabCalc[[#This Row],[Ticker]],TabCalc[[#This Row],[GL]])*(1-Commission)</f>
        <v>105856.53217759629</v>
      </c>
      <c r="BJ36" s="679"/>
      <c r="BK36" s="664" t="str">
        <f ca="1">TabTRADERCorrupted[[#This Row],[ClickTick]]&amp;": "&amp;_xlfn.XLOOKUP(TabTRADERCorrupted[[#This Row],[ClickTick]],TabCalc[Ticker],TabCalc[Pile?])</f>
        <v xml:space="preserve">PAAS: </v>
      </c>
      <c r="BL36" s="349" t="s">
        <v>1980</v>
      </c>
      <c r="BM36" s="750" t="str" cm="1">
        <f t="array" aca="1" ref="BM36" ca="1">_xlfn.TEXTJOIN("",,INDEX({"M","A","Y"}, _xlfn.SORTBY({1,2,3}, -CHOOSE({1,2,3}, TabTRADERCorrupted[[#This Row],[M]], TabTRADERCorrupted[[#This Row],[A]], TabTRADERCorrupted[[#This Row],[Agiotage]]))))</f>
        <v>MAY</v>
      </c>
      <c r="BN36" s="896"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9.7139451728247922E-2</v>
      </c>
      <c r="BO36" s="674">
        <f ca="1">TabTRADERCorrupted[[#This Row],[L_Sn]]*TabTRADERCorrupted[[#This Row],[L_Sp]]+TabTRADERCorrupted[[#This Row],[SellMore]]*TabTRADERCorrupted[[#This Row],[M]]</f>
        <v>95790</v>
      </c>
      <c r="BP36" s="674">
        <f ca="1">INDEX(
  INDEX(TabConsolid[], , _xlfn.XMATCH(TabTRADERCorrupted[[#This Row],[ClickTick]]&amp;1, TabConsolid[#Headers])),
  MATCH(
    -TabTRADERCorrupted[[#This Row],[M]],
    INDEX(TabConsolid[], , _xlfn.XMATCH(TabTRADERCorrupted[[#This Row],[ClickTick]]&amp;2, TabConsolid[#Headers])),
    -1
  )
)</f>
        <v>1000</v>
      </c>
      <c r="BQ36" s="674"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13">
        <f ca="1">TabTRADERCorrupted[[#This Row],[ReBuy]]/(TabTRADERCorrupted[[#This Row],[L_Sn]]+TabTRADERCorrupted[[#This Row],[SellMore]])</f>
        <v>47.895000000000003</v>
      </c>
      <c r="BS3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-9.8109566797548495E-2</v>
      </c>
      <c r="BT36" s="682">
        <f ca="1">(TabTRADERCorrupted[[#This Row],[M]]-TabTRADERCorrupted[[#This Row],[Agiotage]])/(TabTRADERCorrupted[[#This Row],[M]]-TabTRADERCorrupted[[#This Row],[A]])-1</f>
        <v>2.3767709211878789</v>
      </c>
      <c r="BU36" s="1221">
        <f ca="1">_xlfn.XMATCH(TabTRADERCorrupted[[#This Row],[ClickTick]]&amp;1, TabConsolid[#Headers])</f>
        <v>101</v>
      </c>
      <c r="BV36" t="b">
        <f ca="1">IF(ABS(TabTRADERCorrupted[[#This Row],[L_Bp]])&gt;=TabTRADERCorrupted[[#This Row],[M]],"OK")</f>
        <v>0</v>
      </c>
    </row>
    <row r="37" spans="1:74">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+8,935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30.1%</v>
      </c>
      <c r="D37" s="683"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2,232/4,000=16,585</v>
      </c>
      <c r="E3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2,410$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5.61x2000=   3,640$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-24.5% = 0</v>
      </c>
      <c r="I37" s="224" t="str">
        <f ca="1">IFERROR(TRUNC(TabCalc[[#This Row],[L_S1p]],2)&amp;"x"&amp;TabCalc[[#This Row],[L_S1n]]&amp;"=   "&amp;TEXT(TabCalc[[#This Row],[ReverseB1]],"#,#0"),"")</f>
        <v>6.93x2000=   -1,000</v>
      </c>
      <c r="J37" s="293">
        <f ca="1">_xlfn.XLOOKUP(TabTRADERCorrupted[[#This Row],[ClickTick]],TabCalc[Ticker],ListGravity)</f>
        <v>1.6285329744279946</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0.70562494111242557</v>
      </c>
      <c r="N37" s="322" cm="1">
        <f t="array" aca="1" ref="N37" ca="1">_xlfn.XLOOKUP(TabTRADERCorrupted[[#This Row],[ClickTick]],ListTickers,Tab2RSIConventional[RSIConv20])</f>
        <v>87</v>
      </c>
      <c r="O37" s="698" t="str">
        <f ca="1">TEXT(_xlfn.XLOOKUP(TabTRADERCorrupted[[#This Row],[ClickTick]],TabCalc[Ticker],TabCalc[Nbegin]),"#,#0")&amp;": "&amp;_xlfn.XLOOKUP(TabTRADERCorrupted[[#This Row],[ClickTick]],TabCalc[Ticker],TabCalc[Pile?])</f>
        <v xml:space="preserve">6,000: </v>
      </c>
      <c r="P37" s="729">
        <f ca="1">_xlfn.XLOOKUP(TabTRADERCorrupted[[#This Row],[ClickTick]],TabCalc[Ticker],TabCalc[L_Bn])</f>
        <v>4000</v>
      </c>
      <c r="Q37" s="676">
        <f ca="1">_xlfn.XLOOKUP(TabTRADERCorrupted[[#This Row],[ClickTick]],TabCalc[Ticker],TabCalc[L_Bp])</f>
        <v>-5.19</v>
      </c>
      <c r="R37" s="759">
        <f ca="1">(TabTRADERCorrupted[[#This Row],[M]]+TabTRADERCorrupted[[#This Row],[L_Bp]])/ABS(TabTRADERCorrupted[[#This Row],[L_Bp]])</f>
        <v>0.43159922928709038</v>
      </c>
      <c r="S37" s="678">
        <f ca="1">_xlfn.XLOOKUP(TabTRADERCorrupted[[#This Row],[ClickTick]],TabCalc[Ticker],TabCalc[Rev(MinStock)])*(1-Commission)</f>
        <v>8911.7690000000002</v>
      </c>
      <c r="T37" s="777">
        <f ca="1">_xlfn.XLOOKUP(TabTRADERCorrupted[[#This Row],[ClickTick]],TabCalc[Ticker],TabCalc[Agiotage])</f>
        <v>0.70562494111242557</v>
      </c>
      <c r="U37" s="742"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600/600=&gt;2.6% / 2.6%</v>
      </c>
      <c r="V37" s="734" t="str">
        <f ca="1">_xlfn.XLOOKUP(TabTRADERCorrupted[[#This Row],[ClickTick]],[1]!RTData[Ticker_Symbol],[1]!RTData[Currency])</f>
        <v>USD</v>
      </c>
      <c r="W37" s="744">
        <f ca="1">_xlfn.XLOOKUP(TabTRADERCorrupted[[#This Row],[ClickTick]],TabCalc[Ticker],TabCalc[M])</f>
        <v>7.43</v>
      </c>
      <c r="X37" s="1271" t="str">
        <f ca="1">SORTING!B37</f>
        <v>PROF</v>
      </c>
      <c r="Y37" s="798">
        <f ca="1">_xlfn.XLOOKUP(TabTRADERCorrupted[[#This Row],[ClickTick]],TabCalc[Ticker],TabCalc[Y])</f>
        <v>12.1</v>
      </c>
      <c r="Z37" s="812">
        <f ca="1">_xlfn.XLOOKUP(TabTRADERCorrupted[[#This Row],[ClickTick]],[1]!RTData[Ticker_Symbol],[1]!RTData[YTChange])</f>
        <v>-0.66840230200054807</v>
      </c>
      <c r="AA37" s="827">
        <f ca="1">-_xlfn.XLOOKUP(TabTRADERCorrupted[[#This Row],[ClickTick]]&amp;2,Consolid!B$3:JZ$3,Consolid!B$4:JZ$4)</f>
        <v>5.2034940000000001</v>
      </c>
      <c r="AB37" s="812" cm="1">
        <f t="array" aca="1" ref="AB37" ca="1">_xlfn.XLOOKUP(TabTRADERCorrupted[[#This Row],[ClickTick]],ListTickers,Tab1ChangePercent[Change%19])</f>
        <v>2.6242999999999999E-2</v>
      </c>
      <c r="AC37" s="763">
        <f ca="1">_xlfn.XLOOKUP(TabTRADERCorrupted[[#This Row],[ClickTick]],TabCalc[Ticker],TabCalc[NAfter])</f>
        <v>4000</v>
      </c>
      <c r="AD3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^10/30 K$</v>
      </c>
      <c r="AE37" s="1147"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31"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7.43, 32.4%</v>
      </c>
      <c r="AG37" s="1131"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5.61</v>
      </c>
      <c r="AH37" s="1131" cm="1">
        <f t="array" aca="1" ref="AH37" ca="1">_xlfn.IFS(     TabTRADERCorrupted[[#This Row],[Traps]]=MUp,MIN(TabTRADERCorrupted[[#This Row],[L_Sn]],TabTRADERCorrupted[[#This Row],[N]])*(TabTRADERCorrupted[[#This Row],[M]]-TabTRADERCorrupted[[#This Row],[L_Sp]])*(1-Commission)*TabTRADERCorrupted[[#This Row],[Scale]],                                  TRUE,"M= "&amp;TabTRADERCorrupted[[#This Row],[M]])</f>
        <v>3630.5359999999987</v>
      </c>
      <c r="AI37" s="1131" t="str" cm="1">
        <f t="array" aca="1" ref="AI37" ca="1">_xlfn.IFS(   TabTRADERCorrupted[[#This Row],[Traps]]=MUp,TEXT(MIN(TabTRADERCorrupted[[#This Row],[L_Sn]],TabTRADERCorrupted[[#This Row],[N]]),"#,#0")&amp;" x "&amp;TEXT(TabTRADERCorrupted[[#This Row],[L_Sp]],"#,#0.#0"),          TRUE,"")</f>
        <v>2,000 x 5.61</v>
      </c>
      <c r="AJ37" s="1131"/>
      <c r="AK37" s="1131"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3630.5359999999987</v>
      </c>
      <c r="AL37" s="1131"/>
      <c r="AM37" s="1131"/>
      <c r="AN37" s="1131"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8882.868337599999</v>
      </c>
      <c r="AO37" s="1140"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0.42788672380519699</v>
      </c>
      <c r="AP37" s="1140"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0.24235289367429333</v>
      </c>
      <c r="AQ37" s="820" cm="1">
        <f t="array" aca="1" ref="AQ37" ca="1">_xlfn.IFS(   TabTRADERCorrupted[[#This Row],[Traps]]=SellMorePercentGain,                     MIN(TabTRADERCorrupted[[#This Row],[L_Sn]],TabTRADERCorrupted[[#This Row],[N]])*(TabTRADERCorrupted[[#This Row],[M]]-TabTRADERCorrupted[[#This Row],[L_Sp]])*(1-Commission)*TabTRADERCorrupted[[#This Row],[Scale]],                    TRUE,"")</f>
        <v>3630.5359999999987</v>
      </c>
      <c r="AR37" s="1129">
        <f ca="1">_xlfn.XLOOKUP(TabTRADERCorrupted[[#This Row],[ClickTick]],TabCalc[Ticker],TabCalc[Ann%RevLB])</f>
        <v>1.9919964428634942</v>
      </c>
      <c r="AS37" s="1225">
        <f ca="1">_xlfn.XLOOKUP(TabTRADERCorrupted[[#This Row],[ClickTick]],TabCalc[Ticker],TabCalc[Up20])</f>
        <v>0</v>
      </c>
      <c r="AT37" s="1141"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20"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40" cm="1">
        <f t="array" aca="1" ref="AV37" ca="1">_xlfn.IFS(   TabTRADERCorrupted[[#This Row],[Traps]]=MUp,TabTRADERCorrupted[[#This Row],[TakeGain_A]]-Commission,        TabTRADERCorrupted[[#This Row],[Traps]]=MDown,(TabTRADERCorrupted[[#This Row],[A]]-TabTRADERCorrupted[[#This Row],[M]])/TabTRADERCorrupted[[#This Row],[M]]-Commission,                              TRUE,"")</f>
        <v>0.425286723805197</v>
      </c>
      <c r="AW37" s="820"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12683.729768568579</v>
      </c>
      <c r="AX37" s="755"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5.2%</v>
      </c>
      <c r="AY37" s="731"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4,000x2.22</v>
      </c>
      <c r="AZ37" s="760"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0.42677421832330348</v>
      </c>
      <c r="BA37" s="757"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-0.30226433378196499</v>
      </c>
      <c r="BB37" s="322">
        <f ca="1">_xlfn.XLOOKUP(TabTRADERCorrupted[[#This Row],[ClickTick]],TabCalc[Ticker],TabCalc[L_Sn])</f>
        <v>2000</v>
      </c>
      <c r="BC37" s="723">
        <f ca="1">_xlfn.XLOOKUP(TabTRADERCorrupted[[#This Row],[ClickTick]],TabCalc[Ticker],TabCalc[L_Sp])</f>
        <v>5.61</v>
      </c>
      <c r="BD37" s="759">
        <f ca="1">-IFERROR((TabTRADERCorrupted[[#This Row],[M]]-TabTRADERCorrupted[[#This Row],[L_Sp]])/TabTRADERCorrupted[[#This Row],[L_Sp]],0)</f>
        <v>-0.3244206773618537</v>
      </c>
      <c r="BE37" s="724">
        <f ca="1">TabTRADERCorrupted[[#This Row],[L_Sn]]*(TabTRADERCorrupted[[#This Row],[M]]-TabTRADERCorrupted[[#This Row],[L_Sp]])*(1-Commission)*TabTRADERCorrupted[[#This Row],[Scale]]</f>
        <v>3630.5359999999987</v>
      </c>
      <c r="BF37" s="687">
        <f ca="1">TabTRADERCorrupted[[#This Row],[L_Sn]]*(TabTRADERCorrupted[[#This Row],[Agiotage]]-TabTRADERCorrupted[[#This Row],[M]])/(TabTRADERCorrupted[[#This Row],[L_Bn]]*TabTRADERCorrupted[[#This Row],[M]])</f>
        <v>-0.45251514528180176</v>
      </c>
      <c r="BG37" s="630">
        <f ca="1">IFERROR((TabTRADERCorrupted[[#This Row],[M]]-TabTRADERCorrupted[[#This Row],[A]])/TabTRADERCorrupted[[#This Row],[A]],0)</f>
        <v>0.42788672380519699</v>
      </c>
      <c r="BH3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8,883$</v>
      </c>
      <c r="BI37" s="679">
        <f ca="1">_xlfn.XLOOKUP(TabTRADERCorrupted[[#This Row],[ClickTick]],TabCalc[[#This Row],[Ticker]],TabCalc[[#This Row],[GL]])*(1-Commission)</f>
        <v>10013.341268461782</v>
      </c>
      <c r="BJ37" s="679"/>
      <c r="BK37" s="664" t="str">
        <f ca="1">TabTRADERCorrupted[[#This Row],[ClickTick]]&amp;": "&amp;_xlfn.XLOOKUP(TabTRADERCorrupted[[#This Row],[ClickTick]],TabCalc[Ticker],TabCalc[Pile?])</f>
        <v xml:space="preserve">PROF: </v>
      </c>
      <c r="BL37" s="349" t="s">
        <v>1981</v>
      </c>
      <c r="BM37" s="750" t="str" cm="1">
        <f t="array" aca="1" ref="BM37" ca="1">_xlfn.TEXTJOIN("",,INDEX({"M","A","Y"}, _xlfn.SORTBY({1,2,3}, -CHOOSE({1,2,3}, TabTRADERCorrupted[[#This Row],[M]], TabTRADERCorrupted[[#This Row],[A]], TabTRADERCorrupted[[#This Row],[Agiotage]]))))</f>
        <v>MAY</v>
      </c>
      <c r="BN37" s="896"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0.24495289367429332</v>
      </c>
      <c r="BO37" s="674">
        <f ca="1">TabTRADERCorrupted[[#This Row],[L_Sn]]*TabTRADERCorrupted[[#This Row],[L_Sp]]+TabTRADERCorrupted[[#This Row],[SellMore]]*TabTRADERCorrupted[[#This Row],[M]]</f>
        <v>40940</v>
      </c>
      <c r="BP37" s="674">
        <f ca="1">INDEX(
  INDEX(TabConsolid[], , _xlfn.XMATCH(TabTRADERCorrupted[[#This Row],[ClickTick]]&amp;1, TabConsolid[#Headers])),
  MATCH(
    -TabTRADERCorrupted[[#This Row],[M]],
    INDEX(TabConsolid[], , _xlfn.XMATCH(TabTRADERCorrupted[[#This Row],[ClickTick]]&amp;2, TabConsolid[#Headers])),
    -1
  )
)</f>
        <v>4000</v>
      </c>
      <c r="BQ37" s="674"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13">
        <f ca="1">TabTRADERCorrupted[[#This Row],[ReBuy]]/(TabTRADERCorrupted[[#This Row],[L_Sn]]+TabTRADERCorrupted[[#This Row],[SellMore]])</f>
        <v>6.8233333333333333</v>
      </c>
      <c r="BS3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-5.0432812941656807E-3</v>
      </c>
      <c r="BT37" s="682">
        <f ca="1">(TabTRADERCorrupted[[#This Row],[M]]-TabTRADERCorrupted[[#This Row],[Agiotage]])/(TabTRADERCorrupted[[#This Row],[M]]-TabTRADERCorrupted[[#This Row],[A]])-1</f>
        <v>2.0201468394370261</v>
      </c>
      <c r="BU37" s="1221">
        <f ca="1">_xlfn.XMATCH(TabTRADERCorrupted[[#This Row],[ClickTick]]&amp;1, TabConsolid[#Headers])</f>
        <v>104</v>
      </c>
      <c r="BV37" t="b">
        <f ca="1">IF(ABS(TabTRADERCorrupted[[#This Row],[L_Bp]])&gt;=TabTRADERCorrupted[[#This Row],[M]],"OK")</f>
        <v>0</v>
      </c>
    </row>
    <row r="38" spans="1:74">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+5,587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31.0%</v>
      </c>
      <c r="D38" s="683"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2,231/47,500=16,108</v>
      </c>
      <c r="E3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2,703</v>
      </c>
      <c r="F38" s="224" t="str">
        <f ca="1">TRUNC(TabCalc[[#This Row],[L_B1p]],2)&amp;"x"&amp;TabCalc[[#This Row],[L_B1n]]&amp;"=   "&amp;TEXT(TabCalc[[#This Row],[ReverseS1]],"#,#0")&amp;"$"</f>
        <v>-5.12x2500=   5,250$</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9.07x2500=   -4,625$</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25.6% = 2,703</v>
      </c>
      <c r="I38" s="224" t="str">
        <f ca="1">IFERROR(TRUNC(TabCalc[[#This Row],[L_S1p]],2)&amp;"x"&amp;TabCalc[[#This Row],[L_S1n]]&amp;"=   "&amp;TEXT(TabCalc[[#This Row],[ReverseB1]],"#,#0"),"")</f>
        <v>7.4x2500=   450</v>
      </c>
      <c r="J38" s="293">
        <f ca="1">_xlfn.XLOOKUP(TabTRADERCorrupted[[#This Row],[ClickTick]],TabCalc[Ticker],ListGravity)</f>
        <v>0.96029501385041549</v>
      </c>
      <c r="K38" s="320" cm="1">
        <f t="array" aca="1" ref="K38" ca="1">IF(_xlfn.XLOOKUP(TabTRADERCorrupted[[#This Row],[ClickTick]],TabTRADERCorrupted[ClickTick],ListExtra_n)&gt;0,_xlfn.XLOOKUP(TabTRADERCorrupted[[#This Row],[ClickTick]],TabTRADERCorrupted[ClickTick],ListExtra_n),"")</f>
        <v>2500</v>
      </c>
      <c r="L38" s="318">
        <f ca="1">IF(_xlfn.XLOOKUP(TabTRADERCorrupted[[#This Row],[ClickTick]],TabCalc[Ticker],ListExtra_n)&gt;0,_xlfn.XLOOKUP(TabTRADERCorrupted[[#This Row],[ClickTick]],TabCalc[Ticker],ListExtra_n)*TabTRADERCorrupted[[#This Row],[M]]*_xlfn.XLOOKUP(TabTRADERCorrupted[[#This Row],[ClickTick]],TabCalc[Ticker],ListScale),"")</f>
        <v>18050</v>
      </c>
      <c r="M38" s="321">
        <f ca="1">_xlfn.XLOOKUP(TabTRADERCorrupted[[#This Row],[ClickTick]],TabCalc[Ticker],TabCalc[Agiotage])</f>
        <v>0.99686525095229539</v>
      </c>
      <c r="N38" s="322" cm="1">
        <f t="array" aca="1" ref="N38" ca="1">_xlfn.XLOOKUP(TabTRADERCorrupted[[#This Row],[ClickTick]],ListTickers,Tab2RSIConventional[RSIConv20])</f>
        <v>65</v>
      </c>
      <c r="O38" s="698" t="str">
        <f ca="1">TEXT(_xlfn.XLOOKUP(TabTRADERCorrupted[[#This Row],[ClickTick]],TabCalc[Ticker],TabCalc[Nbegin]),"#,#0")&amp;": "&amp;_xlfn.XLOOKUP(TabTRADERCorrupted[[#This Row],[ClickTick]],TabCalc[Ticker],TabCalc[Pile?])</f>
        <v xml:space="preserve">45,000: </v>
      </c>
      <c r="P38" s="729">
        <f ca="1">_xlfn.XLOOKUP(TabTRADERCorrupted[[#This Row],[ClickTick]],TabCalc[Ticker],TabCalc[L_Bn])</f>
        <v>2500</v>
      </c>
      <c r="Q38" s="723">
        <f ca="1">_xlfn.XLOOKUP(TabTRADERCorrupted[[#This Row],[ClickTick]],TabCalc[Ticker],TabCalc[L_Bp])</f>
        <v>-4.9789000000000003</v>
      </c>
      <c r="R38" s="759">
        <f ca="1">(TabTRADERCorrupted[[#This Row],[M]]+TabTRADERCorrupted[[#This Row],[L_Bp]])/ABS(TabTRADERCorrupted[[#This Row],[L_Bp]])</f>
        <v>0.45011950430818037</v>
      </c>
      <c r="S38" s="678">
        <f ca="1">_xlfn.XLOOKUP(TabTRADERCorrupted[[#This Row],[ClickTick]],TabCalc[Ticker],TabCalc[Rev(MinStock)])*(1-Commission)</f>
        <v>5572.4737999999998</v>
      </c>
      <c r="T38" s="777">
        <f ca="1">_xlfn.XLOOKUP(TabTRADERCorrupted[[#This Row],[ClickTick]],TabCalc[Ticker],TabCalc[Agiotage])</f>
        <v>0.99686525095229539</v>
      </c>
      <c r="U38" s="742"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6,175/6,175=&gt;1.0% / 1.0%</v>
      </c>
      <c r="V38" s="734" t="str">
        <f ca="1">_xlfn.XLOOKUP(TabTRADERCorrupted[[#This Row],[ClickTick]],[1]!RTData[Ticker_Symbol],[1]!RTData[Currency])</f>
        <v>USD</v>
      </c>
      <c r="W38" s="744">
        <f ca="1">_xlfn.XLOOKUP(TabTRADERCorrupted[[#This Row],[ClickTick]],TabCalc[Ticker],TabCalc[M])</f>
        <v>7.22</v>
      </c>
      <c r="X38" s="1271" t="str">
        <f ca="1">SORTING!B38</f>
        <v>POET</v>
      </c>
      <c r="Y38" s="798">
        <f ca="1">_xlfn.XLOOKUP(TabTRADERCorrupted[[#This Row],[ClickTick]],TabCalc[Ticker],TabCalc[Y])</f>
        <v>6.9333299999999998</v>
      </c>
      <c r="Z38" s="812">
        <f ca="1">_xlfn.XLOOKUP(TabTRADERCorrupted[[#This Row],[ClickTick]],[1]!RTData[Ticker_Symbol],[1]!RTData[YTChange])</f>
        <v>-0.54295781147000666</v>
      </c>
      <c r="AA38" s="827">
        <f ca="1">-_xlfn.XLOOKUP(TabTRADERCorrupted[[#This Row],[ClickTick]]&amp;2,Consolid!B$3:JZ$3,Consolid!B$4:JZ$4)</f>
        <v>5.7007045880842098</v>
      </c>
      <c r="AB38" s="812" cm="1">
        <f t="array" aca="1" ref="AB38" ca="1">_xlfn.XLOOKUP(TabTRADERCorrupted[[#This Row],[ClickTick]],ListTickers,Tab1ChangePercent[Change%19])</f>
        <v>9.7900000000000001E-3</v>
      </c>
      <c r="AC38" s="763">
        <f ca="1">_xlfn.XLOOKUP(TabTRADERCorrupted[[#This Row],[ClickTick]],TabCalc[Ticker],TabCalc[NAfter])</f>
        <v>47500</v>
      </c>
      <c r="AD3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^73/342 K$</v>
      </c>
      <c r="AE38" s="1127"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8" s="1131"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-4.98</v>
      </c>
      <c r="AG38" s="1131"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5572.4737999999998</v>
      </c>
      <c r="AH38" s="1131" t="str" cm="1">
        <f t="array" aca="1" ref="AH38" ca="1">_xlfn.IFS(     TabTRADERCorrupted[[#This Row],[Traps]]=MUp,MIN(TabTRADERCorrupted[[#This Row],[L_Sn]],TabTRADERCorrupted[[#This Row],[N]])*(TabTRADERCorrupted[[#This Row],[M]]-TabTRADERCorrupted[[#This Row],[L_Sp]])*(1-Commission)*TabTRADERCorrupted[[#This Row],[Scale]],                                  TRUE,"M= "&amp;TabTRADERCorrupted[[#This Row],[M]])</f>
        <v>M= 7.22</v>
      </c>
      <c r="AI38" s="1131" t="str" cm="1">
        <f t="array" aca="1" ref="AI38" ca="1">_xlfn.IFS(   TabTRADERCorrupted[[#This Row],[Traps]]=MUp,TEXT(MIN(TabTRADERCorrupted[[#This Row],[L_Sn]],TabTRADERCorrupted[[#This Row],[N]]),"#,#0")&amp;" x "&amp;TEXT(TabTRADERCorrupted[[#This Row],[L_Sp]],"#,#0.#0"),          TRUE,"")</f>
        <v/>
      </c>
      <c r="AJ38" s="1131"/>
      <c r="AK38" s="1131"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31"/>
      <c r="AM38" s="1131"/>
      <c r="AN38" s="1131"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5572.4737999999998</v>
      </c>
      <c r="AO38" s="1140"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0.45011950430818037</v>
      </c>
      <c r="AP38" s="1140"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38" s="820" t="str" cm="1">
        <f t="array" aca="1" ref="AQ38" ca="1">_xlfn.IFS(   TabTRADERCorrupted[[#This Row],[Traps]]=SellMorePercentGain,                     MIN(TabTRADERCorrupted[[#This Row],[L_Sn]],TabTRADERCorrupted[[#This Row],[N]])*(TabTRADERCorrupted[[#This Row],[M]]-TabTRADERCorrupted[[#This Row],[L_Sp]])*(1-Commission)*TabTRADERCorrupted[[#This Row],[Scale]],                    TRUE,"")</f>
        <v/>
      </c>
      <c r="AR38" s="1129">
        <f ca="1">_xlfn.XLOOKUP(TabTRADERCorrupted[[#This Row],[ClickTick]],TabCalc[Ticker],TabCalc[Ann%RevLB])</f>
        <v>5.587690398308446</v>
      </c>
      <c r="AS38" s="1225" t="str">
        <f ca="1">_xlfn.XLOOKUP(TabTRADERCorrupted[[#This Row],[ClickTick]],TabCalc[Ticker],TabCalc[Up20])</f>
        <v>/67/%</v>
      </c>
      <c r="AT38" s="1141"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8" s="820"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40" t="str" cm="1">
        <f t="array" aca="1" ref="AV38" ca="1">_xlfn.IFS(   TabTRADERCorrupted[[#This Row],[Traps]]=MUp,TabTRADERCorrupted[[#This Row],[TakeGain_A]]-Commission,        TabTRADERCorrupted[[#This Row],[Traps]]=MDown,(TabTRADERCorrupted[[#This Row],[A]]-TabTRADERCorrupted[[#This Row],[M]])/TabTRADERCorrupted[[#This Row],[M]]-Commission,                              TRUE,"")</f>
        <v/>
      </c>
      <c r="AW38" s="820"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91162.003458808322</v>
      </c>
      <c r="AX38" s="755"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8" s="731"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8" s="760" t="str"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8" s="757"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-0.21302872741215928</v>
      </c>
      <c r="BB38" s="322">
        <f ca="1">_xlfn.XLOOKUP(TabTRADERCorrupted[[#This Row],[ClickTick]],TabCalc[Ticker],TabCalc[L_Sn])</f>
        <v>2500</v>
      </c>
      <c r="BC38" s="723">
        <f ca="1">_xlfn.XLOOKUP(TabTRADERCorrupted[[#This Row],[ClickTick]],TabCalc[Ticker],TabCalc[L_Sp])</f>
        <v>9.07</v>
      </c>
      <c r="BD38" s="759">
        <f ca="1">-IFERROR((TabTRADERCorrupted[[#This Row],[M]]-TabTRADERCorrupted[[#This Row],[L_Sp]])/TabTRADERCorrupted[[#This Row],[L_Sp]],0)</f>
        <v>0.20396912899669245</v>
      </c>
      <c r="BE38" s="724">
        <f ca="1">TabTRADERCorrupted[[#This Row],[L_Sn]]*(TabTRADERCorrupted[[#This Row],[M]]-TabTRADERCorrupted[[#This Row],[L_Sp]])*(1-Commission)*TabTRADERCorrupted[[#This Row],[Scale]]</f>
        <v>-4612.9750000000004</v>
      </c>
      <c r="BF38" s="687">
        <f ca="1">TabTRADERCorrupted[[#This Row],[L_Sn]]*(TabTRADERCorrupted[[#This Row],[Agiotage]]-TabTRADERCorrupted[[#This Row],[M]])/(TabTRADERCorrupted[[#This Row],[L_Bn]]*TabTRADERCorrupted[[#This Row],[M]])</f>
        <v>-0.86193002064372648</v>
      </c>
      <c r="BG38" s="630">
        <f ca="1">IFERROR((TabTRADERCorrupted[[#This Row],[M]]-TabTRADERCorrupted[[#This Row],[A]])/TabTRADERCorrupted[[#This Row],[A]],0)</f>
        <v>0.26651011088900634</v>
      </c>
      <c r="BH3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47,500 : 71,979$</v>
      </c>
      <c r="BI38" s="679">
        <f ca="1">_xlfn.XLOOKUP(TabTRADERCorrupted[[#This Row],[ClickTick]],TabCalc[[#This Row],[Ticker]],TabCalc[[#This Row],[GL]])*(1-Commission)</f>
        <v>72519.871953654205</v>
      </c>
      <c r="BJ38" s="679"/>
      <c r="BK38" s="664" t="str">
        <f ca="1">TabTRADERCorrupted[[#This Row],[ClickTick]]&amp;": "&amp;_xlfn.XLOOKUP(TabTRADERCorrupted[[#This Row],[ClickTick]],TabCalc[Ticker],TabCalc[Pile?])</f>
        <v xml:space="preserve">POET: </v>
      </c>
      <c r="BL38" s="349" t="s">
        <v>1982</v>
      </c>
      <c r="BM38" s="750" t="str" cm="1">
        <f t="array" aca="1" ref="BM38" ca="1">_xlfn.TEXTJOIN("",,INDEX({"M","A","Y"}, _xlfn.SORTBY({1,2,3}, -CHOOSE({1,2,3}, TabTRADERCorrupted[[#This Row],[M]], TabTRADERCorrupted[[#This Row],[A]], TabTRADERCorrupted[[#This Row],[Agiotage]]))))</f>
        <v>MAY</v>
      </c>
      <c r="BN38" s="896"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38" s="674">
        <f ca="1">TabTRADERCorrupted[[#This Row],[L_Sn]]*TabTRADERCorrupted[[#This Row],[L_Sp]]+TabTRADERCorrupted[[#This Row],[SellMore]]*TabTRADERCorrupted[[#This Row],[M]]</f>
        <v>26285</v>
      </c>
      <c r="BP38" s="674">
        <f ca="1">INDEX(
  INDEX(TabConsolid[], , _xlfn.XMATCH(TabTRADERCorrupted[[#This Row],[ClickTick]]&amp;1, TabConsolid[#Headers])),
  MATCH(
    -TabTRADERCorrupted[[#This Row],[M]],
    INDEX(TabConsolid[], , _xlfn.XMATCH(TabTRADERCorrupted[[#This Row],[ClickTick]]&amp;2, TabConsolid[#Headers])),
    -1
  )
)</f>
        <v>500</v>
      </c>
      <c r="BQ38" s="674"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38" s="1113">
        <f ca="1">TabTRADERCorrupted[[#This Row],[ReBuy]]/(TabTRADERCorrupted[[#This Row],[L_Sn]]+TabTRADERCorrupted[[#This Row],[SellMore]])</f>
        <v>8.7616666666666667</v>
      </c>
      <c r="BS3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-2.6202672627569285E-3</v>
      </c>
      <c r="BT38" s="682">
        <f ca="1">(TabTRADERCorrupted[[#This Row],[M]]-TabTRADERCorrupted[[#This Row],[Agiotage]])/(TabTRADERCorrupted[[#This Row],[M]]-TabTRADERCorrupted[[#This Row],[A]])-1</f>
        <v>3.0960663082635795</v>
      </c>
      <c r="BU38" s="1221">
        <f ca="1">_xlfn.XMATCH(TabTRADERCorrupted[[#This Row],[ClickTick]]&amp;1, TabConsolid[#Headers])</f>
        <v>107</v>
      </c>
      <c r="BV38" t="b">
        <f ca="1">IF(ABS(TabTRADERCorrupted[[#This Row],[L_Bp]])&gt;=TabTRADERCorrupted[[#This Row],[M]],"OK")</f>
        <v>0</v>
      </c>
    </row>
    <row r="39" spans="1:74">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-1,270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-21.5%</v>
      </c>
      <c r="D39" s="683"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402$</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-1,673$</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56.6% = 8,986</v>
      </c>
      <c r="I39" s="224" t="str">
        <f ca="1">IFERROR(TRUNC(TabCalc[[#This Row],[L_S1p]],2)&amp;"x"&amp;TabCalc[[#This Row],[L_S1n]]&amp;"=   "&amp;TEXT(TabCalc[[#This Row],[ReverseB1]],"#,#0"),"")</f>
        <v>1.39x3006=   1,222</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6885.2</v>
      </c>
      <c r="M39" s="321">
        <f ca="1">_xlfn.XLOOKUP(TabTRADERCorrupted[[#This Row],[ClickTick]],TabCalc[Ticker],TabCalc[Agiotage])</f>
        <v>3.28658017905301E-2</v>
      </c>
      <c r="N39" s="322" cm="1">
        <f t="array" aca="1" ref="N39" ca="1">_xlfn.XLOOKUP(TabTRADERCorrupted[[#This Row],[ClickTick]],ListTickers,Tab2RSIConventional[RSIConv20])</f>
        <v>67</v>
      </c>
      <c r="O39" s="698"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6">
        <f ca="1">_xlfn.XLOOKUP(TabTRADERCorrupted[[#This Row],[ClickTick]],TabCalc[Ticker],TabCalc[L_Bp])</f>
        <v>-1.1955</v>
      </c>
      <c r="R39" s="759">
        <f ca="1">(TabTRADERCorrupted[[#This Row],[M]]+TabTRADERCorrupted[[#This Row],[L_Bp]])/ABS(TabTRADERCorrupted[[#This Row],[L_Bp]])</f>
        <v>-0.17724801338352153</v>
      </c>
      <c r="S39" s="678">
        <f ca="1">_xlfn.XLOOKUP(TabTRADERCorrupted[[#This Row],[ClickTick]],TabCalc[Ticker],TabCalc[Rev(MinStock)])*(1-Commission)</f>
        <v>-1266.6979999999999</v>
      </c>
      <c r="T39" s="777">
        <f ca="1">_xlfn.XLOOKUP(TabTRADERCorrupted[[#This Row],[ClickTick]],TabCalc[Ticker],TabCalc[Agiotage])</f>
        <v>3.28658017905301E-2</v>
      </c>
      <c r="U39" s="742"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58/58=&gt;-3.6% / -3.6%</v>
      </c>
      <c r="V39" s="734" t="str">
        <f ca="1">_xlfn.XLOOKUP(TabTRADERCorrupted[[#This Row],[ClickTick]],[1]!RTData[Ticker_Symbol],[1]!RTData[Currency])</f>
        <v>USD</v>
      </c>
      <c r="W39" s="744">
        <f ca="1">_xlfn.XLOOKUP(TabTRADERCorrupted[[#This Row],[ClickTick]],TabCalc[Ticker],TabCalc[M])</f>
        <v>0.98360000000000003</v>
      </c>
      <c r="X39" s="1271" t="str">
        <f ca="1">SORTING!B39</f>
        <v>PW</v>
      </c>
      <c r="Y39" s="798">
        <f ca="1">_xlfn.XLOOKUP(TabTRADERCorrupted[[#This Row],[ClickTick]],TabCalc[Ticker],TabCalc[Y])</f>
        <v>0</v>
      </c>
      <c r="Z39" s="812">
        <f ca="1">_xlfn.XLOOKUP(TabTRADERCorrupted[[#This Row],[ClickTick]],[1]!RTData[Ticker_Symbol],[1]!RTData[YTChange])</f>
        <v>0</v>
      </c>
      <c r="AA39" s="827">
        <f ca="1">-_xlfn.XLOOKUP(TabTRADERCorrupted[[#This Row],[ClickTick]]&amp;2,Consolid!B$3:JZ$3,Consolid!B$4:JZ$4)</f>
        <v>1.069112504052</v>
      </c>
      <c r="AB39" s="812" cm="1">
        <f t="array" aca="1" ref="AB39" ca="1">_xlfn.XLOOKUP(TabTRADERCorrupted[[#This Row],[ClickTick]],ListTickers,Tab1ChangePercent[Change%19])</f>
        <v>-3.5686000000000002E-2</v>
      </c>
      <c r="AC39" s="763">
        <f ca="1">_xlfn.XLOOKUP(TabTRADERCorrupted[[#This Row],[ClickTick]],TabCalc[Ticker],TabCalc[NAfter])</f>
        <v>10000</v>
      </c>
      <c r="AD3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-5/10 K$</v>
      </c>
      <c r="AE39" s="1147"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31"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0.9836, -36.1%</v>
      </c>
      <c r="AG39" s="1131"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31" t="str" cm="1">
        <f t="array" aca="1" ref="AH39" ca="1">_xlfn.IFS(     TabTRADERCorrupted[[#This Row],[Traps]]=MUp,MIN(TabTRADERCorrupted[[#This Row],[L_Sn]],TabTRADERCorrupted[[#This Row],[N]])*(TabTRADERCorrupted[[#This Row],[M]]-TabTRADERCorrupted[[#This Row],[L_Sp]])*(1-Commission)*TabTRADERCorrupted[[#This Row],[Scale]],                                  TRUE,"M= "&amp;TabTRADERCorrupted[[#This Row],[M]])</f>
        <v>M= 0.9836</v>
      </c>
      <c r="AI39" s="1131" t="str" cm="1">
        <f t="array" aca="1" ref="AI39" ca="1">_xlfn.IFS(   TabTRADERCorrupted[[#This Row],[Traps]]=MUp,TEXT(MIN(TabTRADERCorrupted[[#This Row],[L_Sn]],TabTRADERCorrupted[[#This Row],[N]]),"#,#0")&amp;" x "&amp;TEXT(TabTRADERCorrupted[[#This Row],[L_Sp]],"#,#0.#0"),          TRUE,"")</f>
        <v/>
      </c>
      <c r="AJ39" s="1131"/>
      <c r="AK39" s="1131"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1269.3624543599999</v>
      </c>
      <c r="AL39" s="1131"/>
      <c r="AM39" s="1131"/>
      <c r="AN39" s="1131"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9836</v>
      </c>
      <c r="AO39" s="1140"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7.9984570125129467E-2</v>
      </c>
      <c r="AP39" s="1140"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0.21283310288735255</v>
      </c>
      <c r="AQ39" s="820" t="str" cm="1">
        <f t="array" aca="1" ref="AQ39" ca="1">_xlfn.IFS(   TabTRADERCorrupted[[#This Row],[Traps]]=SellMorePercentGain,                     MIN(TabTRADERCorrupted[[#This Row],[L_Sn]],TabTRADERCorrupted[[#This Row],[N]])*(TabTRADERCorrupted[[#This Row],[M]]-TabTRADERCorrupted[[#This Row],[L_Sp]])*(1-Commission)*TabTRADERCorrupted[[#This Row],[Scale]],                    TRUE,"")</f>
        <v/>
      </c>
      <c r="AR39" s="1129">
        <f ca="1">_xlfn.XLOOKUP(TabTRADERCorrupted[[#This Row],[ClickTick]],TabCalc[Ticker],TabCalc[Ann%RevLB])</f>
        <v>-0.19755196538101472</v>
      </c>
      <c r="AS39" s="1225">
        <f ca="1">_xlfn.XLOOKUP(TabTRADERCorrupted[[#This Row],[ClickTick]],TabCalc[Ticker],TabCalc[Up20])</f>
        <v>0</v>
      </c>
      <c r="AT39" s="1141"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0.21543310288735254</v>
      </c>
      <c r="AU39" s="820" cm="1">
        <f t="array" aca="1" ref="AU39" ca="1">_xlfn.IFS(         TabTRADERCorrupted[[#This Row],[Traps]]=MDown,TabTRADERCorrupted[[#This Row],[L_Bn]]*TabTRADERCorrupted[[#This Row],[M]]*(-(TabTRADERCorrupted[[#This Row],[L_Bp]]+TabTRADERCorrupted[[#This Row],[M]])/TabTRADERCorrupted[[#This Row],[M]])*(1-Commission)*TabTRADERCorrupted[[#This Row],[Scale]],                               TRUE,"")</f>
        <v>1269.3624543599999</v>
      </c>
      <c r="AV39" s="1140" cm="1">
        <f t="array" aca="1" ref="AV39" ca="1">_xlfn.IFS(   TabTRADERCorrupted[[#This Row],[Traps]]=MUp,TabTRADERCorrupted[[#This Row],[TakeGain_A]]-Commission,        TabTRADERCorrupted[[#This Row],[Traps]]=MDown,(TabTRADERCorrupted[[#This Row],[A]]-TabTRADERCorrupted[[#This Row],[M]])/TabTRADERCorrupted[[#This Row],[M]]-Commission,                              TRUE,"")</f>
        <v>8.4338292041480217E-2</v>
      </c>
      <c r="AW39" s="820"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852.90171541464747</v>
      </c>
      <c r="AX39" s="755" t="str"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39" s="731"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-0.21</v>
      </c>
      <c r="AZ39" s="760"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-7.9776610242804122E-2</v>
      </c>
      <c r="BA39" s="757"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8.4338292041480217E-2</v>
      </c>
      <c r="BB39" s="322">
        <f ca="1">_xlfn.XLOOKUP(TabTRADERCorrupted[[#This Row],[ClickTick]],TabCalc[Ticker],TabCalc[L_Sn])</f>
        <v>3006</v>
      </c>
      <c r="BC39" s="723">
        <f ca="1">_xlfn.XLOOKUP(TabTRADERCorrupted[[#This Row],[ClickTick]],TabCalc[Ticker],TabCalc[L_Sp])</f>
        <v>1.54</v>
      </c>
      <c r="BD39" s="759">
        <f ca="1">-IFERROR((TabTRADERCorrupted[[#This Row],[M]]-TabTRADERCorrupted[[#This Row],[L_Sp]])/TabTRADERCorrupted[[#This Row],[L_Sp]],0)</f>
        <v>0.36129870129870129</v>
      </c>
      <c r="BE39" s="724">
        <f ca="1">TabTRADERCorrupted[[#This Row],[L_Sn]]*(TabTRADERCorrupted[[#This Row],[M]]-TabTRADERCorrupted[[#This Row],[L_Sp]])*(1-Commission)*TabTRADERCorrupted[[#This Row],[Scale]]</f>
        <v>-1668.1898001599998</v>
      </c>
      <c r="BF39" s="687">
        <f ca="1">TabTRADERCorrupted[[#This Row],[L_Sn]]*(TabTRADERCorrupted[[#This Row],[Agiotage]]-TabTRADERCorrupted[[#This Row],[M]])/(TabTRADERCorrupted[[#This Row],[L_Bn]]*TabTRADERCorrupted[[#This Row],[M]])</f>
        <v>-0.48377591633960221</v>
      </c>
      <c r="BG39" s="630">
        <f ca="1">IFERROR((TabTRADERCorrupted[[#This Row],[M]]-TabTRADERCorrupted[[#This Row],[A]])/TabTRADERCorrupted[[#This Row],[A]],0)</f>
        <v>-7.9984570125129467E-2</v>
      </c>
      <c r="BH3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-853$</v>
      </c>
      <c r="BI39" s="679">
        <f ca="1">_xlfn.XLOOKUP(TabTRADERCorrupted[[#This Row],[ClickTick]],TabCalc[[#This Row],[Ticker]],TabCalc[[#This Row],[GL]])*(1-Commission)</f>
        <v>-4751.5449021599898</v>
      </c>
      <c r="BJ39" s="679"/>
      <c r="BK39" s="664" t="str">
        <f ca="1">TabTRADERCorrupted[[#This Row],[ClickTick]]&amp;": "&amp;_xlfn.XLOOKUP(TabTRADERCorrupted[[#This Row],[ClickTick]],TabCalc[Ticker],TabCalc[Pile?])</f>
        <v xml:space="preserve">PW: </v>
      </c>
      <c r="BL39" s="349" t="s">
        <v>1983</v>
      </c>
      <c r="BM39" s="750" t="str" cm="1">
        <f t="array" aca="1" ref="BM39" ca="1">_xlfn.TEXTJOIN("",,INDEX({"M","A","Y"}, _xlfn.SORTBY({1,2,3}, -CHOOSE({1,2,3}, TabTRADERCorrupted[[#This Row],[M]], TabTRADERCorrupted[[#This Row],[A]], TabTRADERCorrupted[[#This Row],[Agiotage]]))))</f>
        <v>AMY</v>
      </c>
      <c r="BN39" s="896"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0.21543310288735254</v>
      </c>
      <c r="BO39" s="674" t="e">
        <f ca="1">TabTRADERCorrupted[[#This Row],[L_Sn]]*TabTRADERCorrupted[[#This Row],[L_Sp]]+TabTRADERCorrupted[[#This Row],[SellMore]]*TabTRADERCorrupted[[#This Row],[M]]</f>
        <v>#N/A</v>
      </c>
      <c r="BP39" s="674" t="e">
        <f ca="1">INDEX(
  INDEX(TabConsolid[], , _xlfn.XMATCH(TabTRADERCorrupted[[#This Row],[ClickTick]]&amp;1, TabConsolid[#Headers])),
  MATCH(
    -TabTRADERCorrupted[[#This Row],[M]],
    INDEX(TabConsolid[], , _xlfn.XMATCH(TabTRADERCorrupted[[#This Row],[ClickTick]]&amp;2, TabConsolid[#Headers])),
    -1
  )
)</f>
        <v>#N/A</v>
      </c>
      <c r="BQ39" s="674"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988</v>
      </c>
      <c r="BR39" s="1113" t="e">
        <f ca="1">TabTRADERCorrupted[[#This Row],[ReBuy]]/(TabTRADERCorrupted[[#This Row],[L_Sn]]+TabTRADERCorrupted[[#This Row],[SellMore]])</f>
        <v>#N/A</v>
      </c>
      <c r="BS3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-4.1135226154066421E-4</v>
      </c>
      <c r="BT39" s="682">
        <f ca="1">(TabTRADERCorrupted[[#This Row],[M]]-TabTRADERCorrupted[[#This Row],[Agiotage]])/(TabTRADERCorrupted[[#This Row],[M]]-TabTRADERCorrupted[[#This Row],[A]])-1</f>
        <v>-12.118072248607417</v>
      </c>
      <c r="BU39" s="1221">
        <f ca="1">_xlfn.XMATCH(TabTRADERCorrupted[[#This Row],[ClickTick]]&amp;1, TabConsolid[#Headers])</f>
        <v>110</v>
      </c>
      <c r="BV39" t="str">
        <f ca="1">IF(ABS(TabTRADERCorrupted[[#This Row],[L_Bp]])&gt;=TabTRADERCorrupted[[#This Row],[M]],"OK")</f>
        <v>OK</v>
      </c>
    </row>
    <row r="40" spans="1:74">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+13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32.6%</v>
      </c>
      <c r="D40" s="683"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803</v>
      </c>
      <c r="F40" s="224" t="str">
        <f ca="1">TRUNC(TabCalc[[#This Row],[L_B1p]],2)&amp;"x"&amp;TabCalc[[#This Row],[L_B1n]]&amp;"=   "&amp;TEXT(TabCalc[[#This Row],[ReverseS1]],"#,#0")&amp;"$"</f>
        <v>-28.54x2000=   14$</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-3,115$</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14.8% = 803</v>
      </c>
      <c r="I40" s="224" t="str">
        <f ca="1">IFERROR(TRUNC(TabCalc[[#This Row],[L_S1p]],2)&amp;"x"&amp;TabCalc[[#This Row],[L_S1n]]&amp;"=   "&amp;TEXT(TabCalc[[#This Row],[ReverseB1]],"#,#0"),"")</f>
        <v>46.8x499=   2,370</v>
      </c>
      <c r="J40" s="293">
        <f ca="1">_xlfn.XLOOKUP(TabTRADERCorrupted[[#This Row],[ClickTick]],TabCalc[Ticker],ListGravity)</f>
        <v>1.1795481569560049</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0.55221265657287533</v>
      </c>
      <c r="N40" s="322" cm="1">
        <f t="array" aca="1" ref="N40" ca="1">_xlfn.XLOOKUP(TabTRADERCorrupted[[#This Row],[ClickTick]],ListTickers,Tab2RSIConventional[RSIConv20])</f>
        <v>59</v>
      </c>
      <c r="O40" s="698"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6">
        <f ca="1">_xlfn.XLOOKUP(TabTRADERCorrupted[[#This Row],[ClickTick]],TabCalc[Ticker],TabCalc[L_Bp])</f>
        <v>-28.33</v>
      </c>
      <c r="R40" s="759">
        <f ca="1">(TabTRADERCorrupted[[#This Row],[M]]+TabTRADERCorrupted[[#This Row],[L_Bp]])/ABS(TabTRADERCorrupted[[#This Row],[L_Bp]])</f>
        <v>0.48429226967878575</v>
      </c>
      <c r="S40" s="678">
        <f ca="1">_xlfn.XLOOKUP(TabTRADERCorrupted[[#This Row],[ClickTick]],TabCalc[Ticker],TabCalc[Rev(MinStock)])*(1-Commission)</f>
        <v>12.966199999999999</v>
      </c>
      <c r="T40" s="777">
        <f ca="1">_xlfn.XLOOKUP(TabTRADERCorrupted[[#This Row],[ClickTick]],TabCalc[Ticker],TabCalc[Agiotage])</f>
        <v>0.55221265657287533</v>
      </c>
      <c r="U40" s="742"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1/1=&gt;2.0% / 2.0%</v>
      </c>
      <c r="V40" s="734" t="str">
        <f ca="1">_xlfn.XLOOKUP(TabTRADERCorrupted[[#This Row],[ClickTick]],[1]!RTData[Ticker_Symbol],[1]!RTData[Currency])</f>
        <v>USD</v>
      </c>
      <c r="W40" s="744">
        <f ca="1">_xlfn.XLOOKUP(TabTRADERCorrupted[[#This Row],[ClickTick]],TabCalc[Ticker],TabCalc[M])</f>
        <v>42.05</v>
      </c>
      <c r="X40" s="1271" t="str">
        <f ca="1">SORTING!B40</f>
        <v>RIGL</v>
      </c>
      <c r="Y40" s="798">
        <f ca="1">_xlfn.XLOOKUP(TabTRADERCorrupted[[#This Row],[ClickTick]],TabCalc[Ticker],TabCalc[Y])</f>
        <v>49.6</v>
      </c>
      <c r="Z40" s="812">
        <f ca="1">_xlfn.XLOOKUP(TabTRADERCorrupted[[#This Row],[ClickTick]],[1]!RTData[Ticker_Symbol],[1]!RTData[YTChange])</f>
        <v>87.571428571428555</v>
      </c>
      <c r="AA40" s="827">
        <f ca="1">-_xlfn.XLOOKUP(TabTRADERCorrupted[[#This Row],[ClickTick]]&amp;2,Consolid!B$3:JZ$3,Consolid!B$4:JZ$4)</f>
        <v>28.403657999999997</v>
      </c>
      <c r="AB40" s="812" cm="1">
        <f t="array" aca="1" ref="AB40" ca="1">_xlfn.XLOOKUP(TabTRADERCorrupted[[#This Row],[ClickTick]],ListTickers,Tab1ChangePercent[Change%19])</f>
        <v>2.0135999999999998E-2</v>
      </c>
      <c r="AC40" s="763">
        <f ca="1">_xlfn.XLOOKUP(TabTRADERCorrupted[[#This Row],[ClickTick]],TabCalc[Ticker],TabCalc[NAfter])</f>
        <v>1</v>
      </c>
      <c r="AD4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^158/0 K$</v>
      </c>
      <c r="AE40" s="1147"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31"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31"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3106.9010000000017</v>
      </c>
      <c r="AH40" s="1131"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42.05</v>
      </c>
      <c r="AI40" s="1131" t="str" cm="1">
        <f t="array" aca="1" ref="AI40" ca="1">_xlfn.IFS(   TabTRADERCorrupted[[#This Row],[Traps]]=MUp,TEXT(MIN(TabTRADERCorrupted[[#This Row],[L_Sn]],TabTRADERCorrupted[[#This Row],[N]]),"#,#0")&amp;" x "&amp;TEXT(TabTRADERCorrupted[[#This Row],[L_Sp]],"#,#0.#0"),          TRUE,"")</f>
        <v/>
      </c>
      <c r="AJ40" s="1131"/>
      <c r="AK40" s="1131"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31"/>
      <c r="AM40" s="1131"/>
      <c r="AN40" s="1131"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3106.9010000000017</v>
      </c>
      <c r="AO40" s="1140"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0.12903893951946985</v>
      </c>
      <c r="AP40" s="1140"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TabTRADERCorrupted[[#This Row],[Traps]]=SellMorePercentGain,                     MIN(TabTRADERCorrupted[[#This Row],[L_Sn]],TabTRADERCorrupted[[#This Row],[N]])*(TabTRADERCorrupted[[#This Row],[M]]-TabTRADERCorrupted[[#This Row],[L_Sp]])*(1-Commission)*TabTRADERCorrupted[[#This Row],[Scale]],                    TRUE,"")</f>
        <v/>
      </c>
      <c r="AR40" s="1129">
        <f ca="1">_xlfn.XLOOKUP(TabTRADERCorrupted[[#This Row],[ClickTick]],TabCalc[Ticker],TabCalc[Ann%RevLB])</f>
        <v>4.71203289417197</v>
      </c>
      <c r="AS40" s="1129">
        <f ca="1">_xlfn.XLOOKUP(TabTRADERCorrupted[[#This Row],[ClickTick]],TabCalc[Ticker],TabCalc[Up20])</f>
        <v>0</v>
      </c>
      <c r="AT40" s="1141"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20"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40" t="str" cm="1">
        <f t="array" aca="1" ref="AV40" ca="1">_xlfn.IFS(   TabTRADERCorrupted[[#This Row],[Traps]]=MUp,TabTRADERCorrupted[[#This Row],[TakeGain_A]]-Commission,        TabTRADERCorrupted[[#This Row],[Traps]]=MDown,(TabTRADERCorrupted[[#This Row],[A]]-TabTRADERCorrupted[[#This Row],[M]])/TabTRADERCorrupted[[#This Row],[M]]-Commission,                              TRUE,"")</f>
        <v/>
      </c>
      <c r="AW40" s="820"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13.6108615108</v>
      </c>
      <c r="AX40" s="755"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0" s="731"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60"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0.47919396546740567</v>
      </c>
      <c r="BA40" s="757"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-0.3271265636147444</v>
      </c>
      <c r="BB40" s="322">
        <f ca="1">_xlfn.XLOOKUP(TabTRADERCorrupted[[#This Row],[ClickTick]],TabCalc[Ticker],TabCalc[L_Sn])</f>
        <v>500</v>
      </c>
      <c r="BC40" s="723">
        <f ca="1">_xlfn.XLOOKUP(TabTRADERCorrupted[[#This Row],[ClickTick]],TabCalc[Ticker],TabCalc[L_Sp])</f>
        <v>48.28</v>
      </c>
      <c r="BD40" s="759">
        <f ca="1">-IFERROR((TabTRADERCorrupted[[#This Row],[M]]-TabTRADERCorrupted[[#This Row],[L_Sp]])/TabTRADERCorrupted[[#This Row],[L_Sp]],0)</f>
        <v>0.12903893951946985</v>
      </c>
      <c r="BE40" s="724">
        <f ca="1">TabTRADERCorrupted[[#This Row],[L_Sn]]*(TabTRADERCorrupted[[#This Row],[M]]-TabTRADERCorrupted[[#This Row],[L_Sp]])*(1-Commission)*TabTRADERCorrupted[[#This Row],[Scale]]</f>
        <v>-3106.9010000000017</v>
      </c>
      <c r="BF40" s="687">
        <f ca="1">TabTRADERCorrupted[[#This Row],[L_Sn]]*(TabTRADERCorrupted[[#This Row],[Agiotage]]-TabTRADERCorrupted[[#This Row],[M]])/(TabTRADERCorrupted[[#This Row],[L_Bn]]*TabTRADERCorrupted[[#This Row],[M]])</f>
        <v>-0.49343385664003708</v>
      </c>
      <c r="BG40" s="630">
        <f ca="1">IFERROR((TabTRADERCorrupted[[#This Row],[M]]-TabTRADERCorrupted[[#This Row],[A]])/TabTRADERCorrupted[[#This Row],[A]],0)</f>
        <v>0.48044311757309577</v>
      </c>
      <c r="BH4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40" s="679">
        <f ca="1">_xlfn.XLOOKUP(TabTRADERCorrupted[[#This Row],[ClickTick]],TabCalc[[#This Row],[Ticker]],TabCalc[[#This Row],[GL]])*(1-Commission)</f>
        <v>157610.07350959344</v>
      </c>
      <c r="BJ40" s="679"/>
      <c r="BK40" s="664" t="str">
        <f ca="1">TabTRADERCorrupted[[#This Row],[ClickTick]]&amp;": "&amp;_xlfn.XLOOKUP(TabTRADERCorrupted[[#This Row],[ClickTick]],TabCalc[Ticker],TabCalc[Pile?])</f>
        <v xml:space="preserve">RIGL: </v>
      </c>
      <c r="BL40" s="349" t="s">
        <v>1984</v>
      </c>
      <c r="BM40" s="750" t="str" cm="1">
        <f t="array" aca="1" ref="BM40" ca="1">_xlfn.TEXTJOIN("",,INDEX({"M","A","Y"}, _xlfn.SORTBY({1,2,3}, -CHOOSE({1,2,3}, TabTRADERCorrupted[[#This Row],[M]], TabTRADERCorrupted[[#This Row],[A]], TabTRADERCorrupted[[#This Row],[Agiotage]]))))</f>
        <v>MAY</v>
      </c>
      <c r="BN40" s="896"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4">
        <f ca="1">TabTRADERCorrupted[[#This Row],[L_Sn]]*TabTRADERCorrupted[[#This Row],[L_Sp]]+TabTRADERCorrupted[[#This Row],[SellMore]]*TabTRADERCorrupted[[#This Row],[M]]</f>
        <v>24182.05</v>
      </c>
      <c r="BP40" s="674">
        <f ca="1">INDEX(
  INDEX(TabConsolid[], , _xlfn.XMATCH(TabTRADERCorrupted[[#This Row],[ClickTick]]&amp;1, TabConsolid[#Headers])),
  MATCH(
    -TabTRADERCorrupted[[#This Row],[M]],
    INDEX(TabConsolid[], , _xlfn.XMATCH(TabTRADERCorrupted[[#This Row],[ClickTick]]&amp;2, TabConsolid[#Headers])),
    -1
  )
)</f>
        <v>1</v>
      </c>
      <c r="BQ40" s="674"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13">
        <f ca="1">TabTRADERCorrupted[[#This Row],[ReBuy]]/(TabTRADERCorrupted[[#This Row],[L_Sn]]+TabTRADERCorrupted[[#This Row],[SellMore]])</f>
        <v>48.267564870259477</v>
      </c>
      <c r="BS4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-41.580782918113975</v>
      </c>
      <c r="BT40" s="682">
        <f ca="1">(TabTRADERCorrupted[[#This Row],[M]]-TabTRADERCorrupted[[#This Row],[Agiotage]])/(TabTRADERCorrupted[[#This Row],[M]]-TabTRADERCorrupted[[#This Row],[A]])-1</f>
        <v>2.0409458698475471</v>
      </c>
      <c r="BU40" s="1221">
        <f ca="1">_xlfn.XMATCH(TabTRADERCorrupted[[#This Row],[ClickTick]]&amp;1, TabConsolid[#Headers])</f>
        <v>113</v>
      </c>
      <c r="BV40" t="b">
        <f ca="1">IF(ABS(TabTRADERCorrupted[[#This Row],[L_Bp]])&gt;=TabTRADERCorrupted[[#This Row],[M]],"OK")</f>
        <v>0</v>
      </c>
    </row>
    <row r="41" spans="1:74">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+743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34.5%</v>
      </c>
      <c r="D41" s="683"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703$</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31,776$</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-22.9% = 0</v>
      </c>
      <c r="I41" s="224" t="str">
        <f ca="1">IFERROR(TRUNC(TabCalc[[#This Row],[L_S1p]],2)&amp;"x"&amp;TabCalc[[#This Row],[L_S1n]]&amp;"=   "&amp;TEXT(TabCalc[[#This Row],[ReverseB1]],"#,#0"),"")</f>
        <v>32.24x1500=   -16,575</v>
      </c>
      <c r="J41" s="293">
        <f ca="1">_xlfn.XLOOKUP(TabTRADERCorrupted[[#This Row],[ClickTick]],TabCalc[Ticker],ListGravity)</f>
        <v>1.1128775698775699</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3.1362675405888028E-3</v>
      </c>
      <c r="N41" s="322" cm="1">
        <f t="array" aca="1" ref="N41" ca="1">_xlfn.XLOOKUP(TabTRADERCorrupted[[#This Row],[ClickTick]],ListTickers,Tab2RSIConventional[RSIConv20])</f>
        <v>66</v>
      </c>
      <c r="O41" s="698" t="str">
        <f ca="1">TEXT(_xlfn.XLOOKUP(TabTRADERCorrupted[[#This Row],[ClickTick]],TabCalc[Ticker],TabCalc[Nbegin]),"#,#0")&amp;": "&amp;_xlfn.XLOOKUP(TabTRADERCorrupted[[#This Row],[ClickTick]],TabCalc[Ticker],TabCalc[Pile?])</f>
        <v>30,000: Pile</v>
      </c>
      <c r="P41" s="851">
        <f ca="1">_xlfn.XLOOKUP(TabTRADERCorrupted[[#This Row],[ClickTick]],TabCalc[Ticker],TabCalc[L_Bn])</f>
        <v>4000</v>
      </c>
      <c r="Q41" s="723">
        <f ca="1">_xlfn.XLOOKUP(TabTRADERCorrupted[[#This Row],[ClickTick]],TabCalc[Ticker],TabCalc[L_Bp])</f>
        <v>-28.37</v>
      </c>
      <c r="R41" s="759">
        <f ca="1">(TabTRADERCorrupted[[#This Row],[M]]+TabTRADERCorrupted[[#This Row],[L_Bp]])/ABS(TabTRADERCorrupted[[#This Row],[L_Bp]])</f>
        <v>0.52590764892492059</v>
      </c>
      <c r="S41" s="678">
        <f ca="1">_xlfn.XLOOKUP(TabTRADERCorrupted[[#This Row],[ClickTick]],TabCalc[Ticker],TabCalc[Rev(MinStock)])*(1-Commission)</f>
        <v>741.06819999999993</v>
      </c>
      <c r="T41" s="777">
        <f ca="1">_xlfn.XLOOKUP(TabTRADERCorrupted[[#This Row],[ClickTick]],TabCalc[Ticker],TabCalc[Agiotage])</f>
        <v>3.1362675405888028E-3</v>
      </c>
      <c r="U41" s="742"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-5/-5=&gt;-0.5% / -0.5%</v>
      </c>
      <c r="V41" s="734" t="str">
        <f ca="1">_xlfn.XLOOKUP(TabTRADERCorrupted[[#This Row],[ClickTick]],[1]!RTData[Ticker_Symbol],[1]!RTData[Currency])</f>
        <v>EUR</v>
      </c>
      <c r="W41" s="744">
        <f ca="1">_xlfn.XLOOKUP(TabTRADERCorrupted[[#This Row],[ClickTick]],TabCalc[Ticker],TabCalc[M])</f>
        <v>43.29</v>
      </c>
      <c r="X41" s="1271" t="str">
        <f ca="1">SORTING!B41</f>
        <v>RWE</v>
      </c>
      <c r="Y41" s="798">
        <f ca="1">_xlfn.XLOOKUP(TabTRADERCorrupted[[#This Row],[ClickTick]],TabCalc[Ticker],TabCalc[Y])</f>
        <v>48.176470000000002</v>
      </c>
      <c r="Z41" s="812">
        <f ca="1">_xlfn.XLOOKUP(TabTRADERCorrupted[[#This Row],[ClickTick]],[1]!RTData[Ticker_Symbol],[1]!RTData[YTChange])</f>
        <v>0.4278740367516301</v>
      </c>
      <c r="AA41" s="827">
        <f ca="1">-_xlfn.XLOOKUP(TabTRADERCorrupted[[#This Row],[ClickTick]]&amp;2,Consolid!B$3:JZ$3,Consolid!B$4:JZ$4)</f>
        <v>28.443761999999996</v>
      </c>
      <c r="AB41" s="812" cm="1">
        <f t="array" aca="1" ref="AB41" ca="1">_xlfn.XLOOKUP(TabTRADERCorrupted[[#This Row],[ClickTick]],ListTickers,Tab1ChangePercent[Change%19])</f>
        <v>-4.5989999999999998E-3</v>
      </c>
      <c r="AC41" s="763">
        <f ca="1">_xlfn.XLOOKUP(TabTRADERCorrupted[[#This Row],[ClickTick]],TabCalc[Ticker],TabCalc[NAfter])</f>
        <v>50</v>
      </c>
      <c r="AD4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^36/2 K$</v>
      </c>
      <c r="AE41" s="1127"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31"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43.29, 29.8%</v>
      </c>
      <c r="AG41" s="1131"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31" cm="1">
        <f t="array" aca="1" ref="AH41" ca="1">_xlfn.IFS(     TabTRADERCorrupted[[#This Row],[Traps]]=MUp,MIN(TabTRADERCorrupted[[#This Row],[L_Sn]],TabTRADERCorrupted[[#This Row],[N]])*(TabTRADERCorrupted[[#This Row],[M]]-TabTRADERCorrupted[[#This Row],[L_Sp]])*(1-Commission)*TabTRADERCorrupted[[#This Row],[Scale]],                                  TRUE,"M= "&amp;TabTRADERCorrupted[[#This Row],[M]])</f>
        <v>495.20909999999998</v>
      </c>
      <c r="AI41" s="1131" t="str" cm="1">
        <f t="array" aca="1" ref="AI41" ca="1">_xlfn.IFS(   TabTRADERCorrupted[[#This Row],[Traps]]=MUp,TEXT(MIN(TabTRADERCorrupted[[#This Row],[L_Sn]],TabTRADERCorrupted[[#This Row],[N]]),"#,#0")&amp;" x "&amp;TEXT(TabTRADERCorrupted[[#This Row],[L_Sp]],"#,#0.#0"),          TRUE,"")</f>
        <v>50 x 33.36</v>
      </c>
      <c r="AJ41" s="1131"/>
      <c r="AK41" s="1131"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495.20909999999998</v>
      </c>
      <c r="AL41" s="1131"/>
      <c r="AM41" s="1131"/>
      <c r="AN41" s="1131"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740.38188906000016</v>
      </c>
      <c r="AO41" s="1140"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0.5219505774236195</v>
      </c>
      <c r="AP41" s="1140"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0.2267832293832294</v>
      </c>
      <c r="AQ41" s="820" cm="1">
        <f t="array" aca="1" ref="AQ41" ca="1">_xlfn.IFS(   TabTRADERCorrupted[[#This Row],[Traps]]=SellMorePercentGain,                     MIN(TabTRADERCorrupted[[#This Row],[L_Sn]],TabTRADERCorrupted[[#This Row],[N]])*(TabTRADERCorrupted[[#This Row],[M]]-TabTRADERCorrupted[[#This Row],[L_Sp]])*(1-Commission)*TabTRADERCorrupted[[#This Row],[Scale]],                    TRUE,"")</f>
        <v>495.20909999999998</v>
      </c>
      <c r="AR41" s="1146">
        <f ca="1">_xlfn.XLOOKUP(TabTRADERCorrupted[[#This Row],[ClickTick]],TabCalc[Ticker],TabCalc[Ann%RevLB])</f>
        <v>0.63746381687869158</v>
      </c>
      <c r="AS41" s="1224">
        <f ca="1">_xlfn.XLOOKUP(TabTRADERCorrupted[[#This Row],[ClickTick]],TabCalc[Ticker],TabCalc[Up20])</f>
        <v>0</v>
      </c>
      <c r="AT41" s="1141"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20"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40" cm="1">
        <f t="array" aca="1" ref="AV41" ca="1">_xlfn.IFS(   TabTRADERCorrupted[[#This Row],[Traps]]=MUp,TabTRADERCorrupted[[#This Row],[TakeGain_A]]-Commission,        TabTRADERCorrupted[[#This Row],[Traps]]=MDown,(TabTRADERCorrupted[[#This Row],[A]]-TabTRADERCorrupted[[#This Row],[M]])/TabTRADERCorrupted[[#This Row],[M]]-Commission,                              TRUE,"")</f>
        <v>0.51935057742361945</v>
      </c>
      <c r="AW41" s="820"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1126.8246435688575</v>
      </c>
      <c r="AX41" s="755"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41" s="731"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50x14.84</v>
      </c>
      <c r="AZ41" s="760"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0.52059350592231801</v>
      </c>
      <c r="BA41" s="757"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-0.34554844074844082</v>
      </c>
      <c r="BB41" s="322">
        <f ca="1">_xlfn.XLOOKUP(TabTRADERCorrupted[[#This Row],[ClickTick]],TabCalc[Ticker],TabCalc[L_Sn])</f>
        <v>3200</v>
      </c>
      <c r="BC41" s="723">
        <f ca="1">_xlfn.XLOOKUP(TabTRADERCorrupted[[#This Row],[ClickTick]],TabCalc[Ticker],TabCalc[L_Sp])</f>
        <v>33.36</v>
      </c>
      <c r="BD41" s="759">
        <f ca="1">-IFERROR((TabTRADERCorrupted[[#This Row],[M]]-TabTRADERCorrupted[[#This Row],[L_Sp]])/TabTRADERCorrupted[[#This Row],[L_Sp]],0)</f>
        <v>-0.2976618705035971</v>
      </c>
      <c r="BE41" s="724">
        <f ca="1">TabTRADERCorrupted[[#This Row],[L_Sn]]*(TabTRADERCorrupted[[#This Row],[M]]-TabTRADERCorrupted[[#This Row],[L_Sp]])*(1-Commission)*TabTRADERCorrupted[[#This Row],[Scale]]</f>
        <v>31693.382399999999</v>
      </c>
      <c r="BF41" s="687">
        <f ca="1">TabTRADERCorrupted[[#This Row],[L_Sn]]*(TabTRADERCorrupted[[#This Row],[Agiotage]]-TabTRADERCorrupted[[#This Row],[M]])/(TabTRADERCorrupted[[#This Row],[L_Bn]]*TabTRADERCorrupted[[#This Row],[M]])</f>
        <v>-0.79994204171789152</v>
      </c>
      <c r="BG41" s="630">
        <f ca="1">IFERROR((TabTRADERCorrupted[[#This Row],[M]]-TabTRADERCorrupted[[#This Row],[A]])/TabTRADERCorrupted[[#This Row],[A]],0)</f>
        <v>0.5219505774236195</v>
      </c>
      <c r="BH4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 : 740$</v>
      </c>
      <c r="BI41" s="679">
        <f ca="1">_xlfn.XLOOKUP(TabTRADERCorrupted[[#This Row],[ClickTick]],TabCalc[[#This Row],[Ticker]],TabCalc[[#This Row],[GL]])*(1-Commission)</f>
        <v>36280.567190630565</v>
      </c>
      <c r="BJ41" s="679"/>
      <c r="BK41" s="664" t="str">
        <f ca="1">TabTRADERCorrupted[[#This Row],[ClickTick]]&amp;": "&amp;_xlfn.XLOOKUP(TabTRADERCorrupted[[#This Row],[ClickTick]],TabCalc[Ticker],TabCalc[Pile?])</f>
        <v>RWE: Pile</v>
      </c>
      <c r="BL41" s="349" t="s">
        <v>1985</v>
      </c>
      <c r="BM41" s="750" t="str" cm="1">
        <f t="array" aca="1" ref="BM41" ca="1">_xlfn.TEXTJOIN("",,INDEX({"M","A","Y"}, _xlfn.SORTBY({1,2,3}, -CHOOSE({1,2,3}, TabTRADERCorrupted[[#This Row],[M]], TabTRADERCorrupted[[#This Row],[A]], TabTRADERCorrupted[[#This Row],[Agiotage]]))))</f>
        <v>MAY</v>
      </c>
      <c r="BN41" s="896"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0.22938322938322939</v>
      </c>
      <c r="BO41" s="674">
        <f ca="1">TabTRADERCorrupted[[#This Row],[L_Sn]]*TabTRADERCorrupted[[#This Row],[L_Sp]]+TabTRADERCorrupted[[#This Row],[SellMore]]*TabTRADERCorrupted[[#This Row],[M]]</f>
        <v>108916.5</v>
      </c>
      <c r="BP41" s="674">
        <f ca="1">INDEX(
  INDEX(TabConsolid[], , _xlfn.XMATCH(TabTRADERCorrupted[[#This Row],[ClickTick]]&amp;1, TabConsolid[#Headers])),
  MATCH(
    -TabTRADERCorrupted[[#This Row],[M]],
    INDEX(TabConsolid[], , _xlfn.XMATCH(TabTRADERCorrupted[[#This Row],[ClickTick]]&amp;2, TabConsolid[#Headers])),
    -1
  )
)</f>
        <v>50</v>
      </c>
      <c r="BQ41" s="674"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13">
        <f ca="1">TabTRADERCorrupted[[#This Row],[ReBuy]]/(TabTRADERCorrupted[[#This Row],[L_Sn]]+TabTRADERCorrupted[[#This Row],[SellMore]])</f>
        <v>33.51276923076923</v>
      </c>
      <c r="BS4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-0.87926441956558177</v>
      </c>
      <c r="BT41" s="682">
        <f ca="1">(TabTRADERCorrupted[[#This Row],[M]]-TabTRADERCorrupted[[#This Row],[Agiotage]])/(TabTRADERCorrupted[[#This Row],[M]]-TabTRADERCorrupted[[#This Row],[A]])-1</f>
        <v>1.915678957353331</v>
      </c>
      <c r="BU41" s="1221">
        <f ca="1">_xlfn.XMATCH(TabTRADERCorrupted[[#This Row],[ClickTick]]&amp;1, TabConsolid[#Headers])</f>
        <v>116</v>
      </c>
      <c r="BV41" t="b">
        <f ca="1">IF(ABS(TabTRADERCorrupted[[#This Row],[L_Bp]])&gt;=TabTRADERCorrupted[[#This Row],[M]],"OK")</f>
        <v>0</v>
      </c>
    </row>
    <row r="42" spans="1:74">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-11,494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-11.0%</v>
      </c>
      <c r="D42" s="683"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-18,250$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-5,700$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13.6% = 175</v>
      </c>
      <c r="I42" s="224" t="str">
        <f ca="1">IFERROR(TRUNC(TabCalc[[#This Row],[L_S1p]],2)&amp;"x"&amp;TabCalc[[#This Row],[L_S1n]]&amp;"=   "&amp;TEXT(TabCalc[[#This Row],[ReverseB1]],"#,#0"),"")</f>
        <v>265.05x500=   27,875</v>
      </c>
      <c r="J42" s="293">
        <f ca="1">_xlfn.XLOOKUP(TabTRADERCorrupted[[#This Row],[ClickTick]],TabCalc[Ticker],ListGravity)</f>
        <v>1.370043000477783</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481390</v>
      </c>
      <c r="M42" s="321">
        <f ca="1">_xlfn.XLOOKUP(TabTRADERCorrupted[[#This Row],[ClickTick]],TabCalc[Ticker],TabCalc[Agiotage])</f>
        <v>1.6723113482056255</v>
      </c>
      <c r="N42" s="322" cm="1">
        <f t="array" aca="1" ref="N42" ca="1">_xlfn.XLOOKUP(TabTRADERCorrupted[[#This Row],[ClickTick]],ListTickers,Tab2RSIConventional[RSIConv20])</f>
        <v>63</v>
      </c>
      <c r="O42" s="698"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3">
        <f ca="1">_xlfn.XLOOKUP(TabTRADERCorrupted[[#This Row],[ClickTick]],TabCalc[Ticker],TabCalc[L_Bp])</f>
        <v>-232.35</v>
      </c>
      <c r="R42" s="759">
        <f ca="1">(TabTRADERCorrupted[[#This Row],[M]]+TabTRADERCorrupted[[#This Row],[L_Bp]])/ABS(TabTRADERCorrupted[[#This Row],[L_Bp]])</f>
        <v>-9.9203787389713721E-2</v>
      </c>
      <c r="S42" s="678">
        <f ca="1">_xlfn.XLOOKUP(TabTRADERCorrupted[[#This Row],[ClickTick]],TabCalc[Ticker],TabCalc[Rev(MinStock)])*(1-Commission)</f>
        <v>-11464.115599999999</v>
      </c>
      <c r="T42" s="777">
        <f ca="1">_xlfn.XLOOKUP(TabTRADERCorrupted[[#This Row],[ClickTick]],TabCalc[Ticker],TabCalc[Agiotage])</f>
        <v>1.6723113482056255</v>
      </c>
      <c r="U42" s="742"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20,140/20,140=&gt;-0.8% / -0.8%</v>
      </c>
      <c r="V42" s="734" t="str">
        <f ca="1">_xlfn.XLOOKUP(TabTRADERCorrupted[[#This Row],[ClickTick]],[1]!RTData[Ticker_Symbol],[1]!RTData[Currency])</f>
        <v>EUR</v>
      </c>
      <c r="W42" s="744">
        <f ca="1">_xlfn.XLOOKUP(TabTRADERCorrupted[[#This Row],[ClickTick]],TabCalc[Ticker],TabCalc[M])</f>
        <v>209.3</v>
      </c>
      <c r="X42" s="1271" t="str">
        <f ca="1">SORTING!B42</f>
        <v>SAP</v>
      </c>
      <c r="Y42" s="798">
        <f ca="1">_xlfn.XLOOKUP(TabTRADERCorrupted[[#This Row],[ClickTick]],TabCalc[Ticker],TabCalc[Y])</f>
        <v>286.75</v>
      </c>
      <c r="Z42" s="812">
        <f ca="1">_xlfn.XLOOKUP(TabTRADERCorrupted[[#This Row],[ClickTick]],[1]!RTData[Ticker_Symbol],[1]!RTData[YTChange])</f>
        <v>-1.1206896551724138E-2</v>
      </c>
      <c r="AA42" s="827">
        <f ca="1">-_xlfn.XLOOKUP(TabTRADERCorrupted[[#This Row],[ClickTick]]&amp;2,Consolid!B$3:JZ$3,Consolid!B$4:JZ$4)</f>
        <v>241.15839899210522</v>
      </c>
      <c r="AB42" s="812" cm="1">
        <f t="array" aca="1" ref="AB42" ca="1">_xlfn.XLOOKUP(TabTRADERCorrupted[[#This Row],[ClickTick]],ListTickers,Tab1ChangePercent[Change%19])</f>
        <v>-7.8220000000000008E-3</v>
      </c>
      <c r="AC42" s="763">
        <f ca="1">_xlfn.XLOOKUP(TabTRADERCorrupted[[#This Row],[ClickTick]],TabCalc[Ticker],TabCalc[NAfter])</f>
        <v>3800</v>
      </c>
      <c r="AD4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-39/793 K$</v>
      </c>
      <c r="AE42" s="1147"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31"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31"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5685.1799999999994</v>
      </c>
      <c r="AH42" s="1131"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209.3</v>
      </c>
      <c r="AI42" s="1131" t="str" cm="1">
        <f t="array" aca="1" ref="AI42" ca="1">_xlfn.IFS(   TabTRADERCorrupted[[#This Row],[Traps]]=MUp,TEXT(MIN(TabTRADERCorrupted[[#This Row],[L_Sn]],TabTRADERCorrupted[[#This Row],[N]]),"#,#0")&amp;" x "&amp;TEXT(TabTRADERCorrupted[[#This Row],[L_Sp]],"#,#0.#0"),          TRUE,"")</f>
        <v/>
      </c>
      <c r="AJ42" s="1131"/>
      <c r="AK42" s="1131"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31"/>
      <c r="AM42" s="1131"/>
      <c r="AN42" s="1131"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5685.1799999999994</v>
      </c>
      <c r="AO42" s="1140"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0.11984861227922623</v>
      </c>
      <c r="AP42" s="1140"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TabTRADERCorrupted[[#This Row],[Traps]]=SellMorePercentGain,                     MIN(TabTRADERCorrupted[[#This Row],[L_Sn]],TabTRADERCorrupted[[#This Row],[N]])*(TabTRADERCorrupted[[#This Row],[M]]-TabTRADERCorrupted[[#This Row],[L_Sp]])*(1-Commission)*TabTRADERCorrupted[[#This Row],[Scale]],                    TRUE,"")</f>
        <v/>
      </c>
      <c r="AR42" s="1146">
        <f ca="1">_xlfn.XLOOKUP(TabTRADERCorrupted[[#This Row],[ClickTick]],TabCalc[Ticker],TabCalc[Ann%RevLB])</f>
        <v>-0.51019090657567057</v>
      </c>
      <c r="AS42" s="1224">
        <f ca="1">_xlfn.XLOOKUP(TabTRADERCorrupted[[#This Row],[ClickTick]],TabCalc[Ticker],TabCalc[Up20])</f>
        <v>0</v>
      </c>
      <c r="AT42" s="1141"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20"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40" t="str" cm="1">
        <f t="array" aca="1" ref="AV42" ca="1">_xlfn.IFS(   TabTRADERCorrupted[[#This Row],[Traps]]=MUp,TabTRADERCorrupted[[#This Row],[TakeGain_A]]-Commission,        TabTRADERCorrupted[[#This Row],[Traps]]=MDown,(TabTRADERCorrupted[[#This Row],[A]]-TabTRADERCorrupted[[#This Row],[M]])/TabTRADERCorrupted[[#This Row],[M]]-Commission,                              TRUE,"")</f>
        <v/>
      </c>
      <c r="AW42" s="755"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-120747.15518795779</v>
      </c>
      <c r="AX42" s="755"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42" s="731"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60"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-0.13176222469351345</v>
      </c>
      <c r="BA42" s="757"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0.14961404200719164</v>
      </c>
      <c r="BB42" s="322">
        <f ca="1">_xlfn.XLOOKUP(TabTRADERCorrupted[[#This Row],[ClickTick]],TabCalc[Ticker],TabCalc[L_Sn])</f>
        <v>200</v>
      </c>
      <c r="BC42" s="723">
        <f ca="1">_xlfn.XLOOKUP(TabTRADERCorrupted[[#This Row],[ClickTick]],TabCalc[Ticker],TabCalc[L_Sp])</f>
        <v>237.8</v>
      </c>
      <c r="BD42" s="759">
        <f ca="1">-IFERROR((TabTRADERCorrupted[[#This Row],[M]]-TabTRADERCorrupted[[#This Row],[L_Sp]])/TabTRADERCorrupted[[#This Row],[L_Sp]],0)</f>
        <v>0.11984861227922623</v>
      </c>
      <c r="BE42" s="724">
        <f ca="1">TabTRADERCorrupted[[#This Row],[L_Sn]]*(TabTRADERCorrupted[[#This Row],[M]]-TabTRADERCorrupted[[#This Row],[L_Sp]])*(1-Commission)*TabTRADERCorrupted[[#This Row],[Scale]]</f>
        <v>-5685.1799999999994</v>
      </c>
      <c r="BF42" s="687">
        <f ca="1">TabTRADERCorrupted[[#This Row],[L_Sn]]*(TabTRADERCorrupted[[#This Row],[Agiotage]]-TabTRADERCorrupted[[#This Row],[M]])/(TabTRADERCorrupted[[#This Row],[L_Bn]]*TabTRADERCorrupted[[#This Row],[M]])</f>
        <v>-0.39680399169000358</v>
      </c>
      <c r="BG42" s="630">
        <f ca="1">IFERROR((TabTRADERCorrupted[[#This Row],[M]]-TabTRADERCorrupted[[#This Row],[A]])/TabTRADERCorrupted[[#This Row],[A]],0)</f>
        <v>-0.13210569951224529</v>
      </c>
      <c r="BH4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-120,747$</v>
      </c>
      <c r="BI42" s="679">
        <f ca="1">_xlfn.XLOOKUP(TabTRADERCorrupted[[#This Row],[ClickTick]],TabCalc[[#This Row],[Ticker]],TabCalc[[#This Row],[GL]])*(1-Commission)</f>
        <v>-39287.082690216877</v>
      </c>
      <c r="BJ42" s="679"/>
      <c r="BK42" s="664" t="str">
        <f ca="1">TabTRADERCorrupted[[#This Row],[ClickTick]]&amp;": "&amp;_xlfn.XLOOKUP(TabTRADERCorrupted[[#This Row],[ClickTick]],TabCalc[Ticker],TabCalc[Pile?])</f>
        <v>SAP: Pile</v>
      </c>
      <c r="BL42" s="349" t="s">
        <v>1986</v>
      </c>
      <c r="BM42" s="750" t="str" cm="1">
        <f t="array" aca="1" ref="BM42" ca="1">_xlfn.TEXTJOIN("",,INDEX({"M","A","Y"}, _xlfn.SORTBY({1,2,3}, -CHOOSE({1,2,3}, TabTRADERCorrupted[[#This Row],[M]], TabTRADERCorrupted[[#This Row],[A]], TabTRADERCorrupted[[#This Row],[Agiotage]]))))</f>
        <v>AMY</v>
      </c>
      <c r="BN42" s="896"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4" t="e">
        <f ca="1">TabTRADERCorrupted[[#This Row],[L_Sn]]*TabTRADERCorrupted[[#This Row],[L_Sp]]+TabTRADERCorrupted[[#This Row],[SellMore]]*TabTRADERCorrupted[[#This Row],[M]]</f>
        <v>#N/A</v>
      </c>
      <c r="BP42" s="674" t="e">
        <f ca="1">INDEX(
  INDEX(TabConsolid[], , _xlfn.XMATCH(TabTRADERCorrupted[[#This Row],[ClickTick]]&amp;1, TabConsolid[#Headers])),
  MATCH(
    -TabTRADERCorrupted[[#This Row],[M]],
    INDEX(TabConsolid[], , _xlfn.XMATCH(TabTRADERCorrupted[[#This Row],[ClickTick]]&amp;2, TabConsolid[#Headers])),
    -1
  )
)</f>
        <v>#N/A</v>
      </c>
      <c r="BQ42" s="674"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13" t="e">
        <f ca="1">TabTRADERCorrupted[[#This Row],[ReBuy]]/(TabTRADERCorrupted[[#This Row],[L_Sn]]+TabTRADERCorrupted[[#This Row],[SellMore]])</f>
        <v>#N/A</v>
      </c>
      <c r="BS4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-1.0927773086936547</v>
      </c>
      <c r="BT42" s="682">
        <f ca="1">(TabTRADERCorrupted[[#This Row],[M]]-TabTRADERCorrupted[[#This Row],[Agiotage]])/(TabTRADERCorrupted[[#This Row],[M]]-TabTRADERCorrupted[[#This Row],[A]])-1</f>
        <v>-7.5172041037983846</v>
      </c>
      <c r="BU42" s="1221">
        <f ca="1">_xlfn.XMATCH(TabTRADERCorrupted[[#This Row],[ClickTick]]&amp;1, TabConsolid[#Headers])</f>
        <v>119</v>
      </c>
      <c r="BV42" t="str">
        <f ca="1">IF(ABS(TabTRADERCorrupted[[#This Row],[L_Bp]])&gt;=TabTRADERCorrupted[[#This Row],[M]],"OK")</f>
        <v>OK</v>
      </c>
    </row>
    <row r="43" spans="1:74">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-762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-1.9%</v>
      </c>
      <c r="D43" s="683"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-1,620$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-1,030$</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10.9% = 3,067</v>
      </c>
      <c r="I43" s="224" t="str">
        <f ca="1">IFERROR(TRUNC(TabCalc[[#This Row],[L_S1p]],2)&amp;"x"&amp;TabCalc[[#This Row],[L_S1n]]&amp;"=   "&amp;TEXT(TabCalc[[#This Row],[ReverseB1]],"#,#0"),"")</f>
        <v>21.02x1000=   6,111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186375</v>
      </c>
      <c r="M43" s="321">
        <f ca="1">_xlfn.XLOOKUP(TabTRADERCorrupted[[#This Row],[ClickTick]],TabCalc[Ticker],TabCalc[Agiotage])</f>
        <v>0.10011308046387697</v>
      </c>
      <c r="N43" s="322" cm="1">
        <f t="array" aca="1" ref="N43" ca="1">_xlfn.XLOOKUP(TabTRADERCorrupted[[#This Row],[ClickTick]],ListTickers,Tab2RSIConventional[RSIConv20])</f>
        <v>80</v>
      </c>
      <c r="O43" s="698"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6">
        <f ca="1">_xlfn.XLOOKUP(TabTRADERCorrupted[[#This Row],[ClickTick]],TabCalc[Ticker],TabCalc[L_Bp])</f>
        <v>-15.2</v>
      </c>
      <c r="R43" s="759">
        <f ca="1">(TabTRADERCorrupted[[#This Row],[M]]+TabTRADERCorrupted[[#This Row],[L_Bp]])/ABS(TabTRADERCorrupted[[#This Row],[L_Bp]])</f>
        <v>-1.9078947368420997E-2</v>
      </c>
      <c r="S43" s="678">
        <f ca="1">_xlfn.XLOOKUP(TabTRADERCorrupted[[#This Row],[ClickTick]],TabCalc[Ticker],TabCalc[Rev(MinStock)])*(1-Commission)</f>
        <v>-760.01879999999994</v>
      </c>
      <c r="T43" s="777">
        <f ca="1">_xlfn.XLOOKUP(TabTRADERCorrupted[[#This Row],[ClickTick]],TabCalc[Ticker],TabCalc[Agiotage])</f>
        <v>0.10011308046387697</v>
      </c>
      <c r="U43" s="742"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12,750/12,750=&gt;-3.6% / -3.6%</v>
      </c>
      <c r="V43" s="734" t="str">
        <f ca="1">_xlfn.XLOOKUP(TabTRADERCorrupted[[#This Row],[ClickTick]],[1]!RTData[Ticker_Symbol],[1]!RTData[Currency])</f>
        <v>USD</v>
      </c>
      <c r="W43" s="744">
        <f ca="1">_xlfn.XLOOKUP(TabTRADERCorrupted[[#This Row],[ClickTick]],TabCalc[Ticker],TabCalc[M])</f>
        <v>14.91</v>
      </c>
      <c r="X43" s="1271" t="str">
        <f ca="1">SORTING!B43</f>
        <v>SHECY</v>
      </c>
      <c r="Y43" s="798">
        <f ca="1">_xlfn.XLOOKUP(TabTRADERCorrupted[[#This Row],[ClickTick]],TabCalc[Ticker],TabCalc[Y])</f>
        <v>0</v>
      </c>
      <c r="Z43" s="812">
        <f ca="1">_xlfn.XLOOKUP(TabTRADERCorrupted[[#This Row],[ClickTick]],[1]!RTData[Ticker_Symbol],[1]!RTData[YTChange])</f>
        <v>0</v>
      </c>
      <c r="AA43" s="827">
        <f ca="1">-_xlfn.XLOOKUP(TabTRADERCorrupted[[#This Row],[ClickTick]]&amp;2,Consolid!B$3:JZ$3,Consolid!B$4:JZ$4)</f>
        <v>16.858653229440002</v>
      </c>
      <c r="AB43" s="812" cm="1">
        <f t="array" aca="1" ref="AB43" ca="1">_xlfn.XLOOKUP(TabTRADERCorrupted[[#This Row],[ClickTick]],ListTickers,Tab1ChangePercent[Change%19])</f>
        <v>-3.5575999999999997E-2</v>
      </c>
      <c r="AC43" s="763">
        <f ca="1">_xlfn.XLOOKUP(TabTRADERCorrupted[[#This Row],[ClickTick]],TabCalc[Ticker],TabCalc[NAfter])</f>
        <v>25000</v>
      </c>
      <c r="AD4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^64/372 K$</v>
      </c>
      <c r="AE43" s="1147"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3" s="1131"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14.91, -09.9%</v>
      </c>
      <c r="AG43" s="1131" t="str"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2,632 x -15.20</v>
      </c>
      <c r="AH43" s="1131"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14.91</v>
      </c>
      <c r="AI43" s="1131" t="str" cm="1">
        <f t="array" aca="1" ref="AI43" ca="1">_xlfn.IFS(   TabTRADERCorrupted[[#This Row],[Traps]]=MUp,TEXT(MIN(TabTRADERCorrupted[[#This Row],[L_Sn]],TabTRADERCorrupted[[#This Row],[N]]),"#,#0")&amp;" x "&amp;TEXT(TabTRADERCorrupted[[#This Row],[L_Sp]],"#,#0.#0"),          TRUE,"")</f>
        <v/>
      </c>
      <c r="AJ43" s="1131"/>
      <c r="AK43" s="1131"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761.29547199999763</v>
      </c>
      <c r="AL43" s="1131"/>
      <c r="AM43" s="1131"/>
      <c r="AN43" s="1131"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372750</v>
      </c>
      <c r="AO43" s="1140"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0.11558771646344199</v>
      </c>
      <c r="AP43" s="1140"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1.6850033534540516E-2</v>
      </c>
      <c r="AQ43" s="820" t="str" cm="1">
        <f t="array" aca="1" ref="AQ43" ca="1">_xlfn.IFS(   TabTRADERCorrupted[[#This Row],[Traps]]=SellMorePercentGain,                     MIN(TabTRADERCorrupted[[#This Row],[L_Sn]],TabTRADERCorrupted[[#This Row],[N]])*(TabTRADERCorrupted[[#This Row],[M]]-TabTRADERCorrupted[[#This Row],[L_Sp]])*(1-Commission)*TabTRADERCorrupted[[#This Row],[Scale]],                    TRUE,"")</f>
        <v/>
      </c>
      <c r="AR43" s="1129">
        <f ca="1">_xlfn.XLOOKUP(TabTRADERCorrupted[[#This Row],[ClickTick]],TabCalc[Ticker],TabCalc[Ann%RevLB])</f>
        <v>-0.15973072215422232</v>
      </c>
      <c r="AS43" s="1225">
        <f ca="1">_xlfn.XLOOKUP(TabTRADERCorrupted[[#This Row],[ClickTick]],TabCalc[Ticker],TabCalc[Up20])</f>
        <v>0</v>
      </c>
      <c r="AT43" s="1141"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1.9450033534540518E-2</v>
      </c>
      <c r="AU43" s="820" cm="1">
        <f t="array" aca="1" ref="AU43" ca="1">_xlfn.IFS(         TabTRADERCorrupted[[#This Row],[Traps]]=MDown,TabTRADERCorrupted[[#This Row],[L_Bn]]*TabTRADERCorrupted[[#This Row],[M]]*(-(TabTRADERCorrupted[[#This Row],[L_Bp]]+TabTRADERCorrupted[[#This Row],[M]])/TabTRADERCorrupted[[#This Row],[M]])*(1-Commission)*TabTRADERCorrupted[[#This Row],[Scale]],                               TRUE,"")</f>
        <v>761.29547199999763</v>
      </c>
      <c r="AV43" s="1140" cm="1">
        <f t="array" aca="1" ref="AV43" ca="1">_xlfn.IFS(   TabTRADERCorrupted[[#This Row],[Traps]]=MUp,TabTRADERCorrupted[[#This Row],[TakeGain_A]]-Commission,        TabTRADERCorrupted[[#This Row],[Traps]]=MDown,(TabTRADERCorrupted[[#This Row],[A]]-TabTRADERCorrupted[[#This Row],[M]])/TabTRADERCorrupted[[#This Row],[M]]-Commission,                              TRUE,"")</f>
        <v>0.12809438158551317</v>
      </c>
      <c r="AW43" s="755"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48589.668276086428</v>
      </c>
      <c r="AX43" s="755"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43" s="731"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-0.28000000000000003</v>
      </c>
      <c r="AZ43" s="760"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-0.11528718840063704</v>
      </c>
      <c r="BA43" s="757"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0.12809438158551317</v>
      </c>
      <c r="BB43" s="322">
        <f ca="1">_xlfn.XLOOKUP(TabTRADERCorrupted[[#This Row],[ClickTick]],TabCalc[Ticker],TabCalc[L_Sn])</f>
        <v>632</v>
      </c>
      <c r="BC43" s="723">
        <f ca="1">_xlfn.XLOOKUP(TabTRADERCorrupted[[#This Row],[ClickTick]],TabCalc[Ticker],TabCalc[L_Sp])</f>
        <v>16.54</v>
      </c>
      <c r="BD43" s="759">
        <f ca="1">-IFERROR((TabTRADERCorrupted[[#This Row],[M]]-TabTRADERCorrupted[[#This Row],[L_Sp]])/TabTRADERCorrupted[[#This Row],[L_Sp]],0)</f>
        <v>9.8548972188633566E-2</v>
      </c>
      <c r="BE43" s="724">
        <f ca="1">TabTRADERCorrupted[[#This Row],[L_Sn]]*(TabTRADERCorrupted[[#This Row],[M]]-TabTRADERCorrupted[[#This Row],[L_Sp]])*(1-Commission)*TabTRADERCorrupted[[#This Row],[Scale]]</f>
        <v>-1027.4815839999994</v>
      </c>
      <c r="BF43" s="687">
        <f ca="1">TabTRADERCorrupted[[#This Row],[L_Sn]]*(TabTRADERCorrupted[[#This Row],[Agiotage]]-TabTRADERCorrupted[[#This Row],[M]])/(TabTRADERCorrupted[[#This Row],[L_Bn]]*TabTRADERCorrupted[[#This Row],[M]])</f>
        <v>-0.23850928603910262</v>
      </c>
      <c r="BG43" s="630">
        <f ca="1">IFERROR((TabTRADERCorrupted[[#This Row],[M]]-TabTRADERCorrupted[[#This Row],[A]])/TabTRADERCorrupted[[#This Row],[A]],0)</f>
        <v>-0.11558771646344199</v>
      </c>
      <c r="BH4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-48,590$</v>
      </c>
      <c r="BI43" s="679">
        <f ca="1">_xlfn.XLOOKUP(TabTRADERCorrupted[[#This Row],[ClickTick]],TabCalc[[#This Row],[Ticker]],TabCalc[[#This Row],[GL]])*(1-Commission)</f>
        <v>63459.31236163975</v>
      </c>
      <c r="BJ43" s="679"/>
      <c r="BK43" s="664" t="str">
        <f ca="1">TabTRADERCorrupted[[#This Row],[ClickTick]]&amp;": "&amp;_xlfn.XLOOKUP(TabTRADERCorrupted[[#This Row],[ClickTick]],TabCalc[Ticker],TabCalc[Pile?])</f>
        <v xml:space="preserve">SHECY: </v>
      </c>
      <c r="BL43" s="349" t="s">
        <v>1987</v>
      </c>
      <c r="BM43" s="750" t="str" cm="1">
        <f t="array" aca="1" ref="BM43" ca="1">_xlfn.TEXTJOIN("",,INDEX({"M","A","Y"}, _xlfn.SORTBY({1,2,3}, -CHOOSE({1,2,3}, TabTRADERCorrupted[[#This Row],[M]], TabTRADERCorrupted[[#This Row],[A]], TabTRADERCorrupted[[#This Row],[Agiotage]]))))</f>
        <v>AMY</v>
      </c>
      <c r="BN43" s="896"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1.9450033534540518E-2</v>
      </c>
      <c r="BO43" s="674" t="e">
        <f ca="1">TabTRADERCorrupted[[#This Row],[L_Sn]]*TabTRADERCorrupted[[#This Row],[L_Sp]]+TabTRADERCorrupted[[#This Row],[SellMore]]*TabTRADERCorrupted[[#This Row],[M]]</f>
        <v>#N/A</v>
      </c>
      <c r="BP43" s="674" t="e">
        <f ca="1">INDEX(
  INDEX(TabConsolid[], , _xlfn.XMATCH(TabTRADERCorrupted[[#This Row],[ClickTick]]&amp;1, TabConsolid[#Headers])),
  MATCH(
    -TabTRADERCorrupted[[#This Row],[M]],
    INDEX(TabConsolid[], , _xlfn.XMATCH(TabTRADERCorrupted[[#This Row],[ClickTick]]&amp;2, TabConsolid[#Headers])),
    -1
  )
)</f>
        <v>#N/A</v>
      </c>
      <c r="BQ43" s="674"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3" s="1113" t="e">
        <f ca="1">TabTRADERCorrupted[[#This Row],[ReBuy]]/(TabTRADERCorrupted[[#This Row],[L_Sn]]+TabTRADERCorrupted[[#This Row],[SellMore]])</f>
        <v>#N/A</v>
      </c>
      <c r="BS4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-2.4025760855794297E-2</v>
      </c>
      <c r="BT43" s="682">
        <f ca="1">(TabTRADERCorrupted[[#This Row],[M]]-TabTRADERCorrupted[[#This Row],[Agiotage]])/(TabTRADERCorrupted[[#This Row],[M]]-TabTRADERCorrupted[[#This Row],[A]])-1</f>
        <v>-8.6000628001895159</v>
      </c>
      <c r="BU43" s="1221">
        <f ca="1">_xlfn.XMATCH(TabTRADERCorrupted[[#This Row],[ClickTick]]&amp;1, TabConsolid[#Headers])</f>
        <v>122</v>
      </c>
      <c r="BV43" t="str">
        <f ca="1">IF(ABS(TabTRADERCorrupted[[#This Row],[L_Bp]])&gt;=TabTRADERCorrupted[[#This Row],[M]],"OK")</f>
        <v>OK</v>
      </c>
    </row>
    <row r="44" spans="1:74">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+568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2.0%</v>
      </c>
      <c r="D44" s="683"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1,294$</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-9,983$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35.2% = 1,503</v>
      </c>
      <c r="I44" s="224" t="str">
        <f ca="1">IFERROR(TRUNC(TabCalc[[#This Row],[L_S1p]],2)&amp;"x"&amp;TabCalc[[#This Row],[L_S1n]]&amp;"=   "&amp;TEXT(TabCalc[[#This Row],[ReverseB1]],"#,#0"),"")</f>
        <v>10.36x4000=   3,680</v>
      </c>
      <c r="J44" s="293">
        <f ca="1">_xlfn.XLOOKUP(TabTRADERCorrupted[[#This Row],[ClickTick]],TabCalc[Ticker],ListGravity)</f>
        <v>1.3947743644067798</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1.5368385815758943</v>
      </c>
      <c r="N44" s="322" cm="1">
        <f t="array" aca="1" ref="N44" ca="1">_xlfn.XLOOKUP(TabTRADERCorrupted[[#This Row],[ClickTick]],ListTickers,Tab2RSIConventional[RSIConv20])</f>
        <v>84</v>
      </c>
      <c r="O44" s="698" t="str">
        <f ca="1">TEXT(_xlfn.XLOOKUP(TabTRADERCorrupted[[#This Row],[ClickTick]],TabCalc[Ticker],TabCalc[Nbegin]),"#,#0")&amp;": "&amp;_xlfn.XLOOKUP(TabTRADERCorrupted[[#This Row],[ClickTick]],TabCalc[Ticker],TabCalc[Pile?])</f>
        <v xml:space="preserve">16,000: </v>
      </c>
      <c r="P44" s="729">
        <f ca="1">_xlfn.XLOOKUP(TabTRADERCorrupted[[#This Row],[ClickTick]],TabCalc[Ticker],TabCalc[L_Bn])</f>
        <v>3000</v>
      </c>
      <c r="Q44" s="676">
        <f ca="1">_xlfn.XLOOKUP(TabTRADERCorrupted[[#This Row],[ClickTick]],TabCalc[Ticker],TabCalc[L_Bp])</f>
        <v>-9.25</v>
      </c>
      <c r="R44" s="759">
        <f ca="1">(TabTRADERCorrupted[[#This Row],[M]]+TabTRADERCorrupted[[#This Row],[L_Bp]])/ABS(TabTRADERCorrupted[[#This Row],[L_Bp]])</f>
        <v>2.0540540540540487E-2</v>
      </c>
      <c r="S44" s="678">
        <f ca="1">_xlfn.XLOOKUP(TabTRADERCorrupted[[#This Row],[ClickTick]],TabCalc[Ticker],TabCalc[Rev(MinStock)])*(1-Commission)</f>
        <v>566.52319999999997</v>
      </c>
      <c r="T44" s="777">
        <f ca="1">_xlfn.XLOOKUP(TabTRADERCorrupted[[#This Row],[ClickTick]],TabCalc[Ticker],TabCalc[Agiotage])</f>
        <v>1.5368385815758943</v>
      </c>
      <c r="U44" s="742"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2,400/2,400=&gt;1.6% / 1.6%</v>
      </c>
      <c r="V44" s="734" t="str">
        <f ca="1">_xlfn.XLOOKUP(TabTRADERCorrupted[[#This Row],[ClickTick]],[1]!RTData[Ticker_Symbol],[1]!RTData[Currency])</f>
        <v>USD</v>
      </c>
      <c r="W44" s="744">
        <f ca="1">_xlfn.XLOOKUP(TabTRADERCorrupted[[#This Row],[ClickTick]],TabCalc[Ticker],TabCalc[M])</f>
        <v>9.44</v>
      </c>
      <c r="X44" s="1271" t="str">
        <f ca="1">SORTING!B44</f>
        <v>SSYS</v>
      </c>
      <c r="Y44" s="798">
        <f ca="1">_xlfn.XLOOKUP(TabTRADERCorrupted[[#This Row],[ClickTick]],TabCalc[Ticker],TabCalc[Y])</f>
        <v>13.16667</v>
      </c>
      <c r="Z44" s="812">
        <f ca="1">_xlfn.XLOOKUP(TabTRADERCorrupted[[#This Row],[ClickTick]],[1]!RTData[Ticker_Symbol],[1]!RTData[YTChange])</f>
        <v>-0.69092323943661971</v>
      </c>
      <c r="AA44" s="827">
        <f ca="1">-_xlfn.XLOOKUP(TabTRADERCorrupted[[#This Row],[ClickTick]]&amp;2,Consolid!B$3:JZ$3,Consolid!B$4:JZ$4)</f>
        <v>29.272529332125</v>
      </c>
      <c r="AB44" s="812" cm="1">
        <f t="array" aca="1" ref="AB44" ca="1">_xlfn.XLOOKUP(TabTRADERCorrupted[[#This Row],[ClickTick]],ListTickers,Tab1ChangePercent[Change%19])</f>
        <v>1.6146000000000001E-2</v>
      </c>
      <c r="AC44" s="763">
        <f ca="1">_xlfn.XLOOKUP(TabTRADERCorrupted[[#This Row],[ClickTick]],TabCalc[Ticker],TabCalc[NAfter])</f>
        <v>16000</v>
      </c>
      <c r="AD4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-709/151 K$</v>
      </c>
      <c r="AE44" s="1127"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31"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31"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9956.6451402600032</v>
      </c>
      <c r="AH44" s="1131"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9.44</v>
      </c>
      <c r="AI44" s="1131" t="str" cm="1">
        <f t="array" aca="1" ref="AI44" ca="1">_xlfn.IFS(   TabTRADERCorrupted[[#This Row],[Traps]]=MUp,TEXT(MIN(TabTRADERCorrupted[[#This Row],[L_Sn]],TabTRADERCorrupted[[#This Row],[N]]),"#,#0")&amp;" x "&amp;TEXT(TabTRADERCorrupted[[#This Row],[L_Sp]],"#,#0.#0"),          TRUE,"")</f>
        <v/>
      </c>
      <c r="AJ44" s="1131"/>
      <c r="AK44" s="1131"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31"/>
      <c r="AM44" s="1131"/>
      <c r="AN44" s="1131"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9956.6451402600032</v>
      </c>
      <c r="AO44" s="1140"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0.26062460318783742</v>
      </c>
      <c r="AP44" s="1140"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TabTRADERCorrupted[[#This Row],[Traps]]=SellMorePercentGain,                     MIN(TabTRADERCorrupted[[#This Row],[L_Sn]],TabTRADERCorrupted[[#This Row],[N]])*(TabTRADERCorrupted[[#This Row],[M]]-TabTRADERCorrupted[[#This Row],[L_Sp]])*(1-Commission)*TabTRADERCorrupted[[#This Row],[Scale]],                    TRUE,"")</f>
        <v/>
      </c>
      <c r="AR44" s="1129">
        <f ca="1">_xlfn.XLOOKUP(TabTRADERCorrupted[[#This Row],[ClickTick]],TabCalc[Ticker],TabCalc[Ann%RevLB])</f>
        <v>2.1877498800575667E-2</v>
      </c>
      <c r="AS44" s="1225">
        <f ca="1">_xlfn.XLOOKUP(TabTRADERCorrupted[[#This Row],[ClickTick]],TabCalc[Ticker],TabCalc[Up20])</f>
        <v>0</v>
      </c>
      <c r="AT44" s="1141"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20"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40" t="str" cm="1">
        <f t="array" aca="1" ref="AV44" ca="1">_xlfn.IFS(   TabTRADERCorrupted[[#This Row],[Traps]]=MUp,TabTRADERCorrupted[[#This Row],[TakeGain_A]]-Commission,        TabTRADERCorrupted[[#This Row],[Traps]]=MDown,(TabTRADERCorrupted[[#This Row],[A]]-TabTRADERCorrupted[[#This Row],[M]])/TabTRADERCorrupted[[#This Row],[M]]-Commission,                              TRUE,"")</f>
        <v/>
      </c>
      <c r="AW44" s="755"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-316495.43609378359</v>
      </c>
      <c r="AX44" s="755"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44" s="731"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60"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-0.67575181260995254</v>
      </c>
      <c r="BA44" s="757"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2.0983035309454445</v>
      </c>
      <c r="BB44" s="322">
        <f ca="1">_xlfn.XLOOKUP(TabTRADERCorrupted[[#This Row],[ClickTick]],TabCalc[Ticker],TabCalc[L_Sn])</f>
        <v>3000</v>
      </c>
      <c r="BC44" s="723">
        <f ca="1">_xlfn.XLOOKUP(TabTRADERCorrupted[[#This Row],[ClickTick]],TabCalc[Ticker],TabCalc[L_Sp])</f>
        <v>12.7675333</v>
      </c>
      <c r="BD44" s="759">
        <f ca="1">-IFERROR((TabTRADERCorrupted[[#This Row],[M]]-TabTRADERCorrupted[[#This Row],[L_Sp]])/TabTRADERCorrupted[[#This Row],[L_Sp]],0)</f>
        <v>0.26062460318783742</v>
      </c>
      <c r="BE44" s="724">
        <f ca="1">TabTRADERCorrupted[[#This Row],[L_Sn]]*(TabTRADERCorrupted[[#This Row],[M]]-TabTRADERCorrupted[[#This Row],[L_Sp]])*(1-Commission)*TabTRADERCorrupted[[#This Row],[Scale]]</f>
        <v>-9956.6451402600032</v>
      </c>
      <c r="BF44" s="687">
        <f ca="1">TabTRADERCorrupted[[#This Row],[L_Sn]]*(TabTRADERCorrupted[[#This Row],[Agiotage]]-TabTRADERCorrupted[[#This Row],[M]])/(TabTRADERCorrupted[[#This Row],[L_Bn]]*TabTRADERCorrupted[[#This Row],[M]])</f>
        <v>-0.83719930279916377</v>
      </c>
      <c r="BG44" s="630">
        <f ca="1">IFERROR((TabTRADERCorrupted[[#This Row],[M]]-TabTRADERCorrupted[[#This Row],[A]])/TabTRADERCorrupted[[#This Row],[A]],0)</f>
        <v>-0.67751334731296631</v>
      </c>
      <c r="BH4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-316,495$</v>
      </c>
      <c r="BI44" s="679">
        <f ca="1">_xlfn.XLOOKUP(TabTRADERCorrupted[[#This Row],[ClickTick]],TabCalc[[#This Row],[Ticker]],TabCalc[[#This Row],[GL]])*(1-Commission)</f>
        <v>-706668.60712037806</v>
      </c>
      <c r="BJ44" s="679"/>
      <c r="BK44" s="664" t="str">
        <f ca="1">TabTRADERCorrupted[[#This Row],[ClickTick]]&amp;": "&amp;_xlfn.XLOOKUP(TabTRADERCorrupted[[#This Row],[ClickTick]],TabCalc[Ticker],TabCalc[Pile?])</f>
        <v xml:space="preserve">SSYS: </v>
      </c>
      <c r="BL44" s="349" t="s">
        <v>1988</v>
      </c>
      <c r="BM44" s="750" t="str" cm="1">
        <f t="array" aca="1" ref="BM44" ca="1">_xlfn.TEXTJOIN("",,INDEX({"M","A","Y"}, _xlfn.SORTBY({1,2,3}, -CHOOSE({1,2,3}, TabTRADERCorrupted[[#This Row],[M]], TabTRADERCorrupted[[#This Row],[A]], TabTRADERCorrupted[[#This Row],[Agiotage]]))))</f>
        <v>AMY</v>
      </c>
      <c r="BN44" s="896"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4" t="e">
        <f ca="1">TabTRADERCorrupted[[#This Row],[L_Sn]]*TabTRADERCorrupted[[#This Row],[L_Sp]]+TabTRADERCorrupted[[#This Row],[SellMore]]*TabTRADERCorrupted[[#This Row],[M]]</f>
        <v>#N/A</v>
      </c>
      <c r="BP44" s="674" t="e">
        <f ca="1">INDEX(
  INDEX(TabConsolid[], , _xlfn.XMATCH(TabTRADERCorrupted[[#This Row],[ClickTick]]&amp;1, TabConsolid[#Headers])),
  MATCH(
    -TabTRADERCorrupted[[#This Row],[M]],
    INDEX(TabConsolid[], , _xlfn.XMATCH(TabTRADERCorrupted[[#This Row],[ClickTick]]&amp;2, TabConsolid[#Headers])),
    -1
  )
)</f>
        <v>#N/A</v>
      </c>
      <c r="BQ44" s="674"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4" s="1113" t="e">
        <f ca="1">TabTRADERCorrupted[[#This Row],[ReBuy]]/(TabTRADERCorrupted[[#This Row],[L_Sn]]+TabTRADERCorrupted[[#This Row],[SellMore]])</f>
        <v>#N/A</v>
      </c>
      <c r="BS4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-3.1283347281262082E-3</v>
      </c>
      <c r="BT44" s="682">
        <f ca="1">(TabTRADERCorrupted[[#This Row],[M]]-TabTRADERCorrupted[[#This Row],[Agiotage]])/(TabTRADERCorrupted[[#This Row],[M]]-TabTRADERCorrupted[[#This Row],[A]])-1</f>
        <v>-1.3984948811154641</v>
      </c>
      <c r="BU44" s="1221">
        <f ca="1">_xlfn.XMATCH(TabTRADERCorrupted[[#This Row],[ClickTick]]&amp;1, TabConsolid[#Headers])</f>
        <v>125</v>
      </c>
      <c r="BV44" t="b">
        <f ca="1">IF(ABS(TabTRADERCorrupted[[#This Row],[L_Bp]])&gt;=TabTRADERCorrupted[[#This Row],[M]],"OK")</f>
        <v>0</v>
      </c>
    </row>
    <row r="45" spans="1:74">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+110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24.7%</v>
      </c>
      <c r="D45" s="683"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65$</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174$</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-4.3% = 0</v>
      </c>
      <c r="I45" s="224" t="str">
        <f ca="1">IFERROR(TRUNC(TabCalc[[#This Row],[L_S1p]],2)&amp;"x"&amp;TabCalc[[#This Row],[L_S1n]]&amp;"=   "&amp;TEXT(TabCalc[[#This Row],[ReverseB1]],"#,#0"),"")</f>
        <v>333.93x390=   -44,045</v>
      </c>
      <c r="J45" s="293">
        <f ca="1">_xlfn.XLOOKUP(TabTRADERCorrupted[[#This Row],[ClickTick]],TabCalc[Ticker],ListGravity)</f>
        <v>0.8792968986892935</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0.68520716946974203</v>
      </c>
      <c r="N45" s="322" cm="1">
        <f t="array" aca="1" ref="N45" ca="1">_xlfn.XLOOKUP(TabTRADERCorrupted[[#This Row],[ClickTick]],ListTickers,Tab2RSIConventional[RSIConv20])</f>
        <v>73</v>
      </c>
      <c r="O45" s="698" t="str">
        <f ca="1">TEXT(_xlfn.XLOOKUP(TabTRADERCorrupted[[#This Row],[ClickTick]],TabCalc[Ticker],TabCalc[Nbegin]),"#,#0")&amp;": "&amp;_xlfn.XLOOKUP(TabTRADERCorrupted[[#This Row],[ClickTick]],TabCalc[Ticker],TabCalc[Pile?])</f>
        <v>500: Pile</v>
      </c>
      <c r="P45" s="729">
        <f ca="1">_xlfn.XLOOKUP(TabTRADERCorrupted[[#This Row],[ClickTick]],TabCalc[Ticker],TabCalc[L_Bn])</f>
        <v>400</v>
      </c>
      <c r="Q45" s="723">
        <f ca="1">_xlfn.XLOOKUP(TabTRADERCorrupted[[#This Row],[ClickTick]],TabCalc[Ticker],TabCalc[L_Bp])</f>
        <v>-336.51</v>
      </c>
      <c r="R45" s="759">
        <f ca="1">(TabTRADERCorrupted[[#This Row],[M]]+TabTRADERCorrupted[[#This Row],[L_Bp]])/ABS(TabTRADERCorrupted[[#This Row],[L_Bp]])</f>
        <v>0.32794240884371945</v>
      </c>
      <c r="S45" s="678">
        <f ca="1">_xlfn.XLOOKUP(TabTRADERCorrupted[[#This Row],[ClickTick]],TabCalc[Ticker],TabCalc[Rev(MinStock)])*(1-Commission)</f>
        <v>109.714</v>
      </c>
      <c r="T45" s="777">
        <f ca="1">_xlfn.XLOOKUP(TabTRADERCorrupted[[#This Row],[ClickTick]],TabCalc[Ticker],TabCalc[Agiotage])</f>
        <v>0.68520716946974203</v>
      </c>
      <c r="U45" s="742"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-2/-2=&gt;-1.0% / -1.0%</v>
      </c>
      <c r="V45" s="734" t="str">
        <f ca="1">_xlfn.XLOOKUP(TabTRADERCorrupted[[#This Row],[ClickTick]],[1]!RTData[Ticker_Symbol],[1]!RTData[Currency])</f>
        <v>USD</v>
      </c>
      <c r="W45" s="744">
        <f ca="1">_xlfn.XLOOKUP(TabTRADERCorrupted[[#This Row],[ClickTick]],TabCalc[Ticker],TabCalc[M])</f>
        <v>446.86590000000001</v>
      </c>
      <c r="X45" s="1271" t="str">
        <f ca="1">SORTING!B45</f>
        <v>TSLA</v>
      </c>
      <c r="Y45" s="798">
        <f ca="1">_xlfn.XLOOKUP(TabTRADERCorrupted[[#This Row],[ClickTick]],TabCalc[Ticker],TabCalc[Y])</f>
        <v>392.92779999999999</v>
      </c>
      <c r="Z45" s="812">
        <f ca="1">_xlfn.XLOOKUP(TabTRADERCorrupted[[#This Row],[ClickTick]],[1]!RTData[Ticker_Symbol],[1]!RTData[YTChange])</f>
        <v>32.298966101694909</v>
      </c>
      <c r="AA45" s="827">
        <f ca="1">-_xlfn.XLOOKUP(TabTRADERCorrupted[[#This Row],[ClickTick]]&amp;2,Consolid!B$3:JZ$3,Consolid!B$4:JZ$4)</f>
        <v>337.38492599999995</v>
      </c>
      <c r="AB45" s="812" cm="1">
        <f t="array" aca="1" ref="AB45" ca="1">_xlfn.XLOOKUP(TabTRADERCorrupted[[#This Row],[ClickTick]],ListTickers,Tab1ChangePercent[Change%19])</f>
        <v>-1.0154000000000002E-2</v>
      </c>
      <c r="AC45" s="763">
        <f ca="1">_xlfn.XLOOKUP(TabTRADERCorrupted[[#This Row],[ClickTick]],TabCalc[Ticker],TabCalc[NAfter])</f>
        <v>1</v>
      </c>
      <c r="AD4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^88/0 K$</v>
      </c>
      <c r="AE45" s="1147"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31"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446.8659, 04.5%</v>
      </c>
      <c r="AG45" s="1131"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31" cm="1">
        <f t="array" aca="1" ref="AH45" ca="1">_xlfn.IFS(     TabTRADERCorrupted[[#This Row],[Traps]]=MUp,MIN(TabTRADERCorrupted[[#This Row],[L_Sn]],TabTRADERCorrupted[[#This Row],[N]])*(TabTRADERCorrupted[[#This Row],[M]]-TabTRADERCorrupted[[#This Row],[L_Sp]])*(1-Commission)*TabTRADERCorrupted[[#This Row],[Scale]],                                  TRUE,"M= "&amp;TabTRADERCorrupted[[#This Row],[M]])</f>
        <v>19.275652659999988</v>
      </c>
      <c r="AI45" s="1131" t="str" cm="1">
        <f t="array" aca="1" ref="AI45" ca="1">_xlfn.IFS(   TabTRADERCorrupted[[#This Row],[Traps]]=MUp,TEXT(MIN(TabTRADERCorrupted[[#This Row],[L_Sn]],TabTRADERCorrupted[[#This Row],[N]]),"#,#0")&amp;" x "&amp;TEXT(TabTRADERCorrupted[[#This Row],[L_Sp]],"#,#0.#0"),          TRUE,"")</f>
        <v>1 x 427.54</v>
      </c>
      <c r="AJ45" s="1131"/>
      <c r="AK45" s="1131"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19.275652659999988</v>
      </c>
      <c r="AL45" s="1131"/>
      <c r="AM45" s="1131"/>
      <c r="AN45" s="1131"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109.19632346760005</v>
      </c>
      <c r="AO45" s="1140"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0.32449871219202031</v>
      </c>
      <c r="AP45" s="1140"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4.064764991018556E-2</v>
      </c>
      <c r="AQ45" s="820" cm="1">
        <f t="array" aca="1" ref="AQ45" ca="1">_xlfn.IFS(   TabTRADERCorrupted[[#This Row],[Traps]]=SellMorePercentGain,                     MIN(TabTRADERCorrupted[[#This Row],[L_Sn]],TabTRADERCorrupted[[#This Row],[N]])*(TabTRADERCorrupted[[#This Row],[M]]-TabTRADERCorrupted[[#This Row],[L_Sp]])*(1-Commission)*TabTRADERCorrupted[[#This Row],[Scale]],                    TRUE,"")</f>
        <v>19.275652659999988</v>
      </c>
      <c r="AR45" s="1146">
        <f ca="1">_xlfn.XLOOKUP(TabTRADERCorrupted[[#This Row],[ClickTick]],TabCalc[Ticker],TabCalc[Ann%RevLB])</f>
        <v>0.39092472577397019</v>
      </c>
      <c r="AS45" s="1224">
        <f ca="1">_xlfn.XLOOKUP(TabTRADERCorrupted[[#This Row],[ClickTick]],TabCalc[Ticker],TabCalc[Up20])</f>
        <v>0</v>
      </c>
      <c r="AT45" s="1141"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20"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40" cm="1">
        <f t="array" aca="1" ref="AV45" ca="1">_xlfn.IFS(   TabTRADERCorrupted[[#This Row],[Traps]]=MUp,TabTRADERCorrupted[[#This Row],[TakeGain_A]]-Commission,        TabTRADERCorrupted[[#This Row],[Traps]]=MDown,(TabTRADERCorrupted[[#This Row],[A]]-TabTRADERCorrupted[[#This Row],[M]])/TabTRADERCorrupted[[#This Row],[M]]-Commission,                              TRUE,"")</f>
        <v>0.32189871219202032</v>
      </c>
      <c r="AW45" s="755"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144.63038980893955</v>
      </c>
      <c r="AX45" s="755"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45" s="731"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1x109.48</v>
      </c>
      <c r="AZ45" s="760"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0.32365501554032106</v>
      </c>
      <c r="BA45" s="757"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-0.24759737840815343</v>
      </c>
      <c r="BB45" s="322">
        <f ca="1">_xlfn.XLOOKUP(TabTRADERCorrupted[[#This Row],[ClickTick]],TabCalc[Ticker],TabCalc[L_Sn])</f>
        <v>9</v>
      </c>
      <c r="BC45" s="723">
        <f ca="1">_xlfn.XLOOKUP(TabTRADERCorrupted[[#This Row],[ClickTick]],TabCalc[Ticker],TabCalc[L_Sp])</f>
        <v>427.54</v>
      </c>
      <c r="BD45" s="759">
        <f ca="1">-IFERROR((TabTRADERCorrupted[[#This Row],[M]]-TabTRADERCorrupted[[#This Row],[L_Sp]])/TabTRADERCorrupted[[#This Row],[L_Sp]],0)</f>
        <v>-4.5202554146980371E-2</v>
      </c>
      <c r="BE45" s="724">
        <f ca="1">TabTRADERCorrupted[[#This Row],[L_Sn]]*(TabTRADERCorrupted[[#This Row],[M]]-TabTRADERCorrupted[[#This Row],[L_Sp]])*(1-Commission)*TabTRADERCorrupted[[#This Row],[Scale]]</f>
        <v>173.4808739399999</v>
      </c>
      <c r="BF45" s="687">
        <f ca="1">TabTRADERCorrupted[[#This Row],[L_Sn]]*(TabTRADERCorrupted[[#This Row],[Agiotage]]-TabTRADERCorrupted[[#This Row],[M]])/(TabTRADERCorrupted[[#This Row],[L_Bn]]*TabTRADERCorrupted[[#This Row],[M]])</f>
        <v>-2.2465499356041557E-2</v>
      </c>
      <c r="BG45" s="630">
        <f ca="1">IFERROR((TabTRADERCorrupted[[#This Row],[M]]-TabTRADERCorrupted[[#This Row],[A]])/TabTRADERCorrupted[[#This Row],[A]],0)</f>
        <v>0.32449871219202031</v>
      </c>
      <c r="BH4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109$</v>
      </c>
      <c r="BI45" s="679">
        <f ca="1">_xlfn.XLOOKUP(TabTRADERCorrupted[[#This Row],[ClickTick]],TabCalc[[#This Row],[Ticker]],TabCalc[[#This Row],[GL]])*(1-Commission)</f>
        <v>87668.515299906911</v>
      </c>
      <c r="BJ45" s="679"/>
      <c r="BK45" s="664" t="str">
        <f ca="1">TabTRADERCorrupted[[#This Row],[ClickTick]]&amp;": "&amp;_xlfn.XLOOKUP(TabTRADERCorrupted[[#This Row],[ClickTick]],TabCalc[Ticker],TabCalc[Pile?])</f>
        <v>TSLA: Pile</v>
      </c>
      <c r="BL45" s="349" t="s">
        <v>1993</v>
      </c>
      <c r="BM45" s="750" t="str" cm="1">
        <f t="array" aca="1" ref="BM45" ca="1">_xlfn.TEXTJOIN("",,INDEX({"M","A","Y"}, _xlfn.SORTBY({1,2,3}, -CHOOSE({1,2,3}, TabTRADERCorrupted[[#This Row],[M]], TabTRADERCorrupted[[#This Row],[A]], TabTRADERCorrupted[[#This Row],[Agiotage]]))))</f>
        <v>MAY</v>
      </c>
      <c r="BN45" s="896"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4.3247649910185558E-2</v>
      </c>
      <c r="BO45" s="674">
        <f ca="1">TabTRADERCorrupted[[#This Row],[L_Sn]]*TabTRADERCorrupted[[#This Row],[L_Sp]]+TabTRADERCorrupted[[#This Row],[SellMore]]*TabTRADERCorrupted[[#This Row],[M]]</f>
        <v>4294.7259000000004</v>
      </c>
      <c r="BP45" s="674">
        <f ca="1">INDEX(
  INDEX(TabConsolid[], , _xlfn.XMATCH(TabTRADERCorrupted[[#This Row],[ClickTick]]&amp;1, TabConsolid[#Headers])),
  MATCH(
    -TabTRADERCorrupted[[#This Row],[M]],
    INDEX(TabConsolid[], , _xlfn.XMATCH(TabTRADERCorrupted[[#This Row],[ClickTick]]&amp;2, TabConsolid[#Headers])),
    -1
  )
)</f>
        <v>1</v>
      </c>
      <c r="BQ45" s="674"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13">
        <f ca="1">TabTRADERCorrupted[[#This Row],[ReBuy]]/(TabTRADERCorrupted[[#This Row],[L_Sn]]+TabTRADERCorrupted[[#This Row],[SellMore]])</f>
        <v>429.47259000000003</v>
      </c>
      <c r="BS4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-495.75632536725584</v>
      </c>
      <c r="BT45" s="682">
        <f ca="1">(TabTRADERCorrupted[[#This Row],[M]]-TabTRADERCorrupted[[#This Row],[Agiotage]])/(TabTRADERCorrupted[[#This Row],[M]]-TabTRADERCorrupted[[#This Row],[A]])-1</f>
        <v>3.0754176413385768</v>
      </c>
      <c r="BU45" s="1221">
        <f ca="1">_xlfn.XMATCH(TabTRADERCorrupted[[#This Row],[ClickTick]]&amp;1, TabConsolid[#Headers])</f>
        <v>128</v>
      </c>
      <c r="BV45" t="b">
        <f ca="1">IF(ABS(TabTRADERCorrupted[[#This Row],[L_Bp]])&gt;=TabTRADERCorrupted[[#This Row],[M]],"OK")</f>
        <v>0</v>
      </c>
    </row>
    <row r="46" spans="1:74">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+14,774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6.1%</v>
      </c>
      <c r="D46" s="683"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270/4,500=82,333</v>
      </c>
      <c r="E4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4" t="str">
        <f ca="1">TRUNC(TabCalc[[#This Row],[L_B1p]],2)&amp;"x"&amp;TabCalc[[#This Row],[L_B1n]]&amp;"=   "&amp;TEXT(TabCalc[[#This Row],[ReverseS1]],"#,#0")&amp;"$"</f>
        <v>-235.25x1000=   69,670$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4,821$</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-5.3% = 0</v>
      </c>
      <c r="I46" s="224" t="str">
        <f ca="1">IFERROR(TRUNC(TabCalc[[#This Row],[L_S1p]],2)&amp;"x"&amp;TabCalc[[#This Row],[L_S1n]]&amp;"=   "&amp;TEXT(TabCalc[[#This Row],[ReverseB1]],"#,#0"),"")</f>
        <v>296.4x500=   -4,260</v>
      </c>
      <c r="J46" s="293">
        <f ca="1">_xlfn.XLOOKUP(TabTRADERCorrupted[[#This Row],[ClickTick]],TabCalc[Ticker],ListGravity)</f>
        <v>1.1212996195723468</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762300</v>
      </c>
      <c r="M46" s="321">
        <f ca="1">_xlfn.XLOOKUP(TabTRADERCorrupted[[#This Row],[ClickTick]],TabCalc[Ticker],TabCalc[Agiotage])</f>
        <v>1.2628860762769001</v>
      </c>
      <c r="N46" s="322" cm="1">
        <f t="array" aca="1" ref="N46" ca="1">_xlfn.XLOOKUP(TabTRADERCorrupted[[#This Row],[ClickTick]],ListTickers,Tab2RSIConventional[RSIConv20])</f>
        <v>81</v>
      </c>
      <c r="O46" s="698" t="str">
        <f ca="1">TEXT(_xlfn.XLOOKUP(TabTRADERCorrupted[[#This Row],[ClickTick]],TabCalc[Ticker],TabCalc[Nbegin]),"#,#0")&amp;": "&amp;_xlfn.XLOOKUP(TabTRADERCorrupted[[#This Row],[ClickTick]],TabCalc[Ticker],TabCalc[Pile?])</f>
        <v xml:space="preserve">2,000: </v>
      </c>
      <c r="P46" s="851">
        <f ca="1">_xlfn.XLOOKUP(TabTRADERCorrupted[[#This Row],[ClickTick]],TabCalc[Ticker],TabCalc[L_Bn])</f>
        <v>800</v>
      </c>
      <c r="Q46" s="723">
        <f ca="1">_xlfn.XLOOKUP(TabTRADERCorrupted[[#This Row],[ClickTick]],TabCalc[Ticker],TabCalc[L_Bp])</f>
        <v>-286.40249999999997</v>
      </c>
      <c r="R46" s="759">
        <f ca="1">(TabTRADERCorrupted[[#This Row],[M]]+TabTRADERCorrupted[[#This Row],[L_Bp]])/ABS(TabTRADERCorrupted[[#This Row],[L_Bp]])</f>
        <v>6.4655511037787883E-2</v>
      </c>
      <c r="S46" s="678">
        <f ca="1">_xlfn.XLOOKUP(TabTRADERCorrupted[[#This Row],[ClickTick]],TabCalc[Ticker],TabCalc[Rev(MinStock)])*(1-Commission)</f>
        <v>14735.587599999999</v>
      </c>
      <c r="T46" s="777">
        <f ca="1">_xlfn.XLOOKUP(TabTRADERCorrupted[[#This Row],[ClickTick]],TabCalc[Ticker],TabCalc[Agiotage])</f>
        <v>1.2628860762769001</v>
      </c>
      <c r="U46" s="742"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-1,800/-1,800=&gt;-1.4% / -1.4%</v>
      </c>
      <c r="V46" s="734" t="str">
        <f ca="1">_xlfn.XLOOKUP(TabTRADERCorrupted[[#This Row],[ClickTick]],[1]!RTData[Ticker_Symbol],[1]!RTData[Currency])</f>
        <v>USD</v>
      </c>
      <c r="W46" s="744">
        <f ca="1">_xlfn.XLOOKUP(TabTRADERCorrupted[[#This Row],[ClickTick]],TabCalc[Ticker],TabCalc[M])</f>
        <v>304.92</v>
      </c>
      <c r="X46" s="1271" t="str">
        <f ca="1">SORTING!B46</f>
        <v>TSM</v>
      </c>
      <c r="Y46" s="798">
        <f ca="1">_xlfn.XLOOKUP(TabTRADERCorrupted[[#This Row],[ClickTick]],TabCalc[Ticker],TabCalc[Y])</f>
        <v>341.90667999999999</v>
      </c>
      <c r="Z46" s="812">
        <f ca="1">_xlfn.XLOOKUP(TabTRADERCorrupted[[#This Row],[ClickTick]],[1]!RTData[Ticker_Symbol],[1]!RTData[YTChange])</f>
        <v>0.63482203308788376</v>
      </c>
      <c r="AA46" s="827">
        <f ca="1">-_xlfn.XLOOKUP(TabTRADERCorrupted[[#This Row],[ClickTick]]&amp;2,Consolid!B$3:JZ$3,Consolid!B$4:JZ$4)</f>
        <v>206.38565559999998</v>
      </c>
      <c r="AB46" s="812" cm="1">
        <f t="array" aca="1" ref="AB46" ca="1">_xlfn.XLOOKUP(TabTRADERCorrupted[[#This Row],[ClickTick]],ListTickers,Tab1ChangePercent[Change%19])</f>
        <v>-1.4296999999999999E-2</v>
      </c>
      <c r="AC46" s="763">
        <f ca="1">_xlfn.XLOOKUP(TabTRADERCorrupted[[#This Row],[ClickTick]],TabCalc[Ticker],TabCalc[NAfter])</f>
        <v>4500</v>
      </c>
      <c r="AD4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^981/1,368 K$</v>
      </c>
      <c r="AE46" s="1147"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31"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304.92, 05.6%</v>
      </c>
      <c r="AG46" s="1131"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31" cm="1">
        <f t="array" aca="1" ref="AH46" ca="1">_xlfn.IFS(     TabTRADERCorrupted[[#This Row],[Traps]]=MUp,MIN(TabTRADERCorrupted[[#This Row],[L_Sn]],TabTRADERCorrupted[[#This Row],[N]])*(TabTRADERCorrupted[[#This Row],[M]]-TabTRADERCorrupted[[#This Row],[L_Sp]])*(1-Commission)*TabTRADERCorrupted[[#This Row],[Scale]],                                  TRUE,"M= "&amp;TabTRADERCorrupted[[#This Row],[M]])</f>
        <v>4808.4653999999982</v>
      </c>
      <c r="AI46" s="1131" t="str" cm="1">
        <f t="array" aca="1" ref="AI46" ca="1">_xlfn.IFS(   TabTRADERCorrupted[[#This Row],[Traps]]=MUp,TEXT(MIN(TabTRADERCorrupted[[#This Row],[L_Sn]],TabTRADERCorrupted[[#This Row],[N]]),"#,#0")&amp;" x "&amp;TEXT(TabTRADERCorrupted[[#This Row],[L_Sp]],"#,#0.#0"),          TRUE,"")</f>
        <v>300 x 288.85</v>
      </c>
      <c r="AJ46" s="1131"/>
      <c r="AK46" s="1131"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4808.4653999999982</v>
      </c>
      <c r="AL46" s="1131"/>
      <c r="AM46" s="1131"/>
      <c r="AN46" s="1131"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442251.69797052012</v>
      </c>
      <c r="AO46" s="1140"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0.47742825979617182</v>
      </c>
      <c r="AP46" s="1140"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5.0102348156893586E-2</v>
      </c>
      <c r="AQ46" s="820" cm="1">
        <f t="array" aca="1" ref="AQ46" ca="1">_xlfn.IFS(   TabTRADERCorrupted[[#This Row],[Traps]]=SellMorePercentGain,                     MIN(TabTRADERCorrupted[[#This Row],[L_Sn]],TabTRADERCorrupted[[#This Row],[N]])*(TabTRADERCorrupted[[#This Row],[M]]-TabTRADERCorrupted[[#This Row],[L_Sp]])*(1-Commission)*TabTRADERCorrupted[[#This Row],[Scale]],                    TRUE,"")</f>
        <v>4808.4653999999982</v>
      </c>
      <c r="AR46" s="1270">
        <f ca="1">_xlfn.XLOOKUP(TabTRADERCorrupted[[#This Row],[ClickTick]],TabCalc[Ticker],TabCalc[Ann%RevLB])</f>
        <v>0.46551967947207279</v>
      </c>
      <c r="AS46" s="1224" t="str">
        <f ca="1">_xlfn.XLOOKUP(TabTRADERCorrupted[[#This Row],[ClickTick]],TabCalc[Ticker],TabCalc[Up20])</f>
        <v>/33/%</v>
      </c>
      <c r="AT46" s="1141"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20"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40" cm="1">
        <f t="array" aca="1" ref="AV46" ca="1">_xlfn.IFS(   TabTRADERCorrupted[[#This Row],[Traps]]=MUp,TabTRADERCorrupted[[#This Row],[TakeGain_A]]-Commission,        TabTRADERCorrupted[[#This Row],[Traps]]=MDown,(TabTRADERCorrupted[[#This Row],[A]]-TabTRADERCorrupted[[#This Row],[M]])/TabTRADERCorrupted[[#This Row],[M]]-Commission,                              TRUE,"")</f>
        <v>0.47482825979617183</v>
      </c>
      <c r="AW46" s="755"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653395.15652448777</v>
      </c>
      <c r="AX46" s="755"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46" s="731"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800x98.53</v>
      </c>
      <c r="AZ46" s="760"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0.47618694632070174</v>
      </c>
      <c r="BA46" s="757"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-0.32574818444182091</v>
      </c>
      <c r="BB46" s="322">
        <f ca="1">_xlfn.XLOOKUP(TabTRADERCorrupted[[#This Row],[ClickTick]],TabCalc[Ticker],TabCalc[L_Sn])</f>
        <v>300</v>
      </c>
      <c r="BC46" s="723">
        <f ca="1">_xlfn.XLOOKUP(TabTRADERCorrupted[[#This Row],[ClickTick]],TabCalc[Ticker],TabCalc[L_Sp])</f>
        <v>288.85000000000002</v>
      </c>
      <c r="BD46" s="759">
        <f ca="1">-IFERROR((TabTRADERCorrupted[[#This Row],[M]]-TabTRADERCorrupted[[#This Row],[L_Sp]])/TabTRADERCorrupted[[#This Row],[L_Sp]],0)</f>
        <v>-5.5634412324735996E-2</v>
      </c>
      <c r="BE46" s="724">
        <f ca="1">TabTRADERCorrupted[[#This Row],[L_Sn]]*(TabTRADERCorrupted[[#This Row],[M]]-TabTRADERCorrupted[[#This Row],[L_Sp]])*(1-Commission)*TabTRADERCorrupted[[#This Row],[Scale]]</f>
        <v>4808.4653999999982</v>
      </c>
      <c r="BF46" s="687">
        <f ca="1">TabTRADERCorrupted[[#This Row],[L_Sn]]*(TabTRADERCorrupted[[#This Row],[Agiotage]]-TabTRADERCorrupted[[#This Row],[M]])/(TabTRADERCorrupted[[#This Row],[L_Bn]]*TabTRADERCorrupted[[#This Row],[M]])</f>
        <v>-0.3734468638377153</v>
      </c>
      <c r="BG46" s="630">
        <f ca="1">IFERROR((TabTRADERCorrupted[[#This Row],[M]]-TabTRADERCorrupted[[#This Row],[A]])/TabTRADERCorrupted[[#This Row],[A]],0)</f>
        <v>0.47742825979617182</v>
      </c>
      <c r="BH4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442,252$</v>
      </c>
      <c r="BI46" s="679">
        <f ca="1">_xlfn.XLOOKUP(TabTRADERCorrupted[[#This Row],[ClickTick]],TabCalc[[#This Row],[Ticker]],TabCalc[[#This Row],[GL]])*(1-Commission)</f>
        <v>978435.11984518799</v>
      </c>
      <c r="BJ46" s="679"/>
      <c r="BK46" s="664" t="str">
        <f ca="1">TabTRADERCorrupted[[#This Row],[ClickTick]]&amp;": "&amp;_xlfn.XLOOKUP(TabTRADERCorrupted[[#This Row],[ClickTick]],TabCalc[Ticker],TabCalc[Pile?])</f>
        <v xml:space="preserve">TSM: </v>
      </c>
      <c r="BL46" s="349" t="s">
        <v>1994</v>
      </c>
      <c r="BM46" s="750" t="str" cm="1">
        <f t="array" aca="1" ref="BM46" ca="1">_xlfn.TEXTJOIN("",,INDEX({"M","A","Y"}, _xlfn.SORTBY({1,2,3}, -CHOOSE({1,2,3}, TabTRADERCorrupted[[#This Row],[M]], TabTRADERCorrupted[[#This Row],[A]], TabTRADERCorrupted[[#This Row],[Agiotage]]))))</f>
        <v>MAY</v>
      </c>
      <c r="BN46" s="896"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5.2702348156893584E-2</v>
      </c>
      <c r="BO46" s="674">
        <f ca="1">TabTRADERCorrupted[[#This Row],[L_Sn]]*TabTRADERCorrupted[[#This Row],[L_Sp]]+TabTRADERCorrupted[[#This Row],[SellMore]]*TabTRADERCorrupted[[#This Row],[M]]</f>
        <v>330591</v>
      </c>
      <c r="BP46" s="674">
        <f ca="1">INDEX(
  INDEX(TabConsolid[], , _xlfn.XMATCH(TabTRADERCorrupted[[#This Row],[ClickTick]]&amp;1, TabConsolid[#Headers])),
  MATCH(
    -TabTRADERCorrupted[[#This Row],[M]],
    INDEX(TabConsolid[], , _xlfn.XMATCH(TabTRADERCorrupted[[#This Row],[ClickTick]]&amp;2, TabConsolid[#Headers])),
    -1
  )
)</f>
        <v>800</v>
      </c>
      <c r="BQ46" s="674"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13">
        <f ca="1">TabTRADERCorrupted[[#This Row],[ReBuy]]/(TabTRADERCorrupted[[#This Row],[L_Sn]]+TabTRADERCorrupted[[#This Row],[SellMore]])</f>
        <v>300.53727272727275</v>
      </c>
      <c r="BS4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-1.0796697383954599</v>
      </c>
      <c r="BT46" s="682">
        <f ca="1">(TabTRADERCorrupted[[#This Row],[M]]-TabTRADERCorrupted[[#This Row],[Agiotage]])/(TabTRADERCorrupted[[#This Row],[M]]-TabTRADERCorrupted[[#This Row],[A]])-1</f>
        <v>2.0817388167827806</v>
      </c>
      <c r="BU46" s="1221">
        <f ca="1">_xlfn.XMATCH(TabTRADERCorrupted[[#This Row],[ClickTick]]&amp;1, TabConsolid[#Headers])</f>
        <v>131</v>
      </c>
      <c r="BV46" t="b">
        <f ca="1">IF(ABS(TabTRADERCorrupted[[#This Row],[L_Bp]])&gt;=TabTRADERCorrupted[[#This Row],[M]],"OK")</f>
        <v>0</v>
      </c>
    </row>
    <row r="47" spans="1:74">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+177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1.3%</v>
      </c>
      <c r="D47" s="683"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-1,615$</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-2,292$</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17.3% = 764</v>
      </c>
      <c r="I47" s="224" t="str">
        <f ca="1">IFERROR(TRUNC(TabCalc[[#This Row],[L_S1p]],2)&amp;"x"&amp;TabCalc[[#This Row],[L_S1n]]&amp;"=   "&amp;TEXT(TabCalc[[#This Row],[ReverseB1]],"#,#0"),"")</f>
        <v>43.37x2500=   14,050</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86825</v>
      </c>
      <c r="M47" s="321">
        <f ca="1">_xlfn.XLOOKUP(TabTRADERCorrupted[[#This Row],[ClickTick]],TabCalc[Ticker],TabCalc[Agiotage])</f>
        <v>9.2452830188679246E-3</v>
      </c>
      <c r="N47" s="322" cm="1">
        <f t="array" aca="1" ref="N47" ca="1">_xlfn.XLOOKUP(TabTRADERCorrupted[[#This Row],[ClickTick]],ListTickers,Tab2RSIConventional[RSIConv20])</f>
        <v>87</v>
      </c>
      <c r="O47" s="698" t="str">
        <f ca="1">TEXT(_xlfn.XLOOKUP(TabTRADERCorrupted[[#This Row],[ClickTick]],TabCalc[Ticker],TabCalc[Nbegin]),"#,#0")&amp;": "&amp;_xlfn.XLOOKUP(TabTRADERCorrupted[[#This Row],[ClickTick]],TabCalc[Ticker],TabCalc[Pile?])</f>
        <v>700: Pile</v>
      </c>
      <c r="P47" s="729">
        <f ca="1">_xlfn.XLOOKUP(TabTRADERCorrupted[[#This Row],[ClickTick]],TabCalc[Ticker],TabCalc[L_Bn])</f>
        <v>350</v>
      </c>
      <c r="Q47" s="723">
        <f ca="1">_xlfn.XLOOKUP(TabTRADERCorrupted[[#This Row],[ClickTick]],TabCalc[Ticker],TabCalc[L_Bp])</f>
        <v>-37.240699999999997</v>
      </c>
      <c r="R47" s="759">
        <f ca="1">(TabTRADERCorrupted[[#This Row],[M]]+TabTRADERCorrupted[[#This Row],[L_Bp]])/ABS(TabTRADERCorrupted[[#This Row],[L_Bp]])</f>
        <v>1.3675897606650875E-2</v>
      </c>
      <c r="S47" s="678">
        <f ca="1">_xlfn.XLOOKUP(TabTRADERCorrupted[[#This Row],[ClickTick]],TabCalc[Ticker],TabCalc[Rev(MinStock)])*(1-Commission)</f>
        <v>176.53979999999999</v>
      </c>
      <c r="T47" s="777">
        <f ca="1">_xlfn.XLOOKUP(TabTRADERCorrupted[[#This Row],[ClickTick]],TabCalc[Ticker],TabCalc[Agiotage])</f>
        <v>9.2452830188679246E-3</v>
      </c>
      <c r="U47" s="742"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-3,000/-3,000=&gt;-0.8% / -0.8%</v>
      </c>
      <c r="V47" s="734" t="str">
        <f ca="1">_xlfn.XLOOKUP(TabTRADERCorrupted[[#This Row],[ClickTick]],[1]!RTData[Ticker_Symbol],[1]!RTData[Currency])</f>
        <v>EUR</v>
      </c>
      <c r="W47" s="744">
        <f ca="1">_xlfn.XLOOKUP(TabTRADERCorrupted[[#This Row],[ClickTick]],TabCalc[Ticker],TabCalc[M])</f>
        <v>37.75</v>
      </c>
      <c r="X47" s="1271" t="str">
        <f ca="1">SORTING!B47</f>
        <v>UN0</v>
      </c>
      <c r="Y47" s="798">
        <f ca="1">_xlfn.XLOOKUP(TabTRADERCorrupted[[#This Row],[ClickTick]],TabCalc[Ticker],TabCalc[Y])</f>
        <v>0</v>
      </c>
      <c r="Z47" s="812">
        <f ca="1">_xlfn.XLOOKUP(TabTRADERCorrupted[[#This Row],[ClickTick]],[1]!RTData[Ticker_Symbol],[1]!RTData[YTChange])</f>
        <v>0</v>
      </c>
      <c r="AA47" s="827">
        <f ca="1">-_xlfn.XLOOKUP(TabTRADERCorrupted[[#This Row],[ClickTick]]&amp;2,Consolid!B$3:JZ$3,Consolid!B$4:JZ$4)</f>
        <v>41.707508310000001</v>
      </c>
      <c r="AB47" s="812" cm="1">
        <f t="array" aca="1" ref="AB47" ca="1">_xlfn.XLOOKUP(TabTRADERCorrupted[[#This Row],[ClickTick]],ListTickers,Tab1ChangePercent[Change%19])</f>
        <v>-7.8840000000000004E-3</v>
      </c>
      <c r="AC47" s="763">
        <f ca="1">_xlfn.XLOOKUP(TabTRADERCorrupted[[#This Row],[ClickTick]],TabCalc[Ticker],TabCalc[NAfter])</f>
        <v>3000</v>
      </c>
      <c r="AD4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-177/113 K$</v>
      </c>
      <c r="AE47" s="1147"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7" s="1131"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350 x -37.24</v>
      </c>
      <c r="AG47" s="1131"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176.53979999999999</v>
      </c>
      <c r="AH47" s="1131"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37.75</v>
      </c>
      <c r="AI47" s="1131" t="str" cm="1">
        <f t="array" aca="1" ref="AI47" ca="1">_xlfn.IFS(   TabTRADERCorrupted[[#This Row],[Traps]]=MUp,TEXT(MIN(TabTRADERCorrupted[[#This Row],[L_Sn]],TabTRADERCorrupted[[#This Row],[N]]),"#,#0")&amp;" x "&amp;TEXT(TabTRADERCorrupted[[#This Row],[L_Sp]],"#,#0.#0"),          TRUE,"")</f>
        <v/>
      </c>
      <c r="AJ47" s="1131"/>
      <c r="AK47" s="1131" t="str"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7" s="1131"/>
      <c r="AM47" s="1131"/>
      <c r="AN47" s="1131"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176.53979999999999</v>
      </c>
      <c r="AO47" s="1140"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1.3675897606650875E-2</v>
      </c>
      <c r="AP47" s="1140" t="str"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7" s="820" t="str" cm="1">
        <f t="array" aca="1" ref="AQ47" ca="1">_xlfn.IFS(   TabTRADERCorrupted[[#This Row],[Traps]]=SellMorePercentGain,                     MIN(TabTRADERCorrupted[[#This Row],[L_Sn]],TabTRADERCorrupted[[#This Row],[N]])*(TabTRADERCorrupted[[#This Row],[M]]-TabTRADERCorrupted[[#This Row],[L_Sp]])*(1-Commission)*TabTRADERCorrupted[[#This Row],[Scale]],                    TRUE,"")</f>
        <v/>
      </c>
      <c r="AR47" s="1129">
        <f ca="1">_xlfn.XLOOKUP(TabTRADERCorrupted[[#This Row],[ClickTick]],TabCalc[Ticker],TabCalc[Ann%RevLB])</f>
        <v>3.372139135886517E-2</v>
      </c>
      <c r="AS47" s="1225" t="str">
        <f ca="1">_xlfn.XLOOKUP(TabTRADERCorrupted[[#This Row],[ClickTick]],TabCalc[Ticker],TabCalc[Up20])</f>
        <v>//56%</v>
      </c>
      <c r="AT47" s="1141" t="str"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7" s="820" t="str" cm="1">
        <f t="array" aca="1" ref="AU47" ca="1">_xlfn.IFS(         TabTRADERCorrupted[[#This Row],[Traps]]=MDown,TabTRADERCorrupted[[#This Row],[L_Bn]]*TabTRADERCorrupted[[#This Row],[M]]*(-(TabTRADERCorrupted[[#This Row],[L_Bp]]+TabTRADERCorrupted[[#This Row],[M]])/TabTRADERCorrupted[[#This Row],[M]])*(1-Commission)*TabTRADERCorrupted[[#This Row],[Scale]],                               TRUE,"")</f>
        <v/>
      </c>
      <c r="AV47" s="1140" t="str" cm="1">
        <f t="array" aca="1" ref="AV47" ca="1">_xlfn.IFS(   TabTRADERCorrupted[[#This Row],[Traps]]=MUp,TabTRADERCorrupted[[#This Row],[TakeGain_A]]-Commission,        TabTRADERCorrupted[[#This Row],[Traps]]=MDown,(TabTRADERCorrupted[[#This Row],[A]]-TabTRADERCorrupted[[#This Row],[M]])/TabTRADERCorrupted[[#This Row],[M]]-Commission,                              TRUE,"")</f>
        <v/>
      </c>
      <c r="AW47" s="755"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-10718.034855092033</v>
      </c>
      <c r="AX47" s="755"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7" s="731" t="str"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7" s="760" t="str"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7" s="757"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0.10223465721854308</v>
      </c>
      <c r="BB47" s="322">
        <f ca="1">_xlfn.XLOOKUP(TabTRADERCorrupted[[#This Row],[ClickTick]],TabCalc[Ticker],TabCalc[L_Sn])</f>
        <v>350</v>
      </c>
      <c r="BC47" s="723">
        <f ca="1">_xlfn.XLOOKUP(TabTRADERCorrupted[[#This Row],[ClickTick]],TabCalc[Ticker],TabCalc[L_Sp])</f>
        <v>44.298769999999998</v>
      </c>
      <c r="BD47" s="759">
        <f ca="1">-IFERROR((TabTRADERCorrupted[[#This Row],[M]]-TabTRADERCorrupted[[#This Row],[L_Sp]])/TabTRADERCorrupted[[#This Row],[L_Sp]],0)</f>
        <v>0.1478318698239251</v>
      </c>
      <c r="BE47" s="724">
        <f ca="1">TabTRADERCorrupted[[#This Row],[L_Sn]]*(TabTRADERCorrupted[[#This Row],[M]]-TabTRADERCorrupted[[#This Row],[L_Sp]])*(1-Commission)*TabTRADERCorrupted[[#This Row],[Scale]]</f>
        <v>-2286.110119299999</v>
      </c>
      <c r="BF47" s="687">
        <f ca="1">TabTRADERCorrupted[[#This Row],[L_Sn]]*(TabTRADERCorrupted[[#This Row],[Agiotage]]-TabTRADERCorrupted[[#This Row],[M]])/(TabTRADERCorrupted[[#This Row],[L_Bn]]*TabTRADERCorrupted[[#This Row],[M]])</f>
        <v>-0.99975509184055977</v>
      </c>
      <c r="BG47" s="630">
        <f ca="1">IFERROR((TabTRADERCorrupted[[#This Row],[M]]-TabTRADERCorrupted[[#This Row],[A]])/TabTRADERCorrupted[[#This Row],[A]],0)</f>
        <v>-9.488719106845156E-2</v>
      </c>
      <c r="BH4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-11,842$</v>
      </c>
      <c r="BI47" s="679">
        <f ca="1">_xlfn.XLOOKUP(TabTRADERCorrupted[[#This Row],[ClickTick]],TabCalc[[#This Row],[Ticker]],TabCalc[[#This Row],[GL]])*(1-Commission)</f>
        <v>-176822.5615954008</v>
      </c>
      <c r="BJ47" s="679"/>
      <c r="BK47" s="664" t="str">
        <f ca="1">TabTRADERCorrupted[[#This Row],[ClickTick]]&amp;": "&amp;_xlfn.XLOOKUP(TabTRADERCorrupted[[#This Row],[ClickTick]],TabCalc[Ticker],TabCalc[Pile?])</f>
        <v>UN0: Pile</v>
      </c>
      <c r="BL47" s="349" t="s">
        <v>1995</v>
      </c>
      <c r="BM47" s="750" t="str" cm="1">
        <f t="array" aca="1" ref="BM47" ca="1">_xlfn.TEXTJOIN("",,INDEX({"M","A","Y"}, _xlfn.SORTBY({1,2,3}, -CHOOSE({1,2,3}, TabTRADERCorrupted[[#This Row],[M]], TabTRADERCorrupted[[#This Row],[A]], TabTRADERCorrupted[[#This Row],[Agiotage]]))))</f>
        <v>AMY</v>
      </c>
      <c r="BN47" s="896" t="str"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7" s="674" t="e">
        <f ca="1">TabTRADERCorrupted[[#This Row],[L_Sn]]*TabTRADERCorrupted[[#This Row],[L_Sp]]+TabTRADERCorrupted[[#This Row],[SellMore]]*TabTRADERCorrupted[[#This Row],[M]]</f>
        <v>#N/A</v>
      </c>
      <c r="BP47" s="674" t="e">
        <f ca="1">INDEX(
  INDEX(TabConsolid[], , _xlfn.XMATCH(TabTRADERCorrupted[[#This Row],[ClickTick]]&amp;1, TabConsolid[#Headers])),
  MATCH(
    -TabTRADERCorrupted[[#This Row],[M]],
    INDEX(TabConsolid[], , _xlfn.XMATCH(TabTRADERCorrupted[[#This Row],[ClickTick]]&amp;2, TabConsolid[#Headers])),
    -1
  )
)</f>
        <v>#N/A</v>
      </c>
      <c r="BQ47" s="674"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13" t="e">
        <f ca="1">TabTRADERCorrupted[[#This Row],[ReBuy]]/(TabTRADERCorrupted[[#This Row],[L_Sn]]+TabTRADERCorrupted[[#This Row],[SellMore]])</f>
        <v>#N/A</v>
      </c>
      <c r="BS4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-0.12041097933513026</v>
      </c>
      <c r="BT47" s="682">
        <f ca="1">(TabTRADERCorrupted[[#This Row],[M]]-TabTRADERCorrupted[[#This Row],[Agiotage]])/(TabTRADERCorrupted[[#This Row],[M]]-TabTRADERCorrupted[[#This Row],[A]])-1</f>
        <v>-10.536494117173721</v>
      </c>
      <c r="BU47" s="1221">
        <f ca="1">_xlfn.XMATCH(TabTRADERCorrupted[[#This Row],[ClickTick]]&amp;1, TabConsolid[#Headers])</f>
        <v>134</v>
      </c>
      <c r="BV47" t="b">
        <f ca="1">IF(ABS(TabTRADERCorrupted[[#This Row],[L_Bp]])&gt;=TabTRADERCorrupted[[#This Row],[M]],"OK")</f>
        <v>0</v>
      </c>
    </row>
    <row r="48" spans="1:74">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-14,864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-28.5%</v>
      </c>
      <c r="D48" s="683"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0.99447513812154698</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37901.4</v>
      </c>
      <c r="M48" s="321">
        <f ca="1">_xlfn.XLOOKUP(TabTRADERCorrupted[[#This Row],[ClickTick]],TabCalc[Ticker],TabCalc[Agiotage])</f>
        <v>1.8710369154732505</v>
      </c>
      <c r="N48" s="322" t="e" cm="1">
        <f t="array" aca="1" ref="N48" ca="1">_xlfn.XLOOKUP(TabTRADERCorrupted[[#This Row],[ClickTick]],ListTickers,Tab2RSIConventional[RSIConv20])</f>
        <v>#REF!</v>
      </c>
      <c r="O48" s="698" t="str">
        <f ca="1">TEXT(_xlfn.XLOOKUP(TabTRADERCorrupted[[#This Row],[ClickTick]],TabCalc[Ticker],TabCalc[Nbegin]),"#,#0")&amp;": "&amp;_xlfn.XLOOKUP(TabTRADERCorrupted[[#This Row],[ClickTick]],TabCalc[Ticker],TabCalc[Pile?])</f>
        <v xml:space="preserve">2,000: </v>
      </c>
      <c r="P48" s="729">
        <f ca="1">_xlfn.XLOOKUP(TabTRADERCorrupted[[#This Row],[ClickTick]],TabCalc[Ticker],TabCalc[L_Bn])</f>
        <v>7235</v>
      </c>
      <c r="Q48" s="676">
        <f ca="1">_xlfn.XLOOKUP(TabTRADERCorrupted[[#This Row],[ClickTick]],TabCalc[Ticker],TabCalc[L_Bp])</f>
        <v>-9.3000000000000007</v>
      </c>
      <c r="R48" s="759">
        <f ca="1">(TabTRADERCorrupted[[#This Row],[M]]+TabTRADERCorrupted[[#This Row],[L_Bp]])/ABS(TabTRADERCorrupted[[#This Row],[L_Bp]])</f>
        <v>-0.22150537634408607</v>
      </c>
      <c r="S48" s="678">
        <f ca="1">_xlfn.XLOOKUP(TabTRADERCorrupted[[#This Row],[ClickTick]],TabCalc[Ticker],TabCalc[Rev(MinStock)])*(1-Commission)</f>
        <v>-14825.353599999999</v>
      </c>
      <c r="T48" s="777">
        <f ca="1">_xlfn.XLOOKUP(TabTRADERCorrupted[[#This Row],[ClickTick]],TabCalc[Ticker],TabCalc[Agiotage])</f>
        <v>1.8710369154732505</v>
      </c>
      <c r="U48" s="742"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3,328/3,328=&gt;7.3% / 7.3%</v>
      </c>
      <c r="V48" s="734" t="str">
        <f ca="1">_xlfn.XLOOKUP(TabTRADERCorrupted[[#This Row],[ClickTick]],[1]!RTData[Ticker_Symbol],[1]!RTData[Currency])</f>
        <v>USD</v>
      </c>
      <c r="W48" s="744">
        <f ca="1">_xlfn.XLOOKUP(TabTRADERCorrupted[[#This Row],[ClickTick]],TabCalc[Ticker],TabCalc[M])</f>
        <v>7.24</v>
      </c>
      <c r="X48" s="1271" t="str">
        <f ca="1">SORTING!B48</f>
        <v>UNIT</v>
      </c>
      <c r="Y48" s="798">
        <f ca="1">_xlfn.XLOOKUP(TabTRADERCorrupted[[#This Row],[ClickTick]],TabCalc[Ticker],TabCalc[Y])</f>
        <v>7.2</v>
      </c>
      <c r="Z48" s="812">
        <f ca="1">_xlfn.XLOOKUP(TabTRADERCorrupted[[#This Row],[ClickTick]],[1]!RTData[Ticker_Symbol],[1]!RTData[YTChange])</f>
        <v>-0.82978723404255317</v>
      </c>
      <c r="AA48" s="827">
        <f ca="1">-_xlfn.XLOOKUP(TabTRADERCorrupted[[#This Row],[ClickTick]]&amp;2,Consolid!B$3:JZ$3,Consolid!B$4:JZ$4)</f>
        <v>9.3241800000000001</v>
      </c>
      <c r="AB48" s="812" cm="1">
        <f t="array" aca="1" ref="AB48" ca="1">_xlfn.XLOOKUP(TabTRADERCorrupted[[#This Row],[ClickTick]],ListTickers,Tab1ChangePercent[Change%19])</f>
        <v>7.2592999999999991E-2</v>
      </c>
      <c r="AC48" s="763">
        <f ca="1">_xlfn.XLOOKUP(TabTRADERCorrupted[[#This Row],[ClickTick]],TabCalc[Ticker],TabCalc[NAfter])</f>
        <v>7235</v>
      </c>
      <c r="AD4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-15/52 K$</v>
      </c>
      <c r="AE48" s="1147"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31"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31"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31"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7.24</v>
      </c>
      <c r="AI48" s="1131" t="str" cm="1">
        <f t="array" aca="1" ref="AI48" ca="1">_xlfn.IFS(   TabTRADERCorrupted[[#This Row],[Traps]]=MUp,TEXT(MIN(TabTRADERCorrupted[[#This Row],[L_Sn]],TabTRADERCorrupted[[#This Row],[N]]),"#,#0")&amp;" x "&amp;TEXT(TabTRADERCorrupted[[#This Row],[L_Sp]],"#,#0.#0"),          TRUE,"")</f>
        <v/>
      </c>
      <c r="AJ48" s="1131"/>
      <c r="AK48" s="1131"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14865.349340000002</v>
      </c>
      <c r="AL48" s="1131"/>
      <c r="AM48" s="1131"/>
      <c r="AN48" s="1131"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52381.4</v>
      </c>
      <c r="AO48" s="1140"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0.22352421338927389</v>
      </c>
      <c r="AP48" s="1140" t="str"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48" s="820" t="str" cm="1">
        <f t="array" aca="1" ref="AQ48" ca="1">_xlfn.IFS(   TabTRADERCorrupted[[#This Row],[Traps]]=SellMorePercentGain,                     MIN(TabTRADERCorrupted[[#This Row],[L_Sn]],TabTRADERCorrupted[[#This Row],[N]])*(TabTRADERCorrupted[[#This Row],[M]]-TabTRADERCorrupted[[#This Row],[L_Sp]])*(1-Commission)*TabTRADERCorrupted[[#This Row],[Scale]],                    TRUE,"")</f>
        <v/>
      </c>
      <c r="AR48" s="1129">
        <f ca="1">_xlfn.XLOOKUP(TabTRADERCorrupted[[#This Row],[ClickTick]],TabCalc[Ticker],TabCalc[Ann%RevLB])</f>
        <v>-0.6229838709677421</v>
      </c>
      <c r="AS48" s="1225" t="str">
        <f ca="1">_xlfn.XLOOKUP(TabTRADERCorrupted[[#This Row],[ClickTick]],TabCalc[Ticker],TabCalc[Up20])</f>
        <v>/100/%</v>
      </c>
      <c r="AT48" s="1141" t="str"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8" s="820" cm="1">
        <f t="array" aca="1" ref="AU48" ca="1">_xlfn.IFS(         TabTRADERCorrupted[[#This Row],[Traps]]=MDown,TabTRADERCorrupted[[#This Row],[L_Bn]]*TabTRADERCorrupted[[#This Row],[M]]*(-(TabTRADERCorrupted[[#This Row],[L_Bp]]+TabTRADERCorrupted[[#This Row],[M]])/TabTRADERCorrupted[[#This Row],[M]])*(1-Commission)*TabTRADERCorrupted[[#This Row],[Scale]],                               TRUE,"")</f>
        <v>14865.349340000001</v>
      </c>
      <c r="AV48" s="1140" cm="1">
        <f t="array" aca="1" ref="AV48" ca="1">_xlfn.IFS(   TabTRADERCorrupted[[#This Row],[Traps]]=MUp,TabTRADERCorrupted[[#This Row],[TakeGain_A]]-Commission,        TabTRADERCorrupted[[#This Row],[Traps]]=MDown,(TabTRADERCorrupted[[#This Row],[A]]-TabTRADERCorrupted[[#This Row],[M]])/TabTRADERCorrupted[[#This Row],[M]]-Commission,                              TRUE,"")</f>
        <v>0.28527016574585634</v>
      </c>
      <c r="AW48" s="820"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15039.836790019999</v>
      </c>
      <c r="AX48" s="755"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8" s="731"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-2.06</v>
      </c>
      <c r="AZ48" s="760"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-0.22294305043446178</v>
      </c>
      <c r="BA48" s="757"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0.28527016574585634</v>
      </c>
      <c r="BB48" s="322">
        <f ca="1">_xlfn.XLOOKUP(TabTRADERCorrupted[[#This Row],[ClickTick]],TabCalc[Ticker],TabCalc[L_Sn])</f>
        <v>0</v>
      </c>
      <c r="BC48" s="723">
        <f ca="1">_xlfn.XLOOKUP(TabTRADERCorrupted[[#This Row],[ClickTick]],TabCalc[Ticker],TabCalc[L_Sp])</f>
        <v>0</v>
      </c>
      <c r="BD48" s="759">
        <f ca="1">-IFERROR((TabTRADERCorrupted[[#This Row],[M]]-TabTRADERCorrupted[[#This Row],[L_Sp]])/TabTRADERCorrupted[[#This Row],[L_Sp]],0)</f>
        <v>0</v>
      </c>
      <c r="BE48" s="724">
        <f ca="1">TabTRADERCorrupted[[#This Row],[L_Sn]]*(TabTRADERCorrupted[[#This Row],[M]]-TabTRADERCorrupted[[#This Row],[L_Sp]])*(1-Commission)*TabTRADERCorrupted[[#This Row],[Scale]]</f>
        <v>0</v>
      </c>
      <c r="BF48" s="687">
        <f ca="1">TabTRADERCorrupted[[#This Row],[L_Sn]]*(TabTRADERCorrupted[[#This Row],[Agiotage]]-TabTRADERCorrupted[[#This Row],[M]])/(TabTRADERCorrupted[[#This Row],[L_Bn]]*TabTRADERCorrupted[[#This Row],[M]])</f>
        <v>0</v>
      </c>
      <c r="BG48" s="630">
        <f ca="1">IFERROR((TabTRADERCorrupted[[#This Row],[M]]-TabTRADERCorrupted[[#This Row],[A]])/TabTRADERCorrupted[[#This Row],[A]],0)</f>
        <v>-0.22352421338927389</v>
      </c>
      <c r="BH4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-15,040$</v>
      </c>
      <c r="BI48" s="679">
        <f ca="1">_xlfn.XLOOKUP(TabTRADERCorrupted[[#This Row],[ClickTick]],TabCalc[[#This Row],[Ticker]],TabCalc[[#This Row],[GL]])*(1-Commission)</f>
        <v>-15316.369632965307</v>
      </c>
      <c r="BJ48" s="679"/>
      <c r="BK48" s="664" t="str">
        <f ca="1">TabTRADERCorrupted[[#This Row],[ClickTick]]&amp;": "&amp;_xlfn.XLOOKUP(TabTRADERCorrupted[[#This Row],[ClickTick]],TabCalc[Ticker],TabCalc[Pile?])</f>
        <v xml:space="preserve">UNIT: </v>
      </c>
      <c r="BL48" s="349" t="s">
        <v>2000</v>
      </c>
      <c r="BM48" s="750" t="str" cm="1">
        <f t="array" aca="1" ref="BM48" ca="1">_xlfn.TEXTJOIN("",,INDEX({"M","A","Y"}, _xlfn.SORTBY({1,2,3}, -CHOOSE({1,2,3}, TabTRADERCorrupted[[#This Row],[M]], TabTRADERCorrupted[[#This Row],[A]], TabTRADERCorrupted[[#This Row],[Agiotage]]))))</f>
        <v>AMY</v>
      </c>
      <c r="BN48" s="896"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0.28453038674033154</v>
      </c>
      <c r="BO48" s="674" t="e">
        <f ca="1">TabTRADERCorrupted[[#This Row],[L_Sn]]*TabTRADERCorrupted[[#This Row],[L_Sp]]+TabTRADERCorrupted[[#This Row],[SellMore]]*TabTRADERCorrupted[[#This Row],[M]]</f>
        <v>#N/A</v>
      </c>
      <c r="BP48" s="674" t="e">
        <f ca="1">INDEX(
  INDEX(TabConsolid[], , _xlfn.XMATCH(TabTRADERCorrupted[[#This Row],[ClickTick]]&amp;1, TabConsolid[#Headers])),
  MATCH(
    -TabTRADERCorrupted[[#This Row],[M]],
    INDEX(TabConsolid[], , _xlfn.XMATCH(TabTRADERCorrupted[[#This Row],[ClickTick]]&amp;2, TabConsolid[#Headers])),
    -1
  )
)</f>
        <v>#N/A</v>
      </c>
      <c r="BQ48" s="674"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13" t="e">
        <f ca="1">TabTRADERCorrupted[[#This Row],[ReBuy]]/(TabTRADERCorrupted[[#This Row],[L_Sn]]+TabTRADERCorrupted[[#This Row],[SellMore]])</f>
        <v>#N/A</v>
      </c>
      <c r="BS4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2">
        <f ca="1">(TabTRADERCorrupted[[#This Row],[M]]-TabTRADERCorrupted[[#This Row],[Agiotage]])/(TabTRADERCorrupted[[#This Row],[M]]-TabTRADERCorrupted[[#This Row],[A]])-1</f>
        <v>-3.5760553716697934</v>
      </c>
      <c r="BU48" s="1221">
        <f ca="1">_xlfn.XMATCH(TabTRADERCorrupted[[#This Row],[ClickTick]]&amp;1, TabConsolid[#Headers])</f>
        <v>137</v>
      </c>
      <c r="BV48" t="str">
        <f ca="1">IF(ABS(TabTRADERCorrupted[[#This Row],[L_Bp]])&gt;=TabTRADERCorrupted[[#This Row],[M]],"OK")</f>
        <v>OK</v>
      </c>
    </row>
    <row r="49" spans="1:74">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+6,051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12.6%</v>
      </c>
      <c r="D49" s="683"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1,236/2,600=39,611</v>
      </c>
      <c r="E4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4" t="str">
        <f ca="1">TRUNC(TabCalc[[#This Row],[L_B1p]],2)&amp;"x"&amp;TabCalc[[#This Row],[L_B1n]]&amp;"=   "&amp;TEXT(TabCalc[[#This Row],[ReverseS1]],"#,#0")&amp;"$"</f>
        <v>-24.15x3000=   20,527$</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210$</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0</v>
      </c>
      <c r="I49" s="224" t="str">
        <f ca="1">IFERROR(TRUNC(TabCalc[[#This Row],[L_S1p]],2)&amp;"x"&amp;TabCalc[[#This Row],[L_S1n]]&amp;"=   "&amp;TEXT(TabCalc[[#This Row],[ReverseB1]],"#,#0"),"")</f>
        <v>30.08x500=   -983</v>
      </c>
      <c r="J49" s="293">
        <f ca="1">_xlfn.XLOOKUP(TabTRADERCorrupted[[#This Row],[ClickTick]],TabCalc[Ticker],ListGravity)</f>
        <v>1.0922140739584958</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1.4284331856694336E-2</v>
      </c>
      <c r="N49" s="322" cm="1">
        <f t="array" aca="1" ref="N49" ca="1">_xlfn.XLOOKUP(TabTRADERCorrupted[[#This Row],[ClickTick]],ListTickers,Tab2RSIConventional[RSIConv20])</f>
        <v>74</v>
      </c>
      <c r="O49" s="698"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6">
        <f ca="1">_xlfn.XLOOKUP(TabTRADERCorrupted[[#This Row],[ClickTick]],TabCalc[Ticker],TabCalc[L_Bp])</f>
        <v>-28</v>
      </c>
      <c r="R49" s="759">
        <f ca="1">(TabTRADERCorrupted[[#This Row],[M]]+TabTRADERCorrupted[[#This Row],[L_Bp]])/ABS(TabTRADERCorrupted[[#This Row],[L_Bp]])</f>
        <v>0.14446428571428577</v>
      </c>
      <c r="S49" s="678">
        <f ca="1">_xlfn.XLOOKUP(TabTRADERCorrupted[[#This Row],[ClickTick]],TabCalc[Ticker],TabCalc[Rev(MinStock)])*(1-Commission)</f>
        <v>6035.2673999999997</v>
      </c>
      <c r="T49" s="777">
        <f ca="1">_xlfn.XLOOKUP(TabTRADERCorrupted[[#This Row],[ClickTick]],TabCalc[Ticker],TabCalc[Agiotage])</f>
        <v>1.4284331856694336E-2</v>
      </c>
      <c r="U49" s="742"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273/273=&gt;2.2% / 2.2%</v>
      </c>
      <c r="V49" s="734" t="str">
        <f ca="1">_xlfn.XLOOKUP(TabTRADERCorrupted[[#This Row],[ClickTick]],[1]!RTData[Ticker_Symbol],[1]!RTData[Currency])</f>
        <v>USD</v>
      </c>
      <c r="W49" s="744">
        <f ca="1">_xlfn.XLOOKUP(TabTRADERCorrupted[[#This Row],[ClickTick]],TabCalc[Ticker],TabCalc[M])</f>
        <v>32.045000000000002</v>
      </c>
      <c r="X49" s="1271" t="str">
        <f ca="1">SORTING!B49</f>
        <v>VLVLY</v>
      </c>
      <c r="Y49" s="798">
        <f ca="1">_xlfn.XLOOKUP(TabTRADERCorrupted[[#This Row],[ClickTick]],TabCalc[Ticker],TabCalc[Y])</f>
        <v>35</v>
      </c>
      <c r="Z49" s="812">
        <f ca="1">_xlfn.XLOOKUP(TabTRADERCorrupted[[#This Row],[ClickTick]],[1]!RTData[Ticker_Symbol],[1]!RTData[YTChange])</f>
        <v>0.1772620248906828</v>
      </c>
      <c r="AA49" s="827">
        <f ca="1">-_xlfn.XLOOKUP(TabTRADERCorrupted[[#This Row],[ClickTick]]&amp;2,Consolid!B$3:JZ$3,Consolid!B$4:JZ$4)</f>
        <v>26.439718846153845</v>
      </c>
      <c r="AB49" s="812" cm="1">
        <f t="array" aca="1" ref="AB49" ca="1">_xlfn.XLOOKUP(TabTRADERCorrupted[[#This Row],[ClickTick]],ListTickers,Tab1ChangePercent[Change%19])</f>
        <v>2.1842999999999998E-2</v>
      </c>
      <c r="AC49" s="763">
        <f ca="1">_xlfn.XLOOKUP(TabTRADERCorrupted[[#This Row],[ClickTick]],TabCalc[Ticker],TabCalc[NAfter])</f>
        <v>2600</v>
      </c>
      <c r="AD4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^107/83 K$</v>
      </c>
      <c r="AE49" s="1127"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31"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32.045, 01.7%</v>
      </c>
      <c r="AG49" s="1131"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31" cm="1">
        <f t="array" aca="1" ref="AH49" ca="1">_xlfn.IFS(     TabTRADERCorrupted[[#This Row],[Traps]]=MUp,MIN(TabTRADERCorrupted[[#This Row],[L_Sn]],TabTRADERCorrupted[[#This Row],[N]])*(TabTRADERCorrupted[[#This Row],[M]]-TabTRADERCorrupted[[#This Row],[L_Sp]])*(1-Commission)*TabTRADERCorrupted[[#This Row],[Scale]],                                  TRUE,"M= "&amp;TabTRADERCorrupted[[#This Row],[M]])</f>
        <v>209.45400000000083</v>
      </c>
      <c r="AI49" s="1131" t="str" cm="1">
        <f t="array" aca="1" ref="AI49" ca="1">_xlfn.IFS(   TabTRADERCorrupted[[#This Row],[Traps]]=MUp,TEXT(MIN(TabTRADERCorrupted[[#This Row],[L_Sn]],TabTRADERCorrupted[[#This Row],[N]]),"#,#0")&amp;" x "&amp;TEXT(TabTRADERCorrupted[[#This Row],[L_Sp]],"#,#0.#0"),          TRUE,"")</f>
        <v>400 x 31.52</v>
      </c>
      <c r="AJ49" s="1131"/>
      <c r="AK49" s="1131"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209.45400000000083</v>
      </c>
      <c r="AL49" s="1131"/>
      <c r="AM49" s="1131"/>
      <c r="AN49" s="1131"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14535.839299400006</v>
      </c>
      <c r="AO49" s="1140"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0.21200229799953227</v>
      </c>
      <c r="AP49" s="1140"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1.3783211109377505E-2</v>
      </c>
      <c r="AQ49" s="820" cm="1">
        <f t="array" aca="1" ref="AQ49" ca="1">_xlfn.IFS(   TabTRADERCorrupted[[#This Row],[Traps]]=SellMorePercentGain,                     MIN(TabTRADERCorrupted[[#This Row],[L_Sn]],TabTRADERCorrupted[[#This Row],[N]])*(TabTRADERCorrupted[[#This Row],[M]]-TabTRADERCorrupted[[#This Row],[L_Sp]])*(1-Commission)*TabTRADERCorrupted[[#This Row],[Scale]],                    TRUE,"")</f>
        <v>209.45400000000083</v>
      </c>
      <c r="AR49" s="1129">
        <f ca="1">_xlfn.XLOOKUP(TabTRADERCorrupted[[#This Row],[ClickTick]],TabCalc[Ticker],TabCalc[Ann%RevLB])</f>
        <v>1.2094684385382064</v>
      </c>
      <c r="AS49" s="1225">
        <f ca="1">_xlfn.XLOOKUP(TabTRADERCorrupted[[#This Row],[ClickTick]],TabCalc[Ticker],TabCalc[Up20])</f>
        <v>0</v>
      </c>
      <c r="AT49" s="1141"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20"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40" cm="1">
        <f t="array" aca="1" ref="AV49" ca="1">_xlfn.IFS(   TabTRADERCorrupted[[#This Row],[Traps]]=MUp,TabTRADERCorrupted[[#This Row],[TakeGain_A]]-Commission,        TabTRADERCorrupted[[#This Row],[Traps]]=MDown,(TabTRADERCorrupted[[#This Row],[A]]-TabTRADERCorrupted[[#This Row],[M]])/TabTRADERCorrupted[[#This Row],[M]]-Commission,                              TRUE,"")</f>
        <v>0.20940229799953228</v>
      </c>
      <c r="AW49" s="820"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17617.470634224719</v>
      </c>
      <c r="AX49" s="755"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49" s="731"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1,500x5.6</v>
      </c>
      <c r="AZ49" s="760"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0.21145109202473347</v>
      </c>
      <c r="BA49" s="757"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-0.17751905613500255</v>
      </c>
      <c r="BB49" s="322">
        <f ca="1">_xlfn.XLOOKUP(TabTRADERCorrupted[[#This Row],[ClickTick]],TabCalc[Ticker],TabCalc[L_Sn])</f>
        <v>400</v>
      </c>
      <c r="BC49" s="723">
        <f ca="1">_xlfn.XLOOKUP(TabTRADERCorrupted[[#This Row],[ClickTick]],TabCalc[Ticker],TabCalc[L_Sp])</f>
        <v>31.52</v>
      </c>
      <c r="BD49" s="759">
        <f ca="1">-IFERROR((TabTRADERCorrupted[[#This Row],[M]]-TabTRADERCorrupted[[#This Row],[L_Sp]])/TabTRADERCorrupted[[#This Row],[L_Sp]],0)</f>
        <v>-1.6656091370558443E-2</v>
      </c>
      <c r="BE49" s="724">
        <f ca="1">TabTRADERCorrupted[[#This Row],[L_Sn]]*(TabTRADERCorrupted[[#This Row],[M]]-TabTRADERCorrupted[[#This Row],[L_Sp]])*(1-Commission)*TabTRADERCorrupted[[#This Row],[Scale]]</f>
        <v>209.45400000000083</v>
      </c>
      <c r="BF49" s="687">
        <f ca="1">TabTRADERCorrupted[[#This Row],[L_Sn]]*(TabTRADERCorrupted[[#This Row],[Agiotage]]-TabTRADERCorrupted[[#This Row],[M]])/(TabTRADERCorrupted[[#This Row],[L_Bn]]*TabTRADERCorrupted[[#This Row],[M]])</f>
        <v>-0.26654779772730686</v>
      </c>
      <c r="BG49" s="630">
        <f ca="1">IFERROR((TabTRADERCorrupted[[#This Row],[M]]-TabTRADERCorrupted[[#This Row],[A]])/TabTRADERCorrupted[[#This Row],[A]],0)</f>
        <v>0.21200229799953227</v>
      </c>
      <c r="BH4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14,536$</v>
      </c>
      <c r="BI49" s="679">
        <f ca="1">_xlfn.XLOOKUP(TabTRADERCorrupted[[#This Row],[ClickTick]],TabCalc[[#This Row],[Ticker]],TabCalc[[#This Row],[GL]])*(1-Commission)</f>
        <v>107164.7315233569</v>
      </c>
      <c r="BJ49" s="679"/>
      <c r="BK49" s="664" t="str">
        <f ca="1">TabTRADERCorrupted[[#This Row],[ClickTick]]&amp;": "&amp;_xlfn.XLOOKUP(TabTRADERCorrupted[[#This Row],[ClickTick]],TabCalc[Ticker],TabCalc[Pile?])</f>
        <v>VLVLY: Pile</v>
      </c>
      <c r="BL49" s="349" t="s">
        <v>2001</v>
      </c>
      <c r="BM49" s="750" t="str" cm="1">
        <f t="array" aca="1" ref="BM49" ca="1">_xlfn.TEXTJOIN("",,INDEX({"M","A","Y"}, _xlfn.SORTBY({1,2,3}, -CHOOSE({1,2,3}, TabTRADERCorrupted[[#This Row],[M]], TabTRADERCorrupted[[#This Row],[A]], TabTRADERCorrupted[[#This Row],[Agiotage]]))))</f>
        <v>MAY</v>
      </c>
      <c r="BN49" s="896"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1.6383211109377505E-2</v>
      </c>
      <c r="BO49" s="674">
        <f ca="1">TabTRADERCorrupted[[#This Row],[L_Sn]]*TabTRADERCorrupted[[#This Row],[L_Sp]]+TabTRADERCorrupted[[#This Row],[SellMore]]*TabTRADERCorrupted[[#This Row],[M]]</f>
        <v>60675.5</v>
      </c>
      <c r="BP49" s="674">
        <f ca="1">INDEX(
  INDEX(TabConsolid[], , _xlfn.XMATCH(TabTRADERCorrupted[[#This Row],[ClickTick]]&amp;1, TabConsolid[#Headers])),
  MATCH(
    -TabTRADERCorrupted[[#This Row],[M]],
    INDEX(TabConsolid[], , _xlfn.XMATCH(TabTRADERCorrupted[[#This Row],[ClickTick]]&amp;2, TabConsolid[#Headers])),
    -1
  )
)</f>
        <v>1500</v>
      </c>
      <c r="BQ49" s="674"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13">
        <f ca="1">TabTRADERCorrupted[[#This Row],[ReBuy]]/(TabTRADERCorrupted[[#This Row],[L_Sn]]+TabTRADERCorrupted[[#This Row],[SellMore]])</f>
        <v>31.934473684210527</v>
      </c>
      <c r="BS4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-9.2396295196567238E-2</v>
      </c>
      <c r="BT49" s="682">
        <f ca="1">(TabTRADERCorrupted[[#This Row],[M]]-TabTRADERCorrupted[[#This Row],[Agiotage]])/(TabTRADERCorrupted[[#This Row],[M]]-TabTRADERCorrupted[[#This Row],[A]])-1</f>
        <v>4.7143816320729783</v>
      </c>
      <c r="BU49" s="1221">
        <f ca="1">_xlfn.XMATCH(TabTRADERCorrupted[[#This Row],[ClickTick]]&amp;1, TabConsolid[#Headers])</f>
        <v>143</v>
      </c>
      <c r="BV49" t="b">
        <f ca="1">IF(ABS(TabTRADERCorrupted[[#This Row],[L_Bp]])&gt;=TabTRADERCorrupted[[#This Row],[M]],"OK")</f>
        <v>0</v>
      </c>
    </row>
    <row r="50" spans="1:74">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+5,285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v>
      </c>
      <c r="D50" s="683"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1,887/16,500=115,283</v>
      </c>
      <c r="E5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7,143</v>
      </c>
      <c r="F50" s="224" t="str">
        <f ca="1">TRUNC(TabCalc[[#This Row],[L_B1p]],2)&amp;"x"&amp;TabCalc[[#This Row],[L_B1n]]&amp;"=   "&amp;TEXT(TabCalc[[#This Row],[ReverseS1]],"#,#0")&amp;"$"</f>
        <v>-58.8x2000=   4,600$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61.8x1010=   -707$</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7,143</v>
      </c>
      <c r="I50" s="224" t="str">
        <f ca="1">IFERROR(TRUNC(TabCalc[[#This Row],[L_S1p]],2)&amp;"x"&amp;TabCalc[[#This Row],[L_S1n]]&amp;"=   "&amp;TEXT(TabCalc[[#This Row],[ReverseB1]],"#,#0"),"")</f>
        <v>61.6x1000=   500</v>
      </c>
      <c r="J50" s="293">
        <f ca="1">_xlfn.XLOOKUP(TabTRADERCorrupted[[#This Row],[ClickTick]],TabCalc[Ticker],ListGravity)</f>
        <v>1.0256410801963993</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1.5685418415897006</v>
      </c>
      <c r="N50" s="322" cm="1">
        <f t="array" aca="1" ref="N50" ca="1">_xlfn.XLOOKUP(TabTRADERCorrupted[[#This Row],[ClickTick]],ListTickers,Tab2RSIConventional[RSIConv20])</f>
        <v>59</v>
      </c>
      <c r="O50" s="698" t="str">
        <f ca="1">TEXT(_xlfn.XLOOKUP(TabTRADERCorrupted[[#This Row],[ClickTick]],TabCalc[Ticker],TabCalc[Nbegin]),"#,#0")&amp;": "&amp;_xlfn.XLOOKUP(TabTRADERCorrupted[[#This Row],[ClickTick]],TabCalc[Ticker],TabCalc[Pile?])</f>
        <v xml:space="preserve">20,000: </v>
      </c>
      <c r="P50" s="851">
        <f ca="1">_xlfn.XLOOKUP(TabTRADERCorrupted[[#This Row],[ClickTick]],TabCalc[Ticker],TabCalc[L_Bn])</f>
        <v>2000</v>
      </c>
      <c r="Q50" s="723">
        <f ca="1">_xlfn.XLOOKUP(TabTRADERCorrupted[[#This Row],[ClickTick]],TabCalc[Ticker],TabCalc[L_Bp])</f>
        <v>-58.45</v>
      </c>
      <c r="R50" s="759">
        <f ca="1">(TabTRADERCorrupted[[#This Row],[M]]+TabTRADERCorrupted[[#This Row],[L_Bp]])/ABS(TabTRADERCorrupted[[#This Row],[L_Bp]])</f>
        <v>4.5337895637296809E-2</v>
      </c>
      <c r="S50" s="678">
        <f ca="1">_xlfn.XLOOKUP(TabTRADERCorrupted[[#This Row],[ClickTick]],TabCalc[Ticker],TabCalc[Rev(MinStock)])*(1-Commission)</f>
        <v>5271.259</v>
      </c>
      <c r="T50" s="777">
        <f ca="1">_xlfn.XLOOKUP(TabTRADERCorrupted[[#This Row],[ClickTick]],TabCalc[Ticker],TabCalc[Agiotage])</f>
        <v>1.5685418415897006</v>
      </c>
      <c r="U50" s="742"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3,300/3,300=&gt;0.5% / 0.5%</v>
      </c>
      <c r="V50" s="734" t="str">
        <f ca="1">_xlfn.XLOOKUP(TabTRADERCorrupted[[#This Row],[ClickTick]],[1]!RTData[Ticker_Symbol],[1]!RTData[Currency])</f>
        <v>CHF</v>
      </c>
      <c r="W50" s="744">
        <f ca="1">_xlfn.XLOOKUP(TabTRADERCorrupted[[#This Row],[ClickTick]],TabCalc[Ticker],TabCalc[M])</f>
        <v>61.1</v>
      </c>
      <c r="X50" s="1271" t="str">
        <f ca="1">SORTING!B50</f>
        <v>VONN</v>
      </c>
      <c r="Y50" s="798">
        <f ca="1">_xlfn.XLOOKUP(TabTRADERCorrupted[[#This Row],[ClickTick]],TabCalc[Ticker],TabCalc[Y])</f>
        <v>62.666670000000003</v>
      </c>
      <c r="Z50" s="812">
        <f ca="1">_xlfn.XLOOKUP(TabTRADERCorrupted[[#This Row],[ClickTick]],[1]!RTData[Ticker_Symbol],[1]!RTData[YTChange])</f>
        <v>2.7322459016393498E-2</v>
      </c>
      <c r="AA50" s="827">
        <f ca="1">-_xlfn.XLOOKUP(TabTRADERCorrupted[[#This Row],[ClickTick]]&amp;2,Consolid!B$3:JZ$3,Consolid!B$4:JZ$4)</f>
        <v>59.356350545454546</v>
      </c>
      <c r="AB50" s="812" cm="1">
        <f t="array" aca="1" ref="AB50" ca="1">_xlfn.XLOOKUP(TabTRADERCorrupted[[#This Row],[ClickTick]],ListTickers,Tab1ChangePercent[Change%19])</f>
        <v>4.934E-3</v>
      </c>
      <c r="AC50" s="763">
        <f ca="1">_xlfn.XLOOKUP(TabTRADERCorrupted[[#This Row],[ClickTick]],TabCalc[Ticker],TabCalc[NAfter])</f>
        <v>16500</v>
      </c>
      <c r="AD5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^169/1,005 K$</v>
      </c>
      <c r="AE50" s="1127"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0" s="1131"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1,010 x 61.80</v>
      </c>
      <c r="AG50" s="1131"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705.16179999999565</v>
      </c>
      <c r="AH50" s="1131" t="str" cm="1">
        <f t="array" aca="1" ref="AH50" ca="1">_xlfn.IFS(     TabTRADERCorrupted[[#This Row],[Traps]]=MUp,MIN(TabTRADERCorrupted[[#This Row],[L_Sn]],TabTRADERCorrupted[[#This Row],[N]])*(TabTRADERCorrupted[[#This Row],[M]]-TabTRADERCorrupted[[#This Row],[L_Sp]])*(1-Commission)*TabTRADERCorrupted[[#This Row],[Scale]],                                  TRUE,"M= "&amp;TabTRADERCorrupted[[#This Row],[M]])</f>
        <v>M= 61.1</v>
      </c>
      <c r="AI50" s="1131" t="str" cm="1">
        <f t="array" aca="1" ref="AI50" ca="1">_xlfn.IFS(   TabTRADERCorrupted[[#This Row],[Traps]]=MUp,TEXT(MIN(TabTRADERCorrupted[[#This Row],[L_Sn]],TabTRADERCorrupted[[#This Row],[N]]),"#,#0")&amp;" x "&amp;TEXT(TabTRADERCorrupted[[#This Row],[L_Sp]],"#,#0.#0"),          TRUE,"")</f>
        <v/>
      </c>
      <c r="AJ50" s="1131"/>
      <c r="AK50" s="1131" t="str"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0" s="1131"/>
      <c r="AM50" s="1131"/>
      <c r="AN50" s="1131"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705.16179999999565</v>
      </c>
      <c r="AO50" s="1140"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1.132686084142388E-2</v>
      </c>
      <c r="AP50" s="1140" t="str"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0" s="820" t="str" cm="1">
        <f t="array" aca="1" ref="AQ50" ca="1">_xlfn.IFS(   TabTRADERCorrupted[[#This Row],[Traps]]=SellMorePercentGain,                     MIN(TabTRADERCorrupted[[#This Row],[L_Sn]],TabTRADERCorrupted[[#This Row],[N]])*(TabTRADERCorrupted[[#This Row],[M]]-TabTRADERCorrupted[[#This Row],[L_Sp]])*(1-Commission)*TabTRADERCorrupted[[#This Row],[Scale]],                    TRUE,"")</f>
        <v/>
      </c>
      <c r="AR50" s="1146">
        <f ca="1">_xlfn.XLOOKUP(TabTRADERCorrupted[[#This Row],[ClickTick]],TabCalc[Ticker],TabCalc[Ann%RevLB])</f>
        <v>0.48004830674784854</v>
      </c>
      <c r="AS50" s="1225">
        <f ca="1">_xlfn.XLOOKUP(TabTRADERCorrupted[[#This Row],[ClickTick]],TabCalc[Ticker],TabCalc[Up20])</f>
        <v>0</v>
      </c>
      <c r="AT50" s="1141"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0" s="820"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40" t="str" cm="1">
        <f t="array" aca="1" ref="AV50" ca="1">_xlfn.IFS(   TabTRADERCorrupted[[#This Row],[Traps]]=MUp,TabTRADERCorrupted[[#This Row],[TakeGain_A]]-Commission,        TabTRADERCorrupted[[#This Row],[Traps]]=MDown,(TabTRADERCorrupted[[#This Row],[A]]-TabTRADERCorrupted[[#This Row],[M]])/TabTRADERCorrupted[[#This Row],[M]]-Commission,                              TRUE,"")</f>
        <v/>
      </c>
      <c r="AW50" s="755"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28695.413438400006</v>
      </c>
      <c r="AX50" s="755"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0" s="731"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0" s="760"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2.9299577045792898E-2</v>
      </c>
      <c r="BA50" s="757"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-3.1137634280613009E-2</v>
      </c>
      <c r="BB50" s="322">
        <f ca="1">_xlfn.XLOOKUP(TabTRADERCorrupted[[#This Row],[ClickTick]],TabCalc[Ticker],TabCalc[L_Sn])</f>
        <v>1010</v>
      </c>
      <c r="BC50" s="723">
        <f ca="1">_xlfn.XLOOKUP(TabTRADERCorrupted[[#This Row],[ClickTick]],TabCalc[Ticker],TabCalc[L_Sp])</f>
        <v>61.8</v>
      </c>
      <c r="BD50" s="759">
        <f ca="1">-IFERROR((TabTRADERCorrupted[[#This Row],[M]]-TabTRADERCorrupted[[#This Row],[L_Sp]])/TabTRADERCorrupted[[#This Row],[L_Sp]],0)</f>
        <v>1.132686084142388E-2</v>
      </c>
      <c r="BE50" s="724">
        <f ca="1">TabTRADERCorrupted[[#This Row],[L_Sn]]*(TabTRADERCorrupted[[#This Row],[M]]-TabTRADERCorrupted[[#This Row],[L_Sp]])*(1-Commission)*TabTRADERCorrupted[[#This Row],[Scale]]</f>
        <v>-705.16179999999565</v>
      </c>
      <c r="BF50" s="687">
        <f ca="1">TabTRADERCorrupted[[#This Row],[L_Sn]]*(TabTRADERCorrupted[[#This Row],[Agiotage]]-TabTRADERCorrupted[[#This Row],[M]])/(TabTRADERCorrupted[[#This Row],[L_Bn]]*TabTRADERCorrupted[[#This Row],[M]])</f>
        <v>-0.49203578346967597</v>
      </c>
      <c r="BG50" s="630">
        <f ca="1">IFERROR((TabTRADERCorrupted[[#This Row],[M]]-TabTRADERCorrupted[[#This Row],[A]])/TabTRADERCorrupted[[#This Row],[A]],0)</f>
        <v>2.9375954527564568E-2</v>
      </c>
      <c r="BH5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16,500 : 28,695$</v>
      </c>
      <c r="BI50" s="679">
        <f ca="1">_xlfn.XLOOKUP(TabTRADERCorrupted[[#This Row],[ClickTick]],TabCalc[[#This Row],[Ticker]],TabCalc[[#This Row],[GL]])*(1-Commission)</f>
        <v>168976.49527251057</v>
      </c>
      <c r="BJ50" s="679"/>
      <c r="BK50" s="664" t="str">
        <f ca="1">TabTRADERCorrupted[[#This Row],[ClickTick]]&amp;": "&amp;_xlfn.XLOOKUP(TabTRADERCorrupted[[#This Row],[ClickTick]],TabCalc[Ticker],TabCalc[Pile?])</f>
        <v xml:space="preserve">VONN: </v>
      </c>
      <c r="BL50" s="349" t="s">
        <v>2002</v>
      </c>
      <c r="BM50" s="750" t="str" cm="1">
        <f t="array" aca="1" ref="BM50" ca="1">_xlfn.TEXTJOIN("",,INDEX({"M","A","Y"}, _xlfn.SORTBY({1,2,3}, -CHOOSE({1,2,3}, TabTRADERCorrupted[[#This Row],[M]], TabTRADERCorrupted[[#This Row],[A]], TabTRADERCorrupted[[#This Row],[Agiotage]]))))</f>
        <v>MAY</v>
      </c>
      <c r="BN50" s="896" t="str"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0" s="674">
        <f ca="1">TabTRADERCorrupted[[#This Row],[L_Sn]]*TabTRADERCorrupted[[#This Row],[L_Sp]]+TabTRADERCorrupted[[#This Row],[SellMore]]*TabTRADERCorrupted[[#This Row],[M]]</f>
        <v>123518</v>
      </c>
      <c r="BP50" s="674">
        <f ca="1">INDEX(
  INDEX(TabConsolid[], , _xlfn.XMATCH(TabTRADERCorrupted[[#This Row],[ClickTick]]&amp;1, TabConsolid[#Headers])),
  MATCH(
    -TabTRADERCorrupted[[#This Row],[M]],
    INDEX(TabConsolid[], , _xlfn.XMATCH(TabTRADERCorrupted[[#This Row],[ClickTick]]&amp;2, TabConsolid[#Headers])),
    -1
  )
)</f>
        <v>1000</v>
      </c>
      <c r="BQ50" s="674"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13">
        <f ca="1">TabTRADERCorrupted[[#This Row],[ReBuy]]/(TabTRADERCorrupted[[#This Row],[L_Sn]]+TabTRADERCorrupted[[#This Row],[SellMore]])</f>
        <v>61.451741293532336</v>
      </c>
      <c r="BS5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-6.2550004941720042E-2</v>
      </c>
      <c r="BT50" s="682">
        <f ca="1">(TabTRADERCorrupted[[#This Row],[M]]-TabTRADERCorrupted[[#This Row],[Agiotage]])/(TabTRADERCorrupted[[#This Row],[M]]-TabTRADERCorrupted[[#This Row],[A]])-1</f>
        <v>33.141872956872128</v>
      </c>
      <c r="BU50" s="1221">
        <f ca="1">_xlfn.XMATCH(TabTRADERCorrupted[[#This Row],[ClickTick]]&amp;1, TabConsolid[#Headers])</f>
        <v>146</v>
      </c>
      <c r="BV50" t="b">
        <f ca="1">IF(ABS(TabTRADERCorrupted[[#This Row],[L_Bp]])&gt;=TabTRADERCorrupted[[#This Row],[M]],"OK")</f>
        <v>0</v>
      </c>
    </row>
    <row r="51" spans="1:74">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+10,621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18.4%</v>
      </c>
      <c r="D51" s="683"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2,347/5,000=27,207</v>
      </c>
      <c r="E5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16,800$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7,600$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-13.1% = 0</v>
      </c>
      <c r="I51" s="224" t="str">
        <f ca="1">IFERROR(TRUNC(TabCalc[[#This Row],[L_S1p]],2)&amp;"x"&amp;TabCalc[[#This Row],[L_S1n]]&amp;"=   "&amp;TEXT(TabCalc[[#This Row],[ReverseB1]],"#,#0"),"")</f>
        <v>10.58x5000=   -5,050</v>
      </c>
      <c r="J51" s="293">
        <f ca="1">_xlfn.XLOOKUP(TabTRADERCorrupted[[#This Row],[ClickTick]],TabCalc[Ticker],ListGravity)</f>
        <v>1.046160483175151</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0.70274789932397963</v>
      </c>
      <c r="N51" s="322" cm="1">
        <f t="array" aca="1" ref="N51" ca="1">_xlfn.XLOOKUP(TabTRADERCorrupted[[#This Row],[ClickTick]],ListTickers,Tab2RSIConventional[RSIConv20])</f>
        <v>81</v>
      </c>
      <c r="O51" s="698" t="str">
        <f ca="1">TEXT(_xlfn.XLOOKUP(TabTRADERCorrupted[[#This Row],[ClickTick]],TabCalc[Ticker],TabCalc[Nbegin]),"#,#0")&amp;": "&amp;_xlfn.XLOOKUP(TabTRADERCorrupted[[#This Row],[ClickTick]],TabCalc[Ticker],TabCalc[Pile?])</f>
        <v xml:space="preserve">5,000: </v>
      </c>
      <c r="P51" s="729">
        <f ca="1">_xlfn.XLOOKUP(TabTRADERCorrupted[[#This Row],[ClickTick]],TabCalc[Ticker],TabCalc[L_Bn])</f>
        <v>5000</v>
      </c>
      <c r="Q51" s="676">
        <f ca="1">_xlfn.XLOOKUP(TabTRADERCorrupted[[#This Row],[ClickTick]],TabCalc[Ticker],TabCalc[L_Bp])</f>
        <v>-9.4600000000000009</v>
      </c>
      <c r="R51" s="759">
        <f ca="1">(TabTRADERCorrupted[[#This Row],[M]]+TabTRADERCorrupted[[#This Row],[L_Bp]])/ABS(TabTRADERCorrupted[[#This Row],[L_Bp]])</f>
        <v>0.22515856236786458</v>
      </c>
      <c r="S51" s="678">
        <f ca="1">_xlfn.XLOOKUP(TabTRADERCorrupted[[#This Row],[ClickTick]],TabCalc[Ticker],TabCalc[Rev(MinStock)])*(1-Commission)</f>
        <v>10593.385399999999</v>
      </c>
      <c r="T51" s="777">
        <f ca="1">_xlfn.XLOOKUP(TabTRADERCorrupted[[#This Row],[ClickTick]],TabCalc[Ticker],TabCalc[Agiotage])</f>
        <v>0.70274789932397963</v>
      </c>
      <c r="U51" s="742"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-50/-50=&gt;-0.1% / -0.1%</v>
      </c>
      <c r="V51" s="734" t="str">
        <f ca="1">_xlfn.XLOOKUP(TabTRADERCorrupted[[#This Row],[ClickTick]],[1]!RTData[Ticker_Symbol],[1]!RTData[Currency])</f>
        <v>USD</v>
      </c>
      <c r="W51" s="744">
        <f ca="1">_xlfn.XLOOKUP(TabTRADERCorrupted[[#This Row],[ClickTick]],TabCalc[Ticker],TabCalc[M])</f>
        <v>11.59</v>
      </c>
      <c r="X51" s="1271" t="str">
        <f ca="1">SORTING!B51</f>
        <v>VTRS</v>
      </c>
      <c r="Y51" s="798">
        <f ca="1">_xlfn.XLOOKUP(TabTRADERCorrupted[[#This Row],[ClickTick]],TabCalc[Ticker],TabCalc[Y])</f>
        <v>12.125</v>
      </c>
      <c r="Z51" s="812">
        <f ca="1">_xlfn.XLOOKUP(TabTRADERCorrupted[[#This Row],[ClickTick]],[1]!RTData[Ticker_Symbol],[1]!RTData[YTChange])</f>
        <v>6.546572934973631E-2</v>
      </c>
      <c r="AA51" s="827">
        <f ca="1">-_xlfn.XLOOKUP(TabTRADERCorrupted[[#This Row],[ClickTick]]&amp;2,Consolid!B$3:JZ$3,Consolid!B$4:JZ$4)</f>
        <v>9.4845959999999998</v>
      </c>
      <c r="AB51" s="812" cm="1">
        <f t="array" aca="1" ref="AB51" ca="1">_xlfn.XLOOKUP(TabTRADERCorrupted[[#This Row],[ClickTick]],ListTickers,Tab1ChangePercent[Change%19])</f>
        <v>-8.6209999999999998E-4</v>
      </c>
      <c r="AC51" s="763">
        <f ca="1">_xlfn.XLOOKUP(TabTRADERCorrupted[[#This Row],[ClickTick]],TabCalc[Ticker],TabCalc[NAfter])</f>
        <v>5000</v>
      </c>
      <c r="AD5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-76/58 K$</v>
      </c>
      <c r="AE51" s="1147"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31"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11.59, 15.1%</v>
      </c>
      <c r="AG51" s="1131"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31" cm="1">
        <f t="array" aca="1" ref="AH51" ca="1">_xlfn.IFS(     TabTRADERCorrupted[[#This Row],[Traps]]=MUp,MIN(TabTRADERCorrupted[[#This Row],[L_Sn]],TabTRADERCorrupted[[#This Row],[N]])*(TabTRADERCorrupted[[#This Row],[M]]-TabTRADERCorrupted[[#This Row],[L_Sp]])*(1-Commission)*TabTRADERCorrupted[[#This Row],[Scale]],                                  TRUE,"M= "&amp;TabTRADERCorrupted[[#This Row],[M]])</f>
        <v>7580.239999999998</v>
      </c>
      <c r="AI51" s="1131" t="str" cm="1">
        <f t="array" aca="1" ref="AI51" ca="1">_xlfn.IFS(   TabTRADERCorrupted[[#This Row],[Traps]]=MUp,TEXT(MIN(TabTRADERCorrupted[[#This Row],[L_Sn]],TabTRADERCorrupted[[#This Row],[N]]),"#,#0")&amp;" x "&amp;TEXT(TabTRADERCorrupted[[#This Row],[L_Sp]],"#,#0.#0"),          TRUE,"")</f>
        <v>5,000 x 10.07</v>
      </c>
      <c r="AJ51" s="1131"/>
      <c r="AK51" s="1131"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7580.239999999998</v>
      </c>
      <c r="AL51" s="1131"/>
      <c r="AM51" s="1131"/>
      <c r="AN51" s="1131"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10499.649748</v>
      </c>
      <c r="AO51" s="1140"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0.2219814107000446</v>
      </c>
      <c r="AP51" s="1140"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0.12854754098360652</v>
      </c>
      <c r="AQ51" s="820" cm="1">
        <f t="array" aca="1" ref="AQ51" ca="1">_xlfn.IFS(   TabTRADERCorrupted[[#This Row],[Traps]]=SellMorePercentGain,                     MIN(TabTRADERCorrupted[[#This Row],[L_Sn]],TabTRADERCorrupted[[#This Row],[N]])*(TabTRADERCorrupted[[#This Row],[M]]-TabTRADERCorrupted[[#This Row],[L_Sp]])*(1-Commission)*TabTRADERCorrupted[[#This Row],[Scale]],                    TRUE,"")</f>
        <v>7580.239999999998</v>
      </c>
      <c r="AR51" s="1129">
        <f ca="1">_xlfn.XLOOKUP(TabTRADERCorrupted[[#This Row],[ClickTick]],TabCalc[Ticker],TabCalc[Ann%RevLB])</f>
        <v>1.052689382499107</v>
      </c>
      <c r="AS51" s="1225">
        <f ca="1">_xlfn.XLOOKUP(TabTRADERCorrupted[[#This Row],[ClickTick]],TabCalc[Ticker],TabCalc[Up20])</f>
        <v>0</v>
      </c>
      <c r="AT51" s="1141"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20"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40" cm="1">
        <f t="array" aca="1" ref="AV51" ca="1">_xlfn.IFS(   TabTRADERCorrupted[[#This Row],[Traps]]=MUp,TabTRADERCorrupted[[#This Row],[TakeGain_A]]-Commission,        TabTRADERCorrupted[[#This Row],[Traps]]=MDown,(TabTRADERCorrupted[[#This Row],[A]]-TabTRADERCorrupted[[#This Row],[M]])/TabTRADERCorrupted[[#This Row],[M]]-Commission,                              TRUE,"")</f>
        <v>0.2193814107000446</v>
      </c>
      <c r="AW51" s="820"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12830.376810917407</v>
      </c>
      <c r="AX51" s="755"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0.8%</v>
      </c>
      <c r="AY51" s="731"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5,000x2.1</v>
      </c>
      <c r="AZ51" s="760"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0.22140425903222447</v>
      </c>
      <c r="BA51" s="757"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-0.18425694564279552</v>
      </c>
      <c r="BB51" s="322">
        <f ca="1">_xlfn.XLOOKUP(TabTRADERCorrupted[[#This Row],[ClickTick]],TabCalc[Ticker],TabCalc[L_Sn])</f>
        <v>5000</v>
      </c>
      <c r="BC51" s="723">
        <f ca="1">_xlfn.XLOOKUP(TabTRADERCorrupted[[#This Row],[ClickTick]],TabCalc[Ticker],TabCalc[L_Sp])</f>
        <v>10.07</v>
      </c>
      <c r="BD51" s="759">
        <f ca="1">-IFERROR((TabTRADERCorrupted[[#This Row],[M]]-TabTRADERCorrupted[[#This Row],[L_Sp]])/TabTRADERCorrupted[[#This Row],[L_Sp]],0)</f>
        <v>-0.15094339622641506</v>
      </c>
      <c r="BE51" s="724">
        <f ca="1">TabTRADERCorrupted[[#This Row],[L_Sn]]*(TabTRADERCorrupted[[#This Row],[M]]-TabTRADERCorrupted[[#This Row],[L_Sp]])*(1-Commission)*TabTRADERCorrupted[[#This Row],[Scale]]</f>
        <v>7580.239999999998</v>
      </c>
      <c r="BF51" s="687">
        <f ca="1">TabTRADERCorrupted[[#This Row],[L_Sn]]*(TabTRADERCorrupted[[#This Row],[Agiotage]]-TabTRADERCorrupted[[#This Row],[M]])/(TabTRADERCorrupted[[#This Row],[L_Bn]]*TabTRADERCorrupted[[#This Row],[M]])</f>
        <v>-0.93936601386333218</v>
      </c>
      <c r="BG51" s="630">
        <f ca="1">IFERROR((TabTRADERCorrupted[[#This Row],[M]]-TabTRADERCorrupted[[#This Row],[A]])/TabTRADERCorrupted[[#This Row],[A]],0)</f>
        <v>0.2219814107000446</v>
      </c>
      <c r="BH5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10,500$</v>
      </c>
      <c r="BI51" s="679">
        <f ca="1">_xlfn.XLOOKUP(TabTRADERCorrupted[[#This Row],[ClickTick]],TabCalc[[#This Row],[Ticker]],TabCalc[[#This Row],[GL]])*(1-Commission)</f>
        <v>-75549.651320601333</v>
      </c>
      <c r="BJ51" s="679"/>
      <c r="BK51" s="664" t="str">
        <f ca="1">TabTRADERCorrupted[[#This Row],[ClickTick]]&amp;": "&amp;_xlfn.XLOOKUP(TabTRADERCorrupted[[#This Row],[ClickTick]],TabCalc[Ticker],TabCalc[Pile?])</f>
        <v xml:space="preserve">VTRS: </v>
      </c>
      <c r="BL51" s="349" t="s">
        <v>2003</v>
      </c>
      <c r="BM51" s="750" t="str" cm="1">
        <f t="array" aca="1" ref="BM51" ca="1">_xlfn.TEXTJOIN("",,INDEX({"M","A","Y"}, _xlfn.SORTBY({1,2,3}, -CHOOSE({1,2,3}, TabTRADERCorrupted[[#This Row],[M]], TabTRADERCorrupted[[#This Row],[A]], TabTRADERCorrupted[[#This Row],[Agiotage]]))))</f>
        <v>MAY</v>
      </c>
      <c r="BN51" s="896"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0.13114754098360651</v>
      </c>
      <c r="BO51" s="674">
        <f ca="1">TabTRADERCorrupted[[#This Row],[L_Sn]]*TabTRADERCorrupted[[#This Row],[L_Sp]]+TabTRADERCorrupted[[#This Row],[SellMore]]*TabTRADERCorrupted[[#This Row],[M]]</f>
        <v>108300</v>
      </c>
      <c r="BP51" s="674">
        <f ca="1">INDEX(
  INDEX(TabConsolid[], , _xlfn.XMATCH(TabTRADERCorrupted[[#This Row],[ClickTick]]&amp;1, TabConsolid[#Headers])),
  MATCH(
    -TabTRADERCorrupted[[#This Row],[M]],
    INDEX(TabConsolid[], , _xlfn.XMATCH(TabTRADERCorrupted[[#This Row],[ClickTick]]&amp;2, TabConsolid[#Headers])),
    -1
  )
)</f>
        <v>5000</v>
      </c>
      <c r="BQ51" s="674"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13">
        <f ca="1">TabTRADERCorrupted[[#This Row],[ReBuy]]/(TabTRADERCorrupted[[#This Row],[L_Sn]]+TabTRADERCorrupted[[#This Row],[SellMore]])</f>
        <v>10.83</v>
      </c>
      <c r="BS5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-4.354900840270408E-3</v>
      </c>
      <c r="BT51" s="682">
        <f ca="1">(TabTRADERCorrupted[[#This Row],[M]]-TabTRADERCorrupted[[#This Row],[Agiotage]])/(TabTRADERCorrupted[[#This Row],[M]]-TabTRADERCorrupted[[#This Row],[A]])-1</f>
        <v>4.1710988013113015</v>
      </c>
      <c r="BU51" s="1221">
        <f ca="1">_xlfn.XMATCH(TabTRADERCorrupted[[#This Row],[ClickTick]]&amp;1, TabConsolid[#Headers])</f>
        <v>149</v>
      </c>
      <c r="BV51" t="b">
        <f ca="1">IF(ABS(TabTRADERCorrupted[[#This Row],[L_Bp]])&gt;=TabTRADERCorrupted[[#This Row],[M]],"OK")</f>
        <v>0</v>
      </c>
    </row>
    <row r="52" spans="1:74">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3"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8"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6">
        <f ca="1">_xlfn.XLOOKUP(TabTRADERCorrupted[[#This Row],[ClickTick]],TabCalc[Ticker],TabCalc[L_Bp])</f>
        <v>-10.059900000000001</v>
      </c>
      <c r="R52" s="759">
        <f ca="1">(TabTRADERCorrupted[[#This Row],[M]]+TabTRADERCorrupted[[#This Row],[L_Bp]])/ABS(TabTRADERCorrupted[[#This Row],[L_Bp]])</f>
        <v>0.19086670841658462</v>
      </c>
      <c r="S52" s="678">
        <f ca="1">_xlfn.XLOOKUP(TabTRADERCorrupted[[#This Row],[ClickTick]],TabCalc[Ticker],TabCalc[Rev(MinStock)])*(1-Commission)</f>
        <v>5729.0655999999999</v>
      </c>
      <c r="T52" s="777">
        <f ca="1">_xlfn.XLOOKUP(TabTRADERCorrupted[[#This Row],[ClickTick]],TabCalc[Ticker],TabCalc[Agiotage])</f>
        <v>14.986033366586197</v>
      </c>
      <c r="U52" s="742"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4" t="str">
        <f ca="1">_xlfn.XLOOKUP(TabTRADERCorrupted[[#This Row],[ClickTick]],[1]!RTData[Ticker_Symbol],[1]!RTData[Currency])</f>
        <v>USD</v>
      </c>
      <c r="W52" s="744">
        <f ca="1">_xlfn.XLOOKUP(TabTRADERCorrupted[[#This Row],[ClickTick]],TabCalc[Ticker],TabCalc[M])</f>
        <v>11.98</v>
      </c>
      <c r="X52" s="1271" t="str">
        <f ca="1">SORTING!B52</f>
        <v>WBA</v>
      </c>
      <c r="Y52" s="798">
        <f ca="1">_xlfn.XLOOKUP(TabTRADERCorrupted[[#This Row],[ClickTick]],TabCalc[Ticker],TabCalc[Y])</f>
        <v>0</v>
      </c>
      <c r="Z52" s="812">
        <f ca="1">_xlfn.XLOOKUP(TabTRADERCorrupted[[#This Row],[ClickTick]],[1]!RTData[Ticker_Symbol],[1]!RTData[YTChange])</f>
        <v>0</v>
      </c>
      <c r="AA52" s="827">
        <f ca="1">-_xlfn.XLOOKUP(TabTRADERCorrupted[[#This Row],[ClickTick]]&amp;2,Consolid!B$3:JZ$3,Consolid!B$4:JZ$4)</f>
        <v>10.086055739999999</v>
      </c>
      <c r="AB52" s="812" cm="1">
        <f t="array" aca="1" ref="AB52" ca="1">_xlfn.XLOOKUP(TabTRADERCorrupted[[#This Row],[ClickTick]],ListTickers,Tab1ChangePercent[Change%19])</f>
        <v>0</v>
      </c>
      <c r="AC52" s="763">
        <f ca="1">_xlfn.XLOOKUP(TabTRADERCorrupted[[#This Row],[ClickTick]],TabCalc[Ticker],TabCalc[NAfter])</f>
        <v>3000</v>
      </c>
      <c r="AD5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-22/36 K$</v>
      </c>
      <c r="AE52" s="1147"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31"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31"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31"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31" t="str" cm="1">
        <f t="array" aca="1" ref="AI52" ca="1">_xlfn.IFS(   TabTRADERCorrupted[[#This Row],[Traps]]=MUp,TEXT(MIN(TabTRADERCorrupted[[#This Row],[L_Sn]],TabTRADERCorrupted[[#This Row],[N]]),"#,#0")&amp;" x "&amp;TEXT(TabTRADERCorrupted[[#This Row],[L_Sp]],"#,#0.#0"),          TRUE,"")</f>
        <v>3,000 x 11.25</v>
      </c>
      <c r="AJ52" s="1131"/>
      <c r="AK52" s="1131"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31"/>
      <c r="AM52" s="1131"/>
      <c r="AN52" s="1131"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40"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40"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9">
        <f ca="1">_xlfn.XLOOKUP(TabTRADERCorrupted[[#This Row],[ClickTick]],TabCalc[Ticker],TabCalc[Ann%RevLB])</f>
        <v>0.2230909578895145</v>
      </c>
      <c r="AS52" s="1225">
        <f ca="1">_xlfn.XLOOKUP(TabTRADERCorrupted[[#This Row],[ClickTick]],TabCalc[Ticker],TabCalc[Up20])</f>
        <v>0</v>
      </c>
      <c r="AT52" s="1141"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20"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40"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5"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5"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2" s="731"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60"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7"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3">
        <f ca="1">_xlfn.XLOOKUP(TabTRADERCorrupted[[#This Row],[ClickTick]],TabCalc[Ticker],TabCalc[L_Sp])</f>
        <v>11.251099999999999</v>
      </c>
      <c r="BD52" s="759">
        <f ca="1">-IFERROR((TabTRADERCorrupted[[#This Row],[M]]-TabTRADERCorrupted[[#This Row],[L_Sp]])/TabTRADERCorrupted[[#This Row],[L_Sp]],0)</f>
        <v>-6.478477659962148E-2</v>
      </c>
      <c r="BE52" s="724">
        <f ca="1">TabTRADERCorrupted[[#This Row],[L_Sn]]*(TabTRADERCorrupted[[#This Row],[M]]-TabTRADERCorrupted[[#This Row],[L_Sp]])*(1-Commission)*TabTRADERCorrupted[[#This Row],[Scale]]</f>
        <v>2908.0194400000046</v>
      </c>
      <c r="BF52" s="687">
        <f ca="1">TabTRADERCorrupted[[#This Row],[L_Sn]]*(TabTRADERCorrupted[[#This Row],[Agiotage]]-TabTRADERCorrupted[[#This Row],[M]])/(TabTRADERCorrupted[[#This Row],[L_Bn]]*TabTRADERCorrupted[[#This Row],[M]])</f>
        <v>0.15441291211435451</v>
      </c>
      <c r="BG52" s="630">
        <f ca="1">IFERROR((TabTRADERCorrupted[[#This Row],[M]]-TabTRADERCorrupted[[#This Row],[A]])/TabTRADERCorrupted[[#This Row],[A]],0)</f>
        <v>0.18777848435725594</v>
      </c>
      <c r="BH5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9">
        <f ca="1">_xlfn.XLOOKUP(TabTRADERCorrupted[[#This Row],[ClickTick]],TabCalc[[#This Row],[Ticker]],TabCalc[[#This Row],[GL]])*(1-Commission)</f>
        <v>-21944.544716113087</v>
      </c>
      <c r="BJ52" s="679"/>
      <c r="BK52" s="664" t="str">
        <f ca="1">TabTRADERCorrupted[[#This Row],[ClickTick]]&amp;": "&amp;_xlfn.XLOOKUP(TabTRADERCorrupted[[#This Row],[ClickTick]],TabCalc[Ticker],TabCalc[Pile?])</f>
        <v xml:space="preserve">WBA: </v>
      </c>
      <c r="BL52" s="349" t="s">
        <v>2004</v>
      </c>
      <c r="BM52" s="750" t="str" cm="1">
        <f t="array" aca="1" ref="BM52" ca="1">_xlfn.TEXTJOIN("",,INDEX({"M","A","Y"}, _xlfn.SORTBY({1,2,3}, -CHOOSE({1,2,3}, TabTRADERCorrupted[[#This Row],[M]], TabTRADERCorrupted[[#This Row],[A]], TabTRADERCorrupted[[#This Row],[Agiotage]]))))</f>
        <v>YMA</v>
      </c>
      <c r="BN52" s="896"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TabTRADERCorrupted[[#This Row],[L_Sn]]*TabTRADERCorrupted[[#This Row],[L_Sp]]+TabTRADERCorrupted[[#This Row],[SellMore]]*TabTRADERCorrupted[[#This Row],[M]]</f>
        <v>80944.399999999994</v>
      </c>
      <c r="BP52" s="674">
        <f ca="1">INDEX(
  INDEX(TabConsolid[], , _xlfn.XMATCH(TabTRADERCorrupted[[#This Row],[ClickTick]]&amp;1, TabConsolid[#Headers])),
  MATCH(
    -TabTRADERCorrupted[[#This Row],[M]],
    INDEX(TabConsolid[], , _xlfn.XMATCH(TabTRADERCorrupted[[#This Row],[ClickTick]]&amp;2, TabConsolid[#Headers])),
    -1
  )
)</f>
        <v>3000</v>
      </c>
      <c r="BQ52" s="674"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13">
        <f ca="1">TabTRADERCorrupted[[#This Row],[ReBuy]]/(TabTRADERCorrupted[[#This Row],[L_Sn]]+TabTRADERCorrupted[[#This Row],[SellMore]])</f>
        <v>11.563485714285713</v>
      </c>
      <c r="BS5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2">
        <f ca="1">(TabTRADERCorrupted[[#This Row],[M]]-TabTRADERCorrupted[[#This Row],[Agiotage]])/(TabTRADERCorrupted[[#This Row],[M]]-TabTRADERCorrupted[[#This Row],[A]])-1</f>
        <v>-2.5871815396437245</v>
      </c>
      <c r="BU52" s="1221">
        <f ca="1">_xlfn.XMATCH(TabTRADERCorrupted[[#This Row],[ClickTick]]&amp;1, TabConsolid[#Headers])</f>
        <v>152</v>
      </c>
      <c r="BV52" t="b">
        <f ca="1">IF(ABS(TabTRADERCorrupted[[#This Row],[L_Bp]])&gt;=TabTRADERCorrupted[[#This Row],[M]],"OK")</f>
        <v>0</v>
      </c>
    </row>
    <row r="53" spans="1:74">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+616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v>
      </c>
      <c r="D53" s="683"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6,730$</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21,924$</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10.2% = 0</v>
      </c>
      <c r="I53" s="224" t="str">
        <f ca="1">IFERROR(TRUNC(TabCalc[[#This Row],[L_S1p]],2)&amp;"x"&amp;TabCalc[[#This Row],[L_S1n]]&amp;"=   "&amp;TEXT(TabCalc[[#This Row],[ReverseB1]],"#,#0"),"")</f>
        <v>114.13x1800=   -9,756</v>
      </c>
      <c r="J53" s="293">
        <f ca="1">_xlfn.XLOOKUP(TabTRADERCorrupted[[#This Row],[ClickTick]],TabCalc[Ticker],ListGravity)</f>
        <v>1.0783772480133835</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35865</v>
      </c>
      <c r="M53" s="321">
        <f ca="1">_xlfn.XLOOKUP(TabTRADERCorrupted[[#This Row],[ClickTick]],TabCalc[Ticker],TabCalc[Agiotage])</f>
        <v>0.89778480211282241</v>
      </c>
      <c r="N53" s="322" cm="1">
        <f t="array" aca="1" ref="N53" ca="1">_xlfn.XLOOKUP(TabTRADERCorrupted[[#This Row],[ClickTick]],ListTickers,Tab2RSIConventional[RSIConv20])</f>
        <v>82</v>
      </c>
      <c r="O53" s="698"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6">
        <f ca="1">_xlfn.XLOOKUP(TabTRADERCorrupted[[#This Row],[ClickTick]],TabCalc[Ticker],TabCalc[L_Bp])</f>
        <v>-117.49</v>
      </c>
      <c r="R53" s="759">
        <f ca="1">(TabTRADERCorrupted[[#This Row],[M]]+TabTRADERCorrupted[[#This Row],[L_Bp]])/ABS(TabTRADERCorrupted[[#This Row],[L_Bp]])</f>
        <v>1.7533407098476485E-2</v>
      </c>
      <c r="S53" s="678">
        <f ca="1">_xlfn.XLOOKUP(TabTRADERCorrupted[[#This Row],[ClickTick]],TabCalc[Ticker],TabCalc[Rev(MinStock)])*(1-Commission)</f>
        <v>614.39839999999992</v>
      </c>
      <c r="T53" s="777">
        <f ca="1">_xlfn.XLOOKUP(TabTRADERCorrupted[[#This Row],[ClickTick]],TabCalc[Ticker],TabCalc[Agiotage])</f>
        <v>0.89778480211282241</v>
      </c>
      <c r="U53" s="742"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150/150=&gt;0.0% / 0.0%</v>
      </c>
      <c r="V53" s="734" t="str">
        <f ca="1">_xlfn.XLOOKUP(TabTRADERCorrupted[[#This Row],[ClickTick]],[1]!RTData[Ticker_Symbol],[1]!RTData[Currency])</f>
        <v>USD</v>
      </c>
      <c r="W53" s="744">
        <f ca="1">_xlfn.XLOOKUP(TabTRADERCorrupted[[#This Row],[ClickTick]],TabCalc[Ticker],TabCalc[M])</f>
        <v>119.55</v>
      </c>
      <c r="X53" s="1271" t="str">
        <f ca="1">SORTING!B53</f>
        <v>XOM</v>
      </c>
      <c r="Y53" s="798">
        <f ca="1">_xlfn.XLOOKUP(TabTRADERCorrupted[[#This Row],[ClickTick]],TabCalc[Ticker],TabCalc[Y])</f>
        <v>128.91999999999999</v>
      </c>
      <c r="Z53" s="812">
        <f ca="1">_xlfn.XLOOKUP(TabTRADERCorrupted[[#This Row],[ClickTick]],[1]!RTData[Ticker_Symbol],[1]!RTData[YTChange])</f>
        <v>-2.980132450331132E-2</v>
      </c>
      <c r="AA53" s="827">
        <f ca="1">-_xlfn.XLOOKUP(TabTRADERCorrupted[[#This Row],[ClickTick]]&amp;2,Consolid!B$3:JZ$3,Consolid!B$4:JZ$4)</f>
        <v>113.22361799999999</v>
      </c>
      <c r="AB53" s="812" cm="1">
        <f t="array" aca="1" ref="AB53" ca="1">_xlfn.XLOOKUP(TabTRADERCorrupted[[#This Row],[ClickTick]],ListTickers,Tab1ChangePercent[Change%19])</f>
        <v>8.3649999999999987E-5</v>
      </c>
      <c r="AC53" s="763">
        <f ca="1">_xlfn.XLOOKUP(TabTRADERCorrupted[[#This Row],[ClickTick]],TabCalc[Ticker],TabCalc[NAfter])</f>
        <v>500</v>
      </c>
      <c r="AD5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^11/60 K$</v>
      </c>
      <c r="AE53" s="1147"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31"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31"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614.39839999999992</v>
      </c>
      <c r="AH53" s="1131"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119.55</v>
      </c>
      <c r="AI53" s="1131" t="str" cm="1">
        <f t="array" aca="1" ref="AI53" ca="1">_xlfn.IFS(   TabTRADERCorrupted[[#This Row],[Traps]]=MUp,TEXT(MIN(TabTRADERCorrupted[[#This Row],[L_Sn]],TabTRADERCorrupted[[#This Row],[N]]),"#,#0")&amp;" x "&amp;TEXT(TabTRADERCorrupted[[#This Row],[L_Sp]],"#,#0.#0"),          TRUE,"")</f>
        <v/>
      </c>
      <c r="AJ53" s="1131"/>
      <c r="AK53" s="1131"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31"/>
      <c r="AM53" s="1131"/>
      <c r="AN53" s="1131"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614.39839999999992</v>
      </c>
      <c r="AO53" s="1140"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1.7533407098476485E-2</v>
      </c>
      <c r="AP53" s="1140"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20" t="str" cm="1">
        <f t="array" aca="1" ref="AQ53" ca="1">_xlfn.IFS(   TabTRADERCorrupted[[#This Row],[Traps]]=SellMorePercentGain,                     MIN(TabTRADERCorrupted[[#This Row],[L_Sn]],TabTRADERCorrupted[[#This Row],[N]])*(TabTRADERCorrupted[[#This Row],[M]]-TabTRADERCorrupted[[#This Row],[L_Sp]])*(1-Commission)*TabTRADERCorrupted[[#This Row],[Scale]],                    TRUE,"")</f>
        <v/>
      </c>
      <c r="AR53" s="1129">
        <f ca="1">_xlfn.XLOOKUP(TabTRADERCorrupted[[#This Row],[ClickTick]],TabCalc[Ticker],TabCalc[Ann%RevLB])</f>
        <v>8.3052980992783354E-2</v>
      </c>
      <c r="AS53" s="1225">
        <f ca="1">_xlfn.XLOOKUP(TabTRADERCorrupted[[#This Row],[ClickTick]],TabCalc[Ticker],TabCalc[Up20])</f>
        <v>0</v>
      </c>
      <c r="AT53" s="1141"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20"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40" t="str" cm="1">
        <f t="array" aca="1" ref="AV53" ca="1">_xlfn.IFS(   TabTRADERCorrupted[[#This Row],[Traps]]=MUp,TabTRADERCorrupted[[#This Row],[TakeGain_A]]-Commission,        TabTRADERCorrupted[[#This Row],[Traps]]=MDown,(TabTRADERCorrupted[[#This Row],[A]]-TabTRADERCorrupted[[#This Row],[M]])/TabTRADERCorrupted[[#This Row],[M]]-Commission,                              TRUE,"")</f>
        <v/>
      </c>
      <c r="AW53" s="820"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3331.2508119239801</v>
      </c>
      <c r="AX53" s="755"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53" s="731"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60"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7"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-5.551829360100384E-2</v>
      </c>
      <c r="BB53" s="322">
        <f ca="1">_xlfn.XLOOKUP(TabTRADERCorrupted[[#This Row],[ClickTick]],TabCalc[Ticker],TabCalc[L_Sn])</f>
        <v>1800</v>
      </c>
      <c r="BC53" s="723">
        <f ca="1">_xlfn.XLOOKUP(TabTRADERCorrupted[[#This Row],[ClickTick]],TabCalc[Ticker],TabCalc[L_Sp])</f>
        <v>107.37</v>
      </c>
      <c r="BD53" s="759">
        <f ca="1">-IFERROR((TabTRADERCorrupted[[#This Row],[M]]-TabTRADERCorrupted[[#This Row],[L_Sp]])/TabTRADERCorrupted[[#This Row],[L_Sp]],0)</f>
        <v>-0.11343950824252577</v>
      </c>
      <c r="BE53" s="724">
        <f ca="1">TabTRADERCorrupted[[#This Row],[L_Sn]]*(TabTRADERCorrupted[[#This Row],[M]]-TabTRADERCorrupted[[#This Row],[L_Sp]])*(1-Commission)*TabTRADERCorrupted[[#This Row],[Scale]]</f>
        <v>21866.997599999984</v>
      </c>
      <c r="BF53" s="687">
        <f ca="1">TabTRADERCorrupted[[#This Row],[L_Sn]]*(TabTRADERCorrupted[[#This Row],[Agiotage]]-TabTRADERCorrupted[[#This Row],[M]])/(TabTRADERCorrupted[[#This Row],[L_Bn]]*TabTRADERCorrupted[[#This Row],[M]])</f>
        <v>-5.9549417916129075</v>
      </c>
      <c r="BG53" s="630">
        <f ca="1">IFERROR((TabTRADERCorrupted[[#This Row],[M]]-TabTRADERCorrupted[[#This Row],[A]])/TabTRADERCorrupted[[#This Row],[A]],0)</f>
        <v>5.5875109025397954E-2</v>
      </c>
      <c r="BH5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3,155$</v>
      </c>
      <c r="BI53" s="679">
        <f ca="1">_xlfn.XLOOKUP(TabTRADERCorrupted[[#This Row],[ClickTick]],TabCalc[[#This Row],[Ticker]],TabCalc[[#This Row],[GL]])*(1-Commission)</f>
        <v>11033.446040270701</v>
      </c>
      <c r="BJ53" s="679"/>
      <c r="BK53" s="664" t="str">
        <f ca="1">TabTRADERCorrupted[[#This Row],[ClickTick]]&amp;": "&amp;_xlfn.XLOOKUP(TabTRADERCorrupted[[#This Row],[ClickTick]],TabCalc[Ticker],TabCalc[Pile?])</f>
        <v xml:space="preserve">XOM: </v>
      </c>
      <c r="BL53" s="349" t="s">
        <v>2005</v>
      </c>
      <c r="BM53" s="750" t="str" cm="1">
        <f t="array" aca="1" ref="BM53" ca="1">_xlfn.TEXTJOIN("",,INDEX({"M","A","Y"}, _xlfn.SORTBY({1,2,3}, -CHOOSE({1,2,3}, TabTRADERCorrupted[[#This Row],[M]], TabTRADERCorrupted[[#This Row],[A]], TabTRADERCorrupted[[#This Row],[Agiotage]]))))</f>
        <v>MAY</v>
      </c>
      <c r="BN53" s="896"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4">
        <f ca="1">TabTRADERCorrupted[[#This Row],[L_Sn]]*TabTRADERCorrupted[[#This Row],[L_Sp]]+TabTRADERCorrupted[[#This Row],[SellMore]]*TabTRADERCorrupted[[#This Row],[M]]</f>
        <v>229131</v>
      </c>
      <c r="BP53" s="674">
        <f ca="1">INDEX(
  INDEX(TabConsolid[], , _xlfn.XMATCH(TabTRADERCorrupted[[#This Row],[ClickTick]]&amp;1, TabConsolid[#Headers])),
  MATCH(
    -TabTRADERCorrupted[[#This Row],[M]],
    INDEX(TabConsolid[], , _xlfn.XMATCH(TabTRADERCorrupted[[#This Row],[ClickTick]]&amp;2, TabConsolid[#Headers])),
    -1
  )
)</f>
        <v>300</v>
      </c>
      <c r="BQ53" s="674"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13">
        <f ca="1">TabTRADERCorrupted[[#This Row],[ReBuy]]/(TabTRADERCorrupted[[#This Row],[L_Sn]]+TabTRADERCorrupted[[#This Row],[SellMore]])</f>
        <v>109.11</v>
      </c>
      <c r="BS5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-0.30322232772793389</v>
      </c>
      <c r="BT53" s="682">
        <f ca="1">(TabTRADERCorrupted[[#This Row],[M]]-TabTRADERCorrupted[[#This Row],[Agiotage]])/(TabTRADERCorrupted[[#This Row],[M]]-TabTRADERCorrupted[[#This Row],[A]])-1</f>
        <v>17.755145547310768</v>
      </c>
      <c r="BU53" s="1221">
        <f ca="1">_xlfn.XMATCH(TabTRADERCorrupted[[#This Row],[ClickTick]]&amp;1, TabConsolid[#Headers])</f>
        <v>155</v>
      </c>
      <c r="BV53" t="b">
        <f ca="1">IF(ABS(TabTRADERCorrupted[[#This Row],[L_Bp]])&gt;=TabTRADERCorrupted[[#This Row],[M]],"OK")</f>
        <v>0</v>
      </c>
    </row>
    <row r="54" spans="1:74">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-2,494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-8.1%</v>
      </c>
      <c r="D54" s="683"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-15,624$</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-31,608$</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71.3% = 1,139</v>
      </c>
      <c r="I54" s="224" t="str">
        <f ca="1">IFERROR(TRUNC(TabCalc[[#This Row],[L_S1p]],2)&amp;"x"&amp;TabCalc[[#This Row],[L_S1n]]&amp;"=   "&amp;TEXT(TabCalc[[#This Row],[ReverseB1]],"#,#0"),"")</f>
        <v>8.63x3000=   7,410</v>
      </c>
      <c r="J54" s="293">
        <f ca="1">_xlfn.XLOOKUP(TabTRADERCorrupted[[#This Row],[ClickTick]],TabCalc[Ticker],ListGravity)</f>
        <v>1.8506493506493507</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56672</v>
      </c>
      <c r="M54" s="321">
        <f ca="1">_xlfn.XLOOKUP(TabTRADERCorrupted[[#This Row],[ClickTick]],TabCalc[Ticker],TabCalc[Agiotage])</f>
        <v>0.65766770373662653</v>
      </c>
      <c r="N54" s="322" cm="1">
        <f t="array" aca="1" ref="N54" ca="1">_xlfn.XLOOKUP(TabTRADERCorrupted[[#This Row],[ClickTick]],ListTickers,Tab2RSIConventional[RSIConv20])</f>
        <v>70</v>
      </c>
      <c r="O54" s="698" t="str">
        <f ca="1">TEXT(_xlfn.XLOOKUP(TabTRADERCorrupted[[#This Row],[ClickTick]],TabCalc[Ticker],TabCalc[Nbegin]),"#,#0")&amp;": "&amp;_xlfn.XLOOKUP(TabTRADERCorrupted[[#This Row],[ClickTick]],TabCalc[Ticker],TabCalc[Pile?])</f>
        <v>800: Pile</v>
      </c>
      <c r="P54" s="729">
        <f ca="1">_xlfn.XLOOKUP(TabTRADERCorrupted[[#This Row],[ClickTick]],TabCalc[Ticker],TabCalc[L_Bn])</f>
        <v>5000</v>
      </c>
      <c r="Q54" s="723">
        <f ca="1">_xlfn.XLOOKUP(TabTRADERCorrupted[[#This Row],[ClickTick]],TabCalc[Ticker],TabCalc[L_Bp])</f>
        <v>-6.66</v>
      </c>
      <c r="R54" s="759">
        <f ca="1">(TabTRADERCorrupted[[#This Row],[M]]+TabTRADERCorrupted[[#This Row],[L_Bp]])/ABS(TabTRADERCorrupted[[#This Row],[L_Bp]])</f>
        <v>-7.5075075075075076E-2</v>
      </c>
      <c r="S54" s="678">
        <f ca="1">_xlfn.XLOOKUP(TabTRADERCorrupted[[#This Row],[ClickTick]],TabCalc[Ticker],TabCalc[Rev(MinStock)])*(1-Commission)</f>
        <v>-2487.5155999999997</v>
      </c>
      <c r="T54" s="777">
        <f ca="1">_xlfn.XLOOKUP(TabTRADERCorrupted[[#This Row],[ClickTick]],TabCalc[Ticker],TabCalc[Agiotage])</f>
        <v>0.65766770373662653</v>
      </c>
      <c r="U54" s="742"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-950/-950=&gt;-1.4% / -1.4%</v>
      </c>
      <c r="V54" s="734" t="str">
        <f ca="1">_xlfn.XLOOKUP(TabTRADERCorrupted[[#This Row],[ClickTick]],[1]!RTData[Ticker_Symbol],[1]!RTData[Currency])</f>
        <v>USD</v>
      </c>
      <c r="W54" s="744">
        <f ca="1">_xlfn.XLOOKUP(TabTRADERCorrupted[[#This Row],[ClickTick]],TabCalc[Ticker],TabCalc[M])</f>
        <v>6.16</v>
      </c>
      <c r="X54" s="1271" t="str">
        <f ca="1">SORTING!B54</f>
        <v>XPER</v>
      </c>
      <c r="Y54" s="798">
        <f ca="1">_xlfn.XLOOKUP(TabTRADERCorrupted[[#This Row],[ClickTick]],TabCalc[Ticker],TabCalc[Y])</f>
        <v>11.4</v>
      </c>
      <c r="Z54" s="812">
        <f ca="1">_xlfn.XLOOKUP(TabTRADERCorrupted[[#This Row],[ClickTick]],[1]!RTData[Ticker_Symbol],[1]!RTData[YTChange])</f>
        <v>-0.39199999999999996</v>
      </c>
      <c r="AA54" s="827">
        <f ca="1">-_xlfn.XLOOKUP(TabTRADERCorrupted[[#This Row],[ClickTick]]&amp;2,Consolid!B$3:JZ$3,Consolid!B$4:JZ$4)</f>
        <v>8.2882936799999989</v>
      </c>
      <c r="AB54" s="812" cm="1">
        <f t="array" aca="1" ref="AB54" ca="1">_xlfn.XLOOKUP(TabTRADERCorrupted[[#This Row],[ClickTick]],ListTickers,Tab1ChangePercent[Change%19])</f>
        <v>-1.44E-2</v>
      </c>
      <c r="AC54" s="763">
        <f ca="1">_xlfn.XLOOKUP(TabTRADERCorrupted[[#This Row],[ClickTick]],TabCalc[Ticker],TabCalc[NAfter])</f>
        <v>10000</v>
      </c>
      <c r="AD5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-62/61 K$</v>
      </c>
      <c r="AE54" s="1147"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31"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6.16, -41.6%</v>
      </c>
      <c r="AG54" s="1131"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31" t="str" cm="1">
        <f t="array" aca="1" ref="AH54" ca="1">_xlfn.IFS(     TabTRADERCorrupted[[#This Row],[Traps]]=MUp,MIN(TabTRADERCorrupted[[#This Row],[L_Sn]],TabTRADERCorrupted[[#This Row],[N]])*(TabTRADERCorrupted[[#This Row],[M]]-TabTRADERCorrupted[[#This Row],[L_Sp]])*(1-Commission)*TabTRADERCorrupted[[#This Row],[Scale]],                                  TRUE,"M= "&amp;TabTRADERCorrupted[[#This Row],[M]])</f>
        <v>M= 6.16</v>
      </c>
      <c r="AI54" s="1131" t="str" cm="1">
        <f t="array" aca="1" ref="AI54" ca="1">_xlfn.IFS(   TabTRADERCorrupted[[#This Row],[Traps]]=MUp,TEXT(MIN(TabTRADERCorrupted[[#This Row],[L_Sn]],TabTRADERCorrupted[[#This Row],[N]]),"#,#0")&amp;" x "&amp;TEXT(TabTRADERCorrupted[[#This Row],[L_Sp]],"#,#0.#0"),          TRUE,"")</f>
        <v/>
      </c>
      <c r="AJ54" s="1131"/>
      <c r="AK54" s="1131"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2493.5</v>
      </c>
      <c r="AL54" s="1131"/>
      <c r="AM54" s="1131"/>
      <c r="AN54" s="1131"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61600</v>
      </c>
      <c r="AO54" s="1140"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0.25678309217440748</v>
      </c>
      <c r="AP54" s="1140"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7.8568831168831163E-2</v>
      </c>
      <c r="AQ54" s="820" t="str" cm="1">
        <f t="array" aca="1" ref="AQ54" ca="1">_xlfn.IFS(   TabTRADERCorrupted[[#This Row],[Traps]]=SellMorePercentGain,                     MIN(TabTRADERCorrupted[[#This Row],[L_Sn]],TabTRADERCorrupted[[#This Row],[N]])*(TabTRADERCorrupted[[#This Row],[M]]-TabTRADERCorrupted[[#This Row],[L_Sp]])*(1-Commission)*TabTRADERCorrupted[[#This Row],[Scale]],                    TRUE,"")</f>
        <v/>
      </c>
      <c r="AR54" s="1129">
        <f ca="1">_xlfn.XLOOKUP(TabTRADERCorrupted[[#This Row],[ClickTick]],TabCalc[Ticker],TabCalc[Ann%RevLB])</f>
        <v>-0.42900042900042901</v>
      </c>
      <c r="AS54" s="1225">
        <f ca="1">_xlfn.XLOOKUP(TabTRADERCorrupted[[#This Row],[ClickTick]],TabCalc[Ticker],TabCalc[Up20])</f>
        <v>0</v>
      </c>
      <c r="AT54" s="1141"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8.1168831168831168E-2</v>
      </c>
      <c r="AU54" s="820" cm="1">
        <f t="array" aca="1" ref="AU54" ca="1">_xlfn.IFS(         TabTRADERCorrupted[[#This Row],[Traps]]=MDown,TabTRADERCorrupted[[#This Row],[L_Bn]]*TabTRADERCorrupted[[#This Row],[M]]*(-(TabTRADERCorrupted[[#This Row],[L_Bp]]+TabTRADERCorrupted[[#This Row],[M]])/TabTRADERCorrupted[[#This Row],[M]])*(1-Commission)*TabTRADERCorrupted[[#This Row],[Scale]],                               TRUE,"")</f>
        <v>2493.5</v>
      </c>
      <c r="AV54" s="1140" cm="1">
        <f t="array" aca="1" ref="AV54" ca="1">_xlfn.IFS(   TabTRADERCorrupted[[#This Row],[Traps]]=MUp,TabTRADERCorrupted[[#This Row],[TakeGain_A]]-Commission,        TabTRADERCorrupted[[#This Row],[Traps]]=MDown,(TabTRADERCorrupted[[#This Row],[A]]-TabTRADERCorrupted[[#This Row],[M]])/TabTRADERCorrupted[[#This Row],[M]]-Commission,                              TRUE,"")</f>
        <v>0.34290222077922056</v>
      </c>
      <c r="AW54" s="820"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21227.601164319989</v>
      </c>
      <c r="AX54" s="755"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54" s="731"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-0.5</v>
      </c>
      <c r="AZ54" s="760"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-0.256115456134754</v>
      </c>
      <c r="BA54" s="757"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0.34290222077922056</v>
      </c>
      <c r="BB54" s="322">
        <f ca="1">_xlfn.XLOOKUP(TabTRADERCorrupted[[#This Row],[ClickTick]],TabCalc[Ticker],TabCalc[L_Sn])</f>
        <v>7200</v>
      </c>
      <c r="BC54" s="723">
        <f ca="1">_xlfn.XLOOKUP(TabTRADERCorrupted[[#This Row],[ClickTick]],TabCalc[Ticker],TabCalc[L_Sp])</f>
        <v>10.55</v>
      </c>
      <c r="BD54" s="759">
        <f ca="1">-IFERROR((TabTRADERCorrupted[[#This Row],[M]]-TabTRADERCorrupted[[#This Row],[L_Sp]])/TabTRADERCorrupted[[#This Row],[L_Sp]],0)</f>
        <v>0.41611374407582941</v>
      </c>
      <c r="BE54" s="724">
        <f ca="1">TabTRADERCorrupted[[#This Row],[L_Sn]]*(TabTRADERCorrupted[[#This Row],[M]]-TabTRADERCorrupted[[#This Row],[L_Sp]])*(1-Commission)*TabTRADERCorrupted[[#This Row],[Scale]]</f>
        <v>-31525.819200000002</v>
      </c>
      <c r="BF54" s="687">
        <f ca="1">TabTRADERCorrupted[[#This Row],[L_Sn]]*(TabTRADERCorrupted[[#This Row],[Agiotage]]-TabTRADERCorrupted[[#This Row],[M]])/(TabTRADERCorrupted[[#This Row],[L_Bn]]*TabTRADERCorrupted[[#This Row],[M]])</f>
        <v>-1.2862594978278017</v>
      </c>
      <c r="BG54" s="630">
        <f ca="1">IFERROR((TabTRADERCorrupted[[#This Row],[M]]-TabTRADERCorrupted[[#This Row],[A]])/TabTRADERCorrupted[[#This Row],[A]],0)</f>
        <v>-0.25678309217440748</v>
      </c>
      <c r="BH5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-21,228$</v>
      </c>
      <c r="BI54" s="679">
        <f ca="1">_xlfn.XLOOKUP(TabTRADERCorrupted[[#This Row],[ClickTick]],TabCalc[[#This Row],[Ticker]],TabCalc[[#This Row],[GL]])*(1-Commission)</f>
        <v>-61375.161807664379</v>
      </c>
      <c r="BJ54" s="679"/>
      <c r="BK54" s="664" t="str">
        <f ca="1">TabTRADERCorrupted[[#This Row],[ClickTick]]&amp;": "&amp;_xlfn.XLOOKUP(TabTRADERCorrupted[[#This Row],[ClickTick]],TabCalc[Ticker],TabCalc[Pile?])</f>
        <v>XPER: Pile</v>
      </c>
      <c r="BL54" s="349" t="s">
        <v>2006</v>
      </c>
      <c r="BM54" s="750" t="str" cm="1">
        <f t="array" aca="1" ref="BM54" ca="1">_xlfn.TEXTJOIN("",,INDEX({"M","A","Y"}, _xlfn.SORTBY({1,2,3}, -CHOOSE({1,2,3}, TabTRADERCorrupted[[#This Row],[M]], TabTRADERCorrupted[[#This Row],[A]], TabTRADERCorrupted[[#This Row],[Agiotage]]))))</f>
        <v>AMY</v>
      </c>
      <c r="BN54" s="896"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8.1168831168831168E-2</v>
      </c>
      <c r="BO54" s="674" t="e">
        <f ca="1">TabTRADERCorrupted[[#This Row],[L_Sn]]*TabTRADERCorrupted[[#This Row],[L_Sp]]+TabTRADERCorrupted[[#This Row],[SellMore]]*TabTRADERCorrupted[[#This Row],[M]]</f>
        <v>#N/A</v>
      </c>
      <c r="BP54" s="674" t="e">
        <f ca="1">INDEX(
  INDEX(TabConsolid[], , _xlfn.XMATCH(TabTRADERCorrupted[[#This Row],[ClickTick]]&amp;1, TabConsolid[#Headers])),
  MATCH(
    -TabTRADERCorrupted[[#This Row],[M]],
    INDEX(TabConsolid[], , _xlfn.XMATCH(TabTRADERCorrupted[[#This Row],[ClickTick]]&amp;2, TabConsolid[#Headers])),
    -1
  )
)</f>
        <v>#N/A</v>
      </c>
      <c r="BQ54" s="674"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13" t="e">
        <f ca="1">TabTRADERCorrupted[[#This Row],[ReBuy]]/(TabTRADERCorrupted[[#This Row],[L_Sn]]+TabTRADERCorrupted[[#This Row],[SellMore]])</f>
        <v>#N/A</v>
      </c>
      <c r="BS5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-1.314446048551806E-3</v>
      </c>
      <c r="BT54" s="682">
        <f ca="1">(TabTRADERCorrupted[[#This Row],[M]]-TabTRADERCorrupted[[#This Row],[Agiotage]])/(TabTRADERCorrupted[[#This Row],[M]]-TabTRADERCorrupted[[#This Row],[A]])-1</f>
        <v>-3.5853256756667986</v>
      </c>
      <c r="BU54" s="1221">
        <f ca="1">_xlfn.XMATCH(TabTRADERCorrupted[[#This Row],[ClickTick]]&amp;1, TabConsolid[#Headers])</f>
        <v>158</v>
      </c>
      <c r="BV54" t="str">
        <f ca="1">IF(ABS(TabTRADERCorrupted[[#This Row],[L_Bp]])&gt;=TabTRADERCorrupted[[#This Row],[M]],"OK")</f>
        <v>OK</v>
      </c>
    </row>
    <row r="55" spans="1:74">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-8,144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-74.2%</v>
      </c>
      <c r="D55" s="683"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-9,200$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2.8484909090909087</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60482.950000000004</v>
      </c>
      <c r="M55" s="321">
        <f ca="1">_xlfn.XLOOKUP(TabTRADERCorrupted[[#This Row],[ClickTick]],TabCalc[Ticker],TabCalc[Agiotage])</f>
        <v>0.95520716685330342</v>
      </c>
      <c r="N55" s="322" cm="1">
        <f t="array" aca="1" ref="N55" ca="1">_xlfn.XLOOKUP(TabTRADERCorrupted[[#This Row],[ClickTick]],ListTickers,Tab2RSIConventional[RSIConv20])</f>
        <v>20</v>
      </c>
      <c r="O55" s="698" t="str">
        <f ca="1">TEXT(_xlfn.XLOOKUP(TabTRADERCorrupted[[#This Row],[ClickTick]],TabCalc[Ticker],TabCalc[Nbegin]),"#,#0")&amp;": "&amp;_xlfn.XLOOKUP(TabTRADERCorrupted[[#This Row],[ClickTick]],TabCalc[Ticker],TabCalc[Pile?])</f>
        <v>395,031: Pile</v>
      </c>
      <c r="P55" s="851">
        <f ca="1">_xlfn.XLOOKUP(TabTRADERCorrupted[[#This Row],[ClickTick]],TabCalc[Ticker],TabCalc[L_Bn])</f>
        <v>20000</v>
      </c>
      <c r="Q55" s="723">
        <f ca="1">_xlfn.XLOOKUP(TabTRADERCorrupted[[#This Row],[ClickTick]],TabCalc[Ticker],TabCalc[L_Bp])</f>
        <v>-0.95828650000000004</v>
      </c>
      <c r="R55" s="759">
        <f ca="1">(TabTRADERCorrupted[[#This Row],[M]]+TabTRADERCorrupted[[#This Row],[L_Bp]])/ABS(TabTRADERCorrupted[[#This Row],[L_Bp]])</f>
        <v>-0.42605890827012588</v>
      </c>
      <c r="S55" s="678">
        <f ca="1">_xlfn.XLOOKUP(TabTRADERCorrupted[[#This Row],[ClickTick]],TabCalc[Ticker],TabCalc[Rev(MinStock)])*(1-Commission)</f>
        <v>-8122.8255999999992</v>
      </c>
      <c r="T55" s="777">
        <f ca="1">_xlfn.XLOOKUP(TabTRADERCorrupted[[#This Row],[ClickTick]],TabCalc[Ticker],TabCalc[Agiotage])</f>
        <v>0.95520716685330342</v>
      </c>
      <c r="U55" s="742"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-18,180/-18,180=&gt;-8.0% / -8.0%</v>
      </c>
      <c r="V55" s="734" t="str">
        <f ca="1">_xlfn.XLOOKUP(TabTRADERCorrupted[[#This Row],[ClickTick]],[1]!RTData[Ticker_Symbol],[1]!RTData[Currency])</f>
        <v>EUR</v>
      </c>
      <c r="W55" s="744">
        <f ca="1">_xlfn.XLOOKUP(TabTRADERCorrupted[[#This Row],[ClickTick]],TabCalc[Ticker],TabCalc[M])</f>
        <v>0.55000000000000004</v>
      </c>
      <c r="X55" s="1271" t="str">
        <f ca="1">SORTING!B55</f>
        <v>MVEALDNE</v>
      </c>
      <c r="Y55" s="798">
        <f ca="1">_xlfn.XLOOKUP(TabTRADERCorrupted[[#This Row],[ClickTick]],TabCalc[Ticker],TabCalc[Y])</f>
        <v>1.56667</v>
      </c>
      <c r="Z55" s="812">
        <f ca="1">_xlfn.XLOOKUP(TabTRADERCorrupted[[#This Row],[ClickTick]],[1]!RTData[Ticker_Symbol],[1]!RTData[YTChange])</f>
        <v>-0.59517571059431518</v>
      </c>
      <c r="AA55" s="827">
        <f ca="1">-_xlfn.XLOOKUP(TabTRADERCorrupted[[#This Row],[ClickTick]]&amp;2,Consolid!B$3:JZ$3,Consolid!B$4:JZ$4)</f>
        <v>1.2674944585077077</v>
      </c>
      <c r="AB55" s="812" cm="1">
        <f t="array" aca="1" ref="AB55" ca="1">_xlfn.XLOOKUP(TabTRADERCorrupted[[#This Row],[ClickTick]],ListTickers,Tab1ChangePercent[Change%19])</f>
        <v>-8.0267999999999992E-2</v>
      </c>
      <c r="AC55" s="763">
        <f ca="1">_xlfn.XLOOKUP(TabTRADERCorrupted[[#This Row],[ClickTick]],TabCalc[Ticker],TabCalc[NAfter])</f>
        <v>505000</v>
      </c>
      <c r="AD5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-364/277 K$</v>
      </c>
      <c r="AE55" s="1147"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31"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31"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31"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0.55</v>
      </c>
      <c r="AI55" s="1131" t="str" cm="1">
        <f t="array" aca="1" ref="AI55" ca="1">_xlfn.IFS(   TabTRADERCorrupted[[#This Row],[Traps]]=MUp,TEXT(MIN(TabTRADERCorrupted[[#This Row],[L_Sn]],TabTRADERCorrupted[[#This Row],[N]]),"#,#0")&amp;" x "&amp;TEXT(TabTRADERCorrupted[[#This Row],[L_Sp]],"#,#0.#0"),          TRUE,"")</f>
        <v/>
      </c>
      <c r="AJ55" s="1131"/>
      <c r="AK55" s="1131"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8144.4991019999989</v>
      </c>
      <c r="AL55" s="1131"/>
      <c r="AM55" s="1131"/>
      <c r="AN55" s="1131"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277750</v>
      </c>
      <c r="AO55" s="1140"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0.5660730535677877</v>
      </c>
      <c r="AP55" s="1140"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0.73973909090909085</v>
      </c>
      <c r="AQ55" s="820" t="str" cm="1">
        <f t="array" aca="1" ref="AQ55" ca="1">_xlfn.IFS(   TabTRADERCorrupted[[#This Row],[Traps]]=SellMorePercentGain,                     MIN(TabTRADERCorrupted[[#This Row],[L_Sn]],TabTRADERCorrupted[[#This Row],[N]])*(TabTRADERCorrupted[[#This Row],[M]]-TabTRADERCorrupted[[#This Row],[L_Sp]])*(1-Commission)*TabTRADERCorrupted[[#This Row],[Scale]],                    TRUE,"")</f>
        <v/>
      </c>
      <c r="AR55" s="1129">
        <f ca="1">_xlfn.XLOOKUP(TabTRADERCorrupted[[#This Row],[ClickTick]],TabCalc[Ticker],TabCalc[Ann%RevLB])</f>
        <v>-1.0955800498374666</v>
      </c>
      <c r="AS55" s="1225">
        <f ca="1">_xlfn.XLOOKUP(TabTRADERCorrupted[[#This Row],[ClickTick]],TabCalc[Ticker],TabCalc[Up20])</f>
        <v>0</v>
      </c>
      <c r="AT55" s="1141"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0.74233909090909089</v>
      </c>
      <c r="AU55" s="820" cm="1">
        <f t="array" aca="1" ref="AU55" ca="1">_xlfn.IFS(         TabTRADERCorrupted[[#This Row],[Traps]]=MDown,TabTRADERCorrupted[[#This Row],[L_Bn]]*TabTRADERCorrupted[[#This Row],[M]]*(-(TabTRADERCorrupted[[#This Row],[L_Bp]]+TabTRADERCorrupted[[#This Row],[M]])/TabTRADERCorrupted[[#This Row],[M]])*(1-Commission)*TabTRADERCorrupted[[#This Row],[Scale]],                               TRUE,"")</f>
        <v>8144.4991019999989</v>
      </c>
      <c r="AV55" s="1140" cm="1">
        <f t="array" aca="1" ref="AV55" ca="1">_xlfn.IFS(   TabTRADERCorrupted[[#This Row],[Traps]]=MUp,TabTRADERCorrupted[[#This Row],[TakeGain_A]]-Commission,        TabTRADERCorrupted[[#This Row],[Traps]]=MDown,(TabTRADERCorrupted[[#This Row],[A]]-TabTRADERCorrupted[[#This Row],[M]])/TabTRADERCorrupted[[#This Row],[M]]-Commission,                              TRUE,"")</f>
        <v>1.3019353791049231</v>
      </c>
      <c r="AW55" s="820"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361392.63132237172</v>
      </c>
      <c r="AX55" s="755"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5" s="731"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-0.4</v>
      </c>
      <c r="AZ55" s="760"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-0.56460126362851137</v>
      </c>
      <c r="BA55" s="757"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1.3019353791049231</v>
      </c>
      <c r="BB55" s="322">
        <f ca="1">_xlfn.XLOOKUP(TabTRADERCorrupted[[#This Row],[ClickTick]],TabCalc[Ticker],TabCalc[L_Sn])</f>
        <v>0</v>
      </c>
      <c r="BC55" s="723">
        <f ca="1">_xlfn.XLOOKUP(TabTRADERCorrupted[[#This Row],[ClickTick]],TabCalc[Ticker],TabCalc[L_Sp])</f>
        <v>0</v>
      </c>
      <c r="BD55" s="759">
        <f ca="1">-IFERROR((TabTRADERCorrupted[[#This Row],[M]]-TabTRADERCorrupted[[#This Row],[L_Sp]])/TabTRADERCorrupted[[#This Row],[L_Sp]],0)</f>
        <v>0</v>
      </c>
      <c r="BE55" s="724">
        <f ca="1">TabTRADERCorrupted[[#This Row],[L_Sn]]*(TabTRADERCorrupted[[#This Row],[M]]-TabTRADERCorrupted[[#This Row],[L_Sp]])*(1-Commission)*TabTRADERCorrupted[[#This Row],[Scale]]</f>
        <v>0</v>
      </c>
      <c r="BF55" s="687">
        <f ca="1">TabTRADERCorrupted[[#This Row],[L_Sn]]*(TabTRADERCorrupted[[#This Row],[Agiotage]]-TabTRADERCorrupted[[#This Row],[M]])/(TabTRADERCorrupted[[#This Row],[L_Bn]]*TabTRADERCorrupted[[#This Row],[M]])</f>
        <v>0</v>
      </c>
      <c r="BG55" s="630">
        <f ca="1">IFERROR((TabTRADERCorrupted[[#This Row],[M]]-TabTRADERCorrupted[[#This Row],[A]])/TabTRADERCorrupted[[#This Row],[A]],0)</f>
        <v>-0.5660730535677877</v>
      </c>
      <c r="BH5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-361,393$</v>
      </c>
      <c r="BI55" s="679">
        <f ca="1">_xlfn.XLOOKUP(TabTRADERCorrupted[[#This Row],[ClickTick]],TabCalc[[#This Row],[Ticker]],TabCalc[[#This Row],[GL]])*(1-Commission)</f>
        <v>-362858.9341918648</v>
      </c>
      <c r="BJ55" s="679"/>
      <c r="BK55" s="664" t="str">
        <f ca="1">TabTRADERCorrupted[[#This Row],[ClickTick]]&amp;": "&amp;_xlfn.XLOOKUP(TabTRADERCorrupted[[#This Row],[ClickTick]],TabCalc[Ticker],TabCalc[Pile?])</f>
        <v>MVEALDNE: Pile</v>
      </c>
      <c r="BL55" s="349" t="s">
        <v>2007</v>
      </c>
      <c r="BM55" s="750" t="str" cm="1">
        <f t="array" aca="1" ref="BM55" ca="1">_xlfn.TEXTJOIN("",,INDEX({"M","A","Y"}, _xlfn.SORTBY({1,2,3}, -CHOOSE({1,2,3}, TabTRADERCorrupted[[#This Row],[M]], TabTRADERCorrupted[[#This Row],[A]], TabTRADERCorrupted[[#This Row],[Agiotage]]))))</f>
        <v>AYM</v>
      </c>
      <c r="BN55" s="896"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0.74233909090909089</v>
      </c>
      <c r="BO55" s="674" t="e">
        <f ca="1">TabTRADERCorrupted[[#This Row],[L_Sn]]*TabTRADERCorrupted[[#This Row],[L_Sp]]+TabTRADERCorrupted[[#This Row],[SellMore]]*TabTRADERCorrupted[[#This Row],[M]]</f>
        <v>#N/A</v>
      </c>
      <c r="BP55" s="674" t="e">
        <f ca="1">INDEX(
  INDEX(TabConsolid[], , _xlfn.XMATCH(TabTRADERCorrupted[[#This Row],[ClickTick]]&amp;1, TabConsolid[#Headers])),
  MATCH(
    -TabTRADERCorrupted[[#This Row],[M]],
    INDEX(TabConsolid[], , _xlfn.XMATCH(TabTRADERCorrupted[[#This Row],[ClickTick]]&amp;2, TabConsolid[#Headers])),
    -1
  )
)</f>
        <v>#N/A</v>
      </c>
      <c r="BQ55" s="674"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13" t="e">
        <f ca="1">TabTRADERCorrupted[[#This Row],[ReBuy]]/(TabTRADERCorrupted[[#This Row],[L_Sn]]+TabTRADERCorrupted[[#This Row],[SellMore]])</f>
        <v>#N/A</v>
      </c>
      <c r="BS5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2">
        <f ca="1">(TabTRADERCorrupted[[#This Row],[M]]-TabTRADERCorrupted[[#This Row],[Agiotage]])/(TabTRADERCorrupted[[#This Row],[M]]-TabTRADERCorrupted[[#This Row],[A]])-1</f>
        <v>-0.43524697361972664</v>
      </c>
      <c r="BU55" s="1221">
        <f ca="1">_xlfn.XMATCH(TabTRADERCorrupted[[#This Row],[ClickTick]]&amp;1, TabConsolid[#Headers])</f>
        <v>161</v>
      </c>
      <c r="BV55" t="str">
        <f ca="1">IF(ABS(TabTRADERCorrupted[[#This Row],[L_Bp]])&gt;=TabTRADERCorrupted[[#This Row],[M]],"OK")</f>
        <v>OK</v>
      </c>
    </row>
    <row r="56" spans="1:74">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-4,837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-24.7%</v>
      </c>
      <c r="D56" s="683"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-6,220$</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-7,775$</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79.1% = 3,215</v>
      </c>
      <c r="I56" s="224" t="str">
        <f ca="1">IFERROR(TRUNC(TabCalc[[#This Row],[L_S1p]],2)&amp;"x"&amp;TabCalc[[#This Row],[L_S1n]]&amp;"=   "&amp;TEXT(TabCalc[[#This Row],[ReverseB1]],"#,#0"),"")</f>
        <v>3.96x5000=   9,976</v>
      </c>
      <c r="J56" s="293">
        <f ca="1">_xlfn.XLOOKUP(TabTRADERCorrupted[[#This Row],[ClickTick]],TabCalc[Ticker],ListGravity)</f>
        <v>1.8447837150127226</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1.5342978323128995</v>
      </c>
      <c r="N56" s="322" cm="1">
        <f t="array" aca="1" ref="N56" ca="1">_xlfn.XLOOKUP(TabTRADERCorrupted[[#This Row],[ClickTick]],ListTickers,Tab2RSIConventional[RSIConv20])</f>
        <v>49</v>
      </c>
      <c r="O56" s="698" t="str">
        <f ca="1">TEXT(_xlfn.XLOOKUP(TabTRADERCorrupted[[#This Row],[ClickTick]],TabCalc[Ticker],TabCalc[Nbegin]),"#,#0")&amp;": "&amp;_xlfn.XLOOKUP(TabTRADERCorrupted[[#This Row],[ClickTick]],TabCalc[Ticker],TabCalc[Pile?])</f>
        <v xml:space="preserve">10,000: </v>
      </c>
      <c r="P56" s="729">
        <f ca="1">_xlfn.XLOOKUP(TabTRADERCorrupted[[#This Row],[ClickTick]],TabCalc[Ticker],TabCalc[L_Bn])</f>
        <v>10000</v>
      </c>
      <c r="Q56" s="676">
        <f ca="1">_xlfn.XLOOKUP(TabTRADERCorrupted[[#This Row],[ClickTick]],TabCalc[Ticker],TabCalc[L_Bp])</f>
        <v>-2.4500000000000002</v>
      </c>
      <c r="R56" s="759">
        <f ca="1">(TabTRADERCorrupted[[#This Row],[M]]+TabTRADERCorrupted[[#This Row],[L_Bp]])/ABS(TabTRADERCorrupted[[#This Row],[L_Bp]])</f>
        <v>-0.1979591836734694</v>
      </c>
      <c r="S56" s="678">
        <f ca="1">_xlfn.XLOOKUP(TabTRADERCorrupted[[#This Row],[ClickTick]],TabCalc[Ticker],TabCalc[Rev(MinStock)])*(1-Commission)</f>
        <v>-4824.4237999999996</v>
      </c>
      <c r="T56" s="777">
        <f ca="1">_xlfn.XLOOKUP(TabTRADERCorrupted[[#This Row],[ClickTick]],TabCalc[Ticker],TabCalc[Agiotage])</f>
        <v>1.5342978323128995</v>
      </c>
      <c r="U56" s="742"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1,750/1,750=&gt;11.0% / 11.0%</v>
      </c>
      <c r="V56" s="734" t="str">
        <f ca="1">_xlfn.XLOOKUP(TabTRADERCorrupted[[#This Row],[ClickTick]],[1]!RTData[Ticker_Symbol],[1]!RTData[Currency])</f>
        <v>USD</v>
      </c>
      <c r="W56" s="744">
        <f ca="1">_xlfn.XLOOKUP(TabTRADERCorrupted[[#This Row],[ClickTick]],TabCalc[Ticker],TabCalc[M])</f>
        <v>1.9650000000000001</v>
      </c>
      <c r="X56" s="1271" t="str">
        <f ca="1">SORTING!B56</f>
        <v>MVEDDD</v>
      </c>
      <c r="Y56" s="798">
        <f ca="1">_xlfn.XLOOKUP(TabTRADERCorrupted[[#This Row],[ClickTick]],TabCalc[Ticker],TabCalc[Y])</f>
        <v>3.625</v>
      </c>
      <c r="Z56" s="812">
        <f ca="1">_xlfn.XLOOKUP(TabTRADERCorrupted[[#This Row],[ClickTick]],[1]!RTData[Ticker_Symbol],[1]!RTData[YTChange])</f>
        <v>-7.9949238578680193E-2</v>
      </c>
      <c r="AA56" s="827">
        <f ca="1">-_xlfn.XLOOKUP(TabTRADERCorrupted[[#This Row],[ClickTick]]&amp;2,Consolid!B$3:JZ$3,Consolid!B$4:JZ$4)</f>
        <v>2.4563699999999997</v>
      </c>
      <c r="AB56" s="812" cm="1">
        <f t="array" aca="1" ref="AB56" ca="1">_xlfn.XLOOKUP(TabTRADERCorrupted[[#This Row],[ClickTick]],ListTickers,Tab1ChangePercent[Change%19])</f>
        <v>0.110169</v>
      </c>
      <c r="AC56" s="763">
        <f ca="1">_xlfn.XLOOKUP(TabTRADERCorrupted[[#This Row],[ClickTick]],TabCalc[Ticker],TabCalc[NAfter])</f>
        <v>10000</v>
      </c>
      <c r="AD5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^7/20 K$</v>
      </c>
      <c r="AE56" s="1127"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31"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31"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7754.7849999999999</v>
      </c>
      <c r="AH56" s="1131"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1.965</v>
      </c>
      <c r="AI56" s="1131" t="str" cm="1">
        <f t="array" aca="1" ref="AI56" ca="1">_xlfn.IFS(   TabTRADERCorrupted[[#This Row],[Traps]]=MUp,TEXT(MIN(TabTRADERCorrupted[[#This Row],[L_Sn]],TabTRADERCorrupted[[#This Row],[N]]),"#,#0")&amp;" x "&amp;TEXT(TabTRADERCorrupted[[#This Row],[L_Sp]],"#,#0.#0"),          TRUE,"")</f>
        <v/>
      </c>
      <c r="AJ56" s="1131"/>
      <c r="AK56" s="1131"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31"/>
      <c r="AM56" s="1131"/>
      <c r="AN56" s="1131"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7754.7849999999999</v>
      </c>
      <c r="AO56" s="1140"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0.44176136363636359</v>
      </c>
      <c r="AP56" s="1140"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TabTRADERCorrupted[[#This Row],[Traps]]=SellMorePercentGain,                     MIN(TabTRADERCorrupted[[#This Row],[L_Sn]],TabTRADERCorrupted[[#This Row],[N]])*(TabTRADERCorrupted[[#This Row],[M]]-TabTRADERCorrupted[[#This Row],[L_Sp]])*(1-Commission)*TabTRADERCorrupted[[#This Row],[Scale]],                    TRUE,"")</f>
        <v/>
      </c>
      <c r="AR56" s="1129">
        <f ca="1">_xlfn.XLOOKUP(TabTRADERCorrupted[[#This Row],[ClickTick]],TabCalc[Ticker],TabCalc[Ann%RevLB])</f>
        <v>-0.1569720399172885</v>
      </c>
      <c r="AS56" s="1225">
        <f ca="1">_xlfn.XLOOKUP(TabTRADERCorrupted[[#This Row],[ClickTick]],TabCalc[Ticker],TabCalc[Up20])</f>
        <v>0</v>
      </c>
      <c r="AT56" s="1141"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20"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40" t="str" cm="1">
        <f t="array" aca="1" ref="AV56" ca="1">_xlfn.IFS(   TabTRADERCorrupted[[#This Row],[Traps]]=MUp,TabTRADERCorrupted[[#This Row],[TakeGain_A]]-Commission,        TabTRADERCorrupted[[#This Row],[Traps]]=MDown,(TabTRADERCorrupted[[#This Row],[A]]-TabTRADERCorrupted[[#This Row],[M]])/TabTRADERCorrupted[[#This Row],[M]]-Commission,                              TRUE,"")</f>
        <v/>
      </c>
      <c r="AW56" s="820"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-4900.9243799999958</v>
      </c>
      <c r="AX56" s="755"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1.5%</v>
      </c>
      <c r="AY56" s="731"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60"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-0.19951898044675667</v>
      </c>
      <c r="BA56" s="757"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0.2474610687022899</v>
      </c>
      <c r="BB56" s="322">
        <f ca="1">_xlfn.XLOOKUP(TabTRADERCorrupted[[#This Row],[ClickTick]],TabCalc[Ticker],TabCalc[L_Sn])</f>
        <v>5000</v>
      </c>
      <c r="BC56" s="723">
        <f ca="1">_xlfn.XLOOKUP(TabTRADERCorrupted[[#This Row],[ClickTick]],TabCalc[Ticker],TabCalc[L_Sp])</f>
        <v>3.52</v>
      </c>
      <c r="BD56" s="759">
        <f ca="1">-IFERROR((TabTRADERCorrupted[[#This Row],[M]]-TabTRADERCorrupted[[#This Row],[L_Sp]])/TabTRADERCorrupted[[#This Row],[L_Sp]],0)</f>
        <v>0.44176136363636359</v>
      </c>
      <c r="BE56" s="724">
        <f ca="1">TabTRADERCorrupted[[#This Row],[L_Sn]]*(TabTRADERCorrupted[[#This Row],[M]]-TabTRADERCorrupted[[#This Row],[L_Sp]])*(1-Commission)*TabTRADERCorrupted[[#This Row],[Scale]]</f>
        <v>-7754.7849999999999</v>
      </c>
      <c r="BF56" s="687">
        <f ca="1">TabTRADERCorrupted[[#This Row],[L_Sn]]*(TabTRADERCorrupted[[#This Row],[Agiotage]]-TabTRADERCorrupted[[#This Row],[M]])/(TabTRADERCorrupted[[#This Row],[L_Bn]]*TabTRADERCorrupted[[#This Row],[M]])</f>
        <v>-0.10959342689239202</v>
      </c>
      <c r="BG56" s="630">
        <f ca="1">IFERROR((TabTRADERCorrupted[[#This Row],[M]]-TabTRADERCorrupted[[#This Row],[A]])/TabTRADERCorrupted[[#This Row],[A]],0)</f>
        <v>-0.20003908206011298</v>
      </c>
      <c r="BH5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-4,901$</v>
      </c>
      <c r="BI56" s="679">
        <f ca="1">_xlfn.XLOOKUP(TabTRADERCorrupted[[#This Row],[ClickTick]],TabCalc[[#This Row],[Ticker]],TabCalc[[#This Row],[GL]])*(1-Commission)</f>
        <v>6505.6761709427947</v>
      </c>
      <c r="BJ56" s="679"/>
      <c r="BK56" s="664" t="str">
        <f ca="1">TabTRADERCorrupted[[#This Row],[ClickTick]]&amp;": "&amp;_xlfn.XLOOKUP(TabTRADERCorrupted[[#This Row],[ClickTick]],TabCalc[Ticker],TabCalc[Pile?])</f>
        <v xml:space="preserve">MVEDDD: </v>
      </c>
      <c r="BL56" s="349" t="s">
        <v>2008</v>
      </c>
      <c r="BM56" s="750" t="str" cm="1">
        <f t="array" aca="1" ref="BM56" ca="1">_xlfn.TEXTJOIN("",,INDEX({"M","A","Y"}, _xlfn.SORTBY({1,2,3}, -CHOOSE({1,2,3}, TabTRADERCorrupted[[#This Row],[M]], TabTRADERCorrupted[[#This Row],[A]], TabTRADERCorrupted[[#This Row],[Agiotage]]))))</f>
        <v>AMY</v>
      </c>
      <c r="BN56" s="896"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4" t="e">
        <f ca="1">TabTRADERCorrupted[[#This Row],[L_Sn]]*TabTRADERCorrupted[[#This Row],[L_Sp]]+TabTRADERCorrupted[[#This Row],[SellMore]]*TabTRADERCorrupted[[#This Row],[M]]</f>
        <v>#N/A</v>
      </c>
      <c r="BP56" s="674" t="e">
        <f ca="1">INDEX(
  INDEX(TabConsolid[], , _xlfn.XMATCH(TabTRADERCorrupted[[#This Row],[ClickTick]]&amp;1, TabConsolid[#Headers])),
  MATCH(
    -TabTRADERCorrupted[[#This Row],[M]],
    INDEX(TabConsolid[], , _xlfn.XMATCH(TabTRADERCorrupted[[#This Row],[ClickTick]]&amp;2, TabConsolid[#Headers])),
    -1
  )
)</f>
        <v>#N/A</v>
      </c>
      <c r="BQ56" s="674"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13" t="e">
        <f ca="1">TabTRADERCorrupted[[#This Row],[ReBuy]]/(TabTRADERCorrupted[[#This Row],[L_Sn]]+TabTRADERCorrupted[[#This Row],[SellMore]])</f>
        <v>#N/A</v>
      </c>
      <c r="BS5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-1.2921065030613017E-4</v>
      </c>
      <c r="BT56" s="682">
        <f ca="1">(TabTRADERCorrupted[[#This Row],[M]]-TabTRADERCorrupted[[#This Row],[Agiotage]])/(TabTRADERCorrupted[[#This Row],[M]]-TabTRADERCorrupted[[#This Row],[A]])-1</f>
        <v>-1.8765333001345237</v>
      </c>
      <c r="BU56" s="1221">
        <f ca="1">_xlfn.XMATCH(TabTRADERCorrupted[[#This Row],[ClickTick]]&amp;1, TabConsolid[#Headers])</f>
        <v>164</v>
      </c>
      <c r="BV56" t="str">
        <f ca="1">IF(ABS(TabTRADERCorrupted[[#This Row],[L_Bp]])&gt;=TabTRADERCorrupted[[#This Row],[M]],"OK")</f>
        <v>OK</v>
      </c>
    </row>
    <row r="57" spans="1:74">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-10,607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-30.7%</v>
      </c>
      <c r="D57" s="683"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-4,115$</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-16,880$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73.0% = 296</v>
      </c>
      <c r="I57" s="224" t="str">
        <f ca="1">IFERROR(TRUNC(TabCalc[[#This Row],[L_S1p]],2)&amp;"x"&amp;TabCalc[[#This Row],[L_S1n]]&amp;"=   "&amp;TEXT(TabCalc[[#This Row],[ReverseB1]],"#,#0"),"")</f>
        <v>40.59x1000=   17,465</v>
      </c>
      <c r="J57" s="293">
        <f ca="1">_xlfn.XLOOKUP(TabTRADERCorrupted[[#This Row],[ClickTick]],TabCalc[Ticker],ListGravity)</f>
        <v>1.368593169044531</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231300</v>
      </c>
      <c r="M57" s="321">
        <f ca="1">_xlfn.XLOOKUP(TabTRADERCorrupted[[#This Row],[ClickTick]],TabCalc[Ticker],TabCalc[Agiotage])</f>
        <v>1.1231597996094751</v>
      </c>
      <c r="N57" s="322" cm="1">
        <f t="array" aca="1" ref="N57" ca="1">_xlfn.XLOOKUP(TabTRADERCorrupted[[#This Row],[ClickTick]],ListTickers,Tab2RSIConventional[RSIConv20])</f>
        <v>39</v>
      </c>
      <c r="O57" s="698" t="str">
        <f ca="1">TEXT(_xlfn.XLOOKUP(TabTRADERCorrupted[[#This Row],[ClickTick]],TabCalc[Ticker],TabCalc[Nbegin]),"#,#0")&amp;": "&amp;_xlfn.XLOOKUP(TabTRADERCorrupted[[#This Row],[ClickTick]],TabCalc[Ticker],TabCalc[Pile?])</f>
        <v>2,000: Pile</v>
      </c>
      <c r="P57" s="851">
        <f ca="1">_xlfn.XLOOKUP(TabTRADERCorrupted[[#This Row],[ClickTick]],TabCalc[Ticker],TabCalc[L_Bn])</f>
        <v>1500</v>
      </c>
      <c r="Q57" s="723">
        <f ca="1">_xlfn.XLOOKUP(TabTRADERCorrupted[[#This Row],[ClickTick]],TabCalc[Ticker],TabCalc[L_Bp])</f>
        <v>-30.22</v>
      </c>
      <c r="R57" s="759">
        <f ca="1">(TabTRADERCorrupted[[#This Row],[M]]+TabTRADERCorrupted[[#This Row],[L_Bp]])/ABS(TabTRADERCorrupted[[#This Row],[L_Bp]])</f>
        <v>-0.23461283917935144</v>
      </c>
      <c r="S57" s="678">
        <f ca="1">_xlfn.XLOOKUP(TabTRADERCorrupted[[#This Row],[ClickTick]],TabCalc[Ticker],TabCalc[Rev(MinStock)])*(1-Commission)</f>
        <v>-10579.4218</v>
      </c>
      <c r="T57" s="777">
        <f ca="1">_xlfn.XLOOKUP(TabTRADERCorrupted[[#This Row],[ClickTick]],TabCalc[Ticker],TabCalc[Agiotage])</f>
        <v>1.1231597996094751</v>
      </c>
      <c r="U57" s="742"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2,760/2,760=&gt;0.5% / 0.5%</v>
      </c>
      <c r="V57" s="734" t="str">
        <f ca="1">_xlfn.XLOOKUP(TabTRADERCorrupted[[#This Row],[ClickTick]],[1]!RTData[Ticker_Symbol],[1]!RTData[Currency])</f>
        <v>EUR</v>
      </c>
      <c r="W57" s="744">
        <f ca="1">_xlfn.XLOOKUP(TabTRADERCorrupted[[#This Row],[ClickTick]],TabCalc[Ticker],TabCalc[M])</f>
        <v>23.13</v>
      </c>
      <c r="X57" s="1271" t="str">
        <f ca="1">SORTING!B57</f>
        <v>MVEDSY</v>
      </c>
      <c r="Y57" s="798">
        <f ca="1">_xlfn.XLOOKUP(TabTRADERCorrupted[[#This Row],[ClickTick]],TabCalc[Ticker],TabCalc[Y])</f>
        <v>31.655560000000001</v>
      </c>
      <c r="Z57" s="812">
        <f ca="1">_xlfn.XLOOKUP(TabTRADERCorrupted[[#This Row],[ClickTick]],[1]!RTData[Ticker_Symbol],[1]!RTData[YTChange])</f>
        <v>2.8056360284435082</v>
      </c>
      <c r="AA57" s="827">
        <f ca="1">-_xlfn.XLOOKUP(TabTRADERCorrupted[[#This Row],[ClickTick]]&amp;2,Consolid!B$3:JZ$3,Consolid!B$4:JZ$4)</f>
        <v>33.724957500000002</v>
      </c>
      <c r="AB57" s="812" cm="1">
        <f t="array" aca="1" ref="AB57" ca="1">_xlfn.XLOOKUP(TabTRADERCorrupted[[#This Row],[ClickTick]],ListTickers,Tab1ChangePercent[Change%19])</f>
        <v>4.7780000000000001E-3</v>
      </c>
      <c r="AC57" s="763">
        <f ca="1">_xlfn.XLOOKUP(TabTRADERCorrupted[[#This Row],[ClickTick]],TabCalc[Ticker],TabCalc[NAfter])</f>
        <v>12000</v>
      </c>
      <c r="AD5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-124/277 K$</v>
      </c>
      <c r="AE57" s="1147"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31"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23.13, -42.2%</v>
      </c>
      <c r="AG57" s="1131"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31"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23.13</v>
      </c>
      <c r="AI57" s="1131" t="str" cm="1">
        <f t="array" aca="1" ref="AI57" ca="1">_xlfn.IFS(   TabTRADERCorrupted[[#This Row],[Traps]]=MUp,TEXT(MIN(TabTRADERCorrupted[[#This Row],[L_Sn]],TabTRADERCorrupted[[#This Row],[N]]),"#,#0")&amp;" x "&amp;TEXT(TabTRADERCorrupted[[#This Row],[L_Sp]],"#,#0.#0"),          TRUE,"")</f>
        <v/>
      </c>
      <c r="AJ57" s="1131"/>
      <c r="AK57" s="1131"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10607.349</v>
      </c>
      <c r="AL57" s="1131"/>
      <c r="AM57" s="1131"/>
      <c r="AN57" s="1131"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277560</v>
      </c>
      <c r="AO57" s="1140"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0.31415777173329285</v>
      </c>
      <c r="AP57" s="1140"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0.30392831820146998</v>
      </c>
      <c r="AQ57" s="820" t="str" cm="1">
        <f t="array" aca="1" ref="AQ57" ca="1">_xlfn.IFS(   TabTRADERCorrupted[[#This Row],[Traps]]=SellMorePercentGain,                     MIN(TabTRADERCorrupted[[#This Row],[L_Sn]],TabTRADERCorrupted[[#This Row],[N]])*(TabTRADERCorrupted[[#This Row],[M]]-TabTRADERCorrupted[[#This Row],[L_Sp]])*(1-Commission)*TabTRADERCorrupted[[#This Row],[Scale]],                    TRUE,"")</f>
        <v/>
      </c>
      <c r="AR57" s="1129">
        <f ca="1">_xlfn.XLOOKUP(TabTRADERCorrupted[[#This Row],[ClickTick]],TabCalc[Ticker],TabCalc[Ann%RevLB])</f>
        <v>-0.50274179824146736</v>
      </c>
      <c r="AS57" s="1225">
        <f ca="1">_xlfn.XLOOKUP(TabTRADERCorrupted[[#This Row],[ClickTick]],TabCalc[Ticker],TabCalc[Up20])</f>
        <v>0</v>
      </c>
      <c r="AT57" s="1141"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0.30652831820146997</v>
      </c>
      <c r="AU57" s="820" cm="1">
        <f t="array" aca="1" ref="AU57" ca="1">_xlfn.IFS(         TabTRADERCorrupted[[#This Row],[Traps]]=MDown,TabTRADERCorrupted[[#This Row],[L_Bn]]*TabTRADERCorrupted[[#This Row],[M]]*(-(TabTRADERCorrupted[[#This Row],[L_Bp]]+TabTRADERCorrupted[[#This Row],[M]])/TabTRADERCorrupted[[#This Row],[M]])*(1-Commission)*TabTRADERCorrupted[[#This Row],[Scale]],                               TRUE,"")</f>
        <v>10607.349</v>
      </c>
      <c r="AV57" s="1140" cm="1">
        <f t="array" aca="1" ref="AV57" ca="1">_xlfn.IFS(   TabTRADERCorrupted[[#This Row],[Traps]]=MUp,TabTRADERCorrupted[[#This Row],[TakeGain_A]]-Commission,        TabTRADERCorrupted[[#This Row],[Traps]]=MDown,(TabTRADERCorrupted[[#This Row],[A]]-TabTRADERCorrupted[[#This Row],[M]])/TabTRADERCorrupted[[#This Row],[M]]-Commission,                              TRUE,"")</f>
        <v>0.45546128404669278</v>
      </c>
      <c r="AW57" s="755"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126808.92732600003</v>
      </c>
      <c r="AX57" s="755"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57" s="731"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-7.09</v>
      </c>
      <c r="AZ57" s="760"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-0.31334096152678625</v>
      </c>
      <c r="BA57" s="757"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0.45546128404669278</v>
      </c>
      <c r="BB57" s="322">
        <f ca="1">_xlfn.XLOOKUP(TabTRADERCorrupted[[#This Row],[ClickTick]],TabCalc[Ticker],TabCalc[L_Sn])</f>
        <v>1000</v>
      </c>
      <c r="BC57" s="723">
        <f ca="1">_xlfn.XLOOKUP(TabTRADERCorrupted[[#This Row],[ClickTick]],TabCalc[Ticker],TabCalc[L_Sp])</f>
        <v>40.01</v>
      </c>
      <c r="BD57" s="759">
        <f ca="1">-IFERROR((TabTRADERCorrupted[[#This Row],[M]]-TabTRADERCorrupted[[#This Row],[L_Sp]])/TabTRADERCorrupted[[#This Row],[L_Sp]],0)</f>
        <v>0.42189452636840791</v>
      </c>
      <c r="BE57" s="724">
        <f ca="1">TabTRADERCorrupted[[#This Row],[L_Sn]]*(TabTRADERCorrupted[[#This Row],[M]]-TabTRADERCorrupted[[#This Row],[L_Sp]])*(1-Commission)*TabTRADERCorrupted[[#This Row],[Scale]]</f>
        <v>-16836.112000000001</v>
      </c>
      <c r="BF57" s="687">
        <f ca="1">TabTRADERCorrupted[[#This Row],[L_Sn]]*(TabTRADERCorrupted[[#This Row],[Agiotage]]-TabTRADERCorrupted[[#This Row],[M]])/(TabTRADERCorrupted[[#This Row],[L_Bn]]*TabTRADERCorrupted[[#This Row],[M]])</f>
        <v>-0.63429428449028746</v>
      </c>
      <c r="BG57" s="630">
        <f ca="1">IFERROR((TabTRADERCorrupted[[#This Row],[M]]-TabTRADERCorrupted[[#This Row],[A]])/TabTRADERCorrupted[[#This Row],[A]],0)</f>
        <v>-0.31415777173329285</v>
      </c>
      <c r="BH5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-126,809$</v>
      </c>
      <c r="BI57" s="679">
        <f ca="1">_xlfn.XLOOKUP(TabTRADERCorrupted[[#This Row],[ClickTick]],TabCalc[[#This Row],[Ticker]],TabCalc[[#This Row],[GL]])*(1-Commission)</f>
        <v>-124171.65087762816</v>
      </c>
      <c r="BJ57" s="679"/>
      <c r="BK57" s="664" t="str">
        <f ca="1">TabTRADERCorrupted[[#This Row],[ClickTick]]&amp;": "&amp;_xlfn.XLOOKUP(TabTRADERCorrupted[[#This Row],[ClickTick]],TabCalc[Ticker],TabCalc[Pile?])</f>
        <v>MVEDSY: Pile</v>
      </c>
      <c r="BL57" s="349" t="s">
        <v>2009</v>
      </c>
      <c r="BM57" s="750" t="str" cm="1">
        <f t="array" aca="1" ref="BM57" ca="1">_xlfn.TEXTJOIN("",,INDEX({"M","A","Y"}, _xlfn.SORTBY({1,2,3}, -CHOOSE({1,2,3}, TabTRADERCorrupted[[#This Row],[M]], TabTRADERCorrupted[[#This Row],[A]], TabTRADERCorrupted[[#This Row],[Agiotage]]))))</f>
        <v>AMY</v>
      </c>
      <c r="BN57" s="896"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0.30652831820146997</v>
      </c>
      <c r="BO57" s="674" t="e">
        <f ca="1">TabTRADERCorrupted[[#This Row],[L_Sn]]*TabTRADERCorrupted[[#This Row],[L_Sp]]+TabTRADERCorrupted[[#This Row],[SellMore]]*TabTRADERCorrupted[[#This Row],[M]]</f>
        <v>#N/A</v>
      </c>
      <c r="BP57" s="674" t="e">
        <f ca="1">INDEX(
  INDEX(TabConsolid[], , _xlfn.XMATCH(TabTRADERCorrupted[[#This Row],[ClickTick]]&amp;1, TabConsolid[#Headers])),
  MATCH(
    -TabTRADERCorrupted[[#This Row],[M]],
    INDEX(TabConsolid[], , _xlfn.XMATCH(TabTRADERCorrupted[[#This Row],[ClickTick]]&amp;2, TabConsolid[#Headers])),
    -1
  )
)</f>
        <v>#N/A</v>
      </c>
      <c r="BQ57" s="674"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13" t="e">
        <f ca="1">TabTRADERCorrupted[[#This Row],[ReBuy]]/(TabTRADERCorrupted[[#This Row],[L_Sn]]+TabTRADERCorrupted[[#This Row],[SellMore]])</f>
        <v>#N/A</v>
      </c>
      <c r="BS5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-2.3840743550423066E-2</v>
      </c>
      <c r="BT57" s="682">
        <f ca="1">(TabTRADERCorrupted[[#This Row],[M]]-TabTRADERCorrupted[[#This Row],[Agiotage]])/(TabTRADERCorrupted[[#This Row],[M]]-TabTRADERCorrupted[[#This Row],[A]])-1</f>
        <v>-3.0771050946066105</v>
      </c>
      <c r="BU57" s="1221">
        <f ca="1">_xlfn.XMATCH(TabTRADERCorrupted[[#This Row],[ClickTick]]&amp;1, TabConsolid[#Headers])</f>
        <v>167</v>
      </c>
      <c r="BV57" t="str">
        <f ca="1">IF(ABS(TabTRADERCorrupted[[#This Row],[L_Bp]])&gt;=TabTRADERCorrupted[[#This Row],[M]],"OK")</f>
        <v>OK</v>
      </c>
    </row>
    <row r="58" spans="1:74">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+39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26.4%</v>
      </c>
      <c r="D58" s="683"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44$</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7,400$</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-16.5% = 0</v>
      </c>
      <c r="I58" s="224" t="str">
        <f ca="1">IFERROR(TRUNC(TabCalc[[#This Row],[L_S1p]],2)&amp;"x"&amp;TabCalc[[#This Row],[L_S1n]]&amp;"=   "&amp;TEXT(TabCalc[[#This Row],[ReverseB1]],"#,#0"),"")</f>
        <v>11.65x3000=   -10,151</v>
      </c>
      <c r="J58" s="293">
        <f ca="1">_xlfn.XLOOKUP(TabTRADERCorrupted[[#This Row],[ClickTick]],TabCalc[Ticker],ListGravity)</f>
        <v>1.126317259727303</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8.077429734486519E-3</v>
      </c>
      <c r="N58" s="322" cm="1">
        <f t="array" aca="1" ref="N58" ca="1">_xlfn.XLOOKUP(TabTRADERCorrupted[[#This Row],[ClickTick]],ListTickers,Tab2RSIConventional[RSIConv20])</f>
        <v>54</v>
      </c>
      <c r="O58" s="698"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6">
        <f ca="1">_xlfn.XLOOKUP(TabTRADERCorrupted[[#This Row],[ClickTick]],TabCalc[Ticker],TabCalc[L_Bp])</f>
        <v>-11.06</v>
      </c>
      <c r="R58" s="759">
        <f ca="1">(TabTRADERCorrupted[[#This Row],[M]]+TabTRADERCorrupted[[#This Row],[L_Bp]])/ABS(TabTRADERCorrupted[[#This Row],[L_Bp]])</f>
        <v>0.35940325497287517</v>
      </c>
      <c r="S58" s="678">
        <f ca="1">_xlfn.XLOOKUP(TabTRADERCorrupted[[#This Row],[ClickTick]],TabCalc[Ticker],TabCalc[Rev(MinStock)])*(1-Commission)</f>
        <v>38.898599999999995</v>
      </c>
      <c r="T58" s="777">
        <f ca="1">_xlfn.XLOOKUP(TabTRADERCorrupted[[#This Row],[ClickTick]],TabCalc[Ticker],TabCalc[Agiotage])</f>
        <v>8.077429734486519E-3</v>
      </c>
      <c r="U58" s="742"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-4/-4=&gt;-3.3% / -3.3%</v>
      </c>
      <c r="V58" s="734" t="str">
        <f ca="1">_xlfn.XLOOKUP(TabTRADERCorrupted[[#This Row],[ClickTick]],[1]!RTData[Ticker_Symbol],[1]!RTData[Currency])</f>
        <v>EUR</v>
      </c>
      <c r="W58" s="744">
        <f ca="1">_xlfn.XLOOKUP(TabTRADERCorrupted[[#This Row],[ClickTick]],TabCalc[Ticker],TabCalc[M])</f>
        <v>15.035</v>
      </c>
      <c r="X58" s="1271" t="str">
        <f ca="1">SORTING!B58</f>
        <v>MVEEOAN</v>
      </c>
      <c r="Y58" s="798">
        <f ca="1">_xlfn.XLOOKUP(TabTRADERCorrupted[[#This Row],[ClickTick]],TabCalc[Ticker],TabCalc[Y])</f>
        <v>16.934180000000001</v>
      </c>
      <c r="Z58" s="812">
        <f ca="1">_xlfn.XLOOKUP(TabTRADERCorrupted[[#This Row],[ClickTick]],[1]!RTData[Ticker_Symbol],[1]!RTData[YTChange])</f>
        <v>0.1442013513513514</v>
      </c>
      <c r="AA58" s="827">
        <f ca="1">-_xlfn.XLOOKUP(TabTRADERCorrupted[[#This Row],[ClickTick]]&amp;2,Consolid!B$3:JZ$3,Consolid!B$4:JZ$4)</f>
        <v>11.088756</v>
      </c>
      <c r="AB58" s="812" cm="1">
        <f t="array" aca="1" ref="AB58" ca="1">_xlfn.XLOOKUP(TabTRADERCorrupted[[#This Row],[ClickTick]],ListTickers,Tab1ChangePercent[Change%19])</f>
        <v>-3.3119000000000003E-2</v>
      </c>
      <c r="AC58" s="763">
        <f ca="1">_xlfn.XLOOKUP(TabTRADERCorrupted[[#This Row],[ClickTick]],TabCalc[Ticker],TabCalc[NAfter])</f>
        <v>10</v>
      </c>
      <c r="AD5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^18/0 K$</v>
      </c>
      <c r="AE58" s="1127"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31"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15.035, 19.7%</v>
      </c>
      <c r="AG58" s="1131"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31" cm="1">
        <f t="array" aca="1" ref="AH58" ca="1">_xlfn.IFS(     TabTRADERCorrupted[[#This Row],[Traps]]=MUp,MIN(TabTRADERCorrupted[[#This Row],[L_Sn]],TabTRADERCorrupted[[#This Row],[N]])*(TabTRADERCorrupted[[#This Row],[M]]-TabTRADERCorrupted[[#This Row],[L_Sp]])*(1-Commission)*TabTRADERCorrupted[[#This Row],[Scale]],                                  TRUE,"M= "&amp;TabTRADERCorrupted[[#This Row],[M]])</f>
        <v>24.685649999999995</v>
      </c>
      <c r="AI58" s="1131" t="str" cm="1">
        <f t="array" aca="1" ref="AI58" ca="1">_xlfn.IFS(   TabTRADERCorrupted[[#This Row],[Traps]]=MUp,TEXT(MIN(TabTRADERCorrupted[[#This Row],[L_Sn]],TabTRADERCorrupted[[#This Row],[N]]),"#,#0")&amp;" x "&amp;TEXT(TabTRADERCorrupted[[#This Row],[L_Sp]],"#,#0.#0"),          TRUE,"")</f>
        <v>10 x 12.56</v>
      </c>
      <c r="AJ58" s="1131"/>
      <c r="AK58" s="1131"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24.685649999999995</v>
      </c>
      <c r="AL58" s="1131"/>
      <c r="AM58" s="1131"/>
      <c r="AN58" s="1131"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39.359837655999996</v>
      </c>
      <c r="AO58" s="1140"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0.35587797224503814</v>
      </c>
      <c r="AP58" s="1140"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0.16201589624210175</v>
      </c>
      <c r="AQ58" s="820" cm="1">
        <f t="array" aca="1" ref="AQ58" ca="1">_xlfn.IFS(   TabTRADERCorrupted[[#This Row],[Traps]]=SellMorePercentGain,                     MIN(TabTRADERCorrupted[[#This Row],[L_Sn]],TabTRADERCorrupted[[#This Row],[N]])*(TabTRADERCorrupted[[#This Row],[M]]-TabTRADERCorrupted[[#This Row],[L_Sp]])*(1-Commission)*TabTRADERCorrupted[[#This Row],[Scale]],                    TRUE,"")</f>
        <v>24.685649999999995</v>
      </c>
      <c r="AR58" s="1129">
        <f ca="1">_xlfn.XLOOKUP(TabTRADERCorrupted[[#This Row],[ClickTick]],TabCalc[Ticker],TabCalc[Ann%RevLB])</f>
        <v>0.39933694996986135</v>
      </c>
      <c r="AS58" s="1129">
        <f ca="1">_xlfn.XLOOKUP(TabTRADERCorrupted[[#This Row],[ClickTick]],TabCalc[Ticker],TabCalc[Up20])</f>
        <v>0</v>
      </c>
      <c r="AT58" s="1141"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20"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40" cm="1">
        <f t="array" aca="1" ref="AV58" ca="1">_xlfn.IFS(   TabTRADERCorrupted[[#This Row],[Traps]]=MUp,TabTRADERCorrupted[[#This Row],[TakeGain_A]]-Commission,        TabTRADERCorrupted[[#This Row],[Traps]]=MDown,(TabTRADERCorrupted[[#This Row],[A]]-TabTRADERCorrupted[[#This Row],[M]])/TabTRADERCorrupted[[#This Row],[M]]-Commission,                              TRUE,"")</f>
        <v>0.35327797224503815</v>
      </c>
      <c r="AW58" s="820"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53.367136868911174</v>
      </c>
      <c r="AX58" s="755"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58" s="731"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10x3.94</v>
      </c>
      <c r="AZ58" s="760"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0.35495268951720105</v>
      </c>
      <c r="BA58" s="757"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-0.26507050216162287</v>
      </c>
      <c r="BB58" s="322">
        <f ca="1">_xlfn.XLOOKUP(TabTRADERCorrupted[[#This Row],[ClickTick]],TabCalc[Ticker],TabCalc[L_Sn])</f>
        <v>2990</v>
      </c>
      <c r="BC58" s="723">
        <f ca="1">_xlfn.XLOOKUP(TabTRADERCorrupted[[#This Row],[ClickTick]],TabCalc[Ticker],TabCalc[L_Sp])</f>
        <v>12.56</v>
      </c>
      <c r="BD58" s="759">
        <f ca="1">-IFERROR((TabTRADERCorrupted[[#This Row],[M]]-TabTRADERCorrupted[[#This Row],[L_Sp]])/TabTRADERCorrupted[[#This Row],[L_Sp]],0)</f>
        <v>-0.19705414012738851</v>
      </c>
      <c r="BE58" s="724">
        <f ca="1">TabTRADERCorrupted[[#This Row],[L_Sn]]*(TabTRADERCorrupted[[#This Row],[M]]-TabTRADERCorrupted[[#This Row],[L_Sp]])*(1-Commission)*TabTRADERCorrupted[[#This Row],[Scale]]</f>
        <v>7381.0093499999984</v>
      </c>
      <c r="BF58" s="687">
        <f ca="1">TabTRADERCorrupted[[#This Row],[L_Sn]]*(TabTRADERCorrupted[[#This Row],[Agiotage]]-TabTRADERCorrupted[[#This Row],[M]])/(TabTRADERCorrupted[[#This Row],[L_Bn]]*TabTRADERCorrupted[[#This Row],[M]])</f>
        <v>-0.49806560786047982</v>
      </c>
      <c r="BG58" s="630">
        <f ca="1">IFERROR((TabTRADERCorrupted[[#This Row],[M]]-TabTRADERCorrupted[[#This Row],[A]])/TabTRADERCorrupted[[#This Row],[A]],0)</f>
        <v>0.35587797224503814</v>
      </c>
      <c r="BH5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39$</v>
      </c>
      <c r="BI58" s="679">
        <f ca="1">_xlfn.XLOOKUP(TabTRADERCorrupted[[#This Row],[ClickTick]],TabCalc[[#This Row],[Ticker]],TabCalc[[#This Row],[GL]])*(1-Commission)</f>
        <v>18108.928950713231</v>
      </c>
      <c r="BJ58" s="679"/>
      <c r="BK58" s="664" t="str">
        <f ca="1">TabTRADERCorrupted[[#This Row],[ClickTick]]&amp;": "&amp;_xlfn.XLOOKUP(TabTRADERCorrupted[[#This Row],[ClickTick]],TabCalc[Ticker],TabCalc[Pile?])</f>
        <v>MVEEOAN: Pile</v>
      </c>
      <c r="BL58" s="349" t="s">
        <v>2010</v>
      </c>
      <c r="BM58" s="750" t="str" cm="1">
        <f t="array" aca="1" ref="BM58" ca="1">_xlfn.TEXTJOIN("",,INDEX({"M","A","Y"}, _xlfn.SORTBY({1,2,3}, -CHOOSE({1,2,3}, TabTRADERCorrupted[[#This Row],[M]], TabTRADERCorrupted[[#This Row],[A]], TabTRADERCorrupted[[#This Row],[Agiotage]]))))</f>
        <v>MAY</v>
      </c>
      <c r="BN58" s="896"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0.16461589624210174</v>
      </c>
      <c r="BO58" s="674">
        <f ca="1">TabTRADERCorrupted[[#This Row],[L_Sn]]*TabTRADERCorrupted[[#This Row],[L_Sp]]+TabTRADERCorrupted[[#This Row],[SellMore]]*TabTRADERCorrupted[[#This Row],[M]]</f>
        <v>37704.75</v>
      </c>
      <c r="BP58" s="674">
        <f ca="1">INDEX(
  INDEX(TabConsolid[], , _xlfn.XMATCH(TabTRADERCorrupted[[#This Row],[ClickTick]]&amp;1, TabConsolid[#Headers])),
  MATCH(
    -TabTRADERCorrupted[[#This Row],[M]],
    INDEX(TabConsolid[], , _xlfn.XMATCH(TabTRADERCorrupted[[#This Row],[ClickTick]]&amp;2, TabConsolid[#Headers])),
    -1
  )
)</f>
        <v>10</v>
      </c>
      <c r="BQ58" s="674"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13">
        <f ca="1">TabTRADERCorrupted[[#This Row],[ReBuy]]/(TabTRADERCorrupted[[#This Row],[L_Sn]]+TabTRADERCorrupted[[#This Row],[SellMore]])</f>
        <v>12.568250000000001</v>
      </c>
      <c r="BS5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-1.5077179836386803</v>
      </c>
      <c r="BT58" s="682">
        <f ca="1">(TabTRADERCorrupted[[#This Row],[M]]-TabTRADERCorrupted[[#This Row],[Agiotage]])/(TabTRADERCorrupted[[#This Row],[M]]-TabTRADERCorrupted[[#This Row],[A]])-1</f>
        <v>2.8079050789220115</v>
      </c>
      <c r="BU58" s="1221">
        <f ca="1">_xlfn.XMATCH(TabTRADERCorrupted[[#This Row],[ClickTick]]&amp;1, TabConsolid[#Headers])</f>
        <v>170</v>
      </c>
      <c r="BV58" t="b">
        <f ca="1">IF(ABS(TabTRADERCorrupted[[#This Row],[L_Bp]])&gt;=TabTRADERCorrupted[[#This Row],[M]],"OK")</f>
        <v>0</v>
      </c>
    </row>
    <row r="59" spans="1:74">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+23,488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18.5%</v>
      </c>
      <c r="D59" s="683"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1,698/32,000=27,011</v>
      </c>
      <c r="E5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52,083</v>
      </c>
      <c r="F59" s="224" t="str">
        <f ca="1">TRUNC(TabCalc[[#This Row],[L_B1p]],2)&amp;"x"&amp;TabCalc[[#This Row],[L_B1n]]&amp;"=   "&amp;TEXT(TabCalc[[#This Row],[ReverseS1]],"#,#0")&amp;"$"</f>
        <v>-12.59x2000=   6,628$</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-384$</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52,083</v>
      </c>
      <c r="I59" s="224" t="str">
        <f ca="1">IFERROR(TRUNC(TabCalc[[#This Row],[L_S1p]],2)&amp;"x"&amp;TabCalc[[#This Row],[L_S1n]]&amp;"=   "&amp;TEXT(TabCalc[[#This Row],[ReverseB1]],"#,#0"),"")</f>
        <v>15.12x4000=   -3,136</v>
      </c>
      <c r="J59" s="293">
        <f ca="1">_xlfn.XLOOKUP(TabTRADERCorrupted[[#This Row],[ClickTick]],TabCalc[Ticker],ListGravity)</f>
        <v>1.0311871227364184</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349888</v>
      </c>
      <c r="M59" s="321">
        <f ca="1">_xlfn.XLOOKUP(TabTRADERCorrupted[[#This Row],[ClickTick]],TabCalc[Ticker],TabCalc[Agiotage])</f>
        <v>1.121580663028575</v>
      </c>
      <c r="N59" s="322" cm="1">
        <f t="array" aca="1" ref="N59" ca="1">_xlfn.XLOOKUP(TabTRADERCorrupted[[#This Row],[ClickTick]],ListTickers,Tab2RSIConventional[RSIConv20])</f>
        <v>57</v>
      </c>
      <c r="O59" s="698" t="str">
        <f ca="1">TEXT(_xlfn.XLOOKUP(TabTRADERCorrupted[[#This Row],[ClickTick]],TabCalc[Ticker],TabCalc[Nbegin]),"#,#0")&amp;": "&amp;_xlfn.XLOOKUP(TabTRADERCorrupted[[#This Row],[ClickTick]],TabCalc[Ticker],TabCalc[Pile?])</f>
        <v xml:space="preserve">10,000: </v>
      </c>
      <c r="P59" s="729">
        <f ca="1">_xlfn.XLOOKUP(TabTRADERCorrupted[[#This Row],[ClickTick]],TabCalc[Ticker],TabCalc[L_Bn])</f>
        <v>8000</v>
      </c>
      <c r="Q59" s="676">
        <f ca="1">_xlfn.XLOOKUP(TabTRADERCorrupted[[#This Row],[ClickTick]],TabCalc[Ticker],TabCalc[L_Bp])</f>
        <v>-12.96</v>
      </c>
      <c r="R59" s="759">
        <f ca="1">(TabTRADERCorrupted[[#This Row],[M]]+TabTRADERCorrupted[[#This Row],[L_Bp]])/ABS(TabTRADERCorrupted[[#This Row],[L_Bp]])</f>
        <v>0.22716049382716041</v>
      </c>
      <c r="S59" s="678">
        <f ca="1">_xlfn.XLOOKUP(TabTRADERCorrupted[[#This Row],[ClickTick]],TabCalc[Ticker],TabCalc[Rev(MinStock)])*(1-Commission)</f>
        <v>23426.931199999999</v>
      </c>
      <c r="T59" s="777">
        <f ca="1">_xlfn.XLOOKUP(TabTRADERCorrupted[[#This Row],[ClickTick]],TabCalc[Ticker],TabCalc[Agiotage])</f>
        <v>1.121580663028575</v>
      </c>
      <c r="U59" s="742"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-3,072/-3,072=&gt;-0.7% / -0.7%</v>
      </c>
      <c r="V59" s="734" t="str">
        <f ca="1">_xlfn.XLOOKUP(TabTRADERCorrupted[[#This Row],[ClickTick]],[1]!RTData[Ticker_Symbol],[1]!RTData[Currency])</f>
        <v>EUR</v>
      </c>
      <c r="W59" s="744">
        <f ca="1">_xlfn.XLOOKUP(TabTRADERCorrupted[[#This Row],[ClickTick]],TabCalc[Ticker],TabCalc[M])</f>
        <v>15.904</v>
      </c>
      <c r="X59" s="1271" t="str">
        <f ca="1">SORTING!B59</f>
        <v>MVEENI</v>
      </c>
      <c r="Y59" s="798">
        <f ca="1">_xlfn.XLOOKUP(TabTRADERCorrupted[[#This Row],[ClickTick]],TabCalc[Ticker],TabCalc[Y])</f>
        <v>16.399999999999999</v>
      </c>
      <c r="Z59" s="812">
        <f ca="1">_xlfn.XLOOKUP(TabTRADERCorrupted[[#This Row],[ClickTick]],[1]!RTData[Ticker_Symbol],[1]!RTData[YTChange])</f>
        <v>0.11488783140720582</v>
      </c>
      <c r="AA59" s="827">
        <f ca="1">-_xlfn.XLOOKUP(TabTRADERCorrupted[[#This Row],[ClickTick]]&amp;2,Consolid!B$3:JZ$3,Consolid!B$4:JZ$4)</f>
        <v>13.362226694999999</v>
      </c>
      <c r="AB59" s="812" cm="1">
        <f t="array" aca="1" ref="AB59" ca="1">_xlfn.XLOOKUP(TabTRADERCorrupted[[#This Row],[ClickTick]],ListTickers,Tab1ChangePercent[Change%19])</f>
        <v>-6.8689999999999992E-3</v>
      </c>
      <c r="AC59" s="763">
        <f ca="1">_xlfn.XLOOKUP(TabTRADERCorrupted[[#This Row],[ClickTick]],TabCalc[Ticker],TabCalc[NAfter])</f>
        <v>32000</v>
      </c>
      <c r="AD5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^70/508 K$</v>
      </c>
      <c r="AE59" s="1127"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9" s="1131"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16.0</v>
      </c>
      <c r="AG59" s="1131"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383.00160000000034</v>
      </c>
      <c r="AH59" s="1131" t="str" cm="1">
        <f t="array" aca="1" ref="AH59" ca="1">_xlfn.IFS(     TabTRADERCorrupted[[#This Row],[Traps]]=MUp,MIN(TabTRADERCorrupted[[#This Row],[L_Sn]],TabTRADERCorrupted[[#This Row],[N]])*(TabTRADERCorrupted[[#This Row],[M]]-TabTRADERCorrupted[[#This Row],[L_Sp]])*(1-Commission)*TabTRADERCorrupted[[#This Row],[Scale]],                                  TRUE,"M= "&amp;TabTRADERCorrupted[[#This Row],[M]])</f>
        <v>M= 15.904</v>
      </c>
      <c r="AI59" s="1131" t="str" cm="1">
        <f t="array" aca="1" ref="AI59" ca="1">_xlfn.IFS(   TabTRADERCorrupted[[#This Row],[Traps]]=MUp,TEXT(MIN(TabTRADERCorrupted[[#This Row],[L_Sn]],TabTRADERCorrupted[[#This Row],[N]]),"#,#0")&amp;" x "&amp;TEXT(TabTRADERCorrupted[[#This Row],[L_Sp]],"#,#0.#0"),          TRUE,"")</f>
        <v/>
      </c>
      <c r="AJ59" s="1131"/>
      <c r="AK59" s="1131" t="str"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9" s="1131"/>
      <c r="AM59" s="1131"/>
      <c r="AN59" s="1131"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383.00160000000034</v>
      </c>
      <c r="AO59" s="1140"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6.0000000000000053E-3</v>
      </c>
      <c r="AP59" s="1140" t="str"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9" s="820" t="str" cm="1">
        <f t="array" aca="1" ref="AQ59" ca="1">_xlfn.IFS(   TabTRADERCorrupted[[#This Row],[Traps]]=SellMorePercentGain,                     MIN(TabTRADERCorrupted[[#This Row],[L_Sn]],TabTRADERCorrupted[[#This Row],[N]])*(TabTRADERCorrupted[[#This Row],[M]]-TabTRADERCorrupted[[#This Row],[L_Sp]])*(1-Commission)*TabTRADERCorrupted[[#This Row],[Scale]],                    TRUE,"")</f>
        <v/>
      </c>
      <c r="AR59" s="1129">
        <f ca="1">_xlfn.XLOOKUP(TabTRADERCorrupted[[#This Row],[ClickTick]],TabCalc[Ticker],TabCalc[Ann%RevLB])</f>
        <v>0.4193732193732192</v>
      </c>
      <c r="AS59" s="1129">
        <f ca="1">_xlfn.XLOOKUP(TabTRADERCorrupted[[#This Row],[ClickTick]],TabCalc[Ticker],TabCalc[Up20])</f>
        <v>0</v>
      </c>
      <c r="AT59" s="1141"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20"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40" t="str" cm="1">
        <f t="array" aca="1" ref="AV59" ca="1">_xlfn.IFS(   TabTRADERCorrupted[[#This Row],[Traps]]=MUp,TabTRADERCorrupted[[#This Row],[TakeGain_A]]-Commission,        TabTRADERCorrupted[[#This Row],[Traps]]=MDown,(TabTRADERCorrupted[[#This Row],[A]]-TabTRADERCorrupted[[#This Row],[M]])/TabTRADERCorrupted[[#This Row],[M]]-Commission,                              TRUE,"")</f>
        <v/>
      </c>
      <c r="AW59" s="755"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81125.270221024039</v>
      </c>
      <c r="AX59" s="755"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59" s="731"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9" s="760"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0.18972621496951797</v>
      </c>
      <c r="BA59" s="757"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-0.16241975006287734</v>
      </c>
      <c r="BB59" s="322">
        <f ca="1">_xlfn.XLOOKUP(TabTRADERCorrupted[[#This Row],[ClickTick]],TabCalc[Ticker],TabCalc[L_Sn])</f>
        <v>4000</v>
      </c>
      <c r="BC59" s="723">
        <f ca="1">_xlfn.XLOOKUP(TabTRADERCorrupted[[#This Row],[ClickTick]],TabCalc[Ticker],TabCalc[L_Sp])</f>
        <v>16</v>
      </c>
      <c r="BD59" s="759">
        <f ca="1">-IFERROR((TabTRADERCorrupted[[#This Row],[M]]-TabTRADERCorrupted[[#This Row],[L_Sp]])/TabTRADERCorrupted[[#This Row],[L_Sp]],0)</f>
        <v>6.0000000000000053E-3</v>
      </c>
      <c r="BE59" s="724">
        <f ca="1">TabTRADERCorrupted[[#This Row],[L_Sn]]*(TabTRADERCorrupted[[#This Row],[M]]-TabTRADERCorrupted[[#This Row],[L_Sp]])*(1-Commission)*TabTRADERCorrupted[[#This Row],[Scale]]</f>
        <v>-383.00160000000034</v>
      </c>
      <c r="BF59" s="687">
        <f ca="1">TabTRADERCorrupted[[#This Row],[L_Sn]]*(TabTRADERCorrupted[[#This Row],[Agiotage]]-TabTRADERCorrupted[[#This Row],[M]])/(TabTRADERCorrupted[[#This Row],[L_Bn]]*TabTRADERCorrupted[[#This Row],[M]])</f>
        <v>-0.46473903851142562</v>
      </c>
      <c r="BG59" s="630">
        <f ca="1">IFERROR((TabTRADERCorrupted[[#This Row],[M]]-TabTRADERCorrupted[[#This Row],[A]])/TabTRADERCorrupted[[#This Row],[A]],0)</f>
        <v>0.1902207890209725</v>
      </c>
      <c r="BH5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81,125$</v>
      </c>
      <c r="BI59" s="679">
        <f ca="1">_xlfn.XLOOKUP(TabTRADERCorrupted[[#This Row],[ClickTick]],TabCalc[[#This Row],[Ticker]],TabCalc[[#This Row],[GL]])*(1-Commission)</f>
        <v>70051.762929386779</v>
      </c>
      <c r="BJ59" s="679"/>
      <c r="BK59" s="664" t="str">
        <f ca="1">TabTRADERCorrupted[[#This Row],[ClickTick]]&amp;": "&amp;_xlfn.XLOOKUP(TabTRADERCorrupted[[#This Row],[ClickTick]],TabCalc[Ticker],TabCalc[Pile?])</f>
        <v xml:space="preserve">MVEENI: </v>
      </c>
      <c r="BL59" s="349" t="s">
        <v>2015</v>
      </c>
      <c r="BM59" s="750" t="str" cm="1">
        <f t="array" aca="1" ref="BM59" ca="1">_xlfn.TEXTJOIN("",,INDEX({"M","A","Y"}, _xlfn.SORTBY({1,2,3}, -CHOOSE({1,2,3}, TabTRADERCorrupted[[#This Row],[M]], TabTRADERCorrupted[[#This Row],[A]], TabTRADERCorrupted[[#This Row],[Agiotage]]))))</f>
        <v>MAY</v>
      </c>
      <c r="BN59" s="896" t="str"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9" s="674">
        <f ca="1">TabTRADERCorrupted[[#This Row],[L_Sn]]*TabTRADERCorrupted[[#This Row],[L_Sp]]+TabTRADERCorrupted[[#This Row],[SellMore]]*TabTRADERCorrupted[[#This Row],[M]]</f>
        <v>95808</v>
      </c>
      <c r="BP59" s="674">
        <f ca="1">INDEX(
  INDEX(TabConsolid[], , _xlfn.XMATCH(TabTRADERCorrupted[[#This Row],[ClickTick]]&amp;1, TabConsolid[#Headers])),
  MATCH(
    -TabTRADERCorrupted[[#This Row],[M]],
    INDEX(TabConsolid[], , _xlfn.XMATCH(TabTRADERCorrupted[[#This Row],[ClickTick]]&amp;2, TabConsolid[#Headers])),
    -1
  )
)</f>
        <v>2000</v>
      </c>
      <c r="BQ59" s="674"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13">
        <f ca="1">TabTRADERCorrupted[[#This Row],[ReBuy]]/(TabTRADERCorrupted[[#This Row],[L_Sn]]+TabTRADERCorrupted[[#This Row],[SellMore]])</f>
        <v>15.968</v>
      </c>
      <c r="BS5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-4.1575554385232137E-3</v>
      </c>
      <c r="BT59" s="682">
        <f ca="1">(TabTRADERCorrupted[[#This Row],[M]]-TabTRADERCorrupted[[#This Row],[Agiotage]])/(TabTRADERCorrupted[[#This Row],[M]]-TabTRADERCorrupted[[#This Row],[A]])-1</f>
        <v>4.8157898298374873</v>
      </c>
      <c r="BU59" s="1221">
        <f ca="1">_xlfn.XMATCH(TabTRADERCorrupted[[#This Row],[ClickTick]]&amp;1, TabConsolid[#Headers])</f>
        <v>173</v>
      </c>
      <c r="BV59" t="b">
        <f ca="1">IF(ABS(TabTRADERCorrupted[[#This Row],[L_Bp]])&gt;=TabTRADERCorrupted[[#This Row],[M]],"OK")</f>
        <v>0</v>
      </c>
    </row>
    <row r="60" spans="1:74">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3"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8"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3">
        <f ca="1">_xlfn.XLOOKUP(TabTRADERCorrupted[[#This Row],[ClickTick]],TabCalc[Ticker],TabCalc[L_Bp])</f>
        <v>-1.72</v>
      </c>
      <c r="R60" s="759">
        <f ca="1">(TabTRADERCorrupted[[#This Row],[M]]+TabTRADERCorrupted[[#This Row],[L_Bp]])/ABS(TabTRADERCorrupted[[#This Row],[L_Bp]])</f>
        <v>-0.88302325581395347</v>
      </c>
      <c r="S60" s="678">
        <f ca="1">_xlfn.XLOOKUP(TabTRADERCorrupted[[#This Row],[ClickTick]],TabCalc[Ticker],TabCalc[Rev(MinStock)])*(1-Commission)</f>
        <v>-15107.6178</v>
      </c>
      <c r="T60" s="777">
        <f ca="1">_xlfn.XLOOKUP(TabTRADERCorrupted[[#This Row],[ClickTick]],TabCalc[Ticker],TabCalc[Agiotage])</f>
        <v>1.8522760022071003</v>
      </c>
      <c r="U60" s="742"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4" t="str">
        <f ca="1">_xlfn.XLOOKUP(TabTRADERCorrupted[[#This Row],[ClickTick]],[1]!RTData[Ticker_Symbol],[1]!RTData[Currency])</f>
        <v>USD</v>
      </c>
      <c r="W60" s="744">
        <f ca="1">_xlfn.XLOOKUP(TabTRADERCorrupted[[#This Row],[ClickTick]],TabCalc[Ticker],TabCalc[M])</f>
        <v>0.20119999999999999</v>
      </c>
      <c r="X60" s="1271" t="str">
        <f ca="1">SORTING!B60</f>
        <v>MVEEPIX</v>
      </c>
      <c r="Y60" s="798">
        <f ca="1">_xlfn.XLOOKUP(TabTRADERCorrupted[[#This Row],[ClickTick]],TabCalc[Ticker],TabCalc[Y])</f>
        <v>0</v>
      </c>
      <c r="Z60" s="812">
        <f ca="1">_xlfn.XLOOKUP(TabTRADERCorrupted[[#This Row],[ClickTick]],[1]!RTData[Ticker_Symbol],[1]!RTData[YTChange])</f>
        <v>0</v>
      </c>
      <c r="AA60" s="827">
        <f ca="1">-_xlfn.XLOOKUP(TabTRADERCorrupted[[#This Row],[ClickTick]]&amp;2,Consolid!B$3:JZ$3,Consolid!B$4:JZ$4)</f>
        <v>2.5950629999999997</v>
      </c>
      <c r="AB60" s="812" cm="1">
        <f t="array" aca="1" ref="AB60" ca="1">_xlfn.XLOOKUP(TabTRADERCorrupted[[#This Row],[ClickTick]],ListTickers,Tab1ChangePercent[Change%19])</f>
        <v>0</v>
      </c>
      <c r="AC60" s="763">
        <f ca="1">_xlfn.XLOOKUP(TabTRADERCorrupted[[#This Row],[ClickTick]],TabCalc[Ticker],TabCalc[NAfter])</f>
        <v>12000</v>
      </c>
      <c r="AD6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-29/2 K$</v>
      </c>
      <c r="AE60" s="1147"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31"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31"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31"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31" t="str" cm="1">
        <f t="array" aca="1" ref="AI60" ca="1">_xlfn.IFS(   TabTRADERCorrupted[[#This Row],[Traps]]=MUp,TEXT(MIN(TabTRADERCorrupted[[#This Row],[L_Sn]],TabTRADERCorrupted[[#This Row],[N]]),"#,#0")&amp;" x "&amp;TEXT(TabTRADERCorrupted[[#This Row],[L_Sp]],"#,#0.#0"),          TRUE,"")</f>
        <v/>
      </c>
      <c r="AJ60" s="1131"/>
      <c r="AK60" s="1131"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31"/>
      <c r="AM60" s="1131"/>
      <c r="AN60" s="1131"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40"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40"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TabTRADERCorrupted[[#This Row],[Traps]]=SellMorePercentGain,                     MIN(TabTRADERCorrupted[[#This Row],[L_Sn]],TabTRADERCorrupted[[#This Row],[N]])*(TabTRADERCorrupted[[#This Row],[M]]-TabTRADERCorrupted[[#This Row],[L_Sp]])*(1-Commission)*TabTRADERCorrupted[[#This Row],[Scale]],                    TRUE,"")</f>
        <v/>
      </c>
      <c r="AR60" s="1129">
        <f ca="1">_xlfn.XLOOKUP(TabTRADERCorrupted[[#This Row],[ClickTick]],TabCalc[Ticker],TabCalc[Ann%RevLB])</f>
        <v>-0.98723096923299147</v>
      </c>
      <c r="AS60" s="1225">
        <f ca="1">_xlfn.XLOOKUP(TabTRADERCorrupted[[#This Row],[ClickTick]],TabCalc[Ticker],TabCalc[Up20])</f>
        <v>0</v>
      </c>
      <c r="AT60" s="1141"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20"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40"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5"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5"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0" s="731"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60"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7"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3">
        <f ca="1">_xlfn.XLOOKUP(TabTRADERCorrupted[[#This Row],[ClickTick]],TabCalc[Ticker],TabCalc[L_Sp])</f>
        <v>0</v>
      </c>
      <c r="BD60" s="759">
        <f ca="1">-IFERROR((TabTRADERCorrupted[[#This Row],[M]]-TabTRADERCorrupted[[#This Row],[L_Sp]])/TabTRADERCorrupted[[#This Row],[L_Sp]],0)</f>
        <v>0</v>
      </c>
      <c r="BE60" s="724">
        <f ca="1">TabTRADERCorrupted[[#This Row],[L_Sn]]*(TabTRADERCorrupted[[#This Row],[M]]-TabTRADERCorrupted[[#This Row],[L_Sp]])*(1-Commission)*TabTRADERCorrupted[[#This Row],[Scale]]</f>
        <v>0</v>
      </c>
      <c r="BF60" s="687">
        <f ca="1">TabTRADERCorrupted[[#This Row],[L_Sn]]*(TabTRADERCorrupted[[#This Row],[Agiotage]]-TabTRADERCorrupted[[#This Row],[M]])/(TabTRADERCorrupted[[#This Row],[L_Bn]]*TabTRADERCorrupted[[#This Row],[M]])</f>
        <v>0</v>
      </c>
      <c r="BG60" s="630">
        <f ca="1">IFERROR((TabTRADERCorrupted[[#This Row],[M]]-TabTRADERCorrupted[[#This Row],[A]])/TabTRADERCorrupted[[#This Row],[A]],0)</f>
        <v>-0.92246816358600925</v>
      </c>
      <c r="BH6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9">
        <f ca="1">_xlfn.XLOOKUP(TabTRADERCorrupted[[#This Row],[ClickTick]],TabCalc[[#This Row],[Ticker]],TabCalc[[#This Row],[GL]])*(1-Commission)</f>
        <v>-28664.413618947627</v>
      </c>
      <c r="BJ60" s="679"/>
      <c r="BK60" s="664" t="str">
        <f ca="1">TabTRADERCorrupted[[#This Row],[ClickTick]]&amp;": "&amp;_xlfn.XLOOKUP(TabTRADERCorrupted[[#This Row],[ClickTick]],TabCalc[Ticker],TabCalc[Pile?])</f>
        <v>MVEEPIX: Pile</v>
      </c>
      <c r="BL60" s="349" t="s">
        <v>2016</v>
      </c>
      <c r="BM60" s="750" t="str" cm="1">
        <f t="array" aca="1" ref="BM60" ca="1">_xlfn.TEXTJOIN("",,INDEX({"M","A","Y"}, _xlfn.SORTBY({1,2,3}, -CHOOSE({1,2,3}, TabTRADERCorrupted[[#This Row],[M]], TabTRADERCorrupted[[#This Row],[A]], TabTRADERCorrupted[[#This Row],[Agiotage]]))))</f>
        <v>AYM</v>
      </c>
      <c r="BN60" s="896"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TabTRADERCorrupted[[#This Row],[L_Sn]]*TabTRADERCorrupted[[#This Row],[L_Sp]]+TabTRADERCorrupted[[#This Row],[SellMore]]*TabTRADERCorrupted[[#This Row],[M]]</f>
        <v>#N/A</v>
      </c>
      <c r="BP60" s="674" t="e">
        <f ca="1">INDEX(
  INDEX(TabConsolid[], , _xlfn.XMATCH(TabTRADERCorrupted[[#This Row],[ClickTick]]&amp;1, TabConsolid[#Headers])),
  MATCH(
    -TabTRADERCorrupted[[#This Row],[M]],
    INDEX(TabConsolid[], , _xlfn.XMATCH(TabTRADERCorrupted[[#This Row],[ClickTick]]&amp;2, TabConsolid[#Headers])),
    -1
  )
)</f>
        <v>#N/A</v>
      </c>
      <c r="BQ60" s="674"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13" t="e">
        <f ca="1">TabTRADERCorrupted[[#This Row],[ReBuy]]/(TabTRADERCorrupted[[#This Row],[L_Sn]]+TabTRADERCorrupted[[#This Row],[SellMore]])</f>
        <v>#N/A</v>
      </c>
      <c r="BS6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2">
        <f ca="1">(TabTRADERCorrupted[[#This Row],[M]]-TabTRADERCorrupted[[#This Row],[Agiotage]])/(TabTRADERCorrupted[[#This Row],[M]]-TabTRADERCorrupted[[#This Row],[A]])-1</f>
        <v>-0.31028801472469369</v>
      </c>
      <c r="BU60" s="1221">
        <f ca="1">_xlfn.XMATCH(TabTRADERCorrupted[[#This Row],[ClickTick]]&amp;1, TabConsolid[#Headers])</f>
        <v>176</v>
      </c>
      <c r="BV60" t="str">
        <f ca="1">IF(ABS(TabTRADERCorrupted[[#This Row],[L_Bp]])&gt;=TabTRADERCorrupted[[#This Row],[M]],"OK")</f>
        <v>OK</v>
      </c>
    </row>
    <row r="61" spans="1:74">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+10,312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16.1%</v>
      </c>
      <c r="D61" s="683"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484/2,000=31,122</v>
      </c>
      <c r="E6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10,487$</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61.72x1000=   2,640$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 = 0</v>
      </c>
      <c r="I61" s="224" t="str">
        <f ca="1">IFERROR(TRUNC(TabCalc[[#This Row],[L_S1p]],2)&amp;"x"&amp;TabCalc[[#This Row],[L_S1n]]&amp;"=   "&amp;TEXT(TabCalc[[#This Row],[ReverseB1]],"#,#0"),"")</f>
        <v>47.47x1000=   -16,890</v>
      </c>
      <c r="J61" s="293">
        <f ca="1">_xlfn.XLOOKUP(TabTRADERCorrupted[[#This Row],[ClickTick]],TabCalc[Ticker],ListGravity)</f>
        <v>1.0259995338719703</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1.0644112472996281</v>
      </c>
      <c r="N61" s="322" cm="1">
        <f t="array" aca="1" ref="N61" ca="1">_xlfn.XLOOKUP(TabTRADERCorrupted[[#This Row],[ClickTick]],ListTickers,Tab2RSIConventional[RSIConv20])</f>
        <v>70</v>
      </c>
      <c r="O61" s="698" t="str">
        <f ca="1">TEXT(_xlfn.XLOOKUP(TabTRADERCorrupted[[#This Row],[ClickTick]],TabCalc[Ticker],TabCalc[Nbegin]),"#,#0")&amp;": "&amp;_xlfn.XLOOKUP(TabTRADERCorrupted[[#This Row],[ClickTick]],TabCalc[Ticker],TabCalc[Pile?])</f>
        <v>10,000: Pile</v>
      </c>
      <c r="P61" s="851">
        <f ca="1">_xlfn.XLOOKUP(TabTRADERCorrupted[[#This Row],[ClickTick]],TabCalc[Ticker],TabCalc[L_Bn])</f>
        <v>1000</v>
      </c>
      <c r="Q61" s="723">
        <f ca="1">_xlfn.XLOOKUP(TabTRADERCorrupted[[#This Row],[ClickTick]],TabCalc[Ticker],TabCalc[L_Bp])</f>
        <v>-54.02</v>
      </c>
      <c r="R61" s="759">
        <f ca="1">(TabTRADERCorrupted[[#This Row],[M]]+TabTRADERCorrupted[[#This Row],[L_Bp]])/ABS(TabTRADERCorrupted[[#This Row],[L_Bp]])</f>
        <v>0.19141058867086255</v>
      </c>
      <c r="S61" s="678">
        <f ca="1">_xlfn.XLOOKUP(TabTRADERCorrupted[[#This Row],[ClickTick]],TabCalc[Ticker],TabCalc[Rev(MinStock)])*(1-Commission)</f>
        <v>10285.1888</v>
      </c>
      <c r="T61" s="777">
        <f ca="1">_xlfn.XLOOKUP(TabTRADERCorrupted[[#This Row],[ClickTick]],TabCalc[Ticker],TabCalc[Agiotage])</f>
        <v>1.0644112472996281</v>
      </c>
      <c r="U61" s="742"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2,120/2,120=&gt;1.4% / 1.4%</v>
      </c>
      <c r="V61" s="734" t="str">
        <f ca="1">_xlfn.XLOOKUP(TabTRADERCorrupted[[#This Row],[ClickTick]],[1]!RTData[Ticker_Symbol],[1]!RTData[Currency])</f>
        <v>EUR</v>
      </c>
      <c r="W61" s="744">
        <f ca="1">_xlfn.XLOOKUP(TabTRADERCorrupted[[#This Row],[ClickTick]],TabCalc[Ticker],TabCalc[M])</f>
        <v>64.36</v>
      </c>
      <c r="X61" s="1271" t="str">
        <f ca="1">SORTING!B61</f>
        <v>MVEGLE</v>
      </c>
      <c r="Y61" s="798">
        <f ca="1">_xlfn.XLOOKUP(TabTRADERCorrupted[[#This Row],[ClickTick]],TabCalc[Ticker],TabCalc[Y])</f>
        <v>66.033330000000007</v>
      </c>
      <c r="Z61" s="812">
        <f ca="1">_xlfn.XLOOKUP(TabTRADERCorrupted[[#This Row],[ClickTick]],[1]!RTData[Ticker_Symbol],[1]!RTData[YTChange])</f>
        <v>0.10479053036640461</v>
      </c>
      <c r="AA61" s="827">
        <f ca="1">-_xlfn.XLOOKUP(TabTRADERCorrupted[[#This Row],[ClickTick]]&amp;2,Consolid!B$3:JZ$3,Consolid!B$4:JZ$4)</f>
        <v>56.702042999999996</v>
      </c>
      <c r="AB61" s="812" cm="1">
        <f t="array" aca="1" ref="AB61" ca="1">_xlfn.XLOOKUP(TabTRADERCorrupted[[#This Row],[ClickTick]],ListTickers,Tab1ChangePercent[Change%19])</f>
        <v>1.3863E-2</v>
      </c>
      <c r="AC61" s="763">
        <f ca="1">_xlfn.XLOOKUP(TabTRADERCorrupted[[#This Row],[ClickTick]],TabCalc[Ticker],TabCalc[NAfter])</f>
        <v>2000</v>
      </c>
      <c r="AD6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^111/128 K$</v>
      </c>
      <c r="AE61" s="1147"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31"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64.36, 04.3%</v>
      </c>
      <c r="AG61" s="1131"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61.72</v>
      </c>
      <c r="AH61" s="1131" cm="1">
        <f t="array" aca="1" ref="AH61" ca="1">_xlfn.IFS(     TabTRADERCorrupted[[#This Row],[Traps]]=MUp,MIN(TabTRADERCorrupted[[#This Row],[L_Sn]],TabTRADERCorrupted[[#This Row],[N]])*(TabTRADERCorrupted[[#This Row],[M]]-TabTRADERCorrupted[[#This Row],[L_Sp]])*(1-Commission)*TabTRADERCorrupted[[#This Row],[Scale]],                                  TRUE,"M= "&amp;TabTRADERCorrupted[[#This Row],[M]])</f>
        <v>2633.1360000000004</v>
      </c>
      <c r="AI61" s="1131" t="str" cm="1">
        <f t="array" aca="1" ref="AI61" ca="1">_xlfn.IFS(   TabTRADERCorrupted[[#This Row],[Traps]]=MUp,TEXT(MIN(TabTRADERCorrupted[[#This Row],[L_Sn]],TabTRADERCorrupted[[#This Row],[N]]),"#,#0")&amp;" x "&amp;TEXT(TabTRADERCorrupted[[#This Row],[L_Sp]],"#,#0.#0"),          TRUE,"")</f>
        <v>1,000 x 61.72</v>
      </c>
      <c r="AJ61" s="1131"/>
      <c r="AK61" s="1131"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2633.1360000000004</v>
      </c>
      <c r="AL61" s="1131"/>
      <c r="AM61" s="1131"/>
      <c r="AN61" s="1131"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15276.092623600005</v>
      </c>
      <c r="AO61" s="1140"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0.13505610371040783</v>
      </c>
      <c r="AP61" s="1140"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3.8419266625233074E-2</v>
      </c>
      <c r="AQ61" s="820" cm="1">
        <f t="array" aca="1" ref="AQ61" ca="1">_xlfn.IFS(   TabTRADERCorrupted[[#This Row],[Traps]]=SellMorePercentGain,                     MIN(TabTRADERCorrupted[[#This Row],[L_Sn]],TabTRADERCorrupted[[#This Row],[N]])*(TabTRADERCorrupted[[#This Row],[M]]-TabTRADERCorrupted[[#This Row],[L_Sp]])*(1-Commission)*TabTRADERCorrupted[[#This Row],[Scale]],                    TRUE,"")</f>
        <v>2633.1360000000004</v>
      </c>
      <c r="AR61" s="1146">
        <f ca="1">_xlfn.XLOOKUP(TabTRADERCorrupted[[#This Row],[ClickTick]],TabCalc[Ticker],TabCalc[Ann%RevLB])</f>
        <v>1.2528693076638275</v>
      </c>
      <c r="AS61" s="1224" t="str">
        <f ca="1">_xlfn.XLOOKUP(TabTRADERCorrupted[[#This Row],[ClickTick]],TabCalc[Ticker],TabCalc[Up20])</f>
        <v>/25/%</v>
      </c>
      <c r="AT61" s="1141"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1" s="820"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40" cm="1">
        <f t="array" aca="1" ref="AV61" ca="1">_xlfn.IFS(   TabTRADERCorrupted[[#This Row],[Traps]]=MUp,TabTRADERCorrupted[[#This Row],[TakeGain_A]]-Commission,        TabTRADERCorrupted[[#This Row],[Traps]]=MDown,(TabTRADERCorrupted[[#This Row],[A]]-TabTRADERCorrupted[[#This Row],[M]])/TabTRADERCorrupted[[#This Row],[M]]-Commission,                              TRUE,"")</f>
        <v>0.13245610371040784</v>
      </c>
      <c r="AW61" s="820"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17339.222173262726</v>
      </c>
      <c r="AX61" s="755"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61" s="731"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1,000x7.65</v>
      </c>
      <c r="AZ61" s="760"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0.13470495784076075</v>
      </c>
      <c r="BA61" s="757"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-0.121586280298322</v>
      </c>
      <c r="BB61" s="322">
        <f ca="1">_xlfn.XLOOKUP(TabTRADERCorrupted[[#This Row],[ClickTick]],TabCalc[Ticker],TabCalc[L_Sn])</f>
        <v>1000</v>
      </c>
      <c r="BC61" s="723">
        <f ca="1">_xlfn.XLOOKUP(TabTRADERCorrupted[[#This Row],[ClickTick]],TabCalc[Ticker],TabCalc[L_Sp])</f>
        <v>61.72</v>
      </c>
      <c r="BD61" s="759">
        <f ca="1">-IFERROR((TabTRADERCorrupted[[#This Row],[M]]-TabTRADERCorrupted[[#This Row],[L_Sp]])/TabTRADERCorrupted[[#This Row],[L_Sp]],0)</f>
        <v>-4.2773817239144536E-2</v>
      </c>
      <c r="BE61" s="724">
        <f ca="1">TabTRADERCorrupted[[#This Row],[L_Sn]]*(TabTRADERCorrupted[[#This Row],[M]]-TabTRADERCorrupted[[#This Row],[L_Sp]])*(1-Commission)*TabTRADERCorrupted[[#This Row],[Scale]]</f>
        <v>2633.1360000000004</v>
      </c>
      <c r="BF61" s="687">
        <f ca="1">TabTRADERCorrupted[[#This Row],[L_Sn]]*(TabTRADERCorrupted[[#This Row],[Agiotage]]-TabTRADERCorrupted[[#This Row],[M]])/(TabTRADERCorrupted[[#This Row],[L_Bn]]*TabTRADERCorrupted[[#This Row],[M]])</f>
        <v>-0.98346160274549976</v>
      </c>
      <c r="BG61" s="630">
        <f ca="1">IFERROR((TabTRADERCorrupted[[#This Row],[M]]-TabTRADERCorrupted[[#This Row],[A]])/TabTRADERCorrupted[[#This Row],[A]],0)</f>
        <v>0.13505610371040783</v>
      </c>
      <c r="BH6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15,276$</v>
      </c>
      <c r="BI61" s="679">
        <f ca="1">_xlfn.XLOOKUP(TabTRADERCorrupted[[#This Row],[ClickTick]],TabCalc[[#This Row],[Ticker]],TabCalc[[#This Row],[GL]])*(1-Commission)</f>
        <v>110454.95364302455</v>
      </c>
      <c r="BJ61" s="679"/>
      <c r="BK61" s="664" t="str">
        <f ca="1">TabTRADERCorrupted[[#This Row],[ClickTick]]&amp;": "&amp;_xlfn.XLOOKUP(TabTRADERCorrupted[[#This Row],[ClickTick]],TabCalc[Ticker],TabCalc[Pile?])</f>
        <v>MVEGLE: Pile</v>
      </c>
      <c r="BL61" s="349" t="s">
        <v>2017</v>
      </c>
      <c r="BM61" s="750" t="str" cm="1">
        <f t="array" aca="1" ref="BM61" ca="1">_xlfn.TEXTJOIN("",,INDEX({"M","A","Y"}, _xlfn.SORTBY({1,2,3}, -CHOOSE({1,2,3}, TabTRADERCorrupted[[#This Row],[M]], TabTRADERCorrupted[[#This Row],[A]], TabTRADERCorrupted[[#This Row],[Agiotage]]))))</f>
        <v>MAY</v>
      </c>
      <c r="BN61" s="896"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4.1019266625233072E-2</v>
      </c>
      <c r="BO61" s="674">
        <f ca="1">TabTRADERCorrupted[[#This Row],[L_Sn]]*TabTRADERCorrupted[[#This Row],[L_Sp]]+TabTRADERCorrupted[[#This Row],[SellMore]]*TabTRADERCorrupted[[#This Row],[M]]</f>
        <v>126080</v>
      </c>
      <c r="BP61" s="674">
        <f ca="1">INDEX(
  INDEX(TabConsolid[], , _xlfn.XMATCH(TabTRADERCorrupted[[#This Row],[ClickTick]]&amp;1, TabConsolid[#Headers])),
  MATCH(
    -TabTRADERCorrupted[[#This Row],[M]],
    INDEX(TabConsolid[], , _xlfn.XMATCH(TabTRADERCorrupted[[#This Row],[ClickTick]]&amp;2, TabConsolid[#Headers])),
    -1
  )
)</f>
        <v>1000</v>
      </c>
      <c r="BQ61" s="674"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61" s="1113">
        <f ca="1">TabTRADERCorrupted[[#This Row],[ReBuy]]/(TabTRADERCorrupted[[#This Row],[L_Sn]]+TabTRADERCorrupted[[#This Row],[SellMore]])</f>
        <v>63.04</v>
      </c>
      <c r="BS6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-9.4943383129050554E-2</v>
      </c>
      <c r="BT61" s="682">
        <f ca="1">(TabTRADERCorrupted[[#This Row],[M]]-TabTRADERCorrupted[[#This Row],[Agiotage]])/(TabTRADERCorrupted[[#This Row],[M]]-TabTRADERCorrupted[[#This Row],[A]])-1</f>
        <v>7.2653361402656529</v>
      </c>
      <c r="BU61" s="1221">
        <f ca="1">_xlfn.XMATCH(TabTRADERCorrupted[[#This Row],[ClickTick]]&amp;1, TabConsolid[#Headers])</f>
        <v>179</v>
      </c>
      <c r="BV61" t="b">
        <f ca="1">IF(ABS(TabTRADERCorrupted[[#This Row],[L_Bp]])&gt;=TabTRADERCorrupted[[#This Row],[M]],"OK")</f>
        <v>0</v>
      </c>
    </row>
    <row r="62" spans="1:74">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-1,841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v>
      </c>
      <c r="D62" s="683"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500,000</v>
      </c>
      <c r="F62" s="224" t="str">
        <f ca="1">TRUNC(TabCalc[[#This Row],[L_B1p]],2)&amp;"x"&amp;TabCalc[[#This Row],[L_B1n]]&amp;"=   "&amp;TEXT(TabCalc[[#This Row],[ReverseS1]],"#,#0")&amp;"$"</f>
        <v>-13.19x6000=   3,270$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-12$</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500,000</v>
      </c>
      <c r="I62" s="224" t="str">
        <f ca="1">IFERROR(TRUNC(TabCalc[[#This Row],[L_S1p]],2)&amp;"x"&amp;TabCalc[[#This Row],[L_S1n]]&amp;"=   "&amp;TEXT(TabCalc[[#This Row],[ReverseB1]],"#,#0"),"")</f>
        <v>13.93x2000=   390</v>
      </c>
      <c r="J62" s="293">
        <f ca="1">_xlfn.XLOOKUP(TabTRADERCorrupted[[#This Row],[ClickTick]],TabCalc[Ticker],ListGravity)</f>
        <v>1.133215143793229</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171687.5</v>
      </c>
      <c r="M62" s="321">
        <f ca="1">_xlfn.XLOOKUP(TabTRADERCorrupted[[#This Row],[ClickTick]],TabCalc[Ticker],TabCalc[Agiotage])</f>
        <v>0.67743021645652646</v>
      </c>
      <c r="N62" s="322" cm="1">
        <f t="array" aca="1" ref="N62" ca="1">_xlfn.XLOOKUP(TabTRADERCorrupted[[#This Row],[ClickTick]],ListTickers,Tab2RSIConventional[RSIConv20])</f>
        <v>59</v>
      </c>
      <c r="O62" s="698" t="str">
        <f ca="1">TEXT(_xlfn.XLOOKUP(TabTRADERCorrupted[[#This Row],[ClickTick]],TabCalc[Ticker],TabCalc[Nbegin]),"#,#0")&amp;": "&amp;_xlfn.XLOOKUP(TabTRADERCorrupted[[#This Row],[ClickTick]],TabCalc[Ticker],TabCalc[Pile?])</f>
        <v xml:space="preserve">7,300: </v>
      </c>
      <c r="P62" s="851">
        <f ca="1">_xlfn.XLOOKUP(TabTRADERCorrupted[[#This Row],[ClickTick]],TabCalc[Ticker],TabCalc[L_Bn])</f>
        <v>3000</v>
      </c>
      <c r="Q62" s="723">
        <f ca="1">_xlfn.XLOOKUP(TabTRADERCorrupted[[#This Row],[ClickTick]],TabCalc[Ticker],TabCalc[L_Bp])</f>
        <v>-14.35</v>
      </c>
      <c r="R62" s="759">
        <f ca="1">(TabTRADERCorrupted[[#This Row],[M]]+TabTRADERCorrupted[[#This Row],[L_Bp]])/ABS(TabTRADERCorrupted[[#This Row],[L_Bp]])</f>
        <v>-4.2857142857142871E-2</v>
      </c>
      <c r="S62" s="678">
        <f ca="1">_xlfn.XLOOKUP(TabTRADERCorrupted[[#This Row],[ClickTick]],TabCalc[Ticker],TabCalc[Rev(MinStock)])*(1-Commission)</f>
        <v>-1836.2133999999999</v>
      </c>
      <c r="T62" s="777">
        <f ca="1">_xlfn.XLOOKUP(TabTRADERCorrupted[[#This Row],[ClickTick]],TabCalc[Ticker],TabCalc[Agiotage])</f>
        <v>0.67743021645652646</v>
      </c>
      <c r="U62" s="742"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1,782/1,782=&gt;0.5% / 0.5%</v>
      </c>
      <c r="V62" s="734" t="str">
        <f ca="1">_xlfn.XLOOKUP(TabTRADERCorrupted[[#This Row],[ClickTick]],[1]!RTData[Ticker_Symbol],[1]!RTData[Currency])</f>
        <v>EUR</v>
      </c>
      <c r="W62" s="744">
        <f ca="1">_xlfn.XLOOKUP(TabTRADERCorrupted[[#This Row],[ClickTick]],TabCalc[Ticker],TabCalc[M])</f>
        <v>13.734999999999999</v>
      </c>
      <c r="X62" s="1271" t="str">
        <f ca="1">SORTING!B62</f>
        <v>MVEORA</v>
      </c>
      <c r="Y62" s="798">
        <f ca="1">_xlfn.XLOOKUP(TabTRADERCorrupted[[#This Row],[ClickTick]],TabCalc[Ticker],TabCalc[Y])</f>
        <v>15.56471</v>
      </c>
      <c r="Z62" s="812">
        <f ca="1">_xlfn.XLOOKUP(TabTRADERCorrupted[[#This Row],[ClickTick]],[1]!RTData[Ticker_Symbol],[1]!RTData[YTChange])</f>
        <v>4.9542144302090342E-2</v>
      </c>
      <c r="AA62" s="827">
        <f ca="1">-_xlfn.XLOOKUP(TabTRADERCorrupted[[#This Row],[ClickTick]]&amp;2,Consolid!B$3:JZ$3,Consolid!B$4:JZ$4)</f>
        <v>12.14634709090909</v>
      </c>
      <c r="AB62" s="812" cm="1">
        <f t="array" aca="1" ref="AB62" ca="1">_xlfn.XLOOKUP(TabTRADERCorrupted[[#This Row],[ClickTick]],ListTickers,Tab1ChangePercent[Change%19])</f>
        <v>5.1229999999999999E-3</v>
      </c>
      <c r="AC62" s="763">
        <f ca="1">_xlfn.XLOOKUP(TabTRADERCorrupted[[#This Row],[ClickTick]],TabCalc[Ticker],TabCalc[NAfter])</f>
        <v>19800</v>
      </c>
      <c r="AD6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^92/271 K$</v>
      </c>
      <c r="AE62" s="1127"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2" s="1131"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62" s="1131"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11.968799999999744</v>
      </c>
      <c r="AH62" s="1131" t="str" cm="1">
        <f t="array" aca="1" ref="AH62" ca="1">_xlfn.IFS(     TabTRADERCorrupted[[#This Row],[Traps]]=MUp,MIN(TabTRADERCorrupted[[#This Row],[L_Sn]],TabTRADERCorrupted[[#This Row],[N]])*(TabTRADERCorrupted[[#This Row],[M]]-TabTRADERCorrupted[[#This Row],[L_Sp]])*(1-Commission)*TabTRADERCorrupted[[#This Row],[Scale]],                                  TRUE,"M= "&amp;TabTRADERCorrupted[[#This Row],[M]])</f>
        <v>M= 13.735</v>
      </c>
      <c r="AI62" s="1131" t="str" cm="1">
        <f t="array" aca="1" ref="AI62" ca="1">_xlfn.IFS(   TabTRADERCorrupted[[#This Row],[Traps]]=MUp,TEXT(MIN(TabTRADERCorrupted[[#This Row],[L_Sn]],TabTRADERCorrupted[[#This Row],[N]]),"#,#0")&amp;" x "&amp;TEXT(TabTRADERCorrupted[[#This Row],[L_Sp]],"#,#0.#0"),          TRUE,"")</f>
        <v/>
      </c>
      <c r="AJ62" s="1131"/>
      <c r="AK62" s="1131" t="str"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2" s="1131"/>
      <c r="AM62" s="1131"/>
      <c r="AN62" s="1131"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11.968799999999744</v>
      </c>
      <c r="AO62" s="1140"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7.2753728628590665E-4</v>
      </c>
      <c r="AP62" s="1140" t="str"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TabTRADERCorrupted[[#This Row],[Traps]]=SellMorePercentGain,                     MIN(TabTRADERCorrupted[[#This Row],[L_Sn]],TabTRADERCorrupted[[#This Row],[N]])*(TabTRADERCorrupted[[#This Row],[M]]-TabTRADERCorrupted[[#This Row],[L_Sp]])*(1-Commission)*TabTRADERCorrupted[[#This Row],[Scale]],                    TRUE,"")</f>
        <v/>
      </c>
      <c r="AR62" s="1129">
        <f ca="1">_xlfn.XLOOKUP(TabTRADERCorrupted[[#This Row],[ClickTick]],TabCalc[Ticker],TabCalc[Ann%RevLB])</f>
        <v>-0.13075060532687657</v>
      </c>
      <c r="AS62" s="1225">
        <f ca="1">_xlfn.XLOOKUP(TabTRADERCorrupted[[#This Row],[ClickTick]],TabCalc[Ticker],TabCalc[Up20])</f>
        <v>0</v>
      </c>
      <c r="AT62" s="1141"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20"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40" t="str" cm="1">
        <f t="array" aca="1" ref="AV62" ca="1">_xlfn.IFS(   TabTRADERCorrupted[[#This Row],[Traps]]=MUp,TabTRADERCorrupted[[#This Row],[TakeGain_A]]-Commission,        TabTRADERCorrupted[[#This Row],[Traps]]=MDown,(TabTRADERCorrupted[[#This Row],[A]]-TabTRADERCorrupted[[#This Row],[M]])/TabTRADERCorrupted[[#This Row],[M]]-Commission,                              TRUE,"")</f>
        <v/>
      </c>
      <c r="AW62" s="755"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31373.543748239994</v>
      </c>
      <c r="AX62" s="755"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62" s="731"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2" s="760"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0.13045258789889227</v>
      </c>
      <c r="BA62" s="757"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-0.11826457292252705</v>
      </c>
      <c r="BB62" s="322">
        <f ca="1">_xlfn.XLOOKUP(TabTRADERCorrupted[[#This Row],[ClickTick]],TabCalc[Ticker],TabCalc[L_Sn])</f>
        <v>1200</v>
      </c>
      <c r="BC62" s="723">
        <f ca="1">_xlfn.XLOOKUP(TabTRADERCorrupted[[#This Row],[ClickTick]],TabCalc[Ticker],TabCalc[L_Sp])</f>
        <v>13.744999999999999</v>
      </c>
      <c r="BD62" s="759">
        <f ca="1">-IFERROR((TabTRADERCorrupted[[#This Row],[M]]-TabTRADERCorrupted[[#This Row],[L_Sp]])/TabTRADERCorrupted[[#This Row],[L_Sp]],0)</f>
        <v>7.2753728628590665E-4</v>
      </c>
      <c r="BE62" s="724">
        <f ca="1">TabTRADERCorrupted[[#This Row],[L_Sn]]*(TabTRADERCorrupted[[#This Row],[M]]-TabTRADERCorrupted[[#This Row],[L_Sp]])*(1-Commission)*TabTRADERCorrupted[[#This Row],[Scale]]</f>
        <v>-11.968799999999744</v>
      </c>
      <c r="BF62" s="687">
        <f ca="1">TabTRADERCorrupted[[#This Row],[L_Sn]]*(TabTRADERCorrupted[[#This Row],[Agiotage]]-TabTRADERCorrupted[[#This Row],[M]])/(TabTRADERCorrupted[[#This Row],[L_Bn]]*TabTRADERCorrupted[[#This Row],[M]])</f>
        <v>-0.38027141706715606</v>
      </c>
      <c r="BG62" s="630">
        <f ca="1">IFERROR((TabTRADERCorrupted[[#This Row],[M]]-TabTRADERCorrupted[[#This Row],[A]])/TabTRADERCorrupted[[#This Row],[A]],0)</f>
        <v>0.13079264878573518</v>
      </c>
      <c r="BH6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31,374$</v>
      </c>
      <c r="BI62" s="679">
        <f ca="1">_xlfn.XLOOKUP(TabTRADERCorrupted[[#This Row],[ClickTick]],TabCalc[[#This Row],[Ticker]],TabCalc[[#This Row],[GL]])*(1-Commission)</f>
        <v>91438.478759855847</v>
      </c>
      <c r="BJ62" s="679"/>
      <c r="BK62" s="664" t="str">
        <f ca="1">TabTRADERCorrupted[[#This Row],[ClickTick]]&amp;": "&amp;_xlfn.XLOOKUP(TabTRADERCorrupted[[#This Row],[ClickTick]],TabCalc[Ticker],TabCalc[Pile?])</f>
        <v xml:space="preserve">MVEORA: </v>
      </c>
      <c r="BL62" s="349" t="s">
        <v>2018</v>
      </c>
      <c r="BM62" s="750" t="str" cm="1">
        <f t="array" aca="1" ref="BM62" ca="1">_xlfn.TEXTJOIN("",,INDEX({"M","A","Y"}, _xlfn.SORTBY({1,2,3}, -CHOOSE({1,2,3}, TabTRADERCorrupted[[#This Row],[M]], TabTRADERCorrupted[[#This Row],[A]], TabTRADERCorrupted[[#This Row],[Agiotage]]))))</f>
        <v>MAY</v>
      </c>
      <c r="BN62" s="896" t="str"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2" s="674">
        <f ca="1">TabTRADERCorrupted[[#This Row],[L_Sn]]*TabTRADERCorrupted[[#This Row],[L_Sp]]+TabTRADERCorrupted[[#This Row],[SellMore]]*TabTRADERCorrupted[[#This Row],[M]]</f>
        <v>98904</v>
      </c>
      <c r="BP62" s="674">
        <f ca="1">INDEX(
  INDEX(TabConsolid[], , _xlfn.XMATCH(TabTRADERCorrupted[[#This Row],[ClickTick]]&amp;1, TabConsolid[#Headers])),
  MATCH(
    -TabTRADERCorrupted[[#This Row],[M]],
    INDEX(TabConsolid[], , _xlfn.XMATCH(TabTRADERCorrupted[[#This Row],[ClickTick]]&amp;2, TabConsolid[#Headers])),
    -1
  )
)</f>
        <v>6000</v>
      </c>
      <c r="BQ62" s="674"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62" s="1113">
        <f ca="1">TabTRADERCorrupted[[#This Row],[ReBuy]]/(TabTRADERCorrupted[[#This Row],[L_Sn]]+TabTRADERCorrupted[[#This Row],[SellMore]])</f>
        <v>13.736666666666666</v>
      </c>
      <c r="BS6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-1.1540781374343978E-2</v>
      </c>
      <c r="BT62" s="682">
        <f ca="1">(TabTRADERCorrupted[[#This Row],[M]]-TabTRADERCorrupted[[#This Row],[Agiotage]])/(TabTRADERCorrupted[[#This Row],[M]]-TabTRADERCorrupted[[#This Row],[A]])-1</f>
        <v>7.2192716287005307</v>
      </c>
      <c r="BU62" s="1221">
        <f ca="1">_xlfn.XMATCH(TabTRADERCorrupted[[#This Row],[ClickTick]]&amp;1, TabConsolid[#Headers])</f>
        <v>182</v>
      </c>
      <c r="BV62" t="str">
        <f ca="1">IF(ABS(TabTRADERCorrupted[[#This Row],[L_Bp]])&gt;=TabTRADERCorrupted[[#This Row],[M]],"OK")</f>
        <v>OK</v>
      </c>
    </row>
    <row r="63" spans="1:74">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+10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23.6%</v>
      </c>
      <c r="D63" s="683"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15$</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39,710$</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-22.9% = 0</v>
      </c>
      <c r="I63" s="224" t="str">
        <f ca="1">IFERROR(TRUNC(TabCalc[[#This Row],[L_S1p]],2)&amp;"x"&amp;TabCalc[[#This Row],[L_S1n]]&amp;"=   "&amp;TEXT(TabCalc[[#This Row],[ReverseB1]],"#,#0"),"")</f>
        <v>29.29x4000=   -56,000</v>
      </c>
      <c r="J63" s="293">
        <f ca="1">_xlfn.XLOOKUP(TabTRADERCorrupted[[#This Row],[ClickTick]],TabCalc[Ticker],ListGravity)</f>
        <v>1.1128775698775699</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3.1362675405888028E-3</v>
      </c>
      <c r="N63" s="322" cm="1">
        <f t="array" aca="1" ref="N63" ca="1">_xlfn.XLOOKUP(TabTRADERCorrupted[[#This Row],[ClickTick]],ListTickers,Tab2RSIConventional[RSIConv20])</f>
        <v>59</v>
      </c>
      <c r="O63" s="698"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6">
        <f ca="1">_xlfn.XLOOKUP(TabTRADERCorrupted[[#This Row],[ClickTick]],TabCalc[Ticker],TabCalc[L_Bp])</f>
        <v>-33.094999999999999</v>
      </c>
      <c r="R63" s="759">
        <f ca="1">(TabTRADERCorrupted[[#This Row],[M]]+TabTRADERCorrupted[[#This Row],[L_Bp]])/ABS(TabTRADERCorrupted[[#This Row],[L_Bp]])</f>
        <v>0.30805257591781238</v>
      </c>
      <c r="S63" s="678">
        <f ca="1">_xlfn.XLOOKUP(TabTRADERCorrupted[[#This Row],[ClickTick]],TabCalc[Ticker],TabCalc[Rev(MinStock)])*(1-Commission)</f>
        <v>9.9740000000000002</v>
      </c>
      <c r="T63" s="777">
        <f ca="1">_xlfn.XLOOKUP(TabTRADERCorrupted[[#This Row],[ClickTick]],TabCalc[Ticker],TabCalc[Agiotage])</f>
        <v>3.1362675405888028E-3</v>
      </c>
      <c r="U63" s="742"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63" s="734" t="str">
        <f ca="1">_xlfn.XLOOKUP(TabTRADERCorrupted[[#This Row],[ClickTick]],[1]!RTData[Ticker_Symbol],[1]!RTData[Currency])</f>
        <v>EUR</v>
      </c>
      <c r="W63" s="744">
        <f ca="1">_xlfn.XLOOKUP(TabTRADERCorrupted[[#This Row],[ClickTick]],TabCalc[Ticker],TabCalc[M])</f>
        <v>43.29</v>
      </c>
      <c r="X63" s="1271" t="str">
        <f ca="1">SORTING!B63</f>
        <v>MVERWE</v>
      </c>
      <c r="Y63" s="798">
        <f ca="1">_xlfn.XLOOKUP(TabTRADERCorrupted[[#This Row],[ClickTick]],TabCalc[Ticker],TabCalc[Y])</f>
        <v>48.176470000000002</v>
      </c>
      <c r="Z63" s="812">
        <f ca="1">_xlfn.XLOOKUP(TabTRADERCorrupted[[#This Row],[ClickTick]],[1]!RTData[Ticker_Symbol],[1]!RTData[YTChange])</f>
        <v>8.5055630630630708E-2</v>
      </c>
      <c r="AA63" s="827">
        <f ca="1">-_xlfn.XLOOKUP(TabTRADERCorrupted[[#This Row],[ClickTick]]&amp;2,Consolid!B$3:JZ$3,Consolid!B$4:JZ$4)</f>
        <v>33.181047</v>
      </c>
      <c r="AB63" s="812" cm="1">
        <f t="array" aca="1" ref="AB63" ca="1">_xlfn.XLOOKUP(TabTRADERCorrupted[[#This Row],[ClickTick]],ListTickers,Tab1ChangePercent[Change%19])</f>
        <v>-4.5989999999999998E-3</v>
      </c>
      <c r="AC63" s="763">
        <f ca="1">_xlfn.XLOOKUP(TabTRADERCorrupted[[#This Row],[ClickTick]],TabCalc[Ticker],TabCalc[NAfter])</f>
        <v>1</v>
      </c>
      <c r="AD6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^38/0 K$</v>
      </c>
      <c r="AE63" s="1127"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31"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43.29, 29.8%</v>
      </c>
      <c r="AG63" s="1131"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31" cm="1">
        <f t="array" aca="1" ref="AH63" ca="1">_xlfn.IFS(     TabTRADERCorrupted[[#This Row],[Traps]]=MUp,MIN(TabTRADERCorrupted[[#This Row],[L_Sn]],TabTRADERCorrupted[[#This Row],[N]])*(TabTRADERCorrupted[[#This Row],[M]]-TabTRADERCorrupted[[#This Row],[L_Sp]])*(1-Commission)*TabTRADERCorrupted[[#This Row],[Scale]],                                  TRUE,"M= "&amp;TabTRADERCorrupted[[#This Row],[M]])</f>
        <v>9.9041819999999987</v>
      </c>
      <c r="AI63" s="1131" t="str" cm="1">
        <f t="array" aca="1" ref="AI63" ca="1">_xlfn.IFS(   TabTRADERCorrupted[[#This Row],[Traps]]=MUp,TEXT(MIN(TabTRADERCorrupted[[#This Row],[L_Sn]],TabTRADERCorrupted[[#This Row],[N]]),"#,#0")&amp;" x "&amp;TEXT(TabTRADERCorrupted[[#This Row],[L_Sp]],"#,#0.#0"),          TRUE,"")</f>
        <v>1 x 33.36</v>
      </c>
      <c r="AJ63" s="1131"/>
      <c r="AK63" s="1131"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9.9041819999999987</v>
      </c>
      <c r="AL63" s="1131"/>
      <c r="AM63" s="1131"/>
      <c r="AN63" s="1131"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10.082669722199999</v>
      </c>
      <c r="AO63" s="1140"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0.30466045872512704</v>
      </c>
      <c r="AP63" s="1140"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0.2267832293832294</v>
      </c>
      <c r="AQ63" s="820" cm="1">
        <f t="array" aca="1" ref="AQ63" ca="1">_xlfn.IFS(   TabTRADERCorrupted[[#This Row],[Traps]]=SellMorePercentGain,                     MIN(TabTRADERCorrupted[[#This Row],[L_Sn]],TabTRADERCorrupted[[#This Row],[N]])*(TabTRADERCorrupted[[#This Row],[M]]-TabTRADERCorrupted[[#This Row],[L_Sp]])*(1-Commission)*TabTRADERCorrupted[[#This Row],[Scale]],                    TRUE,"")</f>
        <v>9.9041819999999987</v>
      </c>
      <c r="AR63" s="1129">
        <f ca="1">_xlfn.XLOOKUP(TabTRADERCorrupted[[#This Row],[ClickTick]],TabCalc[Ticker],TabCalc[Ann%RevLB])</f>
        <v>0.49730460686283612</v>
      </c>
      <c r="AS63" s="1129">
        <f ca="1">_xlfn.XLOOKUP(TabTRADERCorrupted[[#This Row],[ClickTick]],TabCalc[Ticker],TabCalc[Up20])</f>
        <v>0</v>
      </c>
      <c r="AT63" s="1141"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20"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40" cm="1">
        <f t="array" aca="1" ref="AV63" ca="1">_xlfn.IFS(   TabTRADERCorrupted[[#This Row],[Traps]]=MUp,TabTRADERCorrupted[[#This Row],[TakeGain_A]]-Commission,        TabTRADERCorrupted[[#This Row],[Traps]]=MDown,(TabTRADERCorrupted[[#This Row],[A]]-TabTRADERCorrupted[[#This Row],[M]])/TabTRADERCorrupted[[#This Row],[M]]-Commission,                              TRUE,"")</f>
        <v>0.30206045872512705</v>
      </c>
      <c r="AW63" s="755"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13.154460504939401</v>
      </c>
      <c r="AX63" s="755"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3" s="731"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1x10.1</v>
      </c>
      <c r="AZ63" s="760"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0.30386834153244169</v>
      </c>
      <c r="BA63" s="757"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-0.23611704781704781</v>
      </c>
      <c r="BB63" s="322">
        <f ca="1">_xlfn.XLOOKUP(TabTRADERCorrupted[[#This Row],[ClickTick]],TabCalc[Ticker],TabCalc[L_Sn])</f>
        <v>3999</v>
      </c>
      <c r="BC63" s="723">
        <f ca="1">_xlfn.XLOOKUP(TabTRADERCorrupted[[#This Row],[ClickTick]],TabCalc[Ticker],TabCalc[L_Sp])</f>
        <v>33.36</v>
      </c>
      <c r="BD63" s="759">
        <f ca="1">-IFERROR((TabTRADERCorrupted[[#This Row],[M]]-TabTRADERCorrupted[[#This Row],[L_Sp]])/TabTRADERCorrupted[[#This Row],[L_Sp]],0)</f>
        <v>-0.2976618705035971</v>
      </c>
      <c r="BE63" s="724">
        <f ca="1">TabTRADERCorrupted[[#This Row],[L_Sn]]*(TabTRADERCorrupted[[#This Row],[M]]-TabTRADERCorrupted[[#This Row],[L_Sp]])*(1-Commission)*TabTRADERCorrupted[[#This Row],[Scale]]</f>
        <v>39606.823817999997</v>
      </c>
      <c r="BF63" s="687">
        <f ca="1">TabTRADERCorrupted[[#This Row],[L_Sn]]*(TabTRADERCorrupted[[#This Row],[Agiotage]]-TabTRADERCorrupted[[#This Row],[M]])/(TabTRADERCorrupted[[#This Row],[L_Bn]]*TabTRADERCorrupted[[#This Row],[M]])</f>
        <v>-1.3329034270124367</v>
      </c>
      <c r="BG63" s="630">
        <f ca="1">IFERROR((TabTRADERCorrupted[[#This Row],[M]]-TabTRADERCorrupted[[#This Row],[A]])/TabTRADERCorrupted[[#This Row],[A]],0)</f>
        <v>0.30466045872512704</v>
      </c>
      <c r="BH6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10$</v>
      </c>
      <c r="BI63" s="679">
        <f ca="1">_xlfn.XLOOKUP(TabTRADERCorrupted[[#This Row],[ClickTick]],TabCalc[[#This Row],[Ticker]],TabCalc[[#This Row],[GL]])*(1-Commission)</f>
        <v>37557.835306295448</v>
      </c>
      <c r="BJ63" s="679"/>
      <c r="BK63" s="664" t="str">
        <f ca="1">TabTRADERCorrupted[[#This Row],[ClickTick]]&amp;": "&amp;_xlfn.XLOOKUP(TabTRADERCorrupted[[#This Row],[ClickTick]],TabCalc[Ticker],TabCalc[Pile?])</f>
        <v>MVERWE: Pile</v>
      </c>
      <c r="BL63" s="349" t="s">
        <v>2019</v>
      </c>
      <c r="BM63" s="750" t="str" cm="1">
        <f t="array" aca="1" ref="BM63" ca="1">_xlfn.TEXTJOIN("",,INDEX({"M","A","Y"}, _xlfn.SORTBY({1,2,3}, -CHOOSE({1,2,3}, TabTRADERCorrupted[[#This Row],[M]], TabTRADERCorrupted[[#This Row],[A]], TabTRADERCorrupted[[#This Row],[Agiotage]]))))</f>
        <v>MAY</v>
      </c>
      <c r="BN63" s="896"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0.22938322938322939</v>
      </c>
      <c r="BO63" s="674">
        <f ca="1">TabTRADERCorrupted[[#This Row],[L_Sn]]*TabTRADERCorrupted[[#This Row],[L_Sp]]+TabTRADERCorrupted[[#This Row],[SellMore]]*TabTRADERCorrupted[[#This Row],[M]]</f>
        <v>133449.93</v>
      </c>
      <c r="BP63" s="674">
        <f ca="1">INDEX(
  INDEX(TabConsolid[], , _xlfn.XMATCH(TabTRADERCorrupted[[#This Row],[ClickTick]]&amp;1, TabConsolid[#Headers])),
  MATCH(
    -TabTRADERCorrupted[[#This Row],[M]],
    INDEX(TabConsolid[], , _xlfn.XMATCH(TabTRADERCorrupted[[#This Row],[ClickTick]]&amp;2, TabConsolid[#Headers])),
    -1
  )
)</f>
        <v>1</v>
      </c>
      <c r="BQ63" s="674"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13">
        <f ca="1">TabTRADERCorrupted[[#This Row],[ReBuy]]/(TabTRADERCorrupted[[#This Row],[L_Sn]]+TabTRADERCorrupted[[#This Row],[SellMore]])</f>
        <v>33.362482499999999</v>
      </c>
      <c r="BS6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-43.297688154498033</v>
      </c>
      <c r="BT63" s="682">
        <f ca="1">(TabTRADERCorrupted[[#This Row],[M]]-TabTRADERCorrupted[[#This Row],[Agiotage]])/(TabTRADERCorrupted[[#This Row],[M]]-TabTRADERCorrupted[[#This Row],[A]])-1</f>
        <v>3.282032346224125</v>
      </c>
      <c r="BU63" s="1221">
        <f ca="1">_xlfn.XMATCH(TabTRADERCorrupted[[#This Row],[ClickTick]]&amp;1, TabConsolid[#Headers])</f>
        <v>185</v>
      </c>
      <c r="BV63" t="b">
        <f ca="1">IF(ABS(TabTRADERCorrupted[[#This Row],[L_Bp]])&gt;=TabTRADERCorrupted[[#This Row],[M]],"OK")</f>
        <v>0</v>
      </c>
    </row>
    <row r="64" spans="1:74">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+1,428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64" s="683"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-8,320$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-29,090$</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27.8% = 86</v>
      </c>
      <c r="I64" s="224" t="str">
        <f ca="1">IFERROR(TRUNC(TabCalc[[#This Row],[L_S1p]],2)&amp;"x"&amp;TabCalc[[#This Row],[L_S1n]]&amp;"=   "&amp;TEXT(TabCalc[[#This Row],[ReverseB1]],"#,#0"),"")</f>
        <v>263.8x500=   27,250</v>
      </c>
      <c r="J64" s="293">
        <f ca="1">_xlfn.XLOOKUP(TabTRADERCorrupted[[#This Row],[ClickTick]],TabCalc[Ticker],ListGravity)</f>
        <v>1.370043000477783</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1.6723113482056255</v>
      </c>
      <c r="N64" s="322" cm="1">
        <f t="array" aca="1" ref="N64" ca="1">_xlfn.XLOOKUP(TabTRADERCorrupted[[#This Row],[ClickTick]],ListTickers,Tab2RSIConventional[RSIConv20])</f>
        <v>66</v>
      </c>
      <c r="O64" s="698" t="str">
        <f ca="1">TEXT(_xlfn.XLOOKUP(TabTRADERCorrupted[[#This Row],[ClickTick]],TabCalc[Ticker],TabCalc[Nbegin]),"#,#0")&amp;": "&amp;_xlfn.XLOOKUP(TabTRADERCorrupted[[#This Row],[ClickTick]],TabCalc[Ticker],TabCalc[Pile?])</f>
        <v>1,000: Pile</v>
      </c>
      <c r="P64" s="851">
        <f ca="1">_xlfn.XLOOKUP(TabTRADERCorrupted[[#This Row],[ClickTick]],TabCalc[Ticker],TabCalc[L_Bn])</f>
        <v>499</v>
      </c>
      <c r="Q64" s="723">
        <f ca="1">_xlfn.XLOOKUP(TabTRADERCorrupted[[#This Row],[ClickTick]],TabCalc[Ticker],TabCalc[L_Bp])</f>
        <v>-206.43</v>
      </c>
      <c r="R64" s="759">
        <f ca="1">(TabTRADERCorrupted[[#This Row],[M]]+TabTRADERCorrupted[[#This Row],[L_Bp]])/ABS(TabTRADERCorrupted[[#This Row],[L_Bp]])</f>
        <v>1.3903017972193985E-2</v>
      </c>
      <c r="S64" s="678">
        <f ca="1">_xlfn.XLOOKUP(TabTRADERCorrupted[[#This Row],[ClickTick]],TabCalc[Ticker],TabCalc[Rev(MinStock)])*(1-Commission)</f>
        <v>1424.2872</v>
      </c>
      <c r="T64" s="777">
        <f ca="1">_xlfn.XLOOKUP(TabTRADERCorrupted[[#This Row],[ClickTick]],TabCalc[Ticker],TabCalc[Agiotage])</f>
        <v>1.6723113482056255</v>
      </c>
      <c r="U64" s="742"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4,770/4,770=&gt;-0.8% / -0.8%</v>
      </c>
      <c r="V64" s="734" t="str">
        <f ca="1">_xlfn.XLOOKUP(TabTRADERCorrupted[[#This Row],[ClickTick]],[1]!RTData[Ticker_Symbol],[1]!RTData[Currency])</f>
        <v>EUR</v>
      </c>
      <c r="W64" s="744">
        <f ca="1">_xlfn.XLOOKUP(TabTRADERCorrupted[[#This Row],[ClickTick]],TabCalc[Ticker],TabCalc[M])</f>
        <v>209.3</v>
      </c>
      <c r="X64" s="1271" t="str">
        <f ca="1">SORTING!B64</f>
        <v>MVESAP</v>
      </c>
      <c r="Y64" s="798">
        <f ca="1">_xlfn.XLOOKUP(TabTRADERCorrupted[[#This Row],[ClickTick]],TabCalc[Ticker],TabCalc[Y])</f>
        <v>286.75</v>
      </c>
      <c r="Z64" s="812">
        <f ca="1">_xlfn.XLOOKUP(TabTRADERCorrupted[[#This Row],[ClickTick]],[1]!RTData[Ticker_Symbol],[1]!RTData[YTChange])</f>
        <v>-8.3045535942696425E-2</v>
      </c>
      <c r="AA64" s="827">
        <f ca="1">-_xlfn.XLOOKUP(TabTRADERCorrupted[[#This Row],[ClickTick]]&amp;2,Consolid!B$3:JZ$3,Consolid!B$4:JZ$4)</f>
        <v>228.78379529999998</v>
      </c>
      <c r="AB64" s="812" cm="1">
        <f t="array" aca="1" ref="AB64" ca="1">_xlfn.XLOOKUP(TabTRADERCorrupted[[#This Row],[ClickTick]],ListTickers,Tab1ChangePercent[Change%19])</f>
        <v>-7.8220000000000008E-3</v>
      </c>
      <c r="AC64" s="763">
        <f ca="1">_xlfn.XLOOKUP(TabTRADERCorrupted[[#This Row],[ClickTick]],TabCalc[Ticker],TabCalc[NAfter])</f>
        <v>900</v>
      </c>
      <c r="AD6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^48/188 K$</v>
      </c>
      <c r="AE64" s="1147"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31"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31"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1424.2872</v>
      </c>
      <c r="AH64" s="1131"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209.3</v>
      </c>
      <c r="AI64" s="1131" t="str" cm="1">
        <f t="array" aca="1" ref="AI64" ca="1">_xlfn.IFS(   TabTRADERCorrupted[[#This Row],[Traps]]=MUp,TEXT(MIN(TabTRADERCorrupted[[#This Row],[L_Sn]],TabTRADERCorrupted[[#This Row],[N]]),"#,#0")&amp;" x "&amp;TEXT(TabTRADERCorrupted[[#This Row],[L_Sp]],"#,#0.#0"),          TRUE,"")</f>
        <v/>
      </c>
      <c r="AJ64" s="1131"/>
      <c r="AK64" s="1131"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31"/>
      <c r="AM64" s="1131"/>
      <c r="AN64" s="1131"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1424.2872</v>
      </c>
      <c r="AO64" s="1140"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1.3903017972193985E-2</v>
      </c>
      <c r="AP64" s="1140"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TabTRADERCorrupted[[#This Row],[Traps]]=SellMorePercentGain,                     MIN(TabTRADERCorrupted[[#This Row],[L_Sn]],TabTRADERCorrupted[[#This Row],[N]])*(TabTRADERCorrupted[[#This Row],[M]]-TabTRADERCorrupted[[#This Row],[L_Sp]])*(1-Commission)*TabTRADERCorrupted[[#This Row],[Scale]],                    TRUE,"")</f>
        <v/>
      </c>
      <c r="AR64" s="1129">
        <f ca="1">_xlfn.XLOOKUP(TabTRADERCorrupted[[#This Row],[ClickTick]],TabCalc[Ticker],TabCalc[Ann%RevLB])</f>
        <v>0.62563580874872937</v>
      </c>
      <c r="AS64" s="1225" t="str">
        <f ca="1">_xlfn.XLOOKUP(TabTRADERCorrupted[[#This Row],[ClickTick]],TabCalc[Ticker],TabCalc[Up20])</f>
        <v>//56%</v>
      </c>
      <c r="AT64" s="1141"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20"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40" t="str" cm="1">
        <f t="array" aca="1" ref="AV64" ca="1">_xlfn.IFS(   TabTRADERCorrupted[[#This Row],[Traps]]=MUp,TabTRADERCorrupted[[#This Row],[TakeGain_A]]-Commission,        TabTRADERCorrupted[[#This Row],[Traps]]=MDown,(TabTRADERCorrupted[[#This Row],[A]]-TabTRADERCorrupted[[#This Row],[M]])/TabTRADERCorrupted[[#This Row],[M]]-Commission,                              TRUE,"")</f>
        <v/>
      </c>
      <c r="AW64" s="755"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-16000.346935879666</v>
      </c>
      <c r="AX64" s="755"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64" s="731"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60"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7"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9.0490278547539257E-2</v>
      </c>
      <c r="BB64" s="322">
        <f ca="1">_xlfn.XLOOKUP(TabTRADERCorrupted[[#This Row],[ClickTick]],TabCalc[Ticker],TabCalc[L_Sn])</f>
        <v>500</v>
      </c>
      <c r="BC64" s="723">
        <f ca="1">_xlfn.XLOOKUP(TabTRADERCorrupted[[#This Row],[ClickTick]],TabCalc[Ticker],TabCalc[L_Sp])</f>
        <v>267.48</v>
      </c>
      <c r="BD64" s="759">
        <f ca="1">-IFERROR((TabTRADERCorrupted[[#This Row],[M]]-TabTRADERCorrupted[[#This Row],[L_Sp]])/TabTRADERCorrupted[[#This Row],[L_Sp]],0)</f>
        <v>0.21751158965156275</v>
      </c>
      <c r="BE64" s="724">
        <f ca="1">TabTRADERCorrupted[[#This Row],[L_Sn]]*(TabTRADERCorrupted[[#This Row],[M]]-TabTRADERCorrupted[[#This Row],[L_Sp]])*(1-Commission)*TabTRADERCorrupted[[#This Row],[Scale]]</f>
        <v>-29014.366000000002</v>
      </c>
      <c r="BF64" s="687">
        <f ca="1">TabTRADERCorrupted[[#This Row],[L_Sn]]*(TabTRADERCorrupted[[#This Row],[Agiotage]]-TabTRADERCorrupted[[#This Row],[M]])/(TabTRADERCorrupted[[#This Row],[L_Bn]]*TabTRADERCorrupted[[#This Row],[M]])</f>
        <v>-0.9939979751753597</v>
      </c>
      <c r="BG64" s="630">
        <f ca="1">IFERROR((TabTRADERCorrupted[[#This Row],[M]]-TabTRADERCorrupted[[#This Row],[A]])/TabTRADERCorrupted[[#This Row],[A]],0)</f>
        <v>-8.5162479599795199E-2</v>
      </c>
      <c r="BH6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-17,490$</v>
      </c>
      <c r="BI64" s="679">
        <f ca="1">_xlfn.XLOOKUP(TabTRADERCorrupted[[#This Row],[ClickTick]],TabCalc[[#This Row],[Ticker]],TabCalc[[#This Row],[GL]])*(1-Commission)</f>
        <v>47671.299754197738</v>
      </c>
      <c r="BJ64" s="679"/>
      <c r="BK64" s="664" t="str">
        <f ca="1">TabTRADERCorrupted[[#This Row],[ClickTick]]&amp;": "&amp;_xlfn.XLOOKUP(TabTRADERCorrupted[[#This Row],[ClickTick]],TabCalc[Ticker],TabCalc[Pile?])</f>
        <v>MVESAP: Pile</v>
      </c>
      <c r="BL64" s="349" t="s">
        <v>2020</v>
      </c>
      <c r="BM64" s="750" t="str" cm="1">
        <f t="array" aca="1" ref="BM64" ca="1">_xlfn.TEXTJOIN("",,INDEX({"M","A","Y"}, _xlfn.SORTBY({1,2,3}, -CHOOSE({1,2,3}, TabTRADERCorrupted[[#This Row],[M]], TabTRADERCorrupted[[#This Row],[A]], TabTRADERCorrupted[[#This Row],[Agiotage]]))))</f>
        <v>AMY</v>
      </c>
      <c r="BN64" s="896"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4" t="e">
        <f ca="1">TabTRADERCorrupted[[#This Row],[L_Sn]]*TabTRADERCorrupted[[#This Row],[L_Sp]]+TabTRADERCorrupted[[#This Row],[SellMore]]*TabTRADERCorrupted[[#This Row],[M]]</f>
        <v>#N/A</v>
      </c>
      <c r="BP64" s="674" t="e">
        <f ca="1">INDEX(
  INDEX(TabConsolid[], , _xlfn.XMATCH(TabTRADERCorrupted[[#This Row],[ClickTick]]&amp;1, TabConsolid[#Headers])),
  MATCH(
    -TabTRADERCorrupted[[#This Row],[M]],
    INDEX(TabConsolid[], , _xlfn.XMATCH(TabTRADERCorrupted[[#This Row],[ClickTick]]&amp;2, TabConsolid[#Headers])),
    -1
  )
)</f>
        <v>#N/A</v>
      </c>
      <c r="BQ64" s="674"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13" t="e">
        <f ca="1">TabTRADERCorrupted[[#This Row],[ReBuy]]/(TabTRADERCorrupted[[#This Row],[L_Sn]]+TabTRADERCorrupted[[#This Row],[SellMore]])</f>
        <v>#N/A</v>
      </c>
      <c r="BS6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-0.64595280913891584</v>
      </c>
      <c r="BT64" s="682">
        <f ca="1">(TabTRADERCorrupted[[#This Row],[M]]-TabTRADERCorrupted[[#This Row],[Agiotage]])/(TabTRADERCorrupted[[#This Row],[M]]-TabTRADERCorrupted[[#This Row],[A]])-1</f>
        <v>-11.656429379125878</v>
      </c>
      <c r="BU64" s="1221">
        <f ca="1">_xlfn.XMATCH(TabTRADERCorrupted[[#This Row],[ClickTick]]&amp;1, TabConsolid[#Headers])</f>
        <v>188</v>
      </c>
      <c r="BV64" t="b">
        <f ca="1">IF(ABS(TabTRADERCorrupted[[#This Row],[L_Bp]])&gt;=TabTRADERCorrupted[[#This Row],[M]],"OK")</f>
        <v>0</v>
      </c>
    </row>
    <row r="65" spans="1:74">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+12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0.9%</v>
      </c>
      <c r="D65" s="683"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-1$</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-3,992$</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21.7% = 611</v>
      </c>
      <c r="I65" s="224" t="str">
        <f ca="1">IFERROR(TRUNC(TabCalc[[#This Row],[L_S1p]],2)&amp;"x"&amp;TabCalc[[#This Row],[L_S1n]]&amp;"=   "&amp;TEXT(TabCalc[[#This Row],[ReverseB1]],"#,#0"),"")</f>
        <v>51.5x490=   6,738</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19441.25</v>
      </c>
      <c r="M65" s="321">
        <f ca="1">_xlfn.XLOOKUP(TabTRADERCorrupted[[#This Row],[ClickTick]],TabCalc[Ticker],TabCalc[Agiotage])</f>
        <v>9.2452830188679246E-3</v>
      </c>
      <c r="N65" s="322" cm="1">
        <f t="array" aca="1" ref="N65" ca="1">_xlfn.XLOOKUP(TabTRADERCorrupted[[#This Row],[ClickTick]],ListTickers,Tab2RSIConventional[RSIConv20])</f>
        <v>81</v>
      </c>
      <c r="O65" s="698" t="str">
        <f ca="1">TEXT(_xlfn.XLOOKUP(TabTRADERCorrupted[[#This Row],[ClickTick]],TabCalc[Ticker],TabCalc[Nbegin]),"#,#0")&amp;": "&amp;_xlfn.XLOOKUP(TabTRADERCorrupted[[#This Row],[ClickTick]],TabCalc[Ticker],TabCalc[Pile?])</f>
        <v xml:space="preserve">45: </v>
      </c>
      <c r="P65" s="851">
        <f ca="1">_xlfn.XLOOKUP(TabTRADERCorrupted[[#This Row],[ClickTick]],TabCalc[Ticker],TabCalc[L_Bn])</f>
        <v>39</v>
      </c>
      <c r="Q65" s="723">
        <f ca="1">_xlfn.XLOOKUP(TabTRADERCorrupted[[#This Row],[ClickTick]],TabCalc[Ticker],TabCalc[L_Bp])</f>
        <v>-37.424999999999997</v>
      </c>
      <c r="R65" s="759">
        <f ca="1">(TabTRADERCorrupted[[#This Row],[M]]+TabTRADERCorrupted[[#This Row],[L_Bp]])/ABS(TabTRADERCorrupted[[#This Row],[L_Bp]])</f>
        <v>8.6840347361390215E-3</v>
      </c>
      <c r="S65" s="678">
        <f ca="1">_xlfn.XLOOKUP(TabTRADERCorrupted[[#This Row],[ClickTick]],TabCalc[Ticker],TabCalc[Rev(MinStock)])*(1-Commission)</f>
        <v>11.9688</v>
      </c>
      <c r="T65" s="777">
        <f ca="1">_xlfn.XLOOKUP(TabTRADERCorrupted[[#This Row],[ClickTick]],TabCalc[Ticker],TabCalc[Agiotage])</f>
        <v>9.2452830188679246E-3</v>
      </c>
      <c r="U65" s="742"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-560/-560=&gt;-0.8% / -0.8%</v>
      </c>
      <c r="V65" s="734" t="str">
        <f ca="1">_xlfn.XLOOKUP(TabTRADERCorrupted[[#This Row],[ClickTick]],[1]!RTData[Ticker_Symbol],[1]!RTData[Currency])</f>
        <v>EUR</v>
      </c>
      <c r="W65" s="744">
        <f ca="1">_xlfn.XLOOKUP(TabTRADERCorrupted[[#This Row],[ClickTick]],TabCalc[Ticker],TabCalc[M])</f>
        <v>37.75</v>
      </c>
      <c r="X65" s="1271" t="str">
        <f ca="1">SORTING!B65</f>
        <v>MVEUN0</v>
      </c>
      <c r="Y65" s="798">
        <f ca="1">_xlfn.XLOOKUP(TabTRADERCorrupted[[#This Row],[ClickTick]],TabCalc[Ticker],TabCalc[Y])</f>
        <v>0</v>
      </c>
      <c r="Z65" s="812">
        <f ca="1">_xlfn.XLOOKUP(TabTRADERCorrupted[[#This Row],[ClickTick]],[1]!RTData[Ticker_Symbol],[1]!RTData[YTChange])</f>
        <v>0</v>
      </c>
      <c r="AA65" s="827">
        <f ca="1">-_xlfn.XLOOKUP(TabTRADERCorrupted[[#This Row],[ClickTick]]&amp;2,Consolid!B$3:JZ$3,Consolid!B$4:JZ$4)</f>
        <v>42.049679576785714</v>
      </c>
      <c r="AB65" s="812" cm="1">
        <f t="array" aca="1" ref="AB65" ca="1">_xlfn.XLOOKUP(TabTRADERCorrupted[[#This Row],[ClickTick]],ListTickers,Tab1ChangePercent[Change%19])</f>
        <v>-7.8840000000000004E-3</v>
      </c>
      <c r="AC65" s="763">
        <f ca="1">_xlfn.XLOOKUP(TabTRADERCorrupted[[#This Row],[ClickTick]],TabCalc[Ticker],TabCalc[NAfter])</f>
        <v>560</v>
      </c>
      <c r="AD6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^4/21 K$</v>
      </c>
      <c r="AE65" s="1147"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5" s="1131"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039 x -37.43</v>
      </c>
      <c r="AG65" s="1131"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11.9688</v>
      </c>
      <c r="AH65" s="1131"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37.75</v>
      </c>
      <c r="AI65" s="1131" t="str" cm="1">
        <f t="array" aca="1" ref="AI65" ca="1">_xlfn.IFS(   TabTRADERCorrupted[[#This Row],[Traps]]=MUp,TEXT(MIN(TabTRADERCorrupted[[#This Row],[L_Sn]],TabTRADERCorrupted[[#This Row],[N]]),"#,#0")&amp;" x "&amp;TEXT(TabTRADERCorrupted[[#This Row],[L_Sp]],"#,#0.#0"),          TRUE,"")</f>
        <v/>
      </c>
      <c r="AJ65" s="1131"/>
      <c r="AK65" s="1131" t="str"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5" s="1131"/>
      <c r="AM65" s="1131"/>
      <c r="AN65" s="1131"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11.9688</v>
      </c>
      <c r="AO65" s="1140"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8.6840347361390215E-3</v>
      </c>
      <c r="AP65" s="1140" t="str"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5" s="820" t="str" cm="1">
        <f t="array" aca="1" ref="AQ65" ca="1">_xlfn.IFS(   TabTRADERCorrupted[[#This Row],[Traps]]=SellMorePercentGain,                     MIN(TabTRADERCorrupted[[#This Row],[L_Sn]],TabTRADERCorrupted[[#This Row],[N]])*(TabTRADERCorrupted[[#This Row],[M]]-TabTRADERCorrupted[[#This Row],[L_Sp]])*(1-Commission)*TabTRADERCorrupted[[#This Row],[Scale]],                    TRUE,"")</f>
        <v/>
      </c>
      <c r="AR65" s="1129">
        <f ca="1">_xlfn.XLOOKUP(TabTRADERCorrupted[[#This Row],[ClickTick]],TabCalc[Ticker],TabCalc[Ann%RevLB])</f>
        <v>2.141268839047978E-2</v>
      </c>
      <c r="AS65" s="1225">
        <f ca="1">_xlfn.XLOOKUP(TabTRADERCorrupted[[#This Row],[ClickTick]],TabCalc[Ticker],TabCalc[Up20])</f>
        <v>0</v>
      </c>
      <c r="AT65" s="1141" t="str"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5" s="820" t="str" cm="1">
        <f t="array" aca="1" ref="AU65" ca="1">_xlfn.IFS(         TabTRADERCorrupted[[#This Row],[Traps]]=MDown,TabTRADERCorrupted[[#This Row],[L_Bn]]*TabTRADERCorrupted[[#This Row],[M]]*(-(TabTRADERCorrupted[[#This Row],[L_Bp]]+TabTRADERCorrupted[[#This Row],[M]])/TabTRADERCorrupted[[#This Row],[M]])*(1-Commission)*TabTRADERCorrupted[[#This Row],[Scale]],                               TRUE,"")</f>
        <v/>
      </c>
      <c r="AV65" s="1140" t="str" cm="1">
        <f t="array" aca="1" ref="AV65" ca="1">_xlfn.IFS(   TabTRADERCorrupted[[#This Row],[Traps]]=MUp,TabTRADERCorrupted[[#This Row],[TakeGain_A]]-Commission,        TabTRADERCorrupted[[#This Row],[Traps]]=MDown,(TabTRADERCorrupted[[#This Row],[A]]-TabTRADERCorrupted[[#This Row],[M]])/TabTRADERCorrupted[[#This Row],[M]]-Commission,                              TRUE,"")</f>
        <v/>
      </c>
      <c r="AW65" s="820"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-2155.9949939557068</v>
      </c>
      <c r="AX65" s="755"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65" s="731" t="str"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5" s="760" t="str"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5" s="757"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0.1112987967360454</v>
      </c>
      <c r="BB65" s="322">
        <f ca="1">_xlfn.XLOOKUP(TabTRADERCorrupted[[#This Row],[ClickTick]],TabCalc[Ticker],TabCalc[L_Sn])</f>
        <v>488</v>
      </c>
      <c r="BC65" s="723">
        <f ca="1">_xlfn.XLOOKUP(TabTRADERCorrupted[[#This Row],[ClickTick]],TabCalc[Ticker],TabCalc[L_Sp])</f>
        <v>45.93</v>
      </c>
      <c r="BD65" s="759">
        <f ca="1">-IFERROR((TabTRADERCorrupted[[#This Row],[M]]-TabTRADERCorrupted[[#This Row],[L_Sp]])/TabTRADERCorrupted[[#This Row],[L_Sp]],0)</f>
        <v>0.17809710428913564</v>
      </c>
      <c r="BE65" s="724">
        <f ca="1">TabTRADERCorrupted[[#This Row],[L_Sn]]*(TabTRADERCorrupted[[#This Row],[M]]-TabTRADERCorrupted[[#This Row],[L_Sp]])*(1-Commission)*TabTRADERCorrupted[[#This Row],[Scale]]</f>
        <v>-3981.4612159999997</v>
      </c>
      <c r="BF65" s="687">
        <f ca="1">TabTRADERCorrupted[[#This Row],[L_Sn]]*(TabTRADERCorrupted[[#This Row],[Agiotage]]-TabTRADERCorrupted[[#This Row],[M]])/(TabTRADERCorrupted[[#This Row],[L_Bn]]*TabTRADERCorrupted[[#This Row],[M]])</f>
        <v>-12.509756020979312</v>
      </c>
      <c r="BG65" s="630">
        <f ca="1">IFERROR((TabTRADERCorrupted[[#This Row],[M]]-TabTRADERCorrupted[[#This Row],[A]])/TabTRADERCorrupted[[#This Row],[A]],0)</f>
        <v>-0.10225237433579469</v>
      </c>
      <c r="BH6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560 : -2,402$</v>
      </c>
      <c r="BI65" s="679">
        <f ca="1">_xlfn.XLOOKUP(TabTRADERCorrupted[[#This Row],[ClickTick]],TabCalc[[#This Row],[Ticker]],TabCalc[[#This Row],[GL]])*(1-Commission)</f>
        <v>4053.9562025912555</v>
      </c>
      <c r="BJ65" s="679"/>
      <c r="BK65" s="664" t="str">
        <f ca="1">TabTRADERCorrupted[[#This Row],[ClickTick]]&amp;": "&amp;_xlfn.XLOOKUP(TabTRADERCorrupted[[#This Row],[ClickTick]],TabCalc[Ticker],TabCalc[Pile?])</f>
        <v xml:space="preserve">MVEUN0: </v>
      </c>
      <c r="BL65" s="349" t="s">
        <v>2021</v>
      </c>
      <c r="BM65" s="750" t="str" cm="1">
        <f t="array" aca="1" ref="BM65" ca="1">_xlfn.TEXTJOIN("",,INDEX({"M","A","Y"}, _xlfn.SORTBY({1,2,3}, -CHOOSE({1,2,3}, TabTRADERCorrupted[[#This Row],[M]], TabTRADERCorrupted[[#This Row],[A]], TabTRADERCorrupted[[#This Row],[Agiotage]]))))</f>
        <v>AMY</v>
      </c>
      <c r="BN65" s="896" t="str"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5" s="674" t="e">
        <f ca="1">TabTRADERCorrupted[[#This Row],[L_Sn]]*TabTRADERCorrupted[[#This Row],[L_Sp]]+TabTRADERCorrupted[[#This Row],[SellMore]]*TabTRADERCorrupted[[#This Row],[M]]</f>
        <v>#N/A</v>
      </c>
      <c r="BP65" s="674" t="e">
        <f ca="1">INDEX(
  INDEX(TabConsolid[], , _xlfn.XMATCH(TabTRADERCorrupted[[#This Row],[ClickTick]]&amp;1, TabConsolid[#Headers])),
  MATCH(
    -TabTRADERCorrupted[[#This Row],[M]],
    INDEX(TabConsolid[], , _xlfn.XMATCH(TabTRADERCorrupted[[#This Row],[ClickTick]]&amp;2, TabConsolid[#Headers])),
    -1
  )
)</f>
        <v>#N/A</v>
      </c>
      <c r="BQ65" s="674"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v>
      </c>
      <c r="BR65" s="1113" t="e">
        <f ca="1">TabTRADERCorrupted[[#This Row],[ReBuy]]/(TabTRADERCorrupted[[#This Row],[L_Sn]]+TabTRADERCorrupted[[#This Row],[SellMore]])</f>
        <v>#N/A</v>
      </c>
      <c r="BS6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-0.14473181697671333</v>
      </c>
      <c r="BT65" s="682">
        <f ca="1">(TabTRADERCorrupted[[#This Row],[M]]-TabTRADERCorrupted[[#This Row],[Agiotage]])/(TabTRADERCorrupted[[#This Row],[M]]-TabTRADERCorrupted[[#This Row],[A]])-1</f>
        <v>-9.7775737803221983</v>
      </c>
      <c r="BU65" s="1221">
        <f ca="1">_xlfn.XMATCH(TabTRADERCorrupted[[#This Row],[ClickTick]]&amp;1, TabConsolid[#Headers])</f>
        <v>191</v>
      </c>
      <c r="BV65" t="b">
        <f ca="1">IF(ABS(TabTRADERCorrupted[[#This Row],[L_Bp]])&gt;=TabTRADERCorrupted[[#This Row],[M]],"OK")</f>
        <v>0</v>
      </c>
    </row>
    <row r="66" spans="1:74">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+22,914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28.5%</v>
      </c>
      <c r="D66" s="683"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63/350=17,546</v>
      </c>
      <c r="E6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25,578$</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2,705$</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-6.5% = 0</v>
      </c>
      <c r="I66" s="224" t="str">
        <f ca="1">IFERROR(TRUNC(TabCalc[[#This Row],[L_S1p]],2)&amp;"x"&amp;TabCalc[[#This Row],[L_S1n]]&amp;"=   "&amp;TEXT(TabCalc[[#This Row],[ReverseB1]],"#,#0"),"")</f>
        <v>230.21x300=   -14,346</v>
      </c>
      <c r="J66" s="293">
        <f ca="1">_xlfn.XLOOKUP(TabTRADERCorrupted[[#This Row],[ClickTick]],TabCalc[Ticker],ListGravity)</f>
        <v>1.0199522713376257</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0.70047433150034832</v>
      </c>
      <c r="N66" s="322" cm="1">
        <f t="array" aca="1" ref="N66" ca="1">_xlfn.XLOOKUP(TabTRADERCorrupted[[#This Row],[ClickTick]],ListTickers,Tab2RSIConventional[RSIConv20])</f>
        <v>59</v>
      </c>
      <c r="O66" s="698" t="str">
        <f ca="1">TEXT(_xlfn.XLOOKUP(TabTRADERCorrupted[[#This Row],[ClickTick]],TabCalc[Ticker],TabCalc[Nbegin]),"#,#0")&amp;": "&amp;_xlfn.XLOOKUP(TabTRADERCorrupted[[#This Row],[ClickTick]],TabCalc[Ticker],TabCalc[Pile?])</f>
        <v xml:space="preserve">500: </v>
      </c>
      <c r="P66" s="729">
        <f ca="1">_xlfn.XLOOKUP(TabTRADERCorrupted[[#This Row],[ClickTick]],TabCalc[Ticker],TabCalc[L_Bn])</f>
        <v>290</v>
      </c>
      <c r="Q66" s="723">
        <f ca="1">_xlfn.XLOOKUP(TabTRADERCorrupted[[#This Row],[ClickTick]],TabCalc[Ticker],TabCalc[L_Bp])</f>
        <v>-198.8</v>
      </c>
      <c r="R66" s="759">
        <f ca="1">(TabTRADERCorrupted[[#This Row],[M]]+TabTRADERCorrupted[[#This Row],[L_Bp]])/ABS(TabTRADERCorrupted[[#This Row],[L_Bp]])</f>
        <v>0.39854124748490927</v>
      </c>
      <c r="S66" s="678">
        <f ca="1">_xlfn.XLOOKUP(TabTRADERCorrupted[[#This Row],[ClickTick]],TabCalc[Ticker],TabCalc[Rev(MinStock)])*(1-Commission)</f>
        <v>22854.423599999998</v>
      </c>
      <c r="T66" s="777">
        <f ca="1">_xlfn.XLOOKUP(TabTRADERCorrupted[[#This Row],[ClickTick]],TabCalc[Ticker],TabCalc[Agiotage])</f>
        <v>0.70047433150034832</v>
      </c>
      <c r="U66" s="742"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-336/-336=&gt;-0.3% / -0.3%</v>
      </c>
      <c r="V66" s="734" t="str">
        <f ca="1">_xlfn.XLOOKUP(TabTRADERCorrupted[[#This Row],[ClickTick]],[1]!RTData[Ticker_Symbol],[1]!RTData[Currency])</f>
        <v>USD</v>
      </c>
      <c r="W66" s="744">
        <f ca="1">_xlfn.XLOOKUP(TabTRADERCorrupted[[#This Row],[ClickTick]],TabCalc[Ticker],TabCalc[M])</f>
        <v>278.02999999999997</v>
      </c>
      <c r="X66" s="1271" t="str">
        <f ca="1">SORTING!B66</f>
        <v>SAFAAPL</v>
      </c>
      <c r="Y66" s="798">
        <f ca="1">_xlfn.XLOOKUP(TabTRADERCorrupted[[#This Row],[ClickTick]],TabCalc[Ticker],TabCalc[Y])</f>
        <v>283.57733000000002</v>
      </c>
      <c r="Z66" s="812">
        <f ca="1">_xlfn.XLOOKUP(TabTRADERCorrupted[[#This Row],[ClickTick]],[1]!RTData[Ticker_Symbol],[1]!RTData[YTChange])</f>
        <v>0.36611104152615859</v>
      </c>
      <c r="AA66" s="827">
        <f ca="1">-_xlfn.XLOOKUP(TabTRADERCorrupted[[#This Row],[ClickTick]]&amp;2,Consolid!B$3:JZ$3,Consolid!B$4:JZ$4)</f>
        <v>200.37378998262852</v>
      </c>
      <c r="AB66" s="812" cm="1">
        <f t="array" aca="1" ref="AB66" ca="1">_xlfn.XLOOKUP(TabTRADERCorrupted[[#This Row],[ClickTick]],ListTickers,Tab1ChangePercent[Change%19])</f>
        <v>-2.6900000000000001E-3</v>
      </c>
      <c r="AC66" s="763">
        <f ca="1">_xlfn.XLOOKUP(TabTRADERCorrupted[[#This Row],[ClickTick]],TabCalc[Ticker],TabCalc[NAfter])</f>
        <v>350</v>
      </c>
      <c r="AD6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^129/97 K$</v>
      </c>
      <c r="AE66" s="1147"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31"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278.03, 06.9%</v>
      </c>
      <c r="AG66" s="1131"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31" cm="1">
        <f t="array" aca="1" ref="AH66" ca="1">_xlfn.IFS(     TabTRADERCorrupted[[#This Row],[Traps]]=MUp,MIN(TabTRADERCorrupted[[#This Row],[L_Sn]],TabTRADERCorrupted[[#This Row],[N]])*(TabTRADERCorrupted[[#This Row],[M]]-TabTRADERCorrupted[[#This Row],[L_Sp]])*(1-Commission)*TabTRADERCorrupted[[#This Row],[Scale]],                                  TRUE,"M= "&amp;TabTRADERCorrupted[[#This Row],[M]])</f>
        <v>2697.4682999999959</v>
      </c>
      <c r="AI66" s="1131" t="str" cm="1">
        <f t="array" aca="1" ref="AI66" ca="1">_xlfn.IFS(   TabTRADERCorrupted[[#This Row],[Traps]]=MUp,TEXT(MIN(TabTRADERCorrupted[[#This Row],[L_Sn]],TabTRADERCorrupted[[#This Row],[N]]),"#,#0")&amp;" x "&amp;TEXT(TabTRADERCorrupted[[#This Row],[L_Sp]],"#,#0.#0"),          TRUE,"")</f>
        <v>150 x 260.0</v>
      </c>
      <c r="AJ66" s="1131"/>
      <c r="AK66" s="1131"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2697.4682999999959</v>
      </c>
      <c r="AL66" s="1131"/>
      <c r="AM66" s="1131"/>
      <c r="AN66" s="1131"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27109.006354964196</v>
      </c>
      <c r="AO66" s="1140"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0.38755672597750374</v>
      </c>
      <c r="AP66" s="1140"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6.2249117001762312E-2</v>
      </c>
      <c r="AQ66" s="820" cm="1">
        <f t="array" aca="1" ref="AQ66" ca="1">_xlfn.IFS(   TabTRADERCorrupted[[#This Row],[Traps]]=SellMorePercentGain,                     MIN(TabTRADERCorrupted[[#This Row],[L_Sn]],TabTRADERCorrupted[[#This Row],[N]])*(TabTRADERCorrupted[[#This Row],[M]]-TabTRADERCorrupted[[#This Row],[L_Sp]])*(1-Commission)*TabTRADERCorrupted[[#This Row],[Scale]],                    TRUE,"")</f>
        <v>2697.4682999999959</v>
      </c>
      <c r="AR66" s="1129">
        <f ca="1">_xlfn.XLOOKUP(TabTRADERCorrupted[[#This Row],[ClickTick]],TabCalc[Ticker],TabCalc[Ann%RevLB])</f>
        <v>0.78401556882277235</v>
      </c>
      <c r="AS66" s="1225">
        <f ca="1">_xlfn.XLOOKUP(TabTRADERCorrupted[[#This Row],[ClickTick]],TabCalc[Ticker],TabCalc[Up20])</f>
        <v>0</v>
      </c>
      <c r="AT66" s="1141"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20"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40" cm="1">
        <f t="array" aca="1" ref="AV66" ca="1">_xlfn.IFS(   TabTRADERCorrupted[[#This Row],[Traps]]=MUp,TabTRADERCorrupted[[#This Row],[TakeGain_A]]-Commission,        TabTRADERCorrupted[[#This Row],[Traps]]=MDown,(TabTRADERCorrupted[[#This Row],[A]]-TabTRADERCorrupted[[#This Row],[M]])/TabTRADERCorrupted[[#This Row],[M]]-Commission,                              TRUE,"")</f>
        <v>0.38495672597750374</v>
      </c>
      <c r="AW66" s="820"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37615.284102397462</v>
      </c>
      <c r="AX66" s="755"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6" s="731"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290x77.65</v>
      </c>
      <c r="AZ66" s="760"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0.38654907848996223</v>
      </c>
      <c r="BA66" s="757"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-0.28190874372323654</v>
      </c>
      <c r="BB66" s="322">
        <f ca="1">_xlfn.XLOOKUP(TabTRADERCorrupted[[#This Row],[ClickTick]],TabCalc[Ticker],TabCalc[L_Sn])</f>
        <v>150</v>
      </c>
      <c r="BC66" s="723">
        <f ca="1">_xlfn.XLOOKUP(TabTRADERCorrupted[[#This Row],[ClickTick]],TabCalc[Ticker],TabCalc[L_Sp])</f>
        <v>260</v>
      </c>
      <c r="BD66" s="759">
        <f ca="1">-IFERROR((TabTRADERCorrupted[[#This Row],[M]]-TabTRADERCorrupted[[#This Row],[L_Sp]])/TabTRADERCorrupted[[#This Row],[L_Sp]],0)</f>
        <v>-6.9346153846153738E-2</v>
      </c>
      <c r="BE66" s="724">
        <f ca="1">TabTRADERCorrupted[[#This Row],[L_Sn]]*(TabTRADERCorrupted[[#This Row],[M]]-TabTRADERCorrupted[[#This Row],[L_Sp]])*(1-Commission)*TabTRADERCorrupted[[#This Row],[Scale]]</f>
        <v>2697.4682999999959</v>
      </c>
      <c r="BF66" s="687">
        <f ca="1">TabTRADERCorrupted[[#This Row],[L_Sn]]*(TabTRADERCorrupted[[#This Row],[Agiotage]]-TabTRADERCorrupted[[#This Row],[M]])/(TabTRADERCorrupted[[#This Row],[L_Bn]]*TabTRADERCorrupted[[#This Row],[M]])</f>
        <v>-0.51593823105513226</v>
      </c>
      <c r="BG66" s="630">
        <f ca="1">IFERROR((TabTRADERCorrupted[[#This Row],[M]]-TabTRADERCorrupted[[#This Row],[A]])/TabTRADERCorrupted[[#This Row],[A]],0)</f>
        <v>0.38755672597750374</v>
      </c>
      <c r="BH6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27,109$</v>
      </c>
      <c r="BI66" s="679">
        <f ca="1">_xlfn.XLOOKUP(TabTRADERCorrupted[[#This Row],[ClickTick]],TabCalc[[#This Row],[Ticker]],TabCalc[[#This Row],[GL]])*(1-Commission)</f>
        <v>129098.38926157031</v>
      </c>
      <c r="BJ66" s="679"/>
      <c r="BK66" s="664" t="str">
        <f ca="1">TabTRADERCorrupted[[#This Row],[ClickTick]]&amp;": "&amp;_xlfn.XLOOKUP(TabTRADERCorrupted[[#This Row],[ClickTick]],TabCalc[Ticker],TabCalc[Pile?])</f>
        <v xml:space="preserve">SAFAAPL: </v>
      </c>
      <c r="BL66" s="349" t="s">
        <v>2022</v>
      </c>
      <c r="BM66" s="750" t="str" cm="1">
        <f t="array" aca="1" ref="BM66" ca="1">_xlfn.TEXTJOIN("",,INDEX({"M","A","Y"}, _xlfn.SORTBY({1,2,3}, -CHOOSE({1,2,3}, TabTRADERCorrupted[[#This Row],[M]], TabTRADERCorrupted[[#This Row],[A]], TabTRADERCorrupted[[#This Row],[Agiotage]]))))</f>
        <v>MAY</v>
      </c>
      <c r="BN66" s="896"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6.484911700176231E-2</v>
      </c>
      <c r="BO66" s="674">
        <f ca="1">TabTRADERCorrupted[[#This Row],[L_Sn]]*TabTRADERCorrupted[[#This Row],[L_Sp]]+TabTRADERCorrupted[[#This Row],[SellMore]]*TabTRADERCorrupted[[#This Row],[M]]</f>
        <v>55681.8</v>
      </c>
      <c r="BP66" s="674">
        <f ca="1">INDEX(
  INDEX(TabConsolid[], , _xlfn.XMATCH(TabTRADERCorrupted[[#This Row],[ClickTick]]&amp;1, TabConsolid[#Headers])),
  MATCH(
    -TabTRADERCorrupted[[#This Row],[M]],
    INDEX(TabConsolid[], , _xlfn.XMATCH(TabTRADERCorrupted[[#This Row],[ClickTick]]&amp;2, TabConsolid[#Headers])),
    -1
  )
)</f>
        <v>60</v>
      </c>
      <c r="BQ66" s="674"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13">
        <f ca="1">TabTRADERCorrupted[[#This Row],[ReBuy]]/(TabTRADERCorrupted[[#This Row],[L_Sn]]+TabTRADERCorrupted[[#This Row],[SellMore]])</f>
        <v>265.1514285714286</v>
      </c>
      <c r="BS6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-2.6412335777952345</v>
      </c>
      <c r="BT66" s="682">
        <f ca="1">(TabTRADERCorrupted[[#This Row],[M]]-TabTRADERCorrupted[[#This Row],[Agiotage]])/(TabTRADERCorrupted[[#This Row],[M]]-TabTRADERCorrupted[[#This Row],[A]])-1</f>
        <v>2.5712472396793751</v>
      </c>
      <c r="BU66" s="1221">
        <f ca="1">_xlfn.XMATCH(TabTRADERCorrupted[[#This Row],[ClickTick]]&amp;1, TabConsolid[#Headers])</f>
        <v>194</v>
      </c>
      <c r="BV66" t="b">
        <f ca="1">IF(ABS(TabTRADERCorrupted[[#This Row],[L_Bp]])&gt;=TabTRADERCorrupted[[#This Row],[M]],"OK")</f>
        <v>0</v>
      </c>
    </row>
    <row r="67" spans="1:74">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+8,492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7.4%</v>
      </c>
      <c r="D67" s="683"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294/1,500=67,610</v>
      </c>
      <c r="E6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9,198$</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4,315$</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-3.7% = 0</v>
      </c>
      <c r="I67" s="224" t="str">
        <f ca="1">IFERROR(TRUNC(TabCalc[[#This Row],[L_S1p]],2)&amp;"x"&amp;TabCalc[[#This Row],[L_S1n]]&amp;"=   "&amp;TEXT(TabCalc[[#This Row],[ReverseB1]],"#,#0"),"")</f>
        <v>232.72x500=   1,220</v>
      </c>
      <c r="J67" s="293">
        <f ca="1">_xlfn.XLOOKUP(TabTRADERCorrupted[[#This Row],[ClickTick]],TabCalc[Ticker],ListGravity)</f>
        <v>1.2811867291992356</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0.6326482224746578</v>
      </c>
      <c r="N67" s="322" cm="1">
        <f t="array" aca="1" ref="N67" ca="1">_xlfn.XLOOKUP(TabTRADERCorrupted[[#This Row],[ClickTick]],ListTickers,Tab2RSIConventional[RSIConv20])</f>
        <v>49</v>
      </c>
      <c r="O67" s="698" t="str">
        <f ca="1">TEXT(_xlfn.XLOOKUP(TabTRADERCorrupted[[#This Row],[ClickTick]],TabCalc[Ticker],TabCalc[Nbegin]),"#,#0")&amp;": "&amp;_xlfn.XLOOKUP(TabTRADERCorrupted[[#This Row],[ClickTick]],TabCalc[Ticker],TabCalc[Pile?])</f>
        <v xml:space="preserve">2,000: </v>
      </c>
      <c r="P67" s="729">
        <f ca="1">_xlfn.XLOOKUP(TabTRADERCorrupted[[#This Row],[ClickTick]],TabCalc[Ticker],TabCalc[L_Bn])</f>
        <v>500</v>
      </c>
      <c r="Q67" s="723">
        <f ca="1">_xlfn.XLOOKUP(TabTRADERCorrupted[[#This Row],[ClickTick]],TabCalc[Ticker],TabCalc[L_Bp])</f>
        <v>-213.25</v>
      </c>
      <c r="R67" s="759">
        <f ca="1">(TabTRADERCorrupted[[#This Row],[M]]+TabTRADERCorrupted[[#This Row],[L_Bp]])/ABS(TabTRADERCorrupted[[#This Row],[L_Bp]])</f>
        <v>7.985932004689332E-2</v>
      </c>
      <c r="S67" s="678">
        <f ca="1">_xlfn.XLOOKUP(TabTRADERCorrupted[[#This Row],[ClickTick]],TabCalc[Ticker],TabCalc[Rev(MinStock)])*(1-Commission)</f>
        <v>8469.9207999999999</v>
      </c>
      <c r="T67" s="777">
        <f ca="1">_xlfn.XLOOKUP(TabTRADERCorrupted[[#This Row],[ClickTick]],TabCalc[Ticker],TabCalc[Agiotage])</f>
        <v>0.6326482224746578</v>
      </c>
      <c r="U67" s="742"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-1,005/-1,005=&gt;-0.6% / -0.6%</v>
      </c>
      <c r="V67" s="734" t="str">
        <f ca="1">_xlfn.XLOOKUP(TabTRADERCorrupted[[#This Row],[ClickTick]],[1]!RTData[Ticker_Symbol],[1]!RTData[Currency])</f>
        <v>USD</v>
      </c>
      <c r="W67" s="744">
        <f ca="1">_xlfn.XLOOKUP(TabTRADERCorrupted[[#This Row],[ClickTick]],TabCalc[Ticker],TabCalc[M])</f>
        <v>230.28</v>
      </c>
      <c r="X67" s="1271" t="str">
        <f ca="1">SORTING!B67</f>
        <v>SAFAMZN</v>
      </c>
      <c r="Y67" s="798">
        <f ca="1">_xlfn.XLOOKUP(TabTRADERCorrupted[[#This Row],[ClickTick]],TabCalc[Ticker],TabCalc[Y])</f>
        <v>295.03167999999999</v>
      </c>
      <c r="Z67" s="812">
        <f ca="1">_xlfn.XLOOKUP(TabTRADERCorrupted[[#This Row],[ClickTick]],[1]!RTData[Ticker_Symbol],[1]!RTData[YTChange])</f>
        <v>0.29912672831351828</v>
      </c>
      <c r="AA67" s="827">
        <f ca="1">-_xlfn.XLOOKUP(TabTRADERCorrupted[[#This Row],[ClickTick]]&amp;2,Consolid!B$3:JZ$3,Consolid!B$4:JZ$4)</f>
        <v>205.23221999999998</v>
      </c>
      <c r="AB67" s="812" cm="1">
        <f t="array" aca="1" ref="AB67" ca="1">_xlfn.XLOOKUP(TabTRADERCorrupted[[#This Row],[ClickTick]],ListTickers,Tab1ChangePercent[Change%19])</f>
        <v>-6.4720000000000003E-3</v>
      </c>
      <c r="AC67" s="763">
        <f ca="1">_xlfn.XLOOKUP(TabTRADERCorrupted[[#This Row],[ClickTick]],TabCalc[Ticker],TabCalc[NAfter])</f>
        <v>1500</v>
      </c>
      <c r="AD6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^171/344 K$</v>
      </c>
      <c r="AE67" s="1147"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31"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230.28, 03.9%</v>
      </c>
      <c r="AG67" s="1131"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31" cm="1">
        <f t="array" aca="1" ref="AH67" ca="1">_xlfn.IFS(     TabTRADERCorrupted[[#This Row],[Traps]]=MUp,MIN(TabTRADERCorrupted[[#This Row],[L_Sn]],TabTRADERCorrupted[[#This Row],[N]])*(TabTRADERCorrupted[[#This Row],[M]]-TabTRADERCorrupted[[#This Row],[L_Sp]])*(1-Commission)*TabTRADERCorrupted[[#This Row],[Scale]],                                  TRUE,"M= "&amp;TabTRADERCorrupted[[#This Row],[M]])</f>
        <v>4303.7809999999981</v>
      </c>
      <c r="AI67" s="1131" t="str" cm="1">
        <f t="array" aca="1" ref="AI67" ca="1">_xlfn.IFS(   TabTRADERCorrupted[[#This Row],[Traps]]=MUp,TEXT(MIN(TabTRADERCorrupted[[#This Row],[L_Sn]],TabTRADERCorrupted[[#This Row],[N]]),"#,#0")&amp;" x "&amp;TEXT(TabTRADERCorrupted[[#This Row],[L_Sp]],"#,#0.#0"),          TRUE,"")</f>
        <v>500 x 221.65</v>
      </c>
      <c r="AJ67" s="1131"/>
      <c r="AK67" s="1131"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4303.7809999999981</v>
      </c>
      <c r="AL67" s="1131"/>
      <c r="AM67" s="1131"/>
      <c r="AN67" s="1131"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37473.983658000026</v>
      </c>
      <c r="AO67" s="1140"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0.12204604130871857</v>
      </c>
      <c r="AP67" s="1140"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3.4876116032655877E-2</v>
      </c>
      <c r="AQ67" s="820" cm="1">
        <f t="array" aca="1" ref="AQ67" ca="1">_xlfn.IFS(   TabTRADERCorrupted[[#This Row],[Traps]]=SellMorePercentGain,                     MIN(TabTRADERCorrupted[[#This Row],[L_Sn]],TabTRADERCorrupted[[#This Row],[N]])*(TabTRADERCorrupted[[#This Row],[M]]-TabTRADERCorrupted[[#This Row],[L_Sp]])*(1-Commission)*TabTRADERCorrupted[[#This Row],[Scale]],                    TRUE,"")</f>
        <v>4303.7809999999981</v>
      </c>
      <c r="AR67" s="1129">
        <f ca="1">_xlfn.XLOOKUP(TabTRADERCorrupted[[#This Row],[ClickTick]],TabCalc[Ticker],TabCalc[Ann%RevLB])</f>
        <v>0.15710030173159342</v>
      </c>
      <c r="AS67" s="1225">
        <f ca="1">_xlfn.XLOOKUP(TabTRADERCorrupted[[#This Row],[ClickTick]],TabCalc[Ticker],TabCalc[Up20])</f>
        <v>0</v>
      </c>
      <c r="AT67" s="1141"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20"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40" cm="1">
        <f t="array" aca="1" ref="AV67" ca="1">_xlfn.IFS(   TabTRADERCorrupted[[#This Row],[Traps]]=MUp,TabTRADERCorrupted[[#This Row],[TakeGain_A]]-Commission,        TabTRADERCorrupted[[#This Row],[Traps]]=MDown,(TabTRADERCorrupted[[#This Row],[A]]-TabTRADERCorrupted[[#This Row],[M]])/TabTRADERCorrupted[[#This Row],[M]]-Commission,                              TRUE,"")</f>
        <v>0.11944604130871857</v>
      </c>
      <c r="AW67" s="755"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42047.535015526541</v>
      </c>
      <c r="AX67" s="755"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67" s="731"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500x25.04</v>
      </c>
      <c r="AZ67" s="760"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0.1217287216013159</v>
      </c>
      <c r="BA67" s="757"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-0.11137097446586772</v>
      </c>
      <c r="BB67" s="322">
        <f ca="1">_xlfn.XLOOKUP(TabTRADERCorrupted[[#This Row],[ClickTick]],TabCalc[Ticker],TabCalc[L_Sn])</f>
        <v>500</v>
      </c>
      <c r="BC67" s="723">
        <f ca="1">_xlfn.XLOOKUP(TabTRADERCorrupted[[#This Row],[ClickTick]],TabCalc[Ticker],TabCalc[L_Sp])</f>
        <v>221.65</v>
      </c>
      <c r="BD67" s="759">
        <f ca="1">-IFERROR((TabTRADERCorrupted[[#This Row],[M]]-TabTRADERCorrupted[[#This Row],[L_Sp]])/TabTRADERCorrupted[[#This Row],[L_Sp]],0)</f>
        <v>-3.8935258290096982E-2</v>
      </c>
      <c r="BE67" s="724">
        <f ca="1">TabTRADERCorrupted[[#This Row],[L_Sn]]*(TabTRADERCorrupted[[#This Row],[M]]-TabTRADERCorrupted[[#This Row],[L_Sp]])*(1-Commission)*TabTRADERCorrupted[[#This Row],[Scale]]</f>
        <v>4303.7809999999981</v>
      </c>
      <c r="BF67" s="687">
        <f ca="1">TabTRADERCorrupted[[#This Row],[L_Sn]]*(TabTRADERCorrupted[[#This Row],[Agiotage]]-TabTRADERCorrupted[[#This Row],[M]])/(TabTRADERCorrupted[[#This Row],[L_Bn]]*TabTRADERCorrupted[[#This Row],[M]])</f>
        <v>-0.99725270009347455</v>
      </c>
      <c r="BG67" s="630">
        <f ca="1">IFERROR((TabTRADERCorrupted[[#This Row],[M]]-TabTRADERCorrupted[[#This Row],[A]])/TabTRADERCorrupted[[#This Row],[A]],0)</f>
        <v>0.12204604130871857</v>
      </c>
      <c r="BH6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37,474$</v>
      </c>
      <c r="BI67" s="679">
        <f ca="1">_xlfn.XLOOKUP(TabTRADERCorrupted[[#This Row],[ClickTick]],TabCalc[[#This Row],[Ticker]],TabCalc[[#This Row],[GL]])*(1-Commission)</f>
        <v>171048.36179322898</v>
      </c>
      <c r="BJ67" s="679"/>
      <c r="BK67" s="664" t="str">
        <f ca="1">TabTRADERCorrupted[[#This Row],[ClickTick]]&amp;": "&amp;_xlfn.XLOOKUP(TabTRADERCorrupted[[#This Row],[ClickTick]],TabCalc[Ticker],TabCalc[Pile?])</f>
        <v xml:space="preserve">SAFAMZN: </v>
      </c>
      <c r="BL67" s="349" t="s">
        <v>2023</v>
      </c>
      <c r="BM67" s="750" t="str" cm="1">
        <f t="array" aca="1" ref="BM67" ca="1">_xlfn.TEXTJOIN("",,INDEX({"M","A","Y"}, _xlfn.SORTBY({1,2,3}, -CHOOSE({1,2,3}, TabTRADERCorrupted[[#This Row],[M]], TabTRADERCorrupted[[#This Row],[A]], TabTRADERCorrupted[[#This Row],[Agiotage]]))))</f>
        <v>MAY</v>
      </c>
      <c r="BN67" s="896"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3.7476116032655875E-2</v>
      </c>
      <c r="BO67" s="674">
        <f ca="1">TabTRADERCorrupted[[#This Row],[L_Sn]]*TabTRADERCorrupted[[#This Row],[L_Sp]]+TabTRADERCorrupted[[#This Row],[SellMore]]*TabTRADERCorrupted[[#This Row],[M]]</f>
        <v>225965</v>
      </c>
      <c r="BP67" s="674">
        <f ca="1">INDEX(
  INDEX(TabConsolid[], , _xlfn.XMATCH(TabTRADERCorrupted[[#This Row],[ClickTick]]&amp;1, TabConsolid[#Headers])),
  MATCH(
    -TabTRADERCorrupted[[#This Row],[M]],
    INDEX(TabConsolid[], , _xlfn.XMATCH(TabTRADERCorrupted[[#This Row],[ClickTick]]&amp;2, TabConsolid[#Headers])),
    -1
  )
)</f>
        <v>500</v>
      </c>
      <c r="BQ67" s="674"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113">
        <f ca="1">TabTRADERCorrupted[[#This Row],[ReBuy]]/(TabTRADERCorrupted[[#This Row],[L_Sn]]+TabTRADERCorrupted[[#This Row],[SellMore]])</f>
        <v>225.965</v>
      </c>
      <c r="BS6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-0.61239293807340089</v>
      </c>
      <c r="BT67" s="682">
        <f ca="1">(TabTRADERCorrupted[[#This Row],[M]]-TabTRADERCorrupted[[#This Row],[Agiotage]])/(TabTRADERCorrupted[[#This Row],[M]]-TabTRADERCorrupted[[#This Row],[A]])-1</f>
        <v>8.1683714795293305</v>
      </c>
      <c r="BU67" s="1221">
        <f ca="1">_xlfn.XMATCH(TabTRADERCorrupted[[#This Row],[ClickTick]]&amp;1, TabConsolid[#Headers])</f>
        <v>197</v>
      </c>
      <c r="BV67" t="b">
        <f ca="1">IF(ABS(TabTRADERCorrupted[[#This Row],[L_Bp]])&gt;=TabTRADERCorrupted[[#This Row],[M]],"OK")</f>
        <v>0</v>
      </c>
    </row>
    <row r="68" spans="1:74">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36.8%</v>
      </c>
      <c r="D68" s="683"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226</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-5,535$</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 = 226</v>
      </c>
      <c r="I68" s="224" t="str">
        <f ca="1">IFERROR(TRUNC(TabCalc[[#This Row],[L_S1p]],2)&amp;"x"&amp;TabCalc[[#This Row],[L_S1n]]&amp;"=   "&amp;TEXT(TabCalc[[#This Row],[ReverseB1]],"#,#0"),"")</f>
        <v>660.2x54=   -15,158</v>
      </c>
      <c r="J68" s="293">
        <f ca="1">_xlfn.XLOOKUP(TabTRADERCorrupted[[#This Row],[ClickTick]],TabCalc[Ticker],ListGravity)</f>
        <v>1.0451901371027739</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0.96938852069526071</v>
      </c>
      <c r="N68" s="322" cm="1">
        <f t="array" aca="1" ref="N68" ca="1">_xlfn.XLOOKUP(TabTRADERCorrupted[[#This Row],[ClickTick]],ListTickers,Tab2RSIConventional[RSIConv20])</f>
        <v>57</v>
      </c>
      <c r="O68" s="698"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6">
        <f ca="1">_xlfn.XLOOKUP(TabTRADERCorrupted[[#This Row],[ClickTick]],TabCalc[Ticker],TabCalc[L_Bp])</f>
        <v>-595.11</v>
      </c>
      <c r="R68" s="759">
        <f ca="1">(TabTRADERCorrupted[[#This Row],[M]]+TabTRADERCorrupted[[#This Row],[L_Bp]])/ABS(TabTRADERCorrupted[[#This Row],[L_Bp]])</f>
        <v>0.58105224244257359</v>
      </c>
      <c r="S68" s="678">
        <f ca="1">_xlfn.XLOOKUP(TabTRADERCorrupted[[#This Row],[ClickTick]],TabCalc[Ticker],TabCalc[Rev(MinStock)])*(1-Commission)</f>
        <v>0</v>
      </c>
      <c r="T68" s="777">
        <f ca="1">_xlfn.XLOOKUP(TabTRADERCorrupted[[#This Row],[ClickTick]],TabCalc[Ticker],TabCalc[Agiotage])</f>
        <v>0.96938852069526071</v>
      </c>
      <c r="U68" s="742"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68" s="734" t="str">
        <f ca="1">_xlfn.XLOOKUP(TabTRADERCorrupted[[#This Row],[ClickTick]],[1]!RTData[Ticker_Symbol],[1]!RTData[Currency])</f>
        <v>EUR</v>
      </c>
      <c r="W68" s="744">
        <f ca="1">_xlfn.XLOOKUP(TabTRADERCorrupted[[#This Row],[ClickTick]],TabCalc[Ticker],TabCalc[M])</f>
        <v>940.9</v>
      </c>
      <c r="X68" s="1271" t="str">
        <f ca="1">SORTING!B68</f>
        <v>SAFASML</v>
      </c>
      <c r="Y68" s="798">
        <f ca="1">_xlfn.XLOOKUP(TabTRADERCorrupted[[#This Row],[ClickTick]],TabCalc[Ticker],TabCalc[Y])</f>
        <v>983.4194</v>
      </c>
      <c r="Z68" s="812">
        <f ca="1">_xlfn.XLOOKUP(TabTRADERCorrupted[[#This Row],[ClickTick]],[1]!RTData[Ticker_Symbol],[1]!RTData[YTChange])</f>
        <v>0.16026734939474735</v>
      </c>
      <c r="AA68" s="827">
        <f ca="1">-_xlfn.XLOOKUP(TabTRADERCorrupted[[#This Row],[ClickTick]]&amp;2,Consolid!B$3:JZ$3,Consolid!B$4:JZ$4)</f>
        <v>0</v>
      </c>
      <c r="AB68" s="812" cm="1">
        <f t="array" aca="1" ref="AB68" ca="1">_xlfn.XLOOKUP(TabTRADERCorrupted[[#This Row],[ClickTick]],ListTickers,Tab1ChangePercent[Change%19])</f>
        <v>-5.391E-3</v>
      </c>
      <c r="AC68" s="763">
        <f ca="1">_xlfn.XLOOKUP(TabTRADERCorrupted[[#This Row],[ClickTick]],TabCalc[Ticker],TabCalc[NAfter])</f>
        <v>0</v>
      </c>
      <c r="AD6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^200/0 K$</v>
      </c>
      <c r="AE68" s="1147"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31"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31"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5520.6089999999958</v>
      </c>
      <c r="AH68" s="1131"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940.9</v>
      </c>
      <c r="AI68" s="1131" t="str" cm="1">
        <f t="array" aca="1" ref="AI68" ca="1">_xlfn.IFS(   TabTRADERCorrupted[[#This Row],[Traps]]=MUp,TEXT(MIN(TabTRADERCorrupted[[#This Row],[L_Sn]],TabTRADERCorrupted[[#This Row],[N]]),"#,#0")&amp;" x "&amp;TEXT(TabTRADERCorrupted[[#This Row],[L_Sp]],"#,#0.#0"),          TRUE,"")</f>
        <v/>
      </c>
      <c r="AJ68" s="1131"/>
      <c r="AK68" s="1131"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31"/>
      <c r="AM68" s="1131"/>
      <c r="AN68" s="1131"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5520.6089999999958</v>
      </c>
      <c r="AO68" s="1140"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2.2989699285595602E-2</v>
      </c>
      <c r="AP68" s="1140"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TabTRADERCorrupted[[#This Row],[Traps]]=SellMorePercentGain,                     MIN(TabTRADERCorrupted[[#This Row],[L_Sn]],TabTRADERCorrupted[[#This Row],[N]])*(TabTRADERCorrupted[[#This Row],[M]]-TabTRADERCorrupted[[#This Row],[L_Sp]])*(1-Commission)*TabTRADERCorrupted[[#This Row],[Scale]],                    TRUE,"")</f>
        <v/>
      </c>
      <c r="AR68" s="1146">
        <f ca="1">_xlfn.XLOOKUP(TabTRADERCorrupted[[#This Row],[ClickTick]],TabCalc[Ticker],TabCalc[Ann%RevLB])</f>
        <v>1.6470772226718622</v>
      </c>
      <c r="AS68" s="1129">
        <f ca="1">_xlfn.XLOOKUP(TabTRADERCorrupted[[#This Row],[ClickTick]],TabCalc[Ticker],TabCalc[Up20])</f>
        <v>0</v>
      </c>
      <c r="AT68" s="1141"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20"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40" t="str" cm="1">
        <f t="array" aca="1" ref="AV68" ca="1">_xlfn.IFS(   TabTRADERCorrupted[[#This Row],[Traps]]=MUp,TabTRADERCorrupted[[#This Row],[TakeGain_A]]-Commission,        TabTRADERCorrupted[[#This Row],[Traps]]=MDown,(TabTRADERCorrupted[[#This Row],[A]]-TabTRADERCorrupted[[#This Row],[M]])/TabTRADERCorrupted[[#This Row],[M]]-Commission,                              TRUE,"")</f>
        <v/>
      </c>
      <c r="AW68" s="820"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5"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68" s="731"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60"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7"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3">
        <f ca="1">_xlfn.XLOOKUP(TabTRADERCorrupted[[#This Row],[ClickTick]],TabCalc[Ticker],TabCalc[L_Sp])</f>
        <v>963.04</v>
      </c>
      <c r="BD68" s="759">
        <f ca="1">-IFERROR((TabTRADERCorrupted[[#This Row],[M]]-TabTRADERCorrupted[[#This Row],[L_Sp]])/TabTRADERCorrupted[[#This Row],[L_Sp]],0)</f>
        <v>2.2989699285595602E-2</v>
      </c>
      <c r="BE68" s="724">
        <f ca="1">TabTRADERCorrupted[[#This Row],[L_Sn]]*(TabTRADERCorrupted[[#This Row],[M]]-TabTRADERCorrupted[[#This Row],[L_Sp]])*(1-Commission)*TabTRADERCorrupted[[#This Row],[Scale]]</f>
        <v>-5520.6089999999958</v>
      </c>
      <c r="BF68" s="687">
        <f ca="1">TabTRADERCorrupted[[#This Row],[L_Sn]]*(TabTRADERCorrupted[[#This Row],[Agiotage]]-TabTRADERCorrupted[[#This Row],[M]])/(TabTRADERCorrupted[[#This Row],[L_Bn]]*TabTRADERCorrupted[[#This Row],[M]])</f>
        <v>-3.5677490073307649</v>
      </c>
      <c r="BG68" s="630">
        <f ca="1">IFERROR((TabTRADERCorrupted[[#This Row],[M]]-TabTRADERCorrupted[[#This Row],[A]])/TabTRADERCorrupted[[#This Row],[A]],0)</f>
        <v>0</v>
      </c>
      <c r="BH6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9">
        <f ca="1">_xlfn.XLOOKUP(TabTRADERCorrupted[[#This Row],[ClickTick]],TabCalc[[#This Row],[Ticker]],TabCalc[[#This Row],[GL]])*(1-Commission)</f>
        <v>199314.21062682793</v>
      </c>
      <c r="BJ68" s="679"/>
      <c r="BK68" s="664" t="str">
        <f ca="1">TabTRADERCorrupted[[#This Row],[ClickTick]]&amp;": "&amp;_xlfn.XLOOKUP(TabTRADERCorrupted[[#This Row],[ClickTick]],TabCalc[Ticker],TabCalc[Pile?])</f>
        <v xml:space="preserve">SAFASML: </v>
      </c>
      <c r="BL68" s="349" t="s">
        <v>2024</v>
      </c>
      <c r="BM68" s="750" t="str" cm="1">
        <f t="array" aca="1" ref="BM68" ca="1">_xlfn.TEXTJOIN("",,INDEX({"M","A","Y"}, _xlfn.SORTBY({1,2,3}, -CHOOSE({1,2,3}, TabTRADERCorrupted[[#This Row],[M]], TabTRADERCorrupted[[#This Row],[A]], TabTRADERCorrupted[[#This Row],[Agiotage]]))))</f>
        <v>MYA</v>
      </c>
      <c r="BN68" s="896"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4" t="e">
        <f ca="1">TabTRADERCorrupted[[#This Row],[L_Sn]]*TabTRADERCorrupted[[#This Row],[L_Sp]]+TabTRADERCorrupted[[#This Row],[SellMore]]*TabTRADERCorrupted[[#This Row],[M]]</f>
        <v>#N/A</v>
      </c>
      <c r="BP68" s="674" t="e">
        <f ca="1">INDEX(
  INDEX(TabConsolid[], , _xlfn.XMATCH(TabTRADERCorrupted[[#This Row],[ClickTick]]&amp;1, TabConsolid[#Headers])),
  MATCH(
    -TabTRADERCorrupted[[#This Row],[M]],
    INDEX(TabConsolid[], , _xlfn.XMATCH(TabTRADERCorrupted[[#This Row],[ClickTick]]&amp;2, TabConsolid[#Headers])),
    -1
  )
)</f>
        <v>#N/A</v>
      </c>
      <c r="BQ68" s="674"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13" t="e">
        <f ca="1">TabTRADERCorrupted[[#This Row],[ReBuy]]/(TabTRADERCorrupted[[#This Row],[L_Sn]]+TabTRADERCorrupted[[#This Row],[SellMore]])</f>
        <v>#N/A</v>
      </c>
      <c r="BS6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2">
        <f ca="1">(TabTRADERCorrupted[[#This Row],[M]]-TabTRADERCorrupted[[#This Row],[Agiotage]])/(TabTRADERCorrupted[[#This Row],[M]]-TabTRADERCorrupted[[#This Row],[A]])-1</f>
        <v>-1.0302779473857493E-3</v>
      </c>
      <c r="BU68" s="1221">
        <f ca="1">_xlfn.XMATCH(TabTRADERCorrupted[[#This Row],[ClickTick]]&amp;1, TabConsolid[#Headers])</f>
        <v>200</v>
      </c>
      <c r="BV68" t="b">
        <f ca="1">IF(ABS(TabTRADERCorrupted[[#This Row],[L_Bp]])&gt;=TabTRADERCorrupted[[#This Row],[M]],"OK")</f>
        <v>0</v>
      </c>
    </row>
    <row r="69" spans="1:74">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+753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v>
      </c>
      <c r="D69" s="683"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-18,158$</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-13,145$</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60.8% = 4,184</v>
      </c>
      <c r="I69" s="224" t="str">
        <f ca="1">IFERROR(TRUNC(TabCalc[[#This Row],[L_S1p]],2)&amp;"x"&amp;TabCalc[[#This Row],[L_S1n]]&amp;"=   "&amp;TEXT(TabCalc[[#This Row],[ReverseB1]],"#,#0"),"")</f>
        <v>4.48x5000=   12,580</v>
      </c>
      <c r="J69" s="293">
        <f ca="1">_xlfn.XLOOKUP(TabTRADERCorrupted[[#This Row],[ClickTick]],TabCalc[Ticker],ListGravity)</f>
        <v>1.8447837150127226</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214479.75</v>
      </c>
      <c r="M69" s="321">
        <f ca="1">_xlfn.XLOOKUP(TabTRADERCorrupted[[#This Row],[ClickTick]],TabCalc[Ticker],TabCalc[Agiotage])</f>
        <v>1.5342978323128995</v>
      </c>
      <c r="N69" s="322" cm="1">
        <f t="array" aca="1" ref="N69" ca="1">_xlfn.XLOOKUP(TabTRADERCorrupted[[#This Row],[ClickTick]],ListTickers,Tab2RSIConventional[RSIConv20])</f>
        <v>49</v>
      </c>
      <c r="O69" s="698" t="str">
        <f ca="1">TEXT(_xlfn.XLOOKUP(TabTRADERCorrupted[[#This Row],[ClickTick]],TabCalc[Ticker],TabCalc[Nbegin]),"#,#0")&amp;": "&amp;_xlfn.XLOOKUP(TabTRADERCorrupted[[#This Row],[ClickTick]],TabCalc[Ticker],TabCalc[Pile?])</f>
        <v>850: Pile</v>
      </c>
      <c r="P69" s="729">
        <f ca="1">_xlfn.XLOOKUP(TabTRADERCorrupted[[#This Row],[ClickTick]],TabCalc[Ticker],TabCalc[L_Bn])</f>
        <v>21000</v>
      </c>
      <c r="Q69" s="723">
        <f ca="1">_xlfn.XLOOKUP(TabTRADERCorrupted[[#This Row],[ClickTick]],TabCalc[Ticker],TabCalc[L_Bp])</f>
        <v>-1.929</v>
      </c>
      <c r="R69" s="759">
        <f ca="1">(TabTRADERCorrupted[[#This Row],[M]]+TabTRADERCorrupted[[#This Row],[L_Bp]])/ABS(TabTRADERCorrupted[[#This Row],[L_Bp]])</f>
        <v>1.8662519440124432E-2</v>
      </c>
      <c r="S69" s="678">
        <f ca="1">_xlfn.XLOOKUP(TabTRADERCorrupted[[#This Row],[ClickTick]],TabCalc[Ticker],TabCalc[Rev(MinStock)])*(1-Commission)</f>
        <v>751.04219999999998</v>
      </c>
      <c r="T69" s="777">
        <f ca="1">_xlfn.XLOOKUP(TabTRADERCorrupted[[#This Row],[ClickTick]],TabCalc[Ticker],TabCalc[Agiotage])</f>
        <v>1.5342978323128995</v>
      </c>
      <c r="U69" s="742"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19,250/19,250=&gt;11.0% / 11.0%</v>
      </c>
      <c r="V69" s="734" t="str">
        <f ca="1">_xlfn.XLOOKUP(TabTRADERCorrupted[[#This Row],[ClickTick]],[1]!RTData[Ticker_Symbol],[1]!RTData[Currency])</f>
        <v>USD</v>
      </c>
      <c r="W69" s="744">
        <f ca="1">_xlfn.XLOOKUP(TabTRADERCorrupted[[#This Row],[ClickTick]],TabCalc[Ticker],TabCalc[M])</f>
        <v>1.9650000000000001</v>
      </c>
      <c r="X69" s="1271" t="str">
        <f ca="1">SORTING!B69</f>
        <v>SAFDDD</v>
      </c>
      <c r="Y69" s="798">
        <f ca="1">_xlfn.XLOOKUP(TabTRADERCorrupted[[#This Row],[ClickTick]],TabCalc[Ticker],TabCalc[Y])</f>
        <v>3.625</v>
      </c>
      <c r="Z69" s="812">
        <f ca="1">_xlfn.XLOOKUP(TabTRADERCorrupted[[#This Row],[ClickTick]],[1]!RTData[Ticker_Symbol],[1]!RTData[YTChange])</f>
        <v>-0.33486238532110096</v>
      </c>
      <c r="AA69" s="827">
        <f ca="1">-_xlfn.XLOOKUP(TabTRADERCorrupted[[#This Row],[ClickTick]]&amp;2,Consolid!B$3:JZ$3,Consolid!B$4:JZ$4)</f>
        <v>3.2917317627272729</v>
      </c>
      <c r="AB69" s="812" cm="1">
        <f t="array" aca="1" ref="AB69" ca="1">_xlfn.XLOOKUP(TabTRADERCorrupted[[#This Row],[ClickTick]],ListTickers,Tab1ChangePercent[Change%19])</f>
        <v>0.110169</v>
      </c>
      <c r="AC69" s="763">
        <f ca="1">_xlfn.XLOOKUP(TabTRADERCorrupted[[#This Row],[ClickTick]],TabCalc[Ticker],TabCalc[NAfter])</f>
        <v>110000</v>
      </c>
      <c r="AD6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-168/216 K$</v>
      </c>
      <c r="AE69" s="1127"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31"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31"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13110.822999999999</v>
      </c>
      <c r="AH69" s="1131"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1.965</v>
      </c>
      <c r="AI69" s="1131" t="str" cm="1">
        <f t="array" aca="1" ref="AI69" ca="1">_xlfn.IFS(   TabTRADERCorrupted[[#This Row],[Traps]]=MUp,TEXT(MIN(TabTRADERCorrupted[[#This Row],[L_Sn]],TabTRADERCorrupted[[#This Row],[N]]),"#,#0")&amp;" x "&amp;TEXT(TabTRADERCorrupted[[#This Row],[L_Sp]],"#,#0.#0"),          TRUE,"")</f>
        <v/>
      </c>
      <c r="AJ69" s="1131"/>
      <c r="AK69" s="1131"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31"/>
      <c r="AM69" s="1131"/>
      <c r="AN69" s="1131"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13110.822999999999</v>
      </c>
      <c r="AO69" s="1140"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0.37816455696202533</v>
      </c>
      <c r="AP69" s="1140"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TabTRADERCorrupted[[#This Row],[Traps]]=SellMorePercentGain,                     MIN(TabTRADERCorrupted[[#This Row],[L_Sn]],TabTRADERCorrupted[[#This Row],[N]])*(TabTRADERCorrupted[[#This Row],[M]]-TabTRADERCorrupted[[#This Row],[L_Sp]])*(1-Commission)*TabTRADERCorrupted[[#This Row],[Scale]],                    TRUE,"")</f>
        <v/>
      </c>
      <c r="AR69" s="1129">
        <f ca="1">_xlfn.XLOOKUP(TabTRADERCorrupted[[#This Row],[ClickTick]],TabCalc[Ticker],TabCalc[Ann%RevLB])</f>
        <v>3.169107074738111E-2</v>
      </c>
      <c r="AS69" s="1225">
        <f ca="1">_xlfn.XLOOKUP(TabTRADERCorrupted[[#This Row],[ClickTick]],TabCalc[Ticker],TabCalc[Up20])</f>
        <v>0</v>
      </c>
      <c r="AT69" s="1141"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20"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40" t="str" cm="1">
        <f t="array" aca="1" ref="AV69" ca="1">_xlfn.IFS(   TabTRADERCorrupted[[#This Row],[Traps]]=MUp,TabTRADERCorrupted[[#This Row],[TakeGain_A]]-Commission,        TabTRADERCorrupted[[#This Row],[Traps]]=MDown,(TabTRADERCorrupted[[#This Row],[A]]-TabTRADERCorrupted[[#This Row],[M]])/TabTRADERCorrupted[[#This Row],[M]]-Commission,                              TRUE,"")</f>
        <v/>
      </c>
      <c r="AW69" s="820"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-145561.04861586</v>
      </c>
      <c r="AX69" s="755"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1.5%</v>
      </c>
      <c r="AY69" s="731"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60"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-0.40200185055413296</v>
      </c>
      <c r="BA69" s="757"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0.67258155863983338</v>
      </c>
      <c r="BB69" s="322">
        <f ca="1">_xlfn.XLOOKUP(TabTRADERCorrupted[[#This Row],[ClickTick]],TabCalc[Ticker],TabCalc[L_Sn])</f>
        <v>11000</v>
      </c>
      <c r="BC69" s="723">
        <f ca="1">_xlfn.XLOOKUP(TabTRADERCorrupted[[#This Row],[ClickTick]],TabCalc[Ticker],TabCalc[L_Sp])</f>
        <v>3.16</v>
      </c>
      <c r="BD69" s="759">
        <f ca="1">-IFERROR((TabTRADERCorrupted[[#This Row],[M]]-TabTRADERCorrupted[[#This Row],[L_Sp]])/TabTRADERCorrupted[[#This Row],[L_Sp]],0)</f>
        <v>0.37816455696202533</v>
      </c>
      <c r="BE69" s="724">
        <f ca="1">TabTRADERCorrupted[[#This Row],[L_Sn]]*(TabTRADERCorrupted[[#This Row],[M]]-TabTRADERCorrupted[[#This Row],[L_Sp]])*(1-Commission)*TabTRADERCorrupted[[#This Row],[Scale]]</f>
        <v>-13110.822999999999</v>
      </c>
      <c r="BF69" s="687">
        <f ca="1">TabTRADERCorrupted[[#This Row],[L_Sn]]*(TabTRADERCorrupted[[#This Row],[Agiotage]]-TabTRADERCorrupted[[#This Row],[M]])/(TabTRADERCorrupted[[#This Row],[L_Bn]]*TabTRADERCorrupted[[#This Row],[M]])</f>
        <v>-0.11481216150631543</v>
      </c>
      <c r="BG69" s="630">
        <f ca="1">IFERROR((TabTRADERCorrupted[[#This Row],[M]]-TabTRADERCorrupted[[#This Row],[A]])/TabTRADERCorrupted[[#This Row],[A]],0)</f>
        <v>-0.40304977998208641</v>
      </c>
      <c r="BH6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-145,561$</v>
      </c>
      <c r="BI69" s="679">
        <f ca="1">_xlfn.XLOOKUP(TabTRADERCorrupted[[#This Row],[ClickTick]],TabCalc[[#This Row],[Ticker]],TabCalc[[#This Row],[GL]])*(1-Commission)</f>
        <v>-167628.43017843057</v>
      </c>
      <c r="BJ69" s="679"/>
      <c r="BK69" s="664" t="str">
        <f ca="1">TabTRADERCorrupted[[#This Row],[ClickTick]]&amp;": "&amp;_xlfn.XLOOKUP(TabTRADERCorrupted[[#This Row],[ClickTick]],TabCalc[Ticker],TabCalc[Pile?])</f>
        <v>SAFDDD: Pile</v>
      </c>
      <c r="BL69" s="349" t="s">
        <v>2025</v>
      </c>
      <c r="BM69" s="750" t="str" cm="1">
        <f t="array" aca="1" ref="BM69" ca="1">_xlfn.TEXTJOIN("",,INDEX({"M","A","Y"}, _xlfn.SORTBY({1,2,3}, -CHOOSE({1,2,3}, TabTRADERCorrupted[[#This Row],[M]], TabTRADERCorrupted[[#This Row],[A]], TabTRADERCorrupted[[#This Row],[Agiotage]]))))</f>
        <v>AMY</v>
      </c>
      <c r="BN69" s="896"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4" t="e">
        <f ca="1">TabTRADERCorrupted[[#This Row],[L_Sn]]*TabTRADERCorrupted[[#This Row],[L_Sp]]+TabTRADERCorrupted[[#This Row],[SellMore]]*TabTRADERCorrupted[[#This Row],[M]]</f>
        <v>#N/A</v>
      </c>
      <c r="BP69" s="674" t="e">
        <f ca="1">INDEX(
  INDEX(TabConsolid[], , _xlfn.XMATCH(TabTRADERCorrupted[[#This Row],[ClickTick]]&amp;1, TabConsolid[#Headers])),
  MATCH(
    -TabTRADERCorrupted[[#This Row],[M]],
    INDEX(TabConsolid[], , _xlfn.XMATCH(TabTRADERCorrupted[[#This Row],[ClickTick]]&amp;2, TabConsolid[#Headers])),
    -1
  )
)</f>
        <v>#N/A</v>
      </c>
      <c r="BQ69" s="674"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13" t="e">
        <f ca="1">TabTRADERCorrupted[[#This Row],[ReBuy]]/(TabTRADERCorrupted[[#This Row],[L_Sn]]+TabTRADERCorrupted[[#This Row],[SellMore]])</f>
        <v>#N/A</v>
      </c>
      <c r="BS6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-4.3070216768710057E-5</v>
      </c>
      <c r="BT69" s="682">
        <f ca="1">(TabTRADERCorrupted[[#This Row],[M]]-TabTRADERCorrupted[[#This Row],[Agiotage]])/(TabTRADERCorrupted[[#This Row],[M]]-TabTRADERCorrupted[[#This Row],[A]])-1</f>
        <v>-1.3246339462030632</v>
      </c>
      <c r="BU69" s="1221">
        <f ca="1">_xlfn.XMATCH(TabTRADERCorrupted[[#This Row],[ClickTick]]&amp;1, TabConsolid[#Headers])</f>
        <v>203</v>
      </c>
      <c r="BV69" t="b">
        <f ca="1">IF(ABS(TabTRADERCorrupted[[#This Row],[L_Bp]])&gt;=TabTRADERCorrupted[[#This Row],[M]],"OK")</f>
        <v>0</v>
      </c>
    </row>
    <row r="70" spans="1:74">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-793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v>
      </c>
      <c r="D70" s="683"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435</v>
      </c>
      <c r="F70" s="224" t="str">
        <f ca="1">TRUNC(TabCalc[[#This Row],[L_B1p]],2)&amp;"x"&amp;TabCalc[[#This Row],[L_B1n]]&amp;"=   "&amp;TEXT(TabCalc[[#This Row],[ReverseS1]],"#,#0")&amp;"$"</f>
        <v>-108.61x700=   2,009$</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-3,792$</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10.3% = 435</v>
      </c>
      <c r="I70" s="224" t="str">
        <f ca="1">IFERROR(TRUNC(TabCalc[[#This Row],[L_S1p]],2)&amp;"x"&amp;TabCalc[[#This Row],[L_S1n]]&amp;"=   "&amp;TEXT(TabCalc[[#This Row],[ReverseB1]],"#,#0"),"")</f>
        <v>119.32x800=   6,272</v>
      </c>
      <c r="J70" s="293">
        <f ca="1">_xlfn.XLOOKUP(TabTRADERCorrupted[[#This Row],[ClickTick]],TabCalc[Ticker],ListGravity)</f>
        <v>1.1885860243989952</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0.95490146509038409</v>
      </c>
      <c r="N70" s="322" cm="1">
        <f t="array" aca="1" ref="N70" ca="1">_xlfn.XLOOKUP(TabTRADERCorrupted[[#This Row],[ClickTick]],ListTickers,Tab2RSIConventional[RSIConv20])</f>
        <v>65</v>
      </c>
      <c r="O70" s="698"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6">
        <f ca="1">_xlfn.XLOOKUP(TabTRADERCorrupted[[#This Row],[ClickTick]],TabCalc[Ticker],TabCalc[L_Bp])</f>
        <v>-112.98</v>
      </c>
      <c r="R70" s="759">
        <f ca="1">(TabTRADERCorrupted[[#This Row],[M]]+TabTRADERCorrupted[[#This Row],[L_Bp]])/ABS(TabTRADERCorrupted[[#This Row],[L_Bp]])</f>
        <v>-1.327668613913967E-2</v>
      </c>
      <c r="S70" s="678">
        <f ca="1">_xlfn.XLOOKUP(TabTRADERCorrupted[[#This Row],[ClickTick]],TabCalc[Ticker],TabCalc[Rev(MinStock)])*(1-Commission)</f>
        <v>-790.93819999999994</v>
      </c>
      <c r="T70" s="777">
        <f ca="1">_xlfn.XLOOKUP(TabTRADERCorrupted[[#This Row],[ClickTick]],TabCalc[Ticker],TabCalc[Agiotage])</f>
        <v>0.95490146509038409</v>
      </c>
      <c r="U70" s="742"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2,832/2,832=&gt;2.4% / 2.4%</v>
      </c>
      <c r="V70" s="734" t="str">
        <f ca="1">_xlfn.XLOOKUP(TabTRADERCorrupted[[#This Row],[ClickTick]],[1]!RTData[Ticker_Symbol],[1]!RTData[Currency])</f>
        <v>USD</v>
      </c>
      <c r="W70" s="744">
        <f ca="1">_xlfn.XLOOKUP(TabTRADERCorrupted[[#This Row],[ClickTick]],TabCalc[Ticker],TabCalc[M])</f>
        <v>111.48</v>
      </c>
      <c r="X70" s="1271" t="str">
        <f ca="1">SORTING!B70</f>
        <v>SAFDIS</v>
      </c>
      <c r="Y70" s="798">
        <f ca="1">_xlfn.XLOOKUP(TabTRADERCorrupted[[#This Row],[ClickTick]],TabCalc[Ticker],TabCalc[Y])</f>
        <v>132.50357</v>
      </c>
      <c r="Z70" s="812">
        <f ca="1">_xlfn.XLOOKUP(TabTRADERCorrupted[[#This Row],[ClickTick]],[1]!RTData[Ticker_Symbol],[1]!RTData[YTChange])</f>
        <v>6.2152865731462899E-2</v>
      </c>
      <c r="AA70" s="827">
        <f ca="1">-_xlfn.XLOOKUP(TabTRADERCorrupted[[#This Row],[ClickTick]]&amp;2,Consolid!B$3:JZ$3,Consolid!B$4:JZ$4)</f>
        <v>110.82748755</v>
      </c>
      <c r="AB70" s="812" cm="1">
        <f t="array" aca="1" ref="AB70" ca="1">_xlfn.XLOOKUP(TabTRADERCorrupted[[#This Row],[ClickTick]],ListTickers,Tab1ChangePercent[Change%19])</f>
        <v>2.435E-2</v>
      </c>
      <c r="AC70" s="763">
        <f ca="1">_xlfn.XLOOKUP(TabTRADERCorrupted[[#This Row],[ClickTick]],TabCalc[Ticker],TabCalc[NAfter])</f>
        <v>1200</v>
      </c>
      <c r="AD7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^36/133 K$</v>
      </c>
      <c r="AE70" s="1147"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31"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111.48, -09.3%</v>
      </c>
      <c r="AG70" s="1131"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31"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111.48</v>
      </c>
      <c r="AI70" s="1131" t="str" cm="1">
        <f t="array" aca="1" ref="AI70" ca="1">_xlfn.IFS(   TabTRADERCorrupted[[#This Row],[Traps]]=MUp,TEXT(MIN(TabTRADERCorrupted[[#This Row],[L_Sn]],TabTRADERCorrupted[[#This Row],[N]]),"#,#0")&amp;" x "&amp;TEXT(TabTRADERCorrupted[[#This Row],[L_Sp]],"#,#0.#0"),          TRUE,"")</f>
        <v/>
      </c>
      <c r="AJ70" s="1131"/>
      <c r="AK70" s="1131"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792.93299999999999</v>
      </c>
      <c r="AL70" s="1131"/>
      <c r="AM70" s="1131"/>
      <c r="AN70" s="1131"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133776</v>
      </c>
      <c r="AO70" s="1140"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-5.887640913140986E-3</v>
      </c>
      <c r="AP70" s="1140"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1.0855328310010764E-2</v>
      </c>
      <c r="AQ70" s="820" t="str" cm="1">
        <f t="array" aca="1" ref="AQ70" ca="1">_xlfn.IFS(   TabTRADERCorrupted[[#This Row],[Traps]]=SellMorePercentGain,                     MIN(TabTRADERCorrupted[[#This Row],[L_Sn]],TabTRADERCorrupted[[#This Row],[N]])*(TabTRADERCorrupted[[#This Row],[M]]-TabTRADERCorrupted[[#This Row],[L_Sp]])*(1-Commission)*TabTRADERCorrupted[[#This Row],[Scale]],                    TRUE,"")</f>
        <v/>
      </c>
      <c r="AR70" s="1129">
        <f ca="1">_xlfn.XLOOKUP(TabTRADERCorrupted[[#This Row],[ClickTick]],TabCalc[Ticker],TabCalc[Ann%RevLB])</f>
        <v>-7.2418288031670927E-2</v>
      </c>
      <c r="AS70" s="1225">
        <f ca="1">_xlfn.XLOOKUP(TabTRADERCorrupted[[#This Row],[ClickTick]],TabCalc[Ticker],TabCalc[Up20])</f>
        <v>0</v>
      </c>
      <c r="AT70" s="1141"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1.3455328310010764E-2</v>
      </c>
      <c r="AU70" s="820" cm="1">
        <f t="array" aca="1" ref="AU70" ca="1">_xlfn.IFS(         TabTRADERCorrupted[[#This Row],[Traps]]=MDown,TabTRADERCorrupted[[#This Row],[L_Bn]]*TabTRADERCorrupted[[#This Row],[M]]*(-(TabTRADERCorrupted[[#This Row],[L_Bp]]+TabTRADERCorrupted[[#This Row],[M]])/TabTRADERCorrupted[[#This Row],[M]])*(1-Commission)*TabTRADERCorrupted[[#This Row],[Scale]],                               TRUE,"")</f>
        <v>792.93299999999999</v>
      </c>
      <c r="AV70" s="1140" cm="1">
        <f t="array" aca="1" ref="AV70" ca="1">_xlfn.IFS(   TabTRADERCorrupted[[#This Row],[Traps]]=MUp,TabTRADERCorrupted[[#This Row],[TakeGain_A]]-Commission,        TabTRADERCorrupted[[#This Row],[Traps]]=MDown,(TabTRADERCorrupted[[#This Row],[A]]-TabTRADERCorrupted[[#This Row],[M]])/TabTRADERCorrupted[[#This Row],[M]]-Commission,                              TRUE,"")</f>
        <v>-8.4531794940796851E-3</v>
      </c>
      <c r="AW70" s="820"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-780.97910115600382</v>
      </c>
      <c r="AX70" s="755"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70" s="731"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v>
      </c>
      <c r="AZ70" s="760"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5.8723330467668191E-3</v>
      </c>
      <c r="BA70" s="757"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-8.4531794940796851E-3</v>
      </c>
      <c r="BB70" s="322">
        <f ca="1">_xlfn.XLOOKUP(TabTRADERCorrupted[[#This Row],[ClickTick]],TabCalc[Ticker],TabCalc[L_Sn])</f>
        <v>330</v>
      </c>
      <c r="BC70" s="723">
        <f ca="1">_xlfn.XLOOKUP(TabTRADERCorrupted[[#This Row],[ClickTick]],TabCalc[Ticker],TabCalc[L_Sp])</f>
        <v>122.97</v>
      </c>
      <c r="BD70" s="759">
        <f ca="1">-IFERROR((TabTRADERCorrupted[[#This Row],[M]]-TabTRADERCorrupted[[#This Row],[L_Sp]])/TabTRADERCorrupted[[#This Row],[L_Sp]],0)</f>
        <v>9.343742376189311E-2</v>
      </c>
      <c r="BE70" s="724">
        <f ca="1">TabTRADERCorrupted[[#This Row],[L_Sn]]*(TabTRADERCorrupted[[#This Row],[M]]-TabTRADERCorrupted[[#This Row],[L_Sp]])*(1-Commission)*TabTRADERCorrupted[[#This Row],[Scale]]</f>
        <v>-3781.8415799999984</v>
      </c>
      <c r="BF70" s="687">
        <f ca="1">TabTRADERCorrupted[[#This Row],[L_Sn]]*(TabTRADERCorrupted[[#This Row],[Agiotage]]-TabTRADERCorrupted[[#This Row],[M]])/(TabTRADERCorrupted[[#This Row],[L_Bn]]*TabTRADERCorrupted[[#This Row],[M]])</f>
        <v>-0.61730816453277293</v>
      </c>
      <c r="BG70" s="630">
        <f ca="1">IFERROR((TabTRADERCorrupted[[#This Row],[M]]-TabTRADERCorrupted[[#This Row],[A]])/TabTRADERCorrupted[[#This Row],[A]],0)</f>
        <v>5.887640913140986E-3</v>
      </c>
      <c r="BH7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781$</v>
      </c>
      <c r="BI70" s="679">
        <f ca="1">_xlfn.XLOOKUP(TabTRADERCorrupted[[#This Row],[ClickTick]],TabCalc[[#This Row],[Ticker]],TabCalc[[#This Row],[GL]])*(1-Commission)</f>
        <v>35952.723863509214</v>
      </c>
      <c r="BJ70" s="679"/>
      <c r="BK70" s="664" t="str">
        <f ca="1">TabTRADERCorrupted[[#This Row],[ClickTick]]&amp;": "&amp;_xlfn.XLOOKUP(TabTRADERCorrupted[[#This Row],[ClickTick]],TabCalc[Ticker],TabCalc[Pile?])</f>
        <v xml:space="preserve">SAFDIS: </v>
      </c>
      <c r="BL70" s="349" t="s">
        <v>2030</v>
      </c>
      <c r="BM70" s="750" t="str" cm="1">
        <f t="array" aca="1" ref="BM70" ca="1">_xlfn.TEXTJOIN("",,INDEX({"M","A","Y"}, _xlfn.SORTBY({1,2,3}, -CHOOSE({1,2,3}, TabTRADERCorrupted[[#This Row],[M]], TabTRADERCorrupted[[#This Row],[A]], TabTRADERCorrupted[[#This Row],[Agiotage]]))))</f>
        <v>MAY</v>
      </c>
      <c r="BN70" s="896"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1.3455328310010764E-2</v>
      </c>
      <c r="BO70" s="674">
        <f ca="1">TabTRADERCorrupted[[#This Row],[L_Sn]]*TabTRADERCorrupted[[#This Row],[L_Sp]]+TabTRADERCorrupted[[#This Row],[SellMore]]*TabTRADERCorrupted[[#This Row],[M]]</f>
        <v>115271.70000000001</v>
      </c>
      <c r="BP70" s="674">
        <f ca="1">INDEX(
  INDEX(TabConsolid[], , _xlfn.XMATCH(TabTRADERCorrupted[[#This Row],[ClickTick]]&amp;1, TabConsolid[#Headers])),
  MATCH(
    -TabTRADERCorrupted[[#This Row],[M]],
    INDEX(TabConsolid[], , _xlfn.XMATCH(TabTRADERCorrupted[[#This Row],[ClickTick]]&amp;2, TabConsolid[#Headers])),
    -1
  )
)</f>
        <v>670</v>
      </c>
      <c r="BQ70" s="674"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0" s="1113">
        <f ca="1">TabTRADERCorrupted[[#This Row],[ReBuy]]/(TabTRADERCorrupted[[#This Row],[L_Sn]]+TabTRADERCorrupted[[#This Row],[SellMore]])</f>
        <v>115.27170000000001</v>
      </c>
      <c r="BS7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-0.42702878979396897</v>
      </c>
      <c r="BT70" s="682">
        <f ca="1">(TabTRADERCorrupted[[#This Row],[M]]-TabTRADERCorrupted[[#This Row],[Agiotage]])/(TabTRADERCorrupted[[#This Row],[M]]-TabTRADERCorrupted[[#This Row],[A]])-1</f>
        <v>168.38389226888938</v>
      </c>
      <c r="BU70" s="1221">
        <f ca="1">_xlfn.XMATCH(TabTRADERCorrupted[[#This Row],[ClickTick]]&amp;1, TabConsolid[#Headers])</f>
        <v>206</v>
      </c>
      <c r="BV70" t="str">
        <f ca="1">IF(ABS(TabTRADERCorrupted[[#This Row],[L_Bp]])&gt;=TabTRADERCorrupted[[#This Row],[M]],"OK")</f>
        <v>OK</v>
      </c>
    </row>
    <row r="71" spans="1:74">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44.8%</v>
      </c>
      <c r="D71" s="683"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64,423$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-39.8% = 0</v>
      </c>
      <c r="I71" s="224" t="str">
        <f ca="1">IFERROR(TRUNC(TabCalc[[#This Row],[L_S1p]],2)&amp;"x"&amp;TabCalc[[#This Row],[L_S1n]]&amp;"=   "&amp;TEXT(TabCalc[[#This Row],[ReverseB1]],"#,#0"),"")</f>
        <v>48.66x4000=   -128,739</v>
      </c>
      <c r="J71" s="293">
        <f ca="1">_xlfn.XLOOKUP(TabTRADERCorrupted[[#This Row],[ClickTick]],TabCalc[Ticker],ListGravity)</f>
        <v>0.91866200754530269</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1.0689103082554057</v>
      </c>
      <c r="N71" s="322" cm="1">
        <f t="array" aca="1" ref="N71" ca="1">_xlfn.XLOOKUP(TabTRADERCorrupted[[#This Row],[ClickTick]],ListTickers,Tab2RSIConventional[RSIConv20])</f>
        <v>98</v>
      </c>
      <c r="O71" s="698"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6">
        <f ca="1">_xlfn.XLOOKUP(TabTRADERCorrupted[[#This Row],[ClickTick]],TabCalc[Ticker],TabCalc[L_Bp])</f>
        <v>-44.62</v>
      </c>
      <c r="R71" s="759">
        <f ca="1">(TabTRADERCorrupted[[#This Row],[M]]+TabTRADERCorrupted[[#This Row],[L_Bp]])/ABS(TabTRADERCorrupted[[#This Row],[L_Bp]])</f>
        <v>0.8118556701030929</v>
      </c>
      <c r="S71" s="678">
        <f ca="1">_xlfn.XLOOKUP(TabTRADERCorrupted[[#This Row],[ClickTick]],TabCalc[Ticker],TabCalc[Rev(MinStock)])*(1-Commission)</f>
        <v>0</v>
      </c>
      <c r="T71" s="777">
        <f ca="1">_xlfn.XLOOKUP(TabTRADERCorrupted[[#This Row],[ClickTick]],TabCalc[Ticker],TabCalc[Agiotage])</f>
        <v>1.0689103082554057</v>
      </c>
      <c r="U71" s="742"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71" s="734" t="str">
        <f ca="1">_xlfn.XLOOKUP(TabTRADERCorrupted[[#This Row],[ClickTick]],[1]!RTData[Ticker_Symbol],[1]!RTData[Currency])</f>
        <v>USD</v>
      </c>
      <c r="W71" s="744">
        <f ca="1">_xlfn.XLOOKUP(TabTRADERCorrupted[[#This Row],[ClickTick]],TabCalc[Ticker],TabCalc[M])</f>
        <v>80.844999999999999</v>
      </c>
      <c r="X71" s="1271" t="str">
        <f ca="1">SORTING!B71</f>
        <v>SAFGM</v>
      </c>
      <c r="Y71" s="798">
        <f ca="1">_xlfn.XLOOKUP(TabTRADERCorrupted[[#This Row],[ClickTick]],TabCalc[Ticker],TabCalc[Y])</f>
        <v>74.269229999999993</v>
      </c>
      <c r="Z71" s="812">
        <f ca="1">_xlfn.XLOOKUP(TabTRADERCorrupted[[#This Row],[ClickTick]],[1]!RTData[Ticker_Symbol],[1]!RTData[YTChange])</f>
        <v>0.37382963374028838</v>
      </c>
      <c r="AA71" s="827">
        <f ca="1">-_xlfn.XLOOKUP(TabTRADERCorrupted[[#This Row],[ClickTick]]&amp;2,Consolid!B$3:JZ$3,Consolid!B$4:JZ$4)</f>
        <v>0</v>
      </c>
      <c r="AB71" s="812" cm="1">
        <f t="array" aca="1" ref="AB71" ca="1">_xlfn.XLOOKUP(TabTRADERCorrupted[[#This Row],[ClickTick]],ListTickers,Tab1ChangePercent[Change%19])</f>
        <v>5.5690000000000004E-4</v>
      </c>
      <c r="AC71" s="763">
        <f ca="1">_xlfn.XLOOKUP(TabTRADERCorrupted[[#This Row],[ClickTick]],TabCalc[Ticker],TabCalc[NAfter])</f>
        <v>0</v>
      </c>
      <c r="AD7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^63/0 K$</v>
      </c>
      <c r="AE71" s="1127"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31"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80.845, 66.2%</v>
      </c>
      <c r="AG71" s="1131"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31"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80.845</v>
      </c>
      <c r="AI71" s="1131" t="str" cm="1">
        <f t="array" aca="1" ref="AI71" ca="1">_xlfn.IFS(   TabTRADERCorrupted[[#This Row],[Traps]]=MUp,TEXT(MIN(TabTRADERCorrupted[[#This Row],[L_Sn]],TabTRADERCorrupted[[#This Row],[N]]),"#,#0")&amp;" x "&amp;TEXT(TabTRADERCorrupted[[#This Row],[L_Sp]],"#,#0.#0"),          TRUE,"")</f>
        <v/>
      </c>
      <c r="AJ71" s="1131"/>
      <c r="AK71" s="1131"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31"/>
      <c r="AM71" s="1131"/>
      <c r="AN71" s="1131"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40"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40"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TabTRADERCorrupted[[#This Row],[Traps]]=SellMorePercentGain,                     MIN(TabTRADERCorrupted[[#This Row],[L_Sn]],TabTRADERCorrupted[[#This Row],[N]])*(TabTRADERCorrupted[[#This Row],[M]]-TabTRADERCorrupted[[#This Row],[L_Sp]])*(1-Commission)*TabTRADERCorrupted[[#This Row],[Scale]],                    TRUE,"")</f>
        <v/>
      </c>
      <c r="AR71" s="1129">
        <f ca="1">_xlfn.XLOOKUP(TabTRADERCorrupted[[#This Row],[ClickTick]],TabCalc[Ticker],TabCalc[Ann%RevLB])</f>
        <v>0.58570749746916517</v>
      </c>
      <c r="AS71" s="1225">
        <f ca="1">_xlfn.XLOOKUP(TabTRADERCorrupted[[#This Row],[ClickTick]],TabCalc[Ticker],TabCalc[Up20])</f>
        <v>0.55555555555555558</v>
      </c>
      <c r="AT71" s="1141"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20"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40" t="str" cm="1">
        <f t="array" aca="1" ref="AV71" ca="1">_xlfn.IFS(   TabTRADERCorrupted[[#This Row],[Traps]]=MUp,TabTRADERCorrupted[[#This Row],[TakeGain_A]]-Commission,        TabTRADERCorrupted[[#This Row],[Traps]]=MDown,(TabTRADERCorrupted[[#This Row],[A]]-TabTRADERCorrupted[[#This Row],[M]])/TabTRADERCorrupted[[#This Row],[M]]-Commission,                              TRUE,"")</f>
        <v/>
      </c>
      <c r="AW71" s="755"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5"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1" s="731"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0x80.84</v>
      </c>
      <c r="AZ71" s="760"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7"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-0.40103651431752113</v>
      </c>
      <c r="BB71" s="322">
        <f ca="1">_xlfn.XLOOKUP(TabTRADERCorrupted[[#This Row],[ClickTick]],TabCalc[Ticker],TabCalc[L_Sn])</f>
        <v>2000</v>
      </c>
      <c r="BC71" s="723">
        <f ca="1">_xlfn.XLOOKUP(TabTRADERCorrupted[[#This Row],[ClickTick]],TabCalc[Ticker],TabCalc[L_Sp])</f>
        <v>48.633400000000002</v>
      </c>
      <c r="BD71" s="759">
        <f ca="1">-IFERROR((TabTRADERCorrupted[[#This Row],[M]]-TabTRADERCorrupted[[#This Row],[L_Sp]])/TabTRADERCorrupted[[#This Row],[L_Sp]],0)</f>
        <v>-0.66233493854018011</v>
      </c>
      <c r="BE71" s="724">
        <f ca="1">TabTRADERCorrupted[[#This Row],[L_Sn]]*(TabTRADERCorrupted[[#This Row],[M]]-TabTRADERCorrupted[[#This Row],[L_Sp]])*(1-Commission)*TabTRADERCorrupted[[#This Row],[Scale]]</f>
        <v>64255.699679999991</v>
      </c>
      <c r="BF71" s="687">
        <f ca="1">TabTRADERCorrupted[[#This Row],[L_Sn]]*(TabTRADERCorrupted[[#This Row],[Agiotage]]-TabTRADERCorrupted[[#This Row],[M]])/(TabTRADERCorrupted[[#This Row],[L_Bn]]*TabTRADERCorrupted[[#This Row],[M]])</f>
        <v>-0.98677827561066966</v>
      </c>
      <c r="BG71" s="630">
        <f ca="1">IFERROR((TabTRADERCorrupted[[#This Row],[M]]-TabTRADERCorrupted[[#This Row],[A]])/TabTRADERCorrupted[[#This Row],[A]],0)</f>
        <v>0</v>
      </c>
      <c r="BH7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9">
        <f ca="1">_xlfn.XLOOKUP(TabTRADERCorrupted[[#This Row],[ClickTick]],TabCalc[[#This Row],[Ticker]],TabCalc[[#This Row],[GL]])*(1-Commission)</f>
        <v>62341.663567505399</v>
      </c>
      <c r="BJ71" s="679"/>
      <c r="BK71" s="664" t="str">
        <f ca="1">TabTRADERCorrupted[[#This Row],[ClickTick]]&amp;": "&amp;_xlfn.XLOOKUP(TabTRADERCorrupted[[#This Row],[ClickTick]],TabCalc[Ticker],TabCalc[Pile?])</f>
        <v>SAFGM: Pile</v>
      </c>
      <c r="BL71" s="349" t="s">
        <v>2031</v>
      </c>
      <c r="BM71" s="750" t="str" cm="1">
        <f t="array" aca="1" ref="BM71" ca="1">_xlfn.TEXTJOIN("",,INDEX({"M","A","Y"}, _xlfn.SORTBY({1,2,3}, -CHOOSE({1,2,3}, TabTRADERCorrupted[[#This Row],[M]], TabTRADERCorrupted[[#This Row],[A]], TabTRADERCorrupted[[#This Row],[Agiotage]]))))</f>
        <v>MYA</v>
      </c>
      <c r="BN71" s="896"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4" t="e">
        <f ca="1">TabTRADERCorrupted[[#This Row],[L_Sn]]*TabTRADERCorrupted[[#This Row],[L_Sp]]+TabTRADERCorrupted[[#This Row],[SellMore]]*TabTRADERCorrupted[[#This Row],[M]]</f>
        <v>#N/A</v>
      </c>
      <c r="BP71" s="674" t="e">
        <f ca="1">INDEX(
  INDEX(TabConsolid[], , _xlfn.XMATCH(TabTRADERCorrupted[[#This Row],[ClickTick]]&amp;1, TabConsolid[#Headers])),
  MATCH(
    -TabTRADERCorrupted[[#This Row],[M]],
    INDEX(TabConsolid[], , _xlfn.XMATCH(TabTRADERCorrupted[[#This Row],[ClickTick]]&amp;2, TabConsolid[#Headers])),
    -1
  )
)</f>
        <v>#N/A</v>
      </c>
      <c r="BQ71" s="674"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13" t="e">
        <f ca="1">TabTRADERCorrupted[[#This Row],[ReBuy]]/(TabTRADERCorrupted[[#This Row],[L_Sn]]+TabTRADERCorrupted[[#This Row],[SellMore]])</f>
        <v>#N/A</v>
      </c>
      <c r="BS7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2">
        <f ca="1">(TabTRADERCorrupted[[#This Row],[M]]-TabTRADERCorrupted[[#This Row],[Agiotage]])/(TabTRADERCorrupted[[#This Row],[M]]-TabTRADERCorrupted[[#This Row],[A]])-1</f>
        <v>-1.3221724389330336E-2</v>
      </c>
      <c r="BU71" s="1221">
        <f ca="1">_xlfn.XMATCH(TabTRADERCorrupted[[#This Row],[ClickTick]]&amp;1, TabConsolid[#Headers])</f>
        <v>209</v>
      </c>
      <c r="BV71" t="b">
        <f ca="1">IF(ABS(TabTRADERCorrupted[[#This Row],[L_Bp]])&gt;=TabTRADERCorrupted[[#This Row],[M]],"OK")</f>
        <v>0</v>
      </c>
    </row>
    <row r="72" spans="1:74">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50.2%</v>
      </c>
      <c r="D72" s="683"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95,680$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-24.1% = 0</v>
      </c>
      <c r="I72" s="224" t="str">
        <f ca="1">IFERROR(TRUNC(TabCalc[[#This Row],[L_S1p]],2)&amp;"x"&amp;TabCalc[[#This Row],[L_S1n]]&amp;"=   "&amp;TEXT(TabCalc[[#This Row],[ReverseB1]],"#,#0"),"")</f>
        <v>212.3x25000=   -46,325</v>
      </c>
      <c r="J72" s="293">
        <f ca="1">_xlfn.XLOOKUP(TabTRADERCorrupted[[#This Row],[ClickTick]],TabCalc[Ticker],ListGravity)</f>
        <v>1.160889134808853</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0.83897669667496144</v>
      </c>
      <c r="N72" s="322" cm="1">
        <f t="array" aca="1" ref="N72" ca="1">_xlfn.XLOOKUP(TabTRADERCorrupted[[#This Row],[ClickTick]],ListTickers,Tab2RSIConventional[RSIConv20])</f>
        <v>55</v>
      </c>
      <c r="O72" s="698"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6">
        <f ca="1">_xlfn.XLOOKUP(TabTRADERCorrupted[[#This Row],[ClickTick]],TabCalc[Ticker],TabCalc[L_Bp])</f>
        <v>-198.16</v>
      </c>
      <c r="R72" s="759">
        <f ca="1">(TabTRADERCorrupted[[#This Row],[M]]+TabTRADERCorrupted[[#This Row],[L_Bp]])/ABS(TabTRADERCorrupted[[#This Row],[L_Bp]])</f>
        <v>1.0064594267258782</v>
      </c>
      <c r="S72" s="678">
        <f ca="1">_xlfn.XLOOKUP(TabTRADERCorrupted[[#This Row],[ClickTick]],TabCalc[Ticker],TabCalc[Rev(MinStock)])*(1-Commission)</f>
        <v>0</v>
      </c>
      <c r="T72" s="777">
        <f ca="1">_xlfn.XLOOKUP(TabTRADERCorrupted[[#This Row],[ClickTick]],TabCalc[Ticker],TabCalc[Agiotage])</f>
        <v>0.83897669667496144</v>
      </c>
      <c r="U72" s="742"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0/0=&gt;3.1% / 3.1%</v>
      </c>
      <c r="V72" s="734" t="str">
        <f ca="1">_xlfn.XLOOKUP(TabTRADERCorrupted[[#This Row],[ClickTick]],[1]!RTData[Ticker_Symbol],[1]!RTData[Currency])</f>
        <v>GBp</v>
      </c>
      <c r="W72" s="744">
        <f ca="1">_xlfn.XLOOKUP(TabTRADERCorrupted[[#This Row],[ClickTick]],TabCalc[Ticker],TabCalc[M])</f>
        <v>397.6</v>
      </c>
      <c r="X72" s="1271" t="str">
        <f ca="1">SORTING!B72</f>
        <v>SAFIAG</v>
      </c>
      <c r="Y72" s="798">
        <f ca="1">_xlfn.XLOOKUP(TabTRADERCorrupted[[#This Row],[ClickTick]],TabCalc[Ticker],TabCalc[Y])</f>
        <v>461.56952000000001</v>
      </c>
      <c r="Z72" s="812">
        <f ca="1">_xlfn.XLOOKUP(TabTRADERCorrupted[[#This Row],[ClickTick]],[1]!RTData[Ticker_Symbol],[1]!RTData[YTChange])</f>
        <v>0.57130049361702129</v>
      </c>
      <c r="AA72" s="827">
        <f ca="1">-_xlfn.XLOOKUP(TabTRADERCorrupted[[#This Row],[ClickTick]]&amp;2,Consolid!B$3:JZ$3,Consolid!B$4:JZ$4)</f>
        <v>0</v>
      </c>
      <c r="AB72" s="812" cm="1">
        <f t="array" aca="1" ref="AB72" ca="1">_xlfn.XLOOKUP(TabTRADERCorrupted[[#This Row],[ClickTick]],ListTickers,Tab1ChangePercent[Change%19])</f>
        <v>3.1120000000000002E-2</v>
      </c>
      <c r="AC72" s="763">
        <f ca="1">_xlfn.XLOOKUP(TabTRADERCorrupted[[#This Row],[ClickTick]],TabCalc[Ticker],TabCalc[NAfter])</f>
        <v>0</v>
      </c>
      <c r="AD7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^178/0 K$</v>
      </c>
      <c r="AE72" s="1147"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31"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397.6, 31.7%</v>
      </c>
      <c r="AG72" s="1131"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31" t="str" cm="1">
        <f t="array" aca="1" ref="AH72" ca="1">_xlfn.IFS(     TabTRADERCorrupted[[#This Row],[Traps]]=MUp,MIN(TabTRADERCorrupted[[#This Row],[L_Sn]],TabTRADERCorrupted[[#This Row],[N]])*(TabTRADERCorrupted[[#This Row],[M]]-TabTRADERCorrupted[[#This Row],[L_Sp]])*(1-Commission)*TabTRADERCorrupted[[#This Row],[Scale]],                                  TRUE,"M= "&amp;TabTRADERCorrupted[[#This Row],[M]])</f>
        <v>M= 397.6</v>
      </c>
      <c r="AI72" s="1131" t="str" cm="1">
        <f t="array" aca="1" ref="AI72" ca="1">_xlfn.IFS(   TabTRADERCorrupted[[#This Row],[Traps]]=MUp,TEXT(MIN(TabTRADERCorrupted[[#This Row],[L_Sn]],TabTRADERCorrupted[[#This Row],[N]]),"#,#0")&amp;" x "&amp;TEXT(TabTRADERCorrupted[[#This Row],[L_Sp]],"#,#0.#0"),          TRUE,"")</f>
        <v/>
      </c>
      <c r="AJ72" s="1131"/>
      <c r="AK72" s="1131"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31"/>
      <c r="AM72" s="1131"/>
      <c r="AN72" s="1131"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40"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40"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TabTRADERCorrupted[[#This Row],[Traps]]=SellMorePercentGain,                     MIN(TabTRADERCorrupted[[#This Row],[L_Sn]],TabTRADERCorrupted[[#This Row],[N]])*(TabTRADERCorrupted[[#This Row],[M]]-TabTRADERCorrupted[[#This Row],[L_Sp]])*(1-Commission)*TabTRADERCorrupted[[#This Row],[Scale]],                    TRUE,"")</f>
        <v/>
      </c>
      <c r="AR72" s="1146">
        <f ca="1">_xlfn.XLOOKUP(TabTRADERCorrupted[[#This Row],[ClickTick]],TabCalc[Ticker],TabCalc[Ann%RevLB])</f>
        <v>0.85052909300778445</v>
      </c>
      <c r="AS72" s="1224">
        <f ca="1">_xlfn.XLOOKUP(TabTRADERCorrupted[[#This Row],[ClickTick]],TabCalc[Ticker],TabCalc[Up20])</f>
        <v>0.42857142857142855</v>
      </c>
      <c r="AT72" s="1141"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20"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40" t="str" cm="1">
        <f t="array" aca="1" ref="AV72" ca="1">_xlfn.IFS(   TabTRADERCorrupted[[#This Row],[Traps]]=MUp,TabTRADERCorrupted[[#This Row],[TakeGain_A]]-Commission,        TabTRADERCorrupted[[#This Row],[Traps]]=MDown,(TabTRADERCorrupted[[#This Row],[A]]-TabTRADERCorrupted[[#This Row],[M]])/TabTRADERCorrupted[[#This Row],[M]]-Commission,                              TRUE,"")</f>
        <v/>
      </c>
      <c r="AW72" s="755"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5"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1.0%</v>
      </c>
      <c r="AY72" s="731"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0x3.976</v>
      </c>
      <c r="AZ72" s="760"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7"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-0.24324386317907445</v>
      </c>
      <c r="BB72" s="322">
        <f ca="1">_xlfn.XLOOKUP(TabTRADERCorrupted[[#This Row],[ClickTick]],TabCalc[Ticker],TabCalc[L_Sn])</f>
        <v>100000</v>
      </c>
      <c r="BC72" s="723">
        <f ca="1">_xlfn.XLOOKUP(TabTRADERCorrupted[[#This Row],[ClickTick]],TabCalc[Ticker],TabCalc[L_Sp])</f>
        <v>301.92</v>
      </c>
      <c r="BD72" s="759">
        <f ca="1">-IFERROR((TabTRADERCorrupted[[#This Row],[M]]-TabTRADERCorrupted[[#This Row],[L_Sp]])/TabTRADERCorrupted[[#This Row],[L_Sp]],0)</f>
        <v>-0.3169051404345522</v>
      </c>
      <c r="BE72" s="724">
        <f ca="1">TabTRADERCorrupted[[#This Row],[L_Sn]]*(TabTRADERCorrupted[[#This Row],[M]]-TabTRADERCorrupted[[#This Row],[L_Sp]])*(1-Commission)*TabTRADERCorrupted[[#This Row],[Scale]]</f>
        <v>95431.231999999989</v>
      </c>
      <c r="BF72" s="687">
        <f ca="1">TabTRADERCorrupted[[#This Row],[L_Sn]]*(TabTRADERCorrupted[[#This Row],[Agiotage]]-TabTRADERCorrupted[[#This Row],[M]])/(TabTRADERCorrupted[[#This Row],[L_Bn]]*TabTRADERCorrupted[[#This Row],[M]])</f>
        <v>-3.9915595905767112</v>
      </c>
      <c r="BG72" s="630">
        <f ca="1">IFERROR((TabTRADERCorrupted[[#This Row],[M]]-TabTRADERCorrupted[[#This Row],[A]])/TabTRADERCorrupted[[#This Row],[A]],0)</f>
        <v>0</v>
      </c>
      <c r="BH7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9">
        <f ca="1">_xlfn.XLOOKUP(TabTRADERCorrupted[[#This Row],[ClickTick]],TabCalc[[#This Row],[Ticker]],TabCalc[[#This Row],[GL]])*(1-Commission)</f>
        <v>177513.79999859998</v>
      </c>
      <c r="BJ72" s="679"/>
      <c r="BK72" s="664" t="str">
        <f ca="1">TabTRADERCorrupted[[#This Row],[ClickTick]]&amp;": "&amp;_xlfn.XLOOKUP(TabTRADERCorrupted[[#This Row],[ClickTick]],TabCalc[Ticker],TabCalc[Pile?])</f>
        <v>SAFIAG: Pile</v>
      </c>
      <c r="BL72" s="349" t="s">
        <v>2032</v>
      </c>
      <c r="BM72" s="750" t="str" cm="1">
        <f t="array" aca="1" ref="BM72" ca="1">_xlfn.TEXTJOIN("",,INDEX({"M","A","Y"}, _xlfn.SORTBY({1,2,3}, -CHOOSE({1,2,3}, TabTRADERCorrupted[[#This Row],[M]], TabTRADERCorrupted[[#This Row],[A]], TabTRADERCorrupted[[#This Row],[Agiotage]]))))</f>
        <v>MYA</v>
      </c>
      <c r="BN72" s="896"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4" t="e">
        <f ca="1">TabTRADERCorrupted[[#This Row],[L_Sn]]*TabTRADERCorrupted[[#This Row],[L_Sp]]+TabTRADERCorrupted[[#This Row],[SellMore]]*TabTRADERCorrupted[[#This Row],[M]]</f>
        <v>#N/A</v>
      </c>
      <c r="BP72" s="674" t="e">
        <f ca="1">INDEX(
  INDEX(TabConsolid[], , _xlfn.XMATCH(TabTRADERCorrupted[[#This Row],[ClickTick]]&amp;1, TabConsolid[#Headers])),
  MATCH(
    -TabTRADERCorrupted[[#This Row],[M]],
    INDEX(TabConsolid[], , _xlfn.XMATCH(TabTRADERCorrupted[[#This Row],[ClickTick]]&amp;2, TabConsolid[#Headers])),
    -1
  )
)</f>
        <v>#N/A</v>
      </c>
      <c r="BQ72" s="674"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13" t="e">
        <f ca="1">TabTRADERCorrupted[[#This Row],[ReBuy]]/(TabTRADERCorrupted[[#This Row],[L_Sn]]+TabTRADERCorrupted[[#This Row],[SellMore]])</f>
        <v>#N/A</v>
      </c>
      <c r="BS7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2">
        <f ca="1">(TabTRADERCorrupted[[#This Row],[M]]-TabTRADERCorrupted[[#This Row],[Agiotage]])/(TabTRADERCorrupted[[#This Row],[M]]-TabTRADERCorrupted[[#This Row],[A]])-1</f>
        <v>-2.1101023558223186E-3</v>
      </c>
      <c r="BU72" s="1221">
        <f ca="1">_xlfn.XMATCH(TabTRADERCorrupted[[#This Row],[ClickTick]]&amp;1, TabConsolid[#Headers])</f>
        <v>212</v>
      </c>
      <c r="BV72" t="b">
        <f ca="1">IF(ABS(TabTRADERCorrupted[[#This Row],[L_Bp]])&gt;=TabTRADERCorrupted[[#This Row],[M]],"OK")</f>
        <v>0</v>
      </c>
    </row>
    <row r="73" spans="1:74">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-27,474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-31.0%</v>
      </c>
      <c r="D73" s="683"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-42,912$</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-18,894$</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318.8% = 53</v>
      </c>
      <c r="I73" s="224" t="str">
        <f ca="1">IFERROR(TRUNC(TabCalc[[#This Row],[L_S1p]],2)&amp;"x"&amp;TabCalc[[#This Row],[L_S1n]]&amp;"=   "&amp;TEXT(TabCalc[[#This Row],[ReverseB1]],"#,#0"),"")</f>
        <v>126.78x299=   29,048</v>
      </c>
      <c r="J73" s="293">
        <f ca="1">_xlfn.XLOOKUP(TabTRADERCorrupted[[#This Row],[ClickTick]],TabCalc[Ticker],ListGravity)</f>
        <v>1.207484981437732</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133335</v>
      </c>
      <c r="M73" s="321">
        <f ca="1">_xlfn.XLOOKUP(TabTRADERCorrupted[[#This Row],[ClickTick]],TabCalc[Ticker],TabCalc[Agiotage])</f>
        <v>0.78849697446149747</v>
      </c>
      <c r="N73" s="322" cm="1">
        <f t="array" aca="1" ref="N73" ca="1">_xlfn.XLOOKUP(TabTRADERCorrupted[[#This Row],[ClickTick]],ListTickers,Tab2RSIConventional[RSIConv20])</f>
        <v>74</v>
      </c>
      <c r="O73" s="698" t="str">
        <f ca="1">TEXT(_xlfn.XLOOKUP(TabTRADERCorrupted[[#This Row],[ClickTick]],TabCalc[Ticker],TabCalc[Nbegin]),"#,#0")&amp;": "&amp;_xlfn.XLOOKUP(TabTRADERCorrupted[[#This Row],[ClickTick]],TabCalc[Ticker],TabCalc[Pile?])</f>
        <v>500: Pile</v>
      </c>
      <c r="P73" s="729">
        <f ca="1">_xlfn.XLOOKUP(TabTRADERCorrupted[[#This Row],[ClickTick]],TabCalc[Ticker],TabCalc[L_Bn])</f>
        <v>3000</v>
      </c>
      <c r="Q73" s="723">
        <f ca="1">_xlfn.XLOOKUP(TabTRADERCorrupted[[#This Row],[ClickTick]],TabCalc[Ticker],TabCalc[L_Bp])</f>
        <v>-38.812600000000003</v>
      </c>
      <c r="R73" s="759">
        <f ca="1">(TabTRADERCorrupted[[#This Row],[M]]+TabTRADERCorrupted[[#This Row],[L_Bp]])/ABS(TabTRADERCorrupted[[#This Row],[L_Bp]])</f>
        <v>-0.23658811829148274</v>
      </c>
      <c r="S73" s="678">
        <f ca="1">_xlfn.XLOOKUP(TabTRADERCorrupted[[#This Row],[ClickTick]],TabCalc[Ticker],TabCalc[Rev(MinStock)])*(1-Commission)</f>
        <v>-27402.567599999998</v>
      </c>
      <c r="T73" s="777">
        <f ca="1">_xlfn.XLOOKUP(TabTRADERCorrupted[[#This Row],[ClickTick]],TabCalc[Ticker],TabCalc[Agiotage])</f>
        <v>0.78849697446149747</v>
      </c>
      <c r="U73" s="742"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3,150/3,150=&gt;2.1% / 2.1%</v>
      </c>
      <c r="V73" s="734" t="str">
        <f ca="1">_xlfn.XLOOKUP(TabTRADERCorrupted[[#This Row],[ClickTick]],[1]!RTData[Ticker_Symbol],[1]!RTData[Currency])</f>
        <v>USD</v>
      </c>
      <c r="W73" s="744">
        <f ca="1">_xlfn.XLOOKUP(TabTRADERCorrupted[[#This Row],[ClickTick]],TabCalc[Ticker],TabCalc[M])</f>
        <v>29.63</v>
      </c>
      <c r="X73" s="1271" t="str">
        <f ca="1">SORTING!B73</f>
        <v>SAFMRNA</v>
      </c>
      <c r="Y73" s="798">
        <f ca="1">_xlfn.XLOOKUP(TabTRADERCorrupted[[#This Row],[ClickTick]],TabCalc[Ticker],TabCalc[Y])</f>
        <v>35.77778</v>
      </c>
      <c r="Z73" s="812">
        <f ca="1">_xlfn.XLOOKUP(TabTRADERCorrupted[[#This Row],[ClickTick]],[1]!RTData[Ticker_Symbol],[1]!RTData[YTChange])</f>
        <v>-0.6416129420014024</v>
      </c>
      <c r="AA73" s="827">
        <f ca="1">-_xlfn.XLOOKUP(TabTRADERCorrupted[[#This Row],[ClickTick]]&amp;2,Consolid!B$3:JZ$3,Consolid!B$4:JZ$4)</f>
        <v>61.89462379926001</v>
      </c>
      <c r="AB73" s="812" cm="1">
        <f t="array" aca="1" ref="AB73" ca="1">_xlfn.XLOOKUP(TabTRADERCorrupted[[#This Row],[ClickTick]],ListTickers,Tab1ChangePercent[Change%19])</f>
        <v>2.0668000000000002E-2</v>
      </c>
      <c r="AC73" s="763">
        <f ca="1">_xlfn.XLOOKUP(TabTRADERCorrupted[[#This Row],[ClickTick]],TabCalc[Ticker],TabCalc[NAfter])</f>
        <v>5000</v>
      </c>
      <c r="AD7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-152/148 K$</v>
      </c>
      <c r="AE73" s="1147"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31"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29.63, -76.1%</v>
      </c>
      <c r="AG73" s="1131"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31" t="str" cm="1">
        <f t="array" aca="1" ref="AH73" ca="1">_xlfn.IFS(     TabTRADERCorrupted[[#This Row],[Traps]]=MUp,MIN(TabTRADERCorrupted[[#This Row],[L_Sn]],TabTRADERCorrupted[[#This Row],[N]])*(TabTRADERCorrupted[[#This Row],[M]]-TabTRADERCorrupted[[#This Row],[L_Sp]])*(1-Commission)*TabTRADERCorrupted[[#This Row],[Scale]],                                  TRUE,"M= "&amp;TabTRADERCorrupted[[#This Row],[M]])</f>
        <v>M= 29.63</v>
      </c>
      <c r="AI73" s="1131" t="str" cm="1">
        <f t="array" aca="1" ref="AI73" ca="1">_xlfn.IFS(   TabTRADERCorrupted[[#This Row],[Traps]]=MUp,TEXT(MIN(TabTRADERCorrupted[[#This Row],[L_Sn]],TabTRADERCorrupted[[#This Row],[N]]),"#,#0")&amp;" x "&amp;TEXT(TabTRADERCorrupted[[#This Row],[L_Sp]],"#,#0.#0"),          TRUE,"")</f>
        <v/>
      </c>
      <c r="AJ73" s="1131"/>
      <c r="AK73" s="1131"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27476.175720000014</v>
      </c>
      <c r="AL73" s="1131"/>
      <c r="AM73" s="1131"/>
      <c r="AN73" s="1131"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148150</v>
      </c>
      <c r="AO73" s="1140"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0.52128313929013248</v>
      </c>
      <c r="AP73" s="1140"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0.30730887613904845</v>
      </c>
      <c r="AQ73" s="820" t="str" cm="1">
        <f t="array" aca="1" ref="AQ73" ca="1">_xlfn.IFS(   TabTRADERCorrupted[[#This Row],[Traps]]=SellMorePercentGain,                     MIN(TabTRADERCorrupted[[#This Row],[L_Sn]],TabTRADERCorrupted[[#This Row],[N]])*(TabTRADERCorrupted[[#This Row],[M]]-TabTRADERCorrupted[[#This Row],[L_Sp]])*(1-Commission)*TabTRADERCorrupted[[#This Row],[Scale]],                    TRUE,"")</f>
        <v/>
      </c>
      <c r="AR73" s="1129">
        <f ca="1">_xlfn.XLOOKUP(TabTRADERCorrupted[[#This Row],[ClickTick]],TabCalc[Ticker],TabCalc[Ann%RevLB])</f>
        <v>-0.26368954360660612</v>
      </c>
      <c r="AS73" s="1225">
        <f ca="1">_xlfn.XLOOKUP(TabTRADERCorrupted[[#This Row],[ClickTick]],TabCalc[Ticker],TabCalc[Up20])</f>
        <v>0</v>
      </c>
      <c r="AT73" s="1141"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0.30990887613904844</v>
      </c>
      <c r="AU73" s="820" cm="1">
        <f t="array" aca="1" ref="AU73" ca="1">_xlfn.IFS(         TabTRADERCorrupted[[#This Row],[Traps]]=MDown,TabTRADERCorrupted[[#This Row],[L_Bn]]*TabTRADERCorrupted[[#This Row],[M]]*(-(TabTRADERCorrupted[[#This Row],[L_Bp]]+TabTRADERCorrupted[[#This Row],[M]])/TabTRADERCorrupted[[#This Row],[M]])*(1-Commission)*TabTRADERCorrupted[[#This Row],[Scale]],                               TRUE,"")</f>
        <v>27476.175720000017</v>
      </c>
      <c r="AV73" s="1140" cm="1">
        <f t="array" aca="1" ref="AV73" ca="1">_xlfn.IFS(   TabTRADERCorrupted[[#This Row],[Traps]]=MUp,TabTRADERCorrupted[[#This Row],[TakeGain_A]]-Commission,        TabTRADERCorrupted[[#This Row],[Traps]]=MDown,(TabTRADERCorrupted[[#This Row],[A]]-TabTRADERCorrupted[[#This Row],[M]])/TabTRADERCorrupted[[#This Row],[M]]-Commission,                              TRUE,"")</f>
        <v>1.0863174417570034</v>
      </c>
      <c r="AW73" s="755"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160903.67888690965</v>
      </c>
      <c r="AX73" s="755"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2.1%</v>
      </c>
      <c r="AY73" s="731"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-9.18</v>
      </c>
      <c r="AZ73" s="760"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-0.51992780312797815</v>
      </c>
      <c r="BA73" s="757"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1.0863174417570034</v>
      </c>
      <c r="BB73" s="322">
        <f ca="1">_xlfn.XLOOKUP(TabTRADERCorrupted[[#This Row],[ClickTick]],TabCalc[Ticker],TabCalc[L_Sn])</f>
        <v>200</v>
      </c>
      <c r="BC73" s="723">
        <f ca="1">_xlfn.XLOOKUP(TabTRADERCorrupted[[#This Row],[ClickTick]],TabCalc[Ticker],TabCalc[L_Sp])</f>
        <v>124.1</v>
      </c>
      <c r="BD73" s="759">
        <f ca="1">-IFERROR((TabTRADERCorrupted[[#This Row],[M]]-TabTRADERCorrupted[[#This Row],[L_Sp]])/TabTRADERCorrupted[[#This Row],[L_Sp]],0)</f>
        <v>0.76124093473005638</v>
      </c>
      <c r="BE73" s="724">
        <f ca="1">TabTRADERCorrupted[[#This Row],[L_Sn]]*(TabTRADERCorrupted[[#This Row],[M]]-TabTRADERCorrupted[[#This Row],[L_Sp]])*(1-Commission)*TabTRADERCorrupted[[#This Row],[Scale]]</f>
        <v>-18844.875599999999</v>
      </c>
      <c r="BF73" s="687">
        <f ca="1">TabTRADERCorrupted[[#This Row],[L_Sn]]*(TabTRADERCorrupted[[#This Row],[Agiotage]]-TabTRADERCorrupted[[#This Row],[M]])/(TabTRADERCorrupted[[#This Row],[L_Bn]]*TabTRADERCorrupted[[#This Row],[M]])</f>
        <v>-6.4892570650328496E-2</v>
      </c>
      <c r="BG73" s="630">
        <f ca="1">IFERROR((TabTRADERCorrupted[[#This Row],[M]]-TabTRADERCorrupted[[#This Row],[A]])/TabTRADERCorrupted[[#This Row],[A]],0)</f>
        <v>-0.52128313929013248</v>
      </c>
      <c r="BH7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-160,904$</v>
      </c>
      <c r="BI73" s="679">
        <f ca="1">_xlfn.XLOOKUP(TabTRADERCorrupted[[#This Row],[ClickTick]],TabCalc[[#This Row],[Ticker]],TabCalc[[#This Row],[GL]])*(1-Commission)</f>
        <v>-151432.28488514083</v>
      </c>
      <c r="BJ73" s="679"/>
      <c r="BK73" s="664" t="str">
        <f ca="1">TabTRADERCorrupted[[#This Row],[ClickTick]]&amp;": "&amp;_xlfn.XLOOKUP(TabTRADERCorrupted[[#This Row],[ClickTick]],TabCalc[Ticker],TabCalc[Pile?])</f>
        <v>SAFMRNA: Pile</v>
      </c>
      <c r="BL73" s="349" t="s">
        <v>2033</v>
      </c>
      <c r="BM73" s="750" t="str" cm="1">
        <f t="array" aca="1" ref="BM73" ca="1">_xlfn.TEXTJOIN("",,INDEX({"M","A","Y"}, _xlfn.SORTBY({1,2,3}, -CHOOSE({1,2,3}, TabTRADERCorrupted[[#This Row],[M]], TabTRADERCorrupted[[#This Row],[A]], TabTRADERCorrupted[[#This Row],[Agiotage]]))))</f>
        <v>AMY</v>
      </c>
      <c r="BN73" s="896"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0.30990887613904844</v>
      </c>
      <c r="BO73" s="674" t="e">
        <f ca="1">TabTRADERCorrupted[[#This Row],[L_Sn]]*TabTRADERCorrupted[[#This Row],[L_Sp]]+TabTRADERCorrupted[[#This Row],[SellMore]]*TabTRADERCorrupted[[#This Row],[M]]</f>
        <v>#N/A</v>
      </c>
      <c r="BP73" s="674" t="e">
        <f ca="1">INDEX(
  INDEX(TabConsolid[], , _xlfn.XMATCH(TabTRADERCorrupted[[#This Row],[ClickTick]]&amp;1, TabConsolid[#Headers])),
  MATCH(
    -TabTRADERCorrupted[[#This Row],[M]],
    INDEX(TabConsolid[], , _xlfn.XMATCH(TabTRADERCorrupted[[#This Row],[ClickTick]]&amp;2, TabConsolid[#Headers])),
    -1
  )
)</f>
        <v>#N/A</v>
      </c>
      <c r="BQ73" s="674"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13" t="e">
        <f ca="1">TabTRADERCorrupted[[#This Row],[ReBuy]]/(TabTRADERCorrupted[[#This Row],[L_Sn]]+TabTRADERCorrupted[[#This Row],[SellMore]])</f>
        <v>#N/A</v>
      </c>
      <c r="BS7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-0.14997581573280019</v>
      </c>
      <c r="BT73" s="682">
        <f ca="1">(TabTRADERCorrupted[[#This Row],[M]]-TabTRADERCorrupted[[#This Row],[Agiotage]])/(TabTRADERCorrupted[[#This Row],[M]]-TabTRADERCorrupted[[#This Row],[A]])-1</f>
        <v>-1.8939048291708265</v>
      </c>
      <c r="BU73" s="1221">
        <f ca="1">_xlfn.XMATCH(TabTRADERCorrupted[[#This Row],[ClickTick]]&amp;1, TabConsolid[#Headers])</f>
        <v>215</v>
      </c>
      <c r="BV73" t="str">
        <f ca="1">IF(ABS(TabTRADERCorrupted[[#This Row],[L_Bp]])&gt;=TabTRADERCorrupted[[#This Row],[M]],"OK")</f>
        <v>OK</v>
      </c>
    </row>
    <row r="74" spans="1:74">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-5,035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-14.2%</v>
      </c>
      <c r="D74" s="683"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-21,084$</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-12,290$</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115.6% = 4,882</v>
      </c>
      <c r="I74" s="224" t="str">
        <f ca="1">IFERROR(TRUNC(TabCalc[[#This Row],[L_S1p]],2)&amp;"x"&amp;TabCalc[[#This Row],[L_S1n]]&amp;"=   "&amp;TEXT(TabCalc[[#This Row],[ReverseB1]],"#,#0"),"")</f>
        <v>1.52x28000=   17,758</v>
      </c>
      <c r="J74" s="293">
        <f ca="1">_xlfn.XLOOKUP(TabTRADERCorrupted[[#This Row],[ClickTick]],TabCalc[Ticker],ListGravity)</f>
        <v>2.7094152178821402</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79722</v>
      </c>
      <c r="M74" s="321">
        <f ca="1">_xlfn.XLOOKUP(TabTRADERCorrupted[[#This Row],[ClickTick]],TabCalc[Ticker],TabCalc[Agiotage])</f>
        <v>4.923244086017772</v>
      </c>
      <c r="N74" s="322" cm="1">
        <f t="array" aca="1" ref="N74" ca="1">_xlfn.XLOOKUP(TabTRADERCorrupted[[#This Row],[ClickTick]],ListTickers,Tab2RSIConventional[RSIConv20])</f>
        <v>28</v>
      </c>
      <c r="O74" s="698" t="str">
        <f ca="1">TEXT(_xlfn.XLOOKUP(TabTRADERCorrupted[[#This Row],[ClickTick]],TabCalc[Ticker],TabCalc[Nbegin]),"#,#0")&amp;": "&amp;_xlfn.XLOOKUP(TabTRADERCorrupted[[#This Row],[ClickTick]],TabCalc[Ticker],TabCalc[Pile?])</f>
        <v>30,000: Pile</v>
      </c>
      <c r="P74" s="729">
        <f ca="1">_xlfn.XLOOKUP(TabTRADERCorrupted[[#This Row],[ClickTick]],TabCalc[Ticker],TabCalc[L_Bn])</f>
        <v>40000</v>
      </c>
      <c r="Q74" s="723">
        <f ca="1">_xlfn.XLOOKUP(TabTRADERCorrupted[[#This Row],[ClickTick]],TabCalc[Ticker],TabCalc[L_Bp])</f>
        <v>-1.012</v>
      </c>
      <c r="R74" s="759">
        <f ca="1">(TabTRADERCorrupted[[#This Row],[M]]+TabTRADERCorrupted[[#This Row],[L_Bp]])/ABS(TabTRADERCorrupted[[#This Row],[L_Bp]])</f>
        <v>-0.12470355731225294</v>
      </c>
      <c r="S74" s="678">
        <f ca="1">_xlfn.XLOOKUP(TabTRADERCorrupted[[#This Row],[ClickTick]],TabCalc[Ticker],TabCalc[Rev(MinStock)])*(1-Commission)</f>
        <v>-5021.9089999999997</v>
      </c>
      <c r="T74" s="777">
        <f ca="1">_xlfn.XLOOKUP(TabTRADERCorrupted[[#This Row],[ClickTick]],TabCalc[Ticker],TabCalc[Agiotage])</f>
        <v>4.923244086017772</v>
      </c>
      <c r="U74" s="742"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-1,164/-1,164=&gt;-6.1% / -6.1%</v>
      </c>
      <c r="V74" s="734" t="str">
        <f ca="1">_xlfn.XLOOKUP(TabTRADERCorrupted[[#This Row],[ClickTick]],[1]!RTData[Ticker_Symbol],[1]!RTData[Currency])</f>
        <v>USD</v>
      </c>
      <c r="W74" s="744">
        <f ca="1">_xlfn.XLOOKUP(TabTRADERCorrupted[[#This Row],[ClickTick]],TabCalc[Ticker],TabCalc[M])</f>
        <v>0.88580000000000003</v>
      </c>
      <c r="X74" s="1271" t="str">
        <f ca="1">SORTING!B74</f>
        <v>BLNK</v>
      </c>
      <c r="Y74" s="798">
        <f ca="1">_xlfn.XLOOKUP(TabTRADERCorrupted[[#This Row],[ClickTick]],TabCalc[Ticker],TabCalc[Y])</f>
        <v>2.4</v>
      </c>
      <c r="Z74" s="812">
        <f ca="1">_xlfn.XLOOKUP(TabTRADERCorrupted[[#This Row],[ClickTick]],[1]!RTData[Ticker_Symbol],[1]!RTData[YTChange])</f>
        <v>6.6666666666666624E-2</v>
      </c>
      <c r="AA74" s="827">
        <f ca="1">-_xlfn.XLOOKUP(TabTRADERCorrupted[[#This Row],[ClickTick]]&amp;2,Consolid!B$3:JZ$3,Consolid!B$4:JZ$4)</f>
        <v>2.2024949699999996</v>
      </c>
      <c r="AB74" s="812" cm="1">
        <f t="array" aca="1" ref="AB74" ca="1">_xlfn.XLOOKUP(TabTRADERCorrupted[[#This Row],[ClickTick]],ListTickers,Tab1ChangePercent[Change%19])</f>
        <v>-6.1454000000000002E-2</v>
      </c>
      <c r="AC74" s="763">
        <f ca="1">_xlfn.XLOOKUP(TabTRADERCorrupted[[#This Row],[ClickTick]],TabCalc[Ticker],TabCalc[NAfter])</f>
        <v>120000</v>
      </c>
      <c r="AD7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-339/106 K$</v>
      </c>
      <c r="AE74" s="1147"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31"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31"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12258.444959999999</v>
      </c>
      <c r="AH74" s="1131"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0.8858</v>
      </c>
      <c r="AI74" s="1131" t="str" cm="1">
        <f t="array" aca="1" ref="AI74" ca="1">_xlfn.IFS(   TabTRADERCorrupted[[#This Row],[Traps]]=MUp,TEXT(MIN(TabTRADERCorrupted[[#This Row],[L_Sn]],TabTRADERCorrupted[[#This Row],[N]]),"#,#0")&amp;" x "&amp;TEXT(TabTRADERCorrupted[[#This Row],[L_Sp]],"#,#0.#0"),          TRUE,"")</f>
        <v/>
      </c>
      <c r="AJ74" s="1131"/>
      <c r="AK74" s="1131"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31"/>
      <c r="AM74" s="1131"/>
      <c r="AN74" s="1131"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12258.444959999999</v>
      </c>
      <c r="AO74" s="1140"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0.53623036649214662</v>
      </c>
      <c r="AP74" s="1140"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TabTRADERCorrupted[[#This Row],[Traps]]=SellMorePercentGain,                     MIN(TabTRADERCorrupted[[#This Row],[L_Sn]],TabTRADERCorrupted[[#This Row],[N]])*(TabTRADERCorrupted[[#This Row],[M]]-TabTRADERCorrupted[[#This Row],[L_Sp]])*(1-Commission)*TabTRADERCorrupted[[#This Row],[Scale]],                    TRUE,"")</f>
        <v/>
      </c>
      <c r="AR74" s="1129">
        <f ca="1">_xlfn.XLOOKUP(TabTRADERCorrupted[[#This Row],[ClickTick]],TabCalc[Ticker],TabCalc[Ann%RevLB])</f>
        <v>-0.26722190852625627</v>
      </c>
      <c r="AS74" s="1225" t="str">
        <f ca="1">_xlfn.XLOOKUP(TabTRADERCorrupted[[#This Row],[ClickTick]],TabCalc[Ticker],TabCalc[Up20])</f>
        <v>/29/94%</v>
      </c>
      <c r="AT74" s="1141"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20"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40" t="str" cm="1">
        <f t="array" aca="1" ref="AV74" ca="1">_xlfn.IFS(   TabTRADERCorrupted[[#This Row],[Traps]]=MUp,TabTRADERCorrupted[[#This Row],[TakeGain_A]]-Commission,        TabTRADERCorrupted[[#This Row],[Traps]]=MDown,(TabTRADERCorrupted[[#This Row],[A]]-TabTRADERCorrupted[[#This Row],[M]])/TabTRADERCorrupted[[#This Row],[M]]-Commission,                              TRUE,"")</f>
        <v/>
      </c>
      <c r="AW74" s="755"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-157592.58756935992</v>
      </c>
      <c r="AX74" s="755"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4" s="731"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60"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-0.5962654085325787</v>
      </c>
      <c r="BA74" s="757"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1.4838472454278613</v>
      </c>
      <c r="BB74" s="322">
        <f ca="1">_xlfn.XLOOKUP(TabTRADERCorrupted[[#This Row],[ClickTick]],TabCalc[Ticker],TabCalc[L_Sn])</f>
        <v>12000</v>
      </c>
      <c r="BC74" s="723">
        <f ca="1">_xlfn.XLOOKUP(TabTRADERCorrupted[[#This Row],[ClickTick]],TabCalc[Ticker],TabCalc[L_Sp])</f>
        <v>1.91</v>
      </c>
      <c r="BD74" s="759">
        <f ca="1">-IFERROR((TabTRADERCorrupted[[#This Row],[M]]-TabTRADERCorrupted[[#This Row],[L_Sp]])/TabTRADERCorrupted[[#This Row],[L_Sp]],0)</f>
        <v>0.53623036649214662</v>
      </c>
      <c r="BE74" s="724">
        <f ca="1">TabTRADERCorrupted[[#This Row],[L_Sn]]*(TabTRADERCorrupted[[#This Row],[M]]-TabTRADERCorrupted[[#This Row],[L_Sp]])*(1-Commission)*TabTRADERCorrupted[[#This Row],[Scale]]</f>
        <v>-12258.444959999999</v>
      </c>
      <c r="BF74" s="687">
        <f ca="1">TabTRADERCorrupted[[#This Row],[L_Sn]]*(TabTRADERCorrupted[[#This Row],[Agiotage]]-TabTRADERCorrupted[[#This Row],[M]])/(TabTRADERCorrupted[[#This Row],[L_Bn]]*TabTRADERCorrupted[[#This Row],[M]])</f>
        <v>1.3673890560006001</v>
      </c>
      <c r="BG74" s="630">
        <f ca="1">IFERROR((TabTRADERCorrupted[[#This Row],[M]]-TabTRADERCorrupted[[#This Row],[A]])/TabTRADERCorrupted[[#This Row],[A]],0)</f>
        <v>-0.59781973985620485</v>
      </c>
      <c r="BH7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-157,593$</v>
      </c>
      <c r="BI74" s="679">
        <f ca="1">_xlfn.XLOOKUP(TabTRADERCorrupted[[#This Row],[ClickTick]],TabCalc[[#This Row],[Ticker]],TabCalc[[#This Row],[GL]])*(1-Commission)</f>
        <v>-338329.41935689817</v>
      </c>
      <c r="BJ74" s="679"/>
      <c r="BK74" s="664" t="str">
        <f ca="1">TabTRADERCorrupted[[#This Row],[ClickTick]]&amp;": "&amp;_xlfn.XLOOKUP(TabTRADERCorrupted[[#This Row],[ClickTick]],TabCalc[Ticker],TabCalc[Pile?])</f>
        <v>BLNK: Pile</v>
      </c>
      <c r="BL74" s="349" t="s">
        <v>2034</v>
      </c>
      <c r="BM74" s="750" t="str" cm="1">
        <f t="array" aca="1" ref="BM74" ca="1">_xlfn.TEXTJOIN("",,INDEX({"M","A","Y"}, _xlfn.SORTBY({1,2,3}, -CHOOSE({1,2,3}, TabTRADERCorrupted[[#This Row],[M]], TabTRADERCorrupted[[#This Row],[A]], TabTRADERCorrupted[[#This Row],[Agiotage]]))))</f>
        <v>YAM</v>
      </c>
      <c r="BN74" s="896"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4" t="e">
        <f ca="1">TabTRADERCorrupted[[#This Row],[L_Sn]]*TabTRADERCorrupted[[#This Row],[L_Sp]]+TabTRADERCorrupted[[#This Row],[SellMore]]*TabTRADERCorrupted[[#This Row],[M]]</f>
        <v>#N/A</v>
      </c>
      <c r="BP74" s="674" t="e">
        <f ca="1">INDEX(
  INDEX(TabConsolid[], , _xlfn.XMATCH(TabTRADERCorrupted[[#This Row],[ClickTick]]&amp;1, TabConsolid[#Headers])),
  MATCH(
    -TabTRADERCorrupted[[#This Row],[M]],
    INDEX(TabConsolid[], , _xlfn.XMATCH(TabTRADERCorrupted[[#This Row],[ClickTick]]&amp;2, TabConsolid[#Headers])),
    -1
  )
)</f>
        <v>#N/A</v>
      </c>
      <c r="BQ74" s="674"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13" t="e">
        <f ca="1">TabTRADERCorrupted[[#This Row],[ReBuy]]/(TabTRADERCorrupted[[#This Row],[L_Sn]]+TabTRADERCorrupted[[#This Row],[SellMore]])</f>
        <v>#N/A</v>
      </c>
      <c r="BS7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3.7009904121829579E-4</v>
      </c>
      <c r="BT74" s="682">
        <f ca="1">(TabTRADERCorrupted[[#This Row],[M]]-TabTRADERCorrupted[[#This Row],[Agiotage]])/(TabTRADERCorrupted[[#This Row],[M]]-TabTRADERCorrupted[[#This Row],[A]])-1</f>
        <v>2.0663473150639997</v>
      </c>
      <c r="BU74" s="1221">
        <f ca="1">_xlfn.XMATCH(TabTRADERCorrupted[[#This Row],[ClickTick]]&amp;1, TabConsolid[#Headers])</f>
        <v>218</v>
      </c>
      <c r="BV74" t="str">
        <f ca="1">IF(ABS(TabTRADERCorrupted[[#This Row],[L_Bp]])&gt;=TabTRADERCorrupted[[#This Row],[M]],"OK")</f>
        <v>OK</v>
      </c>
    </row>
    <row r="75" spans="1:74">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+10,312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6.5%</v>
      </c>
      <c r="D75" s="683"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4,836/10,000=76,905</v>
      </c>
      <c r="E7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11,211</v>
      </c>
      <c r="F75" s="224" t="str">
        <f ca="1">TRUNC(TabCalc[[#This Row],[L_B1p]],2)&amp;"x"&amp;TabCalc[[#This Row],[L_B1n]]&amp;"=   "&amp;TEXT(TabCalc[[#This Row],[ReverseS1]],"#,#0")&amp;"$"</f>
        <v>-14.92x9990=   9,830$</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-2,230$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 = 11,211</v>
      </c>
      <c r="I75" s="224" t="str">
        <f ca="1">IFERROR(TRUNC(TabCalc[[#This Row],[L_S1p]],2)&amp;"x"&amp;TabCalc[[#This Row],[L_S1n]]&amp;"=   "&amp;TEXT(TabCalc[[#This Row],[ReverseB1]],"#,#0"),"")</f>
        <v>15.8x2000=   -208</v>
      </c>
      <c r="J75" s="293">
        <f ca="1">_xlfn.XLOOKUP(TabTRADERCorrupted[[#This Row],[ClickTick]],TabCalc[Ticker],ListGravity)</f>
        <v>1.0311871227364184</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42940.800000000003</v>
      </c>
      <c r="M75" s="321">
        <f ca="1">_xlfn.XLOOKUP(TabTRADERCorrupted[[#This Row],[ClickTick]],TabCalc[Ticker],TabCalc[Agiotage])</f>
        <v>1.121580663028575</v>
      </c>
      <c r="N75" s="322" cm="1">
        <f t="array" aca="1" ref="N75" ca="1">_xlfn.XLOOKUP(TabTRADERCorrupted[[#This Row],[ClickTick]],ListTickers,Tab2RSIConventional[RSIConv20])</f>
        <v>57</v>
      </c>
      <c r="O75" s="698"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6">
        <f ca="1">_xlfn.XLOOKUP(TabTRADERCorrupted[[#This Row],[ClickTick]],TabCalc[Ticker],TabCalc[L_Bp])</f>
        <v>-14.87</v>
      </c>
      <c r="R75" s="759">
        <f ca="1">(TabTRADERCorrupted[[#This Row],[M]]+TabTRADERCorrupted[[#This Row],[L_Bp]])/ABS(TabTRADERCorrupted[[#This Row],[L_Bp]])</f>
        <v>6.9535978480161451E-2</v>
      </c>
      <c r="S75" s="678">
        <f ca="1">_xlfn.XLOOKUP(TabTRADERCorrupted[[#This Row],[ClickTick]],TabCalc[Ticker],TabCalc[Rev(MinStock)])*(1-Commission)</f>
        <v>10285.1888</v>
      </c>
      <c r="T75" s="777">
        <f ca="1">_xlfn.XLOOKUP(TabTRADERCorrupted[[#This Row],[ClickTick]],TabCalc[Ticker],TabCalc[Agiotage])</f>
        <v>1.121580663028575</v>
      </c>
      <c r="U75" s="742"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-960/-960=&gt;-0.7% / -0.7%</v>
      </c>
      <c r="V75" s="734" t="str">
        <f ca="1">_xlfn.XLOOKUP(TabTRADERCorrupted[[#This Row],[ClickTick]],[1]!RTData[Ticker_Symbol],[1]!RTData[Currency])</f>
        <v>EUR</v>
      </c>
      <c r="W75" s="744">
        <f ca="1">_xlfn.XLOOKUP(TabTRADERCorrupted[[#This Row],[ClickTick]],TabCalc[Ticker],TabCalc[M])</f>
        <v>15.904</v>
      </c>
      <c r="X75" s="1271" t="str">
        <f ca="1">SORTING!B75</f>
        <v>ENI</v>
      </c>
      <c r="Y75" s="798">
        <f ca="1">_xlfn.XLOOKUP(TabTRADERCorrupted[[#This Row],[ClickTick]],TabCalc[Ticker],TabCalc[Y])</f>
        <v>16.399999999999999</v>
      </c>
      <c r="Z75" s="812">
        <f ca="1">_xlfn.XLOOKUP(TabTRADERCorrupted[[#This Row],[ClickTick]],[1]!RTData[Ticker_Symbol],[1]!RTData[YTChange])</f>
        <v>0.11488783140720582</v>
      </c>
      <c r="AA75" s="827">
        <f ca="1">-_xlfn.XLOOKUP(TabTRADERCorrupted[[#This Row],[ClickTick]]&amp;2,Consolid!B$3:JZ$3,Consolid!B$4:JZ$4)</f>
        <v>14.908662</v>
      </c>
      <c r="AB75" s="812" cm="1">
        <f t="array" aca="1" ref="AB75" ca="1">_xlfn.XLOOKUP(TabTRADERCorrupted[[#This Row],[ClickTick]],ListTickers,Tab1ChangePercent[Change%19])</f>
        <v>-6.8689999999999992E-3</v>
      </c>
      <c r="AC75" s="763">
        <f ca="1">_xlfn.XLOOKUP(TabTRADERCorrupted[[#This Row],[ClickTick]],TabCalc[Ticker],TabCalc[NAfter])</f>
        <v>10000</v>
      </c>
      <c r="AD7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^34/159 K$</v>
      </c>
      <c r="AE75" s="1147"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31"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31"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2224.2020000000075</v>
      </c>
      <c r="AH75" s="1131"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15.904</v>
      </c>
      <c r="AI75" s="1131" t="str" cm="1">
        <f t="array" aca="1" ref="AI75" ca="1">_xlfn.IFS(   TabTRADERCorrupted[[#This Row],[Traps]]=MUp,TEXT(MIN(TabTRADERCorrupted[[#This Row],[L_Sn]],TabTRADERCorrupted[[#This Row],[N]]),"#,#0")&amp;" x "&amp;TEXT(TabTRADERCorrupted[[#This Row],[L_Sp]],"#,#0.#0"),          TRUE,"")</f>
        <v/>
      </c>
      <c r="AJ75" s="1131"/>
      <c r="AK75" s="1131"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31"/>
      <c r="AM75" s="1131"/>
      <c r="AN75" s="1131"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2224.2020000000075</v>
      </c>
      <c r="AO75" s="1140"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2.7278287461773791E-2</v>
      </c>
      <c r="AP75" s="1140"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TabTRADERCorrupted[[#This Row],[Traps]]=SellMorePercentGain,                     MIN(TabTRADERCorrupted[[#This Row],[L_Sn]],TabTRADERCorrupted[[#This Row],[N]])*(TabTRADERCorrupted[[#This Row],[M]]-TabTRADERCorrupted[[#This Row],[L_Sp]])*(1-Commission)*TabTRADERCorrupted[[#This Row],[Scale]],                    TRUE,"")</f>
        <v/>
      </c>
      <c r="AR75" s="1129">
        <f ca="1">_xlfn.XLOOKUP(TabTRADERCorrupted[[#This Row],[ClickTick]],TabCalc[Ticker],TabCalc[Ann%RevLB])</f>
        <v>0.30160183437178462</v>
      </c>
      <c r="AS75" s="1225">
        <f ca="1">_xlfn.XLOOKUP(TabTRADERCorrupted[[#This Row],[ClickTick]],TabCalc[Ticker],TabCalc[Up20])</f>
        <v>0</v>
      </c>
      <c r="AT75" s="1141"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20"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40" t="str" cm="1">
        <f t="array" aca="1" ref="AV75" ca="1">_xlfn.IFS(   TabTRADERCorrupted[[#This Row],[Traps]]=MUp,TabTRADERCorrupted[[#This Row],[TakeGain_A]]-Commission,        TabTRADERCorrupted[[#This Row],[Traps]]=MDown,(TabTRADERCorrupted[[#This Row],[A]]-TabTRADERCorrupted[[#This Row],[M]])/TabTRADERCorrupted[[#This Row],[M]]-Commission,                              TRUE,"")</f>
        <v/>
      </c>
      <c r="AW75" s="820"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9927.5012120000029</v>
      </c>
      <c r="AX75" s="755"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75" s="731"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60"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6.6588814019661879E-2</v>
      </c>
      <c r="BA75" s="757"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-6.5184129778672051E-2</v>
      </c>
      <c r="BB75" s="322">
        <f ca="1">_xlfn.XLOOKUP(TabTRADERCorrupted[[#This Row],[ClickTick]],TabCalc[Ticker],TabCalc[L_Sn])</f>
        <v>5000</v>
      </c>
      <c r="BC75" s="723">
        <f ca="1">_xlfn.XLOOKUP(TabTRADERCorrupted[[#This Row],[ClickTick]],TabCalc[Ticker],TabCalc[L_Sp])</f>
        <v>16.350000000000001</v>
      </c>
      <c r="BD75" s="759">
        <f ca="1">-IFERROR((TabTRADERCorrupted[[#This Row],[M]]-TabTRADERCorrupted[[#This Row],[L_Sp]])/TabTRADERCorrupted[[#This Row],[L_Sp]],0)</f>
        <v>2.7278287461773791E-2</v>
      </c>
      <c r="BE75" s="724">
        <f ca="1">TabTRADERCorrupted[[#This Row],[L_Sn]]*(TabTRADERCorrupted[[#This Row],[M]]-TabTRADERCorrupted[[#This Row],[L_Sp]])*(1-Commission)*TabTRADERCorrupted[[#This Row],[Scale]]</f>
        <v>-2224.2020000000075</v>
      </c>
      <c r="BF75" s="687">
        <f ca="1">TabTRADERCorrupted[[#This Row],[L_Sn]]*(TabTRADERCorrupted[[#This Row],[Agiotage]]-TabTRADERCorrupted[[#This Row],[M]])/(TabTRADERCorrupted[[#This Row],[L_Bn]]*TabTRADERCorrupted[[#This Row],[M]])</f>
        <v>-0.4642747637476779</v>
      </c>
      <c r="BG75" s="630">
        <f ca="1">IFERROR((TabTRADERCorrupted[[#This Row],[M]]-TabTRADERCorrupted[[#This Row],[A]])/TabTRADERCorrupted[[#This Row],[A]],0)</f>
        <v>6.6762396249911649E-2</v>
      </c>
      <c r="BH7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9,928$</v>
      </c>
      <c r="BI75" s="679">
        <f ca="1">_xlfn.XLOOKUP(TabTRADERCorrupted[[#This Row],[ClickTick]],TabCalc[[#This Row],[Ticker]],TabCalc[[#This Row],[GL]])*(1-Commission)</f>
        <v>34335.259667858634</v>
      </c>
      <c r="BJ75" s="679"/>
      <c r="BK75" s="664" t="str">
        <f ca="1">TabTRADERCorrupted[[#This Row],[ClickTick]]&amp;": "&amp;_xlfn.XLOOKUP(TabTRADERCorrupted[[#This Row],[ClickTick]],TabCalc[Ticker],TabCalc[Pile?])</f>
        <v xml:space="preserve">ENI: </v>
      </c>
      <c r="BL75" s="349" t="s">
        <v>2035</v>
      </c>
      <c r="BM75" s="750" t="str" cm="1">
        <f t="array" aca="1" ref="BM75" ca="1">_xlfn.TEXTJOIN("",,INDEX({"M","A","Y"}, _xlfn.SORTBY({1,2,3}, -CHOOSE({1,2,3}, TabTRADERCorrupted[[#This Row],[M]], TabTRADERCorrupted[[#This Row],[A]], TabTRADERCorrupted[[#This Row],[Agiotage]]))))</f>
        <v>MAY</v>
      </c>
      <c r="BN75" s="896"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4">
        <f ca="1">TabTRADERCorrupted[[#This Row],[L_Sn]]*TabTRADERCorrupted[[#This Row],[L_Sp]]+TabTRADERCorrupted[[#This Row],[SellMore]]*TabTRADERCorrupted[[#This Row],[M]]</f>
        <v>240790</v>
      </c>
      <c r="BP75" s="674">
        <f ca="1">INDEX(
  INDEX(TabConsolid[], , _xlfn.XMATCH(TabTRADERCorrupted[[#This Row],[ClickTick]]&amp;1, TabConsolid[#Headers])),
  MATCH(
    -TabTRADERCorrupted[[#This Row],[M]],
    INDEX(TabConsolid[], , _xlfn.XMATCH(TabTRADERCorrupted[[#This Row],[ClickTick]]&amp;2, TabConsolid[#Headers])),
    -1
  )
)</f>
        <v>10000</v>
      </c>
      <c r="BQ75" s="674"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13">
        <f ca="1">TabTRADERCorrupted[[#This Row],[ReBuy]]/(TabTRADERCorrupted[[#This Row],[L_Sn]]+TabTRADERCorrupted[[#This Row],[SellMore]])</f>
        <v>16.052666666666667</v>
      </c>
      <c r="BS7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-4.4347258010914272E-3</v>
      </c>
      <c r="BT75" s="682">
        <f ca="1">(TabTRADERCorrupted[[#This Row],[M]]-TabTRADERCorrupted[[#This Row],[Agiotage]])/(TabTRADERCorrupted[[#This Row],[M]]-TabTRADERCorrupted[[#This Row],[A]])-1</f>
        <v>13.851657765474062</v>
      </c>
      <c r="BU75" s="1221">
        <f ca="1">_xlfn.XMATCH(TabTRADERCorrupted[[#This Row],[ClickTick]]&amp;1, TabConsolid[#Headers])</f>
        <v>221</v>
      </c>
      <c r="BV75" t="b">
        <f ca="1">IF(ABS(TabTRADERCorrupted[[#This Row],[L_Bp]])&gt;=TabTRADERCorrupted[[#This Row],[M]],"OK")</f>
        <v>0</v>
      </c>
    </row>
    <row r="76" spans="1:74">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+6,799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7.0%</v>
      </c>
      <c r="D76" s="683"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14,667/30,000=71,150</v>
      </c>
      <c r="E7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47,619</v>
      </c>
      <c r="F76" s="224" t="str">
        <f ca="1">TRUNC(TabCalc[[#This Row],[L_B1p]],2)&amp;"x"&amp;TabCalc[[#This Row],[L_B1n]]&amp;"=   "&amp;TEXT(TabCalc[[#This Row],[ReverseS1]],"#,#0")&amp;"$"</f>
        <v>-480.9x10000=   420$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495.6x10000=   -1,050$</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 = 476</v>
      </c>
      <c r="I76" s="224" t="str">
        <f ca="1">IFERROR(TRUNC(TabCalc[[#This Row],[L_S1p]],2)&amp;"x"&amp;TabCalc[[#This Row],[L_S1n]]&amp;"=   "&amp;TEXT(TabCalc[[#This Row],[ReverseB1]],"#,#0"),"")</f>
        <v>544.2x18000=   10,638</v>
      </c>
      <c r="J76" s="293">
        <f ca="1">_xlfn.XLOOKUP(TabTRADERCorrupted[[#This Row],[ClickTick]],TabCalc[Ticker],ListGravity)</f>
        <v>1.2693259121830549</v>
      </c>
      <c r="K76" s="320" cm="1">
        <f t="array" aca="1" ref="K76" ca="1">IF(_xlfn.XLOOKUP(TabTRADERCorrupted[[#This Row],[ClickTick]],TabTRADERCorrupted[ClickTick],ListExtra_n)&gt;0,_xlfn.XLOOKUP(TabTRADERCorrupted[[#This Row],[ClickTick]],TabTRADERCorrupted[ClickTick],ListExtra_n),"")</f>
        <v>10560</v>
      </c>
      <c r="L76" s="318">
        <f ca="1">IF(_xlfn.XLOOKUP(TabTRADERCorrupted[[#This Row],[ClickTick]],TabCalc[Ticker],ListExtra_n)&gt;0,_xlfn.XLOOKUP(TabTRADERCorrupted[[#This Row],[ClickTick]],TabCalc[Ticker],ListExtra_n)*TabTRADERCorrupted[[#This Row],[M]]*_xlfn.XLOOKUP(TabTRADERCorrupted[[#This Row],[ClickTick]],TabCalc[Ticker],ListScale),"")</f>
        <v>51226.559999999998</v>
      </c>
      <c r="M76" s="321">
        <f ca="1">_xlfn.XLOOKUP(TabTRADERCorrupted[[#This Row],[ClickTick]],TabCalc[Ticker],TabCalc[Agiotage])</f>
        <v>0.58216563357609563</v>
      </c>
      <c r="N76" s="322" cm="1">
        <f t="array" aca="1" ref="N76" ca="1">_xlfn.XLOOKUP(TabTRADERCorrupted[[#This Row],[ClickTick]],ListTickers,Tab2RSIConventional[RSIConv20])</f>
        <v>60</v>
      </c>
      <c r="O76" s="698" t="str">
        <f ca="1">TEXT(_xlfn.XLOOKUP(TabTRADERCorrupted[[#This Row],[ClickTick]],TabCalc[Ticker],TabCalc[Nbegin]),"#,#0")&amp;": "&amp;_xlfn.XLOOKUP(TabTRADERCorrupted[[#This Row],[ClickTick]],TabCalc[Ticker],TabCalc[Pile?])</f>
        <v xml:space="preserve">19,440: </v>
      </c>
      <c r="P76" s="851">
        <f ca="1">_xlfn.XLOOKUP(TabTRADERCorrupted[[#This Row],[ClickTick]],TabCalc[Ticker],TabCalc[L_Bn])</f>
        <v>20000</v>
      </c>
      <c r="Q76" s="723">
        <f ca="1">_xlfn.XLOOKUP(TabTRADERCorrupted[[#This Row],[ClickTick]],TabCalc[Ticker],TabCalc[L_Bp])</f>
        <v>-451.01</v>
      </c>
      <c r="R76" s="759">
        <f ca="1">(TabTRADERCorrupted[[#This Row],[M]]+TabTRADERCorrupted[[#This Row],[L_Bp]])/ABS(TabTRADERCorrupted[[#This Row],[L_Bp]])</f>
        <v>7.5585907186093509E-2</v>
      </c>
      <c r="S76" s="678">
        <f ca="1">_xlfn.XLOOKUP(TabTRADERCorrupted[[#This Row],[ClickTick]],TabCalc[Ticker],TabCalc[Rev(MinStock)])*(1-Commission)</f>
        <v>6781.3225999999995</v>
      </c>
      <c r="T76" s="777">
        <f ca="1">_xlfn.XLOOKUP(TabTRADERCorrupted[[#This Row],[ClickTick]],TabCalc[Ticker],TabCalc[Agiotage])</f>
        <v>0.58216563357609563</v>
      </c>
      <c r="U76" s="742"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2,640/2,640=&gt;1.8% / 1.8%</v>
      </c>
      <c r="V76" s="734" t="str">
        <f ca="1">_xlfn.XLOOKUP(TabTRADERCorrupted[[#This Row],[ClickTick]],[1]!RTData[Ticker_Symbol],[1]!RTData[Currency])</f>
        <v>GBp</v>
      </c>
      <c r="W76" s="744">
        <f ca="1">_xlfn.XLOOKUP(TabTRADERCorrupted[[#This Row],[ClickTick]],TabCalc[Ticker],TabCalc[M])</f>
        <v>485.1</v>
      </c>
      <c r="X76" s="1271" t="str">
        <f ca="1">SORTING!B76</f>
        <v>EZJ</v>
      </c>
      <c r="Y76" s="798">
        <f ca="1">_xlfn.XLOOKUP(TabTRADERCorrupted[[#This Row],[ClickTick]],TabCalc[Ticker],TabCalc[Y])</f>
        <v>615.75</v>
      </c>
      <c r="Z76" s="812">
        <f ca="1">_xlfn.XLOOKUP(TabTRADERCorrupted[[#This Row],[ClickTick]],[1]!RTData[Ticker_Symbol],[1]!RTData[YTChange])</f>
        <v>-0.11696376073769192</v>
      </c>
      <c r="AA76" s="827">
        <f ca="1">-_xlfn.XLOOKUP(TabTRADERCorrupted[[#This Row],[ClickTick]]&amp;2,Consolid!B$3:JZ$3,Consolid!B$4:JZ$4)</f>
        <v>462.17186399999997</v>
      </c>
      <c r="AB76" s="812" cm="1">
        <f t="array" aca="1" ref="AB76" ca="1">_xlfn.XLOOKUP(TabTRADERCorrupted[[#This Row],[ClickTick]],ListTickers,Tab1ChangePercent[Change%19])</f>
        <v>1.8262E-2</v>
      </c>
      <c r="AC76" s="763">
        <f ca="1">_xlfn.XLOOKUP(TabTRADERCorrupted[[#This Row],[ClickTick]],TabCalc[Ticker],TabCalc[NAfter])</f>
        <v>30000</v>
      </c>
      <c r="AD7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^37/145 K$</v>
      </c>
      <c r="AE76" s="1147"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6" s="1131"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495.60</v>
      </c>
      <c r="AG76" s="1131"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1047.27</v>
      </c>
      <c r="AH76" s="1131" t="str" cm="1">
        <f t="array" aca="1" ref="AH76" ca="1">_xlfn.IFS(     TabTRADERCorrupted[[#This Row],[Traps]]=MUp,MIN(TabTRADERCorrupted[[#This Row],[L_Sn]],TabTRADERCorrupted[[#This Row],[N]])*(TabTRADERCorrupted[[#This Row],[M]]-TabTRADERCorrupted[[#This Row],[L_Sp]])*(1-Commission)*TabTRADERCorrupted[[#This Row],[Scale]],                                  TRUE,"M= "&amp;TabTRADERCorrupted[[#This Row],[M]])</f>
        <v>M= 485.1</v>
      </c>
      <c r="AI76" s="1131" t="str" cm="1">
        <f t="array" aca="1" ref="AI76" ca="1">_xlfn.IFS(   TabTRADERCorrupted[[#This Row],[Traps]]=MUp,TEXT(MIN(TabTRADERCorrupted[[#This Row],[L_Sn]],TabTRADERCorrupted[[#This Row],[N]]),"#,#0")&amp;" x "&amp;TEXT(TabTRADERCorrupted[[#This Row],[L_Sp]],"#,#0.#0"),          TRUE,"")</f>
        <v/>
      </c>
      <c r="AJ76" s="1131"/>
      <c r="AK76" s="1131" t="str"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6" s="1131"/>
      <c r="AM76" s="1131"/>
      <c r="AN76" s="1131"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1047.27</v>
      </c>
      <c r="AO76" s="1140"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2.1186440677966101E-2</v>
      </c>
      <c r="AP76" s="1140" t="str"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TabTRADERCorrupted[[#This Row],[Traps]]=SellMorePercentGain,                     MIN(TabTRADERCorrupted[[#This Row],[L_Sn]],TabTRADERCorrupted[[#This Row],[N]])*(TabTRADERCorrupted[[#This Row],[M]]-TabTRADERCorrupted[[#This Row],[L_Sp]])*(1-Commission)*TabTRADERCorrupted[[#This Row],[Scale]],                    TRUE,"")</f>
        <v/>
      </c>
      <c r="AR76" s="1146">
        <f ca="1">_xlfn.XLOOKUP(TabTRADERCorrupted[[#This Row],[ClickTick]],TabCalc[Ticker],TabCalc[Ann%RevLB])</f>
        <v>0.32784248899992363</v>
      </c>
      <c r="AS76" s="1224">
        <f ca="1">_xlfn.XLOOKUP(TabTRADERCorrupted[[#This Row],[ClickTick]],TabCalc[Ticker],TabCalc[Up20])</f>
        <v>0</v>
      </c>
      <c r="AT76" s="1141"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20"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40" t="str" cm="1">
        <f t="array" aca="1" ref="AV76" ca="1">_xlfn.IFS(   TabTRADERCorrupted[[#This Row],[Traps]]=MUp,TabTRADERCorrupted[[#This Row],[TakeGain_A]]-Commission,        TabTRADERCorrupted[[#This Row],[Traps]]=MDown,(TabTRADERCorrupted[[#This Row],[A]]-TabTRADERCorrupted[[#This Row],[M]])/TabTRADERCorrupted[[#This Row],[M]]-Commission,                              TRUE,"")</f>
        <v/>
      </c>
      <c r="AW76" s="820"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6860.5568539200158</v>
      </c>
      <c r="AX76" s="755"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76" s="731"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6" s="760"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4.9480560431519591E-2</v>
      </c>
      <c r="BA76" s="757"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-4.9864761904762009E-2</v>
      </c>
      <c r="BB76" s="322">
        <f ca="1">_xlfn.XLOOKUP(TabTRADERCorrupted[[#This Row],[ClickTick]],TabCalc[Ticker],TabCalc[L_Sn])</f>
        <v>10000</v>
      </c>
      <c r="BC76" s="723">
        <f ca="1">_xlfn.XLOOKUP(TabTRADERCorrupted[[#This Row],[ClickTick]],TabCalc[Ticker],TabCalc[L_Sp])</f>
        <v>495.6</v>
      </c>
      <c r="BD76" s="759">
        <f ca="1">-IFERROR((TabTRADERCorrupted[[#This Row],[M]]-TabTRADERCorrupted[[#This Row],[L_Sp]])/TabTRADERCorrupted[[#This Row],[L_Sp]],0)</f>
        <v>2.1186440677966101E-2</v>
      </c>
      <c r="BE76" s="724">
        <f ca="1">TabTRADERCorrupted[[#This Row],[L_Sn]]*(TabTRADERCorrupted[[#This Row],[M]]-TabTRADERCorrupted[[#This Row],[L_Sp]])*(1-Commission)*TabTRADERCorrupted[[#This Row],[Scale]]</f>
        <v>-1047.27</v>
      </c>
      <c r="BF76" s="687">
        <f ca="1">TabTRADERCorrupted[[#This Row],[L_Sn]]*(TabTRADERCorrupted[[#This Row],[Agiotage]]-TabTRADERCorrupted[[#This Row],[M]])/(TabTRADERCorrupted[[#This Row],[L_Bn]]*TabTRADERCorrupted[[#This Row],[M]])</f>
        <v>-0.49939995296477419</v>
      </c>
      <c r="BG76" s="630">
        <f ca="1">IFERROR((TabTRADERCorrupted[[#This Row],[M]]-TabTRADERCorrupted[[#This Row],[A]])/TabTRADERCorrupted[[#This Row],[A]],0)</f>
        <v>4.9609545249167428E-2</v>
      </c>
      <c r="BH7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6,861$</v>
      </c>
      <c r="BI76" s="679">
        <f ca="1">_xlfn.XLOOKUP(TabTRADERCorrupted[[#This Row],[ClickTick]],TabCalc[[#This Row],[Ticker]],TabCalc[[#This Row],[GL]])*(1-Commission)</f>
        <v>36433.470113822186</v>
      </c>
      <c r="BJ76" s="679"/>
      <c r="BK76" s="664" t="str">
        <f ca="1">TabTRADERCorrupted[[#This Row],[ClickTick]]&amp;": "&amp;_xlfn.XLOOKUP(TabTRADERCorrupted[[#This Row],[ClickTick]],TabCalc[Ticker],TabCalc[Pile?])</f>
        <v xml:space="preserve">EZJ: </v>
      </c>
      <c r="BL76" s="349" t="s">
        <v>2036</v>
      </c>
      <c r="BM76" s="750" t="str" cm="1">
        <f t="array" aca="1" ref="BM76" ca="1">_xlfn.TEXTJOIN("",,INDEX({"M","A","Y"}, _xlfn.SORTBY({1,2,3}, -CHOOSE({1,2,3}, TabTRADERCorrupted[[#This Row],[M]], TabTRADERCorrupted[[#This Row],[A]], TabTRADERCorrupted[[#This Row],[Agiotage]]))))</f>
        <v>MAY</v>
      </c>
      <c r="BN76" s="896" t="str"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6" s="674">
        <f ca="1">TabTRADERCorrupted[[#This Row],[L_Sn]]*TabTRADERCorrupted[[#This Row],[L_Sp]]+TabTRADERCorrupted[[#This Row],[SellMore]]*TabTRADERCorrupted[[#This Row],[M]]</f>
        <v>9807000</v>
      </c>
      <c r="BP76" s="674">
        <f ca="1">INDEX(
  INDEX(TabConsolid[], , _xlfn.XMATCH(TabTRADERCorrupted[[#This Row],[ClickTick]]&amp;1, TabConsolid[#Headers])),
  MATCH(
    -TabTRADERCorrupted[[#This Row],[M]],
    INDEX(TabConsolid[], , _xlfn.XMATCH(TabTRADERCorrupted[[#This Row],[ClickTick]]&amp;2, TabConsolid[#Headers])),
    -1
  )
)</f>
        <v>10000</v>
      </c>
      <c r="BQ76" s="674"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76" s="1113">
        <f ca="1">TabTRADERCorrupted[[#This Row],[ReBuy]]/(TabTRADERCorrupted[[#This Row],[L_Sn]]+TabTRADERCorrupted[[#This Row],[SellMore]])</f>
        <v>490.35</v>
      </c>
      <c r="BS7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-6.4602377915523188E-2</v>
      </c>
      <c r="BT76" s="682">
        <f ca="1">(TabTRADERCorrupted[[#This Row],[M]]-TabTRADERCorrupted[[#This Row],[Agiotage]])/(TabTRADERCorrupted[[#This Row],[M]]-TabTRADERCorrupted[[#This Row],[A]])-1</f>
        <v>20.132020255219299</v>
      </c>
      <c r="BU76" s="1221">
        <f ca="1">_xlfn.XMATCH(TabTRADERCorrupted[[#This Row],[ClickTick]]&amp;1, TabConsolid[#Headers])</f>
        <v>224</v>
      </c>
      <c r="BV76" t="b">
        <f ca="1">IF(ABS(TabTRADERCorrupted[[#This Row],[L_Bp]])&gt;=TabTRADERCorrupted[[#This Row],[M]],"OK")</f>
        <v>0</v>
      </c>
    </row>
    <row r="77" spans="1:74">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32.2%</v>
      </c>
      <c r="D77" s="683"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4,815$</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-11.8% = 0</v>
      </c>
      <c r="I77" s="224" t="str">
        <f ca="1">IFERROR(TRUNC(TabCalc[[#This Row],[L_S1p]],2)&amp;"x"&amp;TabCalc[[#This Row],[L_S1n]]&amp;"=   "&amp;TEXT(TabCalc[[#This Row],[ReverseB1]],"#,#0"),"")</f>
        <v>11.41x2000=   -4,430</v>
      </c>
      <c r="J77" s="293">
        <f ca="1">_xlfn.XLOOKUP(TabTRADERCorrupted[[#This Row],[ClickTick]],TabCalc[Ticker],ListGravity)</f>
        <v>0.92770642201834863</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0.95151912282576889</v>
      </c>
      <c r="N77" s="322" cm="1">
        <f t="array" aca="1" ref="N77" ca="1">_xlfn.XLOOKUP(TabTRADERCorrupted[[#This Row],[ClickTick]],ListTickers,Tab2RSIConventional[RSIConv20])</f>
        <v>64</v>
      </c>
      <c r="O77" s="698" t="str">
        <f ca="1">TEXT(_xlfn.XLOOKUP(TabTRADERCorrupted[[#This Row],[ClickTick]],TabCalc[Ticker],TabCalc[Nbegin]),"#,#0")&amp;": "&amp;_xlfn.XLOOKUP(TabTRADERCorrupted[[#This Row],[ClickTick]],TabCalc[Ticker],TabCalc[Pile?])</f>
        <v>12,000: Pile</v>
      </c>
      <c r="P77" s="729">
        <f ca="1">_xlfn.XLOOKUP(TabTRADERCorrupted[[#This Row],[ClickTick]],TabCalc[Ticker],TabCalc[L_Bn])</f>
        <v>10000</v>
      </c>
      <c r="Q77" s="676">
        <f ca="1">_xlfn.XLOOKUP(TabTRADERCorrupted[[#This Row],[ClickTick]],TabCalc[Ticker],TabCalc[L_Bp])</f>
        <v>-9.2349999999999994</v>
      </c>
      <c r="R77" s="759">
        <f ca="1">(TabTRADERCorrupted[[#This Row],[M]]+TabTRADERCorrupted[[#This Row],[L_Bp]])/ABS(TabTRADERCorrupted[[#This Row],[L_Bp]])</f>
        <v>0.47536545749864656</v>
      </c>
      <c r="S77" s="678">
        <f ca="1">_xlfn.XLOOKUP(TabTRADERCorrupted[[#This Row],[ClickTick]],TabCalc[Ticker],TabCalc[Rev(MinStock)])*(1-Commission)</f>
        <v>0</v>
      </c>
      <c r="T77" s="777">
        <f ca="1">_xlfn.XLOOKUP(TabTRADERCorrupted[[#This Row],[ClickTick]],TabCalc[Ticker],TabCalc[Agiotage])</f>
        <v>0.95151912282576889</v>
      </c>
      <c r="U77" s="742"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0/0=&gt;1.6% / 1.6%</v>
      </c>
      <c r="V77" s="734" t="str">
        <f ca="1">_xlfn.XLOOKUP(TabTRADERCorrupted[[#This Row],[ClickTick]],[1]!RTData[Ticker_Symbol],[1]!RTData[Currency])</f>
        <v>USD</v>
      </c>
      <c r="W77" s="744">
        <f ca="1">_xlfn.XLOOKUP(TabTRADERCorrupted[[#This Row],[ClickTick]],TabCalc[Ticker],TabCalc[M])</f>
        <v>13.625</v>
      </c>
      <c r="X77" s="1271" t="str">
        <f ca="1">SORTING!B77</f>
        <v>F</v>
      </c>
      <c r="Y77" s="798">
        <f ca="1">_xlfn.XLOOKUP(TabTRADERCorrupted[[#This Row],[ClickTick]],TabCalc[Ticker],TabCalc[Y])</f>
        <v>12.64</v>
      </c>
      <c r="Z77" s="812">
        <f ca="1">_xlfn.XLOOKUP(TabTRADERCorrupted[[#This Row],[ClickTick]],[1]!RTData[Ticker_Symbol],[1]!RTData[YTChange])</f>
        <v>0.21890067502410815</v>
      </c>
      <c r="AA77" s="827">
        <f ca="1">-_xlfn.XLOOKUP(TabTRADERCorrupted[[#This Row],[ClickTick]]&amp;2,Consolid!B$3:JZ$3,Consolid!B$4:JZ$4)</f>
        <v>0</v>
      </c>
      <c r="AB77" s="812" cm="1">
        <f t="array" aca="1" ref="AB77" ca="1">_xlfn.XLOOKUP(TabTRADERCorrupted[[#This Row],[ClickTick]],ListTickers,Tab1ChangePercent[Change%19])</f>
        <v>1.6032999999999999E-2</v>
      </c>
      <c r="AC77" s="763">
        <f ca="1">_xlfn.XLOOKUP(TabTRADERCorrupted[[#This Row],[ClickTick]],TabCalc[Ticker],TabCalc[NAfter])</f>
        <v>0</v>
      </c>
      <c r="AD7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-13/0 K$</v>
      </c>
      <c r="AE77" s="1147"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31"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13.625, 13.4%</v>
      </c>
      <c r="AG77" s="1131"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31"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13.625</v>
      </c>
      <c r="AI77" s="1131" t="str" cm="1">
        <f t="array" aca="1" ref="AI77" ca="1">_xlfn.IFS(   TabTRADERCorrupted[[#This Row],[Traps]]=MUp,TEXT(MIN(TabTRADERCorrupted[[#This Row],[L_Sn]],TabTRADERCorrupted[[#This Row],[N]]),"#,#0")&amp;" x "&amp;TEXT(TabTRADERCorrupted[[#This Row],[L_Sp]],"#,#0.#0"),          TRUE,"")</f>
        <v/>
      </c>
      <c r="AJ77" s="1131"/>
      <c r="AK77" s="1131"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31"/>
      <c r="AM77" s="1131"/>
      <c r="AN77" s="1131"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40"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40"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TabTRADERCorrupted[[#This Row],[Traps]]=SellMorePercentGain,                     MIN(TabTRADERCorrupted[[#This Row],[L_Sn]],TabTRADERCorrupted[[#This Row],[N]])*(TabTRADERCorrupted[[#This Row],[M]]-TabTRADERCorrupted[[#This Row],[L_Sp]])*(1-Commission)*TabTRADERCorrupted[[#This Row],[Scale]],                    TRUE,"")</f>
        <v/>
      </c>
      <c r="AR77" s="1129">
        <f ca="1">_xlfn.XLOOKUP(TabTRADERCorrupted[[#This Row],[ClickTick]],TabCalc[Ticker],TabCalc[Ann%RevLB])</f>
        <v>0.57814717803889448</v>
      </c>
      <c r="AS77" s="1225">
        <f ca="1">_xlfn.XLOOKUP(TabTRADERCorrupted[[#This Row],[ClickTick]],TabCalc[Ticker],TabCalc[Up20])</f>
        <v>0.25</v>
      </c>
      <c r="AT77" s="1141"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20"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40" t="str" cm="1">
        <f t="array" aca="1" ref="AV77" ca="1">_xlfn.IFS(   TabTRADERCorrupted[[#This Row],[Traps]]=MUp,TabTRADERCorrupted[[#This Row],[TakeGain_A]]-Commission,        TabTRADERCorrupted[[#This Row],[Traps]]=MDown,(TabTRADERCorrupted[[#This Row],[A]]-TabTRADERCorrupted[[#This Row],[M]])/TabTRADERCorrupted[[#This Row],[M]]-Commission,                              TRUE,"")</f>
        <v/>
      </c>
      <c r="AW77" s="820"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5"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0.2%</v>
      </c>
      <c r="AY77" s="731"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0x13.62</v>
      </c>
      <c r="AZ77" s="760"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7"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-0.12039816513761471</v>
      </c>
      <c r="BB77" s="322">
        <f ca="1">_xlfn.XLOOKUP(TabTRADERCorrupted[[#This Row],[ClickTick]],TabCalc[Ticker],TabCalc[L_Sn])</f>
        <v>3000</v>
      </c>
      <c r="BC77" s="723">
        <f ca="1">_xlfn.XLOOKUP(TabTRADERCorrupted[[#This Row],[ClickTick]],TabCalc[Ticker],TabCalc[L_Sp])</f>
        <v>12.02</v>
      </c>
      <c r="BD77" s="759">
        <f ca="1">-IFERROR((TabTRADERCorrupted[[#This Row],[M]]-TabTRADERCorrupted[[#This Row],[L_Sp]])/TabTRADERCorrupted[[#This Row],[L_Sp]],0)</f>
        <v>-0.1335274542429285</v>
      </c>
      <c r="BE77" s="724">
        <f ca="1">TabTRADERCorrupted[[#This Row],[L_Sn]]*(TabTRADERCorrupted[[#This Row],[M]]-TabTRADERCorrupted[[#This Row],[L_Sp]])*(1-Commission)*TabTRADERCorrupted[[#This Row],[Scale]]</f>
        <v>4802.4810000000007</v>
      </c>
      <c r="BF77" s="687">
        <f ca="1">TabTRADERCorrupted[[#This Row],[L_Sn]]*(TabTRADERCorrupted[[#This Row],[Agiotage]]-TabTRADERCorrupted[[#This Row],[M]])/(TabTRADERCorrupted[[#This Row],[L_Bn]]*TabTRADERCorrupted[[#This Row],[M]])</f>
        <v>-0.27904912023135925</v>
      </c>
      <c r="BG77" s="630">
        <f ca="1">IFERROR((TabTRADERCorrupted[[#This Row],[M]]-TabTRADERCorrupted[[#This Row],[A]])/TabTRADERCorrupted[[#This Row],[A]],0)</f>
        <v>0</v>
      </c>
      <c r="BH7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9">
        <f ca="1">_xlfn.XLOOKUP(TabTRADERCorrupted[[#This Row],[ClickTick]],TabCalc[[#This Row],[Ticker]],TabCalc[[#This Row],[GL]])*(1-Commission)</f>
        <v>-12619.9146888</v>
      </c>
      <c r="BJ77" s="679"/>
      <c r="BK77" s="664" t="str">
        <f ca="1">TabTRADERCorrupted[[#This Row],[ClickTick]]&amp;": "&amp;_xlfn.XLOOKUP(TabTRADERCorrupted[[#This Row],[ClickTick]],TabCalc[Ticker],TabCalc[Pile?])</f>
        <v>F: Pile</v>
      </c>
      <c r="BL77" s="349" t="s">
        <v>2041</v>
      </c>
      <c r="BM77" s="750" t="str" cm="1">
        <f t="array" aca="1" ref="BM77" ca="1">_xlfn.TEXTJOIN("",,INDEX({"M","A","Y"}, _xlfn.SORTBY({1,2,3}, -CHOOSE({1,2,3}, TabTRADERCorrupted[[#This Row],[M]], TabTRADERCorrupted[[#This Row],[A]], TabTRADERCorrupted[[#This Row],[Agiotage]]))))</f>
        <v>MYA</v>
      </c>
      <c r="BN77" s="896"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4" t="e">
        <f ca="1">TabTRADERCorrupted[[#This Row],[L_Sn]]*TabTRADERCorrupted[[#This Row],[L_Sp]]+TabTRADERCorrupted[[#This Row],[SellMore]]*TabTRADERCorrupted[[#This Row],[M]]</f>
        <v>#N/A</v>
      </c>
      <c r="BP77" s="674" t="e">
        <f ca="1">INDEX(
  INDEX(TabConsolid[], , _xlfn.XMATCH(TabTRADERCorrupted[[#This Row],[ClickTick]]&amp;1, TabConsolid[#Headers])),
  MATCH(
    -TabTRADERCorrupted[[#This Row],[M]],
    INDEX(TabConsolid[], , _xlfn.XMATCH(TabTRADERCorrupted[[#This Row],[ClickTick]]&amp;2, TabConsolid[#Headers])),
    -1
  )
)</f>
        <v>#N/A</v>
      </c>
      <c r="BQ77" s="674"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13" t="e">
        <f ca="1">TabTRADERCorrupted[[#This Row],[ReBuy]]/(TabTRADERCorrupted[[#This Row],[L_Sn]]+TabTRADERCorrupted[[#This Row],[SellMore]])</f>
        <v>#N/A</v>
      </c>
      <c r="BS7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2">
        <f ca="1">(TabTRADERCorrupted[[#This Row],[M]]-TabTRADERCorrupted[[#This Row],[Agiotage]])/(TabTRADERCorrupted[[#This Row],[M]]-TabTRADERCorrupted[[#This Row],[A]])-1</f>
        <v>-6.9836265895469207E-2</v>
      </c>
      <c r="BU77" s="1221">
        <f ca="1">_xlfn.XMATCH(TabTRADERCorrupted[[#This Row],[ClickTick]]&amp;1, TabConsolid[#Headers])</f>
        <v>227</v>
      </c>
      <c r="BV77" t="b">
        <f ca="1">IF(ABS(TabTRADERCorrupted[[#This Row],[L_Bp]])&gt;=TabTRADERCorrupted[[#This Row],[M]],"OK")</f>
        <v>0</v>
      </c>
    </row>
    <row r="78" spans="1:74">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55.0%</v>
      </c>
      <c r="D78" s="683"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66,520$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51.7% = 0</v>
      </c>
      <c r="I78" s="224" t="str">
        <f ca="1">IFERROR(TRUNC(TabCalc[[#This Row],[L_S1p]],2)&amp;"x"&amp;TabCalc[[#This Row],[L_S1n]]&amp;"=   "&amp;TEXT(TabCalc[[#This Row],[ReverseB1]],"#,#0"),"")</f>
        <v>23.05x2000=   -82,602</v>
      </c>
      <c r="J78" s="293">
        <f ca="1">_xlfn.XLOOKUP(TabTRADERCorrupted[[#This Row],[ClickTick]],TabCalc[Ticker],ListGravity)</f>
        <v>1.0259995338719703</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1.0644112472996281</v>
      </c>
      <c r="N78" s="322" cm="1">
        <f t="array" aca="1" ref="N78" ca="1">_xlfn.XLOOKUP(TabTRADERCorrupted[[#This Row],[ClickTick]],ListTickers,Tab2RSIConventional[RSIConv20])</f>
        <v>70</v>
      </c>
      <c r="O78" s="698" t="str">
        <f ca="1">TEXT(_xlfn.XLOOKUP(TabTRADERCorrupted[[#This Row],[ClickTick]],TabCalc[Ticker],TabCalc[Nbegin]),"#,#0")&amp;": "&amp;_xlfn.XLOOKUP(TabTRADERCorrupted[[#This Row],[ClickTick]],TabCalc[Ticker],TabCalc[Pile?])</f>
        <v>5,000: Pile</v>
      </c>
      <c r="P78" s="729">
        <f ca="1">_xlfn.XLOOKUP(TabTRADERCorrupted[[#This Row],[ClickTick]],TabCalc[Ticker],TabCalc[L_Bn])</f>
        <v>2000</v>
      </c>
      <c r="Q78" s="676">
        <f ca="1">_xlfn.XLOOKUP(TabTRADERCorrupted[[#This Row],[ClickTick]],TabCalc[Ticker],TabCalc[L_Bp])</f>
        <v>-28.94</v>
      </c>
      <c r="R78" s="759">
        <f ca="1">(TabTRADERCorrupted[[#This Row],[M]]+TabTRADERCorrupted[[#This Row],[L_Bp]])/ABS(TabTRADERCorrupted[[#This Row],[L_Bp]])</f>
        <v>1.2239115411195578</v>
      </c>
      <c r="S78" s="678">
        <f ca="1">_xlfn.XLOOKUP(TabTRADERCorrupted[[#This Row],[ClickTick]],TabCalc[Ticker],TabCalc[Rev(MinStock)])*(1-Commission)</f>
        <v>0</v>
      </c>
      <c r="T78" s="777">
        <f ca="1">_xlfn.XLOOKUP(TabTRADERCorrupted[[#This Row],[ClickTick]],TabCalc[Ticker],TabCalc[Agiotage])</f>
        <v>1.0644112472996281</v>
      </c>
      <c r="U78" s="742"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0/0=&gt;1.4% / 1.4%</v>
      </c>
      <c r="V78" s="734" t="str">
        <f ca="1">_xlfn.XLOOKUP(TabTRADERCorrupted[[#This Row],[ClickTick]],[1]!RTData[Ticker_Symbol],[1]!RTData[Currency])</f>
        <v>EUR</v>
      </c>
      <c r="W78" s="744">
        <f ca="1">_xlfn.XLOOKUP(TabTRADERCorrupted[[#This Row],[ClickTick]],TabCalc[Ticker],TabCalc[M])</f>
        <v>64.36</v>
      </c>
      <c r="X78" s="1271" t="str">
        <f ca="1">SORTING!B78</f>
        <v>GLE</v>
      </c>
      <c r="Y78" s="798">
        <f ca="1">_xlfn.XLOOKUP(TabTRADERCorrupted[[#This Row],[ClickTick]],TabCalc[Ticker],TabCalc[Y])</f>
        <v>66.033330000000007</v>
      </c>
      <c r="Z78" s="812">
        <f ca="1">_xlfn.XLOOKUP(TabTRADERCorrupted[[#This Row],[ClickTick]],[1]!RTData[Ticker_Symbol],[1]!RTData[YTChange])</f>
        <v>0.10479053036640461</v>
      </c>
      <c r="AA78" s="827">
        <f ca="1">-_xlfn.XLOOKUP(TabTRADERCorrupted[[#This Row],[ClickTick]]&amp;2,Consolid!B$3:JZ$3,Consolid!B$4:JZ$4)</f>
        <v>0</v>
      </c>
      <c r="AB78" s="812" cm="1">
        <f t="array" aca="1" ref="AB78" ca="1">_xlfn.XLOOKUP(TabTRADERCorrupted[[#This Row],[ClickTick]],ListTickers,Tab1ChangePercent[Change%19])</f>
        <v>1.3863E-2</v>
      </c>
      <c r="AC78" s="763">
        <f ca="1">_xlfn.XLOOKUP(TabTRADERCorrupted[[#This Row],[ClickTick]],TabCalc[Ticker],TabCalc[NAfter])</f>
        <v>0</v>
      </c>
      <c r="AD7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^44/0 K$</v>
      </c>
      <c r="AE78" s="1147"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31"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64.36, 106.9%</v>
      </c>
      <c r="AG78" s="1131"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31"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64.36</v>
      </c>
      <c r="AI78" s="1131" t="str" cm="1">
        <f t="array" aca="1" ref="AI78" ca="1">_xlfn.IFS(   TabTRADERCorrupted[[#This Row],[Traps]]=MUp,TEXT(MIN(TabTRADERCorrupted[[#This Row],[L_Sn]],TabTRADERCorrupted[[#This Row],[N]]),"#,#0")&amp;" x "&amp;TEXT(TabTRADERCorrupted[[#This Row],[L_Sp]],"#,#0.#0"),          TRUE,"")</f>
        <v/>
      </c>
      <c r="AJ78" s="1131"/>
      <c r="AK78" s="1131"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31"/>
      <c r="AM78" s="1131"/>
      <c r="AN78" s="1131"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40"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40"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TabTRADERCorrupted[[#This Row],[Traps]]=SellMorePercentGain,                     MIN(TabTRADERCorrupted[[#This Row],[L_Sn]],TabTRADERCorrupted[[#This Row],[N]])*(TabTRADERCorrupted[[#This Row],[M]]-TabTRADERCorrupted[[#This Row],[L_Sp]])*(1-Commission)*TabTRADERCorrupted[[#This Row],[Scale]],                    TRUE,"")</f>
        <v/>
      </c>
      <c r="AR78" s="1146">
        <f ca="1">_xlfn.XLOOKUP(TabTRADERCorrupted[[#This Row],[ClickTick]],TabCalc[Ticker],TabCalc[Ann%RevLB])</f>
        <v>1.343317545131222</v>
      </c>
      <c r="AS78" s="1224">
        <f ca="1">_xlfn.XLOOKUP(TabTRADERCorrupted[[#This Row],[ClickTick]],TabCalc[Ticker],TabCalc[Up20])</f>
        <v>0.38095238095238093</v>
      </c>
      <c r="AT78" s="1141"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8" s="820"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40" t="str" cm="1">
        <f t="array" aca="1" ref="AV78" ca="1">_xlfn.IFS(   TabTRADERCorrupted[[#This Row],[Traps]]=MUp,TabTRADERCorrupted[[#This Row],[TakeGain_A]]-Commission,        TabTRADERCorrupted[[#This Row],[Traps]]=MDown,(TabTRADERCorrupted[[#This Row],[A]]-TabTRADERCorrupted[[#This Row],[M]])/TabTRADERCorrupted[[#This Row],[M]]-Commission,                              TRUE,"")</f>
        <v/>
      </c>
      <c r="AW78" s="755"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5"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0.2%</v>
      </c>
      <c r="AY78" s="731"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0x64.36</v>
      </c>
      <c r="AZ78" s="760"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7"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-0.519380609073959</v>
      </c>
      <c r="BB78" s="322">
        <f ca="1">_xlfn.XLOOKUP(TabTRADERCorrupted[[#This Row],[ClickTick]],TabCalc[Ticker],TabCalc[L_Sn])</f>
        <v>2000</v>
      </c>
      <c r="BC78" s="723">
        <f ca="1">_xlfn.XLOOKUP(TabTRADERCorrupted[[#This Row],[ClickTick]],TabCalc[Ticker],TabCalc[L_Sp])</f>
        <v>31.1</v>
      </c>
      <c r="BD78" s="759">
        <f ca="1">-IFERROR((TabTRADERCorrupted[[#This Row],[M]]-TabTRADERCorrupted[[#This Row],[L_Sp]])/TabTRADERCorrupted[[#This Row],[L_Sp]],0)</f>
        <v>-1.0694533762057876</v>
      </c>
      <c r="BE78" s="724">
        <f ca="1">TabTRADERCorrupted[[#This Row],[L_Sn]]*(TabTRADERCorrupted[[#This Row],[M]]-TabTRADERCorrupted[[#This Row],[L_Sp]])*(1-Commission)*TabTRADERCorrupted[[#This Row],[Scale]]</f>
        <v>66347.047999999995</v>
      </c>
      <c r="BF78" s="687">
        <f ca="1">TabTRADERCorrupted[[#This Row],[L_Sn]]*(TabTRADERCorrupted[[#This Row],[Agiotage]]-TabTRADERCorrupted[[#This Row],[M]])/(TabTRADERCorrupted[[#This Row],[L_Bn]]*TabTRADERCorrupted[[#This Row],[M]])</f>
        <v>-0.98346160274549976</v>
      </c>
      <c r="BG78" s="630">
        <f ca="1">IFERROR((TabTRADERCorrupted[[#This Row],[M]]-TabTRADERCorrupted[[#This Row],[A]])/TabTRADERCorrupted[[#This Row],[A]],0)</f>
        <v>0</v>
      </c>
      <c r="BH7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9">
        <f ca="1">_xlfn.XLOOKUP(TabTRADERCorrupted[[#This Row],[ClickTick]],TabCalc[[#This Row],[Ticker]],TabCalc[[#This Row],[GL]])*(1-Commission)</f>
        <v>43472.786121979188</v>
      </c>
      <c r="BJ78" s="679"/>
      <c r="BK78" s="664" t="str">
        <f ca="1">TabTRADERCorrupted[[#This Row],[ClickTick]]&amp;": "&amp;_xlfn.XLOOKUP(TabTRADERCorrupted[[#This Row],[ClickTick]],TabCalc[Ticker],TabCalc[Pile?])</f>
        <v>GLE: Pile</v>
      </c>
      <c r="BL78" s="349" t="s">
        <v>2042</v>
      </c>
      <c r="BM78" s="750" t="str" cm="1">
        <f t="array" aca="1" ref="BM78" ca="1">_xlfn.TEXTJOIN("",,INDEX({"M","A","Y"}, _xlfn.SORTBY({1,2,3}, -CHOOSE({1,2,3}, TabTRADERCorrupted[[#This Row],[M]], TabTRADERCorrupted[[#This Row],[A]], TabTRADERCorrupted[[#This Row],[Agiotage]]))))</f>
        <v>MYA</v>
      </c>
      <c r="BN78" s="896"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8" s="674" t="e">
        <f ca="1">TabTRADERCorrupted[[#This Row],[L_Sn]]*TabTRADERCorrupted[[#This Row],[L_Sp]]+TabTRADERCorrupted[[#This Row],[SellMore]]*TabTRADERCorrupted[[#This Row],[M]]</f>
        <v>#N/A</v>
      </c>
      <c r="BP78" s="674" t="e">
        <f ca="1">INDEX(
  INDEX(TabConsolid[], , _xlfn.XMATCH(TabTRADERCorrupted[[#This Row],[ClickTick]]&amp;1, TabConsolid[#Headers])),
  MATCH(
    -TabTRADERCorrupted[[#This Row],[M]],
    INDEX(TabConsolid[], , _xlfn.XMATCH(TabTRADERCorrupted[[#This Row],[ClickTick]]&amp;2, TabConsolid[#Headers])),
    -1
  )
)</f>
        <v>#N/A</v>
      </c>
      <c r="BQ78" s="674"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13" t="e">
        <f ca="1">TabTRADERCorrupted[[#This Row],[ReBuy]]/(TabTRADERCorrupted[[#This Row],[L_Sn]]+TabTRADERCorrupted[[#This Row],[SellMore]])</f>
        <v>#N/A</v>
      </c>
      <c r="BS7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2">
        <f ca="1">(TabTRADERCorrupted[[#This Row],[M]]-TabTRADERCorrupted[[#This Row],[Agiotage]])/(TabTRADERCorrupted[[#This Row],[M]]-TabTRADERCorrupted[[#This Row],[A]])-1</f>
        <v>-1.6538397254500126E-2</v>
      </c>
      <c r="BU78" s="1221">
        <f ca="1">_xlfn.XMATCH(TabTRADERCorrupted[[#This Row],[ClickTick]]&amp;1, TabConsolid[#Headers])</f>
        <v>230</v>
      </c>
      <c r="BV78" t="b">
        <f ca="1">IF(ABS(TabTRADERCorrupted[[#This Row],[L_Bp]])&gt;=TabTRADERCorrupted[[#This Row],[M]],"OK")</f>
        <v>0</v>
      </c>
    </row>
    <row r="79" spans="1:74">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-4,617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-9.2%</v>
      </c>
      <c r="D79" s="683"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206$</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-4,856$</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14.5% = 206</v>
      </c>
      <c r="I79" s="224" t="str">
        <f ca="1">IFERROR(TRUNC(TabCalc[[#This Row],[L_S1p]],2)&amp;"x"&amp;TabCalc[[#This Row],[L_S1n]]&amp;"=   "&amp;TEXT(TabCalc[[#This Row],[ReverseB1]],"#,#0"),"")</f>
        <v>189.91x600=   13,308</v>
      </c>
      <c r="J79" s="293">
        <f ca="1">_xlfn.XLOOKUP(TabTRADERCorrupted[[#This Row],[ClickTick]],TabCalc[Ticker],ListGravity)</f>
        <v>1.2281643116914089</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58705.5</v>
      </c>
      <c r="M79" s="321">
        <f ca="1">_xlfn.XLOOKUP(TabTRADERCorrupted[[#This Row],[ClickTick]],TabCalc[Ticker],TabCalc[Agiotage])</f>
        <v>0.45658747132549016</v>
      </c>
      <c r="N79" s="322" cm="1">
        <f t="array" aca="1" ref="N79" ca="1">_xlfn.XLOOKUP(TabTRADERCorrupted[[#This Row],[ClickTick]],ListTickers,Tab2RSIConventional[RSIConv20])</f>
        <v>81</v>
      </c>
      <c r="O79" s="698" t="str">
        <f ca="1">TEXT(_xlfn.XLOOKUP(TabTRADERCorrupted[[#This Row],[ClickTick]],TabCalc[Ticker],TabCalc[Nbegin]),"#,#0")&amp;": "&amp;_xlfn.XLOOKUP(TabTRADERCorrupted[[#This Row],[ClickTick]],TabCalc[Ticker],TabCalc[Pile?])</f>
        <v xml:space="preserve">550: </v>
      </c>
      <c r="P79" s="729">
        <f ca="1">_xlfn.XLOOKUP(TabTRADERCorrupted[[#This Row],[ClickTick]],TabCalc[Ticker],TabCalc[L_Bn])</f>
        <v>300</v>
      </c>
      <c r="Q79" s="676">
        <f ca="1">_xlfn.XLOOKUP(TabTRADERCorrupted[[#This Row],[ClickTick]],TabCalc[Ticker],TabCalc[L_Bp])</f>
        <v>-183.16</v>
      </c>
      <c r="R79" s="759">
        <f ca="1">(TabTRADERCorrupted[[#This Row],[M]]+TabTRADERCorrupted[[#This Row],[L_Bp]])/ABS(TabTRADERCorrupted[[#This Row],[L_Bp]])</f>
        <v>-8.4243284559947632E-2</v>
      </c>
      <c r="S79" s="678">
        <f ca="1">_xlfn.XLOOKUP(TabTRADERCorrupted[[#This Row],[ClickTick]],TabCalc[Ticker],TabCalc[Rev(MinStock)])*(1-Commission)</f>
        <v>-4604.9957999999997</v>
      </c>
      <c r="T79" s="777">
        <f ca="1">_xlfn.XLOOKUP(TabTRADERCorrupted[[#This Row],[ClickTick]],TabCalc[Ticker],TabCalc[Agiotage])</f>
        <v>0.45658747132549016</v>
      </c>
      <c r="U79" s="742"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1,062/1,062=&gt;0.7% / 0.7%</v>
      </c>
      <c r="V79" s="734" t="str">
        <f ca="1">_xlfn.XLOOKUP(TabTRADERCorrupted[[#This Row],[ClickTick]],[1]!RTData[Ticker_Symbol],[1]!RTData[Currency])</f>
        <v>USD</v>
      </c>
      <c r="W79" s="744">
        <f ca="1">_xlfn.XLOOKUP(TabTRADERCorrupted[[#This Row],[ClickTick]],TabCalc[Ticker],TabCalc[M])</f>
        <v>167.73</v>
      </c>
      <c r="X79" s="1271" t="str">
        <f ca="1">SORTING!B79</f>
        <v>GNRC</v>
      </c>
      <c r="Y79" s="798">
        <f ca="1">_xlfn.XLOOKUP(TabTRADERCorrupted[[#This Row],[ClickTick]],TabCalc[Ticker],TabCalc[Y])</f>
        <v>206</v>
      </c>
      <c r="Z79" s="812">
        <f ca="1">_xlfn.XLOOKUP(TabTRADERCorrupted[[#This Row],[ClickTick]],[1]!RTData[Ticker_Symbol],[1]!RTData[YTChange])</f>
        <v>0.31059931288968057</v>
      </c>
      <c r="AA79" s="827">
        <f ca="1">-_xlfn.XLOOKUP(TabTRADERCorrupted[[#This Row],[ClickTick]]&amp;2,Consolid!B$3:JZ$3,Consolid!B$4:JZ$4)</f>
        <v>181.40821599999998</v>
      </c>
      <c r="AB79" s="812" cm="1">
        <f t="array" aca="1" ref="AB79" ca="1">_xlfn.XLOOKUP(TabTRADERCorrupted[[#This Row],[ClickTick]],ListTickers,Tab1ChangePercent[Change%19])</f>
        <v>6.9640000000000006E-3</v>
      </c>
      <c r="AC79" s="763">
        <f ca="1">_xlfn.XLOOKUP(TabTRADERCorrupted[[#This Row],[ClickTick]],TabCalc[Ticker],TabCalc[NAfter])</f>
        <v>900</v>
      </c>
      <c r="AD7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^29/151 K$</v>
      </c>
      <c r="AE79" s="1147"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31"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167.73, -12.6%</v>
      </c>
      <c r="AG79" s="1131"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31"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167.73</v>
      </c>
      <c r="AI79" s="1131" t="str" cm="1">
        <f t="array" aca="1" ref="AI79" ca="1">_xlfn.IFS(   TabTRADERCorrupted[[#This Row],[Traps]]=MUp,TEXT(MIN(TabTRADERCorrupted[[#This Row],[L_Sn]],TabTRADERCorrupted[[#This Row],[N]]),"#,#0")&amp;" x "&amp;TEXT(TabTRADERCorrupted[[#This Row],[L_Sp]],"#,#0.#0"),          TRUE,"")</f>
        <v/>
      </c>
      <c r="AJ79" s="1131"/>
      <c r="AK79" s="1131"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4616.9646000000012</v>
      </c>
      <c r="AL79" s="1131"/>
      <c r="AM79" s="1131"/>
      <c r="AN79" s="755"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150957</v>
      </c>
      <c r="AO79" s="1140"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7.5400201278645468E-2</v>
      </c>
      <c r="AP79" s="1140"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8.9393084123293429E-2</v>
      </c>
      <c r="AQ79" s="820" t="str" cm="1">
        <f t="array" aca="1" ref="AQ79" ca="1">_xlfn.IFS(   TabTRADERCorrupted[[#This Row],[Traps]]=SellMorePercentGain,                     MIN(TabTRADERCorrupted[[#This Row],[L_Sn]],TabTRADERCorrupted[[#This Row],[N]])*(TabTRADERCorrupted[[#This Row],[M]]-TabTRADERCorrupted[[#This Row],[L_Sp]])*(1-Commission)*TabTRADERCorrupted[[#This Row],[Scale]],                    TRUE,"")</f>
        <v/>
      </c>
      <c r="AR79" s="1129">
        <f ca="1">_xlfn.XLOOKUP(TabTRADERCorrupted[[#This Row],[ClickTick]],TabCalc[Ticker],TabCalc[Ann%RevLB])</f>
        <v>-0.60655164883162294</v>
      </c>
      <c r="AS79" s="1225">
        <f ca="1">_xlfn.XLOOKUP(TabTRADERCorrupted[[#This Row],[ClickTick]],TabCalc[Ticker],TabCalc[Up20])</f>
        <v>0</v>
      </c>
      <c r="AT79" s="1141"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9.1993084123293434E-2</v>
      </c>
      <c r="AU79" s="820" cm="1">
        <f t="array" aca="1" ref="AU79" ca="1">_xlfn.IFS(         TabTRADERCorrupted[[#This Row],[Traps]]=MDown,TabTRADERCorrupted[[#This Row],[L_Bn]]*TabTRADERCorrupted[[#This Row],[M]]*(-(TabTRADERCorrupted[[#This Row],[L_Bp]]+TabTRADERCorrupted[[#This Row],[M]])/TabTRADERCorrupted[[#This Row],[M]])*(1-Commission)*TabTRADERCorrupted[[#This Row],[Scale]],                               TRUE,"")</f>
        <v>4616.9646000000021</v>
      </c>
      <c r="AV79" s="1140" cm="1">
        <f t="array" aca="1" ref="AV79" ca="1">_xlfn.IFS(   TabTRADERCorrupted[[#This Row],[Traps]]=MUp,TabTRADERCorrupted[[#This Row],[TakeGain_A]]-Commission,        TabTRADERCorrupted[[#This Row],[Traps]]=MDown,(TabTRADERCorrupted[[#This Row],[A]]-TabTRADERCorrupted[[#This Row],[M]])/TabTRADERCorrupted[[#This Row],[M]]-Commission,                              TRUE,"")</f>
        <v>7.8949013295176729E-2</v>
      </c>
      <c r="AW79" s="820"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12278.387374559992</v>
      </c>
      <c r="AX79" s="755"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79" s="731"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-15.43</v>
      </c>
      <c r="AZ79" s="760"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-7.5204160755320992E-2</v>
      </c>
      <c r="BA79" s="757"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7.8949013295176729E-2</v>
      </c>
      <c r="BB79" s="322">
        <f ca="1">_xlfn.XLOOKUP(TabTRADERCorrupted[[#This Row],[ClickTick]],TabCalc[Ticker],TabCalc[L_Sn])</f>
        <v>200</v>
      </c>
      <c r="BC79" s="723">
        <f ca="1">_xlfn.XLOOKUP(TabTRADERCorrupted[[#This Row],[ClickTick]],TabCalc[Ticker],TabCalc[L_Sp])</f>
        <v>192.01</v>
      </c>
      <c r="BD79" s="759">
        <f ca="1">-IFERROR((TabTRADERCorrupted[[#This Row],[M]]-TabTRADERCorrupted[[#This Row],[L_Sp]])/TabTRADERCorrupted[[#This Row],[L_Sp]],0)</f>
        <v>0.12645174730482789</v>
      </c>
      <c r="BE79" s="724">
        <f ca="1">TabTRADERCorrupted[[#This Row],[L_Sn]]*(TabTRADERCorrupted[[#This Row],[M]]-TabTRADERCorrupted[[#This Row],[L_Sp]])*(1-Commission)*TabTRADERCorrupted[[#This Row],[Scale]]</f>
        <v>-4843.3743999999997</v>
      </c>
      <c r="BF79" s="687">
        <f ca="1">TabTRADERCorrupted[[#This Row],[L_Sn]]*(TabTRADERCorrupted[[#This Row],[Agiotage]]-TabTRADERCorrupted[[#This Row],[M]])/(TabTRADERCorrupted[[#This Row],[L_Bn]]*TabTRADERCorrupted[[#This Row],[M]])</f>
        <v>-0.66485189502444197</v>
      </c>
      <c r="BG79" s="630">
        <f ca="1">IFERROR((TabTRADERCorrupted[[#This Row],[M]]-TabTRADERCorrupted[[#This Row],[A]])/TabTRADERCorrupted[[#This Row],[A]],0)</f>
        <v>-7.5400201278645468E-2</v>
      </c>
      <c r="BH7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-12,278$</v>
      </c>
      <c r="BI79" s="679">
        <f ca="1">_xlfn.XLOOKUP(TabTRADERCorrupted[[#This Row],[ClickTick]],TabCalc[[#This Row],[Ticker]],TabCalc[[#This Row],[GL]])*(1-Commission)</f>
        <v>28719.245142586868</v>
      </c>
      <c r="BJ79" s="679"/>
      <c r="BK79" s="664" t="str">
        <f ca="1">TabTRADERCorrupted[[#This Row],[ClickTick]]&amp;": "&amp;_xlfn.XLOOKUP(TabTRADERCorrupted[[#This Row],[ClickTick]],TabCalc[Ticker],TabCalc[Pile?])</f>
        <v xml:space="preserve">GNRC: </v>
      </c>
      <c r="BL79" s="349" t="s">
        <v>2043</v>
      </c>
      <c r="BM79" s="750" t="str" cm="1">
        <f t="array" aca="1" ref="BM79" ca="1">_xlfn.TEXTJOIN("",,INDEX({"M","A","Y"}, _xlfn.SORTBY({1,2,3}, -CHOOSE({1,2,3}, TabTRADERCorrupted[[#This Row],[M]], TabTRADERCorrupted[[#This Row],[A]], TabTRADERCorrupted[[#This Row],[Agiotage]]))))</f>
        <v>AMY</v>
      </c>
      <c r="BN79" s="896"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9.1993084123293434E-2</v>
      </c>
      <c r="BO79" s="674" t="e">
        <f ca="1">TabTRADERCorrupted[[#This Row],[L_Sn]]*TabTRADERCorrupted[[#This Row],[L_Sp]]+TabTRADERCorrupted[[#This Row],[SellMore]]*TabTRADERCorrupted[[#This Row],[M]]</f>
        <v>#N/A</v>
      </c>
      <c r="BP79" s="674" t="e">
        <f ca="1">INDEX(
  INDEX(TabConsolid[], , _xlfn.XMATCH(TabTRADERCorrupted[[#This Row],[ClickTick]]&amp;1, TabConsolid[#Headers])),
  MATCH(
    -TabTRADERCorrupted[[#This Row],[M]],
    INDEX(TabConsolid[], , _xlfn.XMATCH(TabTRADERCorrupted[[#This Row],[ClickTick]]&amp;2, TabConsolid[#Headers])),
    -1
  )
)</f>
        <v>#N/A</v>
      </c>
      <c r="BQ79" s="674"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13" t="e">
        <f ca="1">TabTRADERCorrupted[[#This Row],[ReBuy]]/(TabTRADERCorrupted[[#This Row],[L_Sn]]+TabTRADERCorrupted[[#This Row],[SellMore]])</f>
        <v>#N/A</v>
      </c>
      <c r="BS7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-1.0222264098974552</v>
      </c>
      <c r="BT79" s="682">
        <f ca="1">(TabTRADERCorrupted[[#This Row],[M]]-TabTRADERCorrupted[[#This Row],[Agiotage]])/(TabTRADERCorrupted[[#This Row],[M]]-TabTRADERCorrupted[[#This Row],[A]])-1</f>
        <v>-13.229183435082074</v>
      </c>
      <c r="BU79" s="1221">
        <f ca="1">_xlfn.XMATCH(TabTRADERCorrupted[[#This Row],[ClickTick]]&amp;1, TabConsolid[#Headers])</f>
        <v>233</v>
      </c>
      <c r="BV79" t="str">
        <f ca="1">IF(ABS(TabTRADERCorrupted[[#This Row],[L_Bp]])&gt;=TabTRADERCorrupted[[#This Row],[M]],"OK")</f>
        <v>OK</v>
      </c>
    </row>
    <row r="80" spans="1:74">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38.3%</v>
      </c>
      <c r="D80" s="683"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27,904$</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-30.6% = 0</v>
      </c>
      <c r="I80" s="224" t="str">
        <f ca="1">IFERROR(TRUNC(TabCalc[[#This Row],[L_S1p]],2)&amp;"x"&amp;TabCalc[[#This Row],[L_S1n]]&amp;"=   "&amp;TEXT(TabCalc[[#This Row],[ReverseB1]],"#,#0"),"")</f>
        <v>495.03x100=   -41,591</v>
      </c>
      <c r="J80" s="293">
        <f ca="1">_xlfn.XLOOKUP(TabTRADERCorrupted[[#This Row],[ClickTick]],TabCalc[Ticker],ListGravity)</f>
        <v>0.88098700243704298</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1.2888796962689482</v>
      </c>
      <c r="N80" s="322" cm="1">
        <f t="array" aca="1" ref="N80" ca="1">_xlfn.XLOOKUP(TabTRADERCorrupted[[#This Row],[ClickTick]],ListTickers,Tab2RSIConventional[RSIConv20])</f>
        <v>87</v>
      </c>
      <c r="O80" s="698"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6">
        <f ca="1">_xlfn.XLOOKUP(TabTRADERCorrupted[[#This Row],[ClickTick]],TabCalc[Ticker],TabCalc[L_Bp])</f>
        <v>-561.60149999999999</v>
      </c>
      <c r="R80" s="759">
        <f ca="1">(TabTRADERCorrupted[[#This Row],[M]]+TabTRADERCorrupted[[#This Row],[L_Bp]])/ABS(TabTRADERCorrupted[[#This Row],[L_Bp]])</f>
        <v>0.62203982717282646</v>
      </c>
      <c r="S80" s="678">
        <f ca="1">_xlfn.XLOOKUP(TabTRADERCorrupted[[#This Row],[ClickTick]],TabCalc[Ticker],TabCalc[Rev(MinStock)])*(1-Commission)</f>
        <v>0</v>
      </c>
      <c r="T80" s="777">
        <f ca="1">_xlfn.XLOOKUP(TabTRADERCorrupted[[#This Row],[ClickTick]],TabCalc[Ticker],TabCalc[Agiotage])</f>
        <v>1.2888796962689482</v>
      </c>
      <c r="U80" s="742"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0/0=&gt;2.4% / 2.4%</v>
      </c>
      <c r="V80" s="734" t="str">
        <f ca="1">_xlfn.XLOOKUP(TabTRADERCorrupted[[#This Row],[ClickTick]],[1]!RTData[Ticker_Symbol],[1]!RTData[Currency])</f>
        <v>USD</v>
      </c>
      <c r="W80" s="744">
        <f ca="1">_xlfn.XLOOKUP(TabTRADERCorrupted[[#This Row],[ClickTick]],TabCalc[Ticker],TabCalc[M])</f>
        <v>910.94</v>
      </c>
      <c r="X80" s="1271" t="str">
        <f ca="1">SORTING!B80</f>
        <v>GS</v>
      </c>
      <c r="Y80" s="798">
        <f ca="1">_xlfn.XLOOKUP(TabTRADERCorrupted[[#This Row],[ClickTick]],TabCalc[Ticker],TabCalc[Y])</f>
        <v>802.52629999999999</v>
      </c>
      <c r="Z80" s="812">
        <f ca="1">_xlfn.XLOOKUP(TabTRADERCorrupted[[#This Row],[ClickTick]],[1]!RTData[Ticker_Symbol],[1]!RTData[YTChange])</f>
        <v>0.76802956533233446</v>
      </c>
      <c r="AA80" s="827">
        <f ca="1">-_xlfn.XLOOKUP(TabTRADERCorrupted[[#This Row],[ClickTick]]&amp;2,Consolid!B$3:JZ$3,Consolid!B$4:JZ$4)</f>
        <v>0</v>
      </c>
      <c r="AB80" s="812" cm="1">
        <f t="array" aca="1" ref="AB80" ca="1">_xlfn.XLOOKUP(TabTRADERCorrupted[[#This Row],[ClickTick]],ListTickers,Tab1ChangePercent[Change%19])</f>
        <v>2.4403000000000001E-2</v>
      </c>
      <c r="AC80" s="763">
        <f ca="1">_xlfn.XLOOKUP(TabTRADERCorrupted[[#This Row],[ClickTick]],TabCalc[Ticker],TabCalc[NAfter])</f>
        <v>0</v>
      </c>
      <c r="AD8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^46/0 K$</v>
      </c>
      <c r="AE80" s="1147"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31"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910.94, 44.2%</v>
      </c>
      <c r="AG80" s="1131"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31" t="str" cm="1">
        <f t="array" aca="1" ref="AH80" ca="1">_xlfn.IFS(     TabTRADERCorrupted[[#This Row],[Traps]]=MUp,MIN(TabTRADERCorrupted[[#This Row],[L_Sn]],TabTRADERCorrupted[[#This Row],[N]])*(TabTRADERCorrupted[[#This Row],[M]]-TabTRADERCorrupted[[#This Row],[L_Sp]])*(1-Commission)*TabTRADERCorrupted[[#This Row],[Scale]],                                  TRUE,"M= "&amp;TabTRADERCorrupted[[#This Row],[M]])</f>
        <v>M= 910.94</v>
      </c>
      <c r="AI80" s="1131" t="str" cm="1">
        <f t="array" aca="1" ref="AI80" ca="1">_xlfn.IFS(   TabTRADERCorrupted[[#This Row],[Traps]]=MUp,TEXT(MIN(TabTRADERCorrupted[[#This Row],[L_Sn]],TabTRADERCorrupted[[#This Row],[N]]),"#,#0")&amp;" x "&amp;TEXT(TabTRADERCorrupted[[#This Row],[L_Sp]],"#,#0.#0"),          TRUE,"")</f>
        <v/>
      </c>
      <c r="AJ80" s="1131"/>
      <c r="AK80" s="1131"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31"/>
      <c r="AM80" s="1131"/>
      <c r="AN80" s="755"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40"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40"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TabTRADERCorrupted[[#This Row],[Traps]]=SellMorePercentGain,                     MIN(TabTRADERCorrupted[[#This Row],[L_Sn]],TabTRADERCorrupted[[#This Row],[N]])*(TabTRADERCorrupted[[#This Row],[M]]-TabTRADERCorrupted[[#This Row],[L_Sp]])*(1-Commission)*TabTRADERCorrupted[[#This Row],[Scale]],                    TRUE,"")</f>
        <v/>
      </c>
      <c r="AR80" s="1146">
        <f ca="1">_xlfn.XLOOKUP(TabTRADERCorrupted[[#This Row],[ClickTick]],TabCalc[Ticker],TabCalc[Ann%RevLB])</f>
        <v>0.51361086647297605</v>
      </c>
      <c r="AS80" s="1224">
        <f ca="1">_xlfn.XLOOKUP(TabTRADERCorrupted[[#This Row],[ClickTick]],TabCalc[Ticker],TabCalc[Up20])</f>
        <v>0.5714285714285714</v>
      </c>
      <c r="AT80" s="1141"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20"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40" t="str" cm="1">
        <f t="array" aca="1" ref="AV80" ca="1">_xlfn.IFS(   TabTRADERCorrupted[[#This Row],[Traps]]=MUp,TabTRADERCorrupted[[#This Row],[TakeGain_A]]-Commission,        TabTRADERCorrupted[[#This Row],[Traps]]=MDown,(TabTRADERCorrupted[[#This Row],[A]]-TabTRADERCorrupted[[#This Row],[M]])/TabTRADERCorrupted[[#This Row],[M]]-Commission,                              TRUE,"")</f>
        <v/>
      </c>
      <c r="AW80" s="755"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5"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1.0%</v>
      </c>
      <c r="AY80" s="731"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0x910.94</v>
      </c>
      <c r="AZ80" s="760"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7"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-0.30892094320152813</v>
      </c>
      <c r="BB80" s="322">
        <f ca="1">_xlfn.XLOOKUP(TabTRADERCorrupted[[#This Row],[ClickTick]],TabCalc[Ticker],TabCalc[L_Sn])</f>
        <v>100</v>
      </c>
      <c r="BC80" s="723">
        <f ca="1">_xlfn.XLOOKUP(TabTRADERCorrupted[[#This Row],[ClickTick]],TabCalc[Ticker],TabCalc[L_Sp])</f>
        <v>631.9</v>
      </c>
      <c r="BD80" s="759">
        <f ca="1">-IFERROR((TabTRADERCorrupted[[#This Row],[M]]-TabTRADERCorrupted[[#This Row],[L_Sp]])/TabTRADERCorrupted[[#This Row],[L_Sp]],0)</f>
        <v>-0.44158885899667683</v>
      </c>
      <c r="BE80" s="724">
        <f ca="1">TabTRADERCorrupted[[#This Row],[L_Sn]]*(TabTRADERCorrupted[[#This Row],[M]]-TabTRADERCorrupted[[#This Row],[L_Sp]])*(1-Commission)*TabTRADERCorrupted[[#This Row],[Scale]]</f>
        <v>27831.449600000007</v>
      </c>
      <c r="BF80" s="687">
        <f ca="1">TabTRADERCorrupted[[#This Row],[L_Sn]]*(TabTRADERCorrupted[[#This Row],[Agiotage]]-TabTRADERCorrupted[[#This Row],[M]])/(TabTRADERCorrupted[[#This Row],[L_Bn]]*TabTRADERCorrupted[[#This Row],[M]])</f>
        <v>-0.99858511021991692</v>
      </c>
      <c r="BG80" s="630">
        <f ca="1">IFERROR((TabTRADERCorrupted[[#This Row],[M]]-TabTRADERCorrupted[[#This Row],[A]])/TabTRADERCorrupted[[#This Row],[A]],0)</f>
        <v>0</v>
      </c>
      <c r="BH8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9">
        <f ca="1">_xlfn.XLOOKUP(TabTRADERCorrupted[[#This Row],[ClickTick]],TabCalc[[#This Row],[Ticker]],TabCalc[[#This Row],[GL]])*(1-Commission)</f>
        <v>45917.428596084377</v>
      </c>
      <c r="BJ80" s="679"/>
      <c r="BK80" s="664" t="str">
        <f ca="1">TabTRADERCorrupted[[#This Row],[ClickTick]]&amp;": "&amp;_xlfn.XLOOKUP(TabTRADERCorrupted[[#This Row],[ClickTick]],TabCalc[Ticker],TabCalc[Pile?])</f>
        <v>GS: Pile</v>
      </c>
      <c r="BL80" s="349" t="s">
        <v>2044</v>
      </c>
      <c r="BM80" s="750" t="str" cm="1">
        <f t="array" aca="1" ref="BM80" ca="1">_xlfn.TEXTJOIN("",,INDEX({"M","A","Y"}, _xlfn.SORTBY({1,2,3}, -CHOOSE({1,2,3}, TabTRADERCorrupted[[#This Row],[M]], TabTRADERCorrupted[[#This Row],[A]], TabTRADERCorrupted[[#This Row],[Agiotage]]))))</f>
        <v>MYA</v>
      </c>
      <c r="BN80" s="896"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4" t="e">
        <f ca="1">TabTRADERCorrupted[[#This Row],[L_Sn]]*TabTRADERCorrupted[[#This Row],[L_Sp]]+TabTRADERCorrupted[[#This Row],[SellMore]]*TabTRADERCorrupted[[#This Row],[M]]</f>
        <v>#N/A</v>
      </c>
      <c r="BP80" s="674" t="e">
        <f ca="1">INDEX(
  INDEX(TabConsolid[], , _xlfn.XMATCH(TabTRADERCorrupted[[#This Row],[ClickTick]]&amp;1, TabConsolid[#Headers])),
  MATCH(
    -TabTRADERCorrupted[[#This Row],[M]],
    INDEX(TabConsolid[], , _xlfn.XMATCH(TabTRADERCorrupted[[#This Row],[ClickTick]]&amp;2, TabConsolid[#Headers])),
    -1
  )
)</f>
        <v>#N/A</v>
      </c>
      <c r="BQ80" s="674"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13" t="e">
        <f ca="1">TabTRADERCorrupted[[#This Row],[ReBuy]]/(TabTRADERCorrupted[[#This Row],[L_Sn]]+TabTRADERCorrupted[[#This Row],[SellMore]])</f>
        <v>#N/A</v>
      </c>
      <c r="BS8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2">
        <f ca="1">(TabTRADERCorrupted[[#This Row],[M]]-TabTRADERCorrupted[[#This Row],[Agiotage]])/(TabTRADERCorrupted[[#This Row],[M]]-TabTRADERCorrupted[[#This Row],[A]])-1</f>
        <v>-1.414889780083195E-3</v>
      </c>
      <c r="BU80" s="1221">
        <f ca="1">_xlfn.XMATCH(TabTRADERCorrupted[[#This Row],[ClickTick]]&amp;1, TabConsolid[#Headers])</f>
        <v>236</v>
      </c>
      <c r="BV80" t="b">
        <f ca="1">IF(ABS(TabTRADERCorrupted[[#This Row],[L_Bp]])&gt;=TabTRADERCorrupted[[#This Row],[M]],"OK")</f>
        <v>0</v>
      </c>
    </row>
    <row r="81" spans="1:74">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-52,664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-566.5%</v>
      </c>
      <c r="D81" s="683"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-21,742$</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15.524725729662597</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9821.4229999999989</v>
      </c>
      <c r="M81" s="321">
        <f ca="1">_xlfn.XLOOKUP(TabTRADERCorrupted[[#This Row],[ClickTick]],TabCalc[Ticker],TabCalc[Agiotage])</f>
        <v>1.5841251522935991</v>
      </c>
      <c r="N81" s="322" cm="1">
        <f t="array" aca="1" ref="N81" ca="1">_xlfn.XLOOKUP(TabTRADERCorrupted[[#This Row],[ClickTick]],ListTickers,Tab2RSIConventional[RSIConv20])</f>
        <v>74</v>
      </c>
      <c r="O81" s="698" t="str">
        <f ca="1">TEXT(_xlfn.XLOOKUP(TabTRADERCorrupted[[#This Row],[ClickTick]],TabCalc[Ticker],TabCalc[Nbegin]),"#,#0")&amp;": "&amp;_xlfn.XLOOKUP(TabTRADERCorrupted[[#This Row],[ClickTick]],TabCalc[Ticker],TabCalc[Pile?])</f>
        <v>5,353: Pile</v>
      </c>
      <c r="P81" s="729">
        <f ca="1">_xlfn.XLOOKUP(TabTRADERCorrupted[[#This Row],[ClickTick]],TabCalc[Ticker],TabCalc[L_Bn])</f>
        <v>9647</v>
      </c>
      <c r="Q81" s="723">
        <f ca="1">_xlfn.XLOOKUP(TabTRADERCorrupted[[#This Row],[ClickTick]],TabCalc[Ticker],TabCalc[L_Bp])</f>
        <v>-6.44</v>
      </c>
      <c r="R81" s="759">
        <f ca="1">(TabTRADERCorrupted[[#This Row],[M]]+TabTRADERCorrupted[[#This Row],[L_Bp]])/ABS(TabTRADERCorrupted[[#This Row],[L_Bp]])</f>
        <v>-0.84996894409937895</v>
      </c>
      <c r="S81" s="678">
        <f ca="1">_xlfn.XLOOKUP(TabTRADERCorrupted[[#This Row],[ClickTick]],TabCalc[Ticker],TabCalc[Rev(MinStock)])*(1-Commission)</f>
        <v>-52527.073599999996</v>
      </c>
      <c r="T81" s="777">
        <f ca="1">_xlfn.XLOOKUP(TabTRADERCorrupted[[#This Row],[ClickTick]],TabCalc[Ticker],TabCalc[Agiotage])</f>
        <v>1.5841251522935991</v>
      </c>
      <c r="U81" s="742"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1,493/1,493=&gt;10.6% / 10.6%</v>
      </c>
      <c r="V81" s="734" t="str">
        <f ca="1">_xlfn.XLOOKUP(TabTRADERCorrupted[[#This Row],[ClickTick]],[1]!RTData[Ticker_Symbol],[1]!RTData[Currency])</f>
        <v>USD</v>
      </c>
      <c r="W81" s="744">
        <f ca="1">_xlfn.XLOOKUP(TabTRADERCorrupted[[#This Row],[ClickTick]],TabCalc[Ticker],TabCalc[M])</f>
        <v>0.96619999999999995</v>
      </c>
      <c r="X81" s="1271" t="str">
        <f ca="1">SORTING!B81</f>
        <v>LAZR</v>
      </c>
      <c r="Y81" s="798">
        <f ca="1">_xlfn.XLOOKUP(TabTRADERCorrupted[[#This Row],[ClickTick]],TabCalc[Ticker],TabCalc[Y])</f>
        <v>14.99999</v>
      </c>
      <c r="Z81" s="812">
        <f ca="1">_xlfn.XLOOKUP(TabTRADERCorrupted[[#This Row],[ClickTick]],[1]!RTData[Ticker_Symbol],[1]!RTData[YTChange])</f>
        <v>2.4722199074074074</v>
      </c>
      <c r="AA81" s="827">
        <f ca="1">-_xlfn.XLOOKUP(TabTRADERCorrupted[[#This Row],[ClickTick]]&amp;2,Consolid!B$3:JZ$3,Consolid!B$4:JZ$4)</f>
        <v>21.733693193968289</v>
      </c>
      <c r="AB81" s="812" cm="1">
        <f t="array" aca="1" ref="AB81" ca="1">_xlfn.XLOOKUP(TabTRADERCorrupted[[#This Row],[ClickTick]],ListTickers,Tab1ChangePercent[Change%19])</f>
        <v>0.10612500000000001</v>
      </c>
      <c r="AC81" s="763">
        <f ca="1">_xlfn.XLOOKUP(TabTRADERCorrupted[[#This Row],[ClickTick]],TabCalc[Ticker],TabCalc[NAfter])</f>
        <v>15518</v>
      </c>
      <c r="AD8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-322/15 K$</v>
      </c>
      <c r="AE81" s="1147"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31"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31"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31"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0.9662</v>
      </c>
      <c r="AI81" s="1131" t="str" cm="1">
        <f t="array" aca="1" ref="AI81" ca="1">_xlfn.IFS(   TabTRADERCorrupted[[#This Row],[Traps]]=MUp,TEXT(MIN(TabTRADERCorrupted[[#This Row],[L_Sn]],TabTRADERCorrupted[[#This Row],[N]]),"#,#0")&amp;" x "&amp;TEXT(TabTRADERCorrupted[[#This Row],[L_Sp]],"#,#0.#0"),          TRUE,"")</f>
        <v/>
      </c>
      <c r="AJ81" s="1131"/>
      <c r="AK81" s="1131"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52668.453653640005</v>
      </c>
      <c r="AL81" s="1131"/>
      <c r="AM81" s="1131"/>
      <c r="AN81" s="755"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14993.491599999999</v>
      </c>
      <c r="AO81" s="1140"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0.95554368089321573</v>
      </c>
      <c r="AP81" s="1140"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5.6626866901262689</v>
      </c>
      <c r="AQ81" s="820" t="str" cm="1">
        <f t="array" aca="1" ref="AQ81" ca="1">_xlfn.IFS(   TabTRADERCorrupted[[#This Row],[Traps]]=SellMorePercentGain,                     MIN(TabTRADERCorrupted[[#This Row],[L_Sn]],TabTRADERCorrupted[[#This Row],[N]])*(TabTRADERCorrupted[[#This Row],[M]]-TabTRADERCorrupted[[#This Row],[L_Sp]])*(1-Commission)*TabTRADERCorrupted[[#This Row],[Scale]],                    TRUE,"")</f>
        <v/>
      </c>
      <c r="AR81" s="1129">
        <f ca="1">_xlfn.XLOOKUP(TabTRADERCorrupted[[#This Row],[ClickTick]],TabCalc[Ticker],TabCalc[Ann%RevLB])</f>
        <v>-0.94733380766494257</v>
      </c>
      <c r="AS81" s="1225">
        <f ca="1">_xlfn.XLOOKUP(TabTRADERCorrupted[[#This Row],[ClickTick]],TabCalc[Ticker],TabCalc[Up20])</f>
        <v>0</v>
      </c>
      <c r="AT81" s="1141"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5.6652866901262691</v>
      </c>
      <c r="AU81" s="820" cm="1">
        <f t="array" aca="1" ref="AU81" ca="1">_xlfn.IFS(         TabTRADERCorrupted[[#This Row],[Traps]]=MDown,TabTRADERCorrupted[[#This Row],[L_Bn]]*TabTRADERCorrupted[[#This Row],[M]]*(-(TabTRADERCorrupted[[#This Row],[L_Bp]]+TabTRADERCorrupted[[#This Row],[M]])/TabTRADERCorrupted[[#This Row],[M]])*(1-Commission)*TabTRADERCorrupted[[#This Row],[Scale]],                               TRUE,"")</f>
        <v>52668.453653640005</v>
      </c>
      <c r="AV81" s="1140" cm="1">
        <f t="array" aca="1" ref="AV81" ca="1">_xlfn.IFS(   TabTRADERCorrupted[[#This Row],[Traps]]=MUp,TabTRADERCorrupted[[#This Row],[TakeGain_A]]-Commission,        TabTRADERCorrupted[[#This Row],[Traps]]=MDown,(TabTRADERCorrupted[[#This Row],[A]]-TabTRADERCorrupted[[#This Row],[M]])/TabTRADERCorrupted[[#This Row],[M]]-Commission,                              TRUE,"")</f>
        <v>21.491390057926193</v>
      </c>
      <c r="AW81" s="755"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321432.05748960149</v>
      </c>
      <c r="AX81" s="755"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3.6%</v>
      </c>
      <c r="AY81" s="731"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-5.47</v>
      </c>
      <c r="AZ81" s="760"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-0.95305926732289337</v>
      </c>
      <c r="BA81" s="757"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21.491390057926193</v>
      </c>
      <c r="BB81" s="322">
        <f ca="1">_xlfn.XLOOKUP(TabTRADERCorrupted[[#This Row],[ClickTick]],TabCalc[Ticker],TabCalc[L_Sn])</f>
        <v>0</v>
      </c>
      <c r="BC81" s="723">
        <f ca="1">_xlfn.XLOOKUP(TabTRADERCorrupted[[#This Row],[ClickTick]],TabCalc[Ticker],TabCalc[L_Sp])</f>
        <v>0</v>
      </c>
      <c r="BD81" s="759">
        <f ca="1">-IFERROR((TabTRADERCorrupted[[#This Row],[M]]-TabTRADERCorrupted[[#This Row],[L_Sp]])/TabTRADERCorrupted[[#This Row],[L_Sp]],0)</f>
        <v>0</v>
      </c>
      <c r="BE81" s="724">
        <f ca="1">TabTRADERCorrupted[[#This Row],[L_Sn]]*(TabTRADERCorrupted[[#This Row],[M]]-TabTRADERCorrupted[[#This Row],[L_Sp]])*(1-Commission)*TabTRADERCorrupted[[#This Row],[Scale]]</f>
        <v>0</v>
      </c>
      <c r="BF81" s="687">
        <f ca="1">TabTRADERCorrupted[[#This Row],[L_Sn]]*(TabTRADERCorrupted[[#This Row],[Agiotage]]-TabTRADERCorrupted[[#This Row],[M]])/(TabTRADERCorrupted[[#This Row],[L_Bn]]*TabTRADERCorrupted[[#This Row],[M]])</f>
        <v>0</v>
      </c>
      <c r="BG81" s="630">
        <f ca="1">IFERROR((TabTRADERCorrupted[[#This Row],[M]]-TabTRADERCorrupted[[#This Row],[A]])/TabTRADERCorrupted[[#This Row],[A]],0)</f>
        <v>-0.95554368089321573</v>
      </c>
      <c r="BH8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-321,432$</v>
      </c>
      <c r="BI81" s="679">
        <f ca="1">_xlfn.XLOOKUP(TabTRADERCorrupted[[#This Row],[ClickTick]],TabCalc[[#This Row],[Ticker]],TabCalc[[#This Row],[GL]])*(1-Commission)</f>
        <v>-321511.21140411741</v>
      </c>
      <c r="BJ81" s="679"/>
      <c r="BK81" s="664" t="str">
        <f ca="1">TabTRADERCorrupted[[#This Row],[ClickTick]]&amp;": "&amp;_xlfn.XLOOKUP(TabTRADERCorrupted[[#This Row],[ClickTick]],TabCalc[Ticker],TabCalc[Pile?])</f>
        <v>LAZR: Pile</v>
      </c>
      <c r="BL81" s="349" t="s">
        <v>2045</v>
      </c>
      <c r="BM81" s="750" t="str" cm="1">
        <f t="array" aca="1" ref="BM81" ca="1">_xlfn.TEXTJOIN("",,INDEX({"M","A","Y"}, _xlfn.SORTBY({1,2,3}, -CHOOSE({1,2,3}, TabTRADERCorrupted[[#This Row],[M]], TabTRADERCorrupted[[#This Row],[A]], TabTRADERCorrupted[[#This Row],[Agiotage]]))))</f>
        <v>AYM</v>
      </c>
      <c r="BN81" s="896"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5.6652866901262691</v>
      </c>
      <c r="BO81" s="674" t="e">
        <f ca="1">TabTRADERCorrupted[[#This Row],[L_Sn]]*TabTRADERCorrupted[[#This Row],[L_Sp]]+TabTRADERCorrupted[[#This Row],[SellMore]]*TabTRADERCorrupted[[#This Row],[M]]</f>
        <v>#N/A</v>
      </c>
      <c r="BP81" s="674" t="e">
        <f ca="1">INDEX(
  INDEX(TabConsolid[], , _xlfn.XMATCH(TabTRADERCorrupted[[#This Row],[ClickTick]]&amp;1, TabConsolid[#Headers])),
  MATCH(
    -TabTRADERCorrupted[[#This Row],[M]],
    INDEX(TabConsolid[], , _xlfn.XMATCH(TabTRADERCorrupted[[#This Row],[ClickTick]]&amp;2, TabConsolid[#Headers])),
    -1
  )
)</f>
        <v>#N/A</v>
      </c>
      <c r="BQ81" s="674"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13" t="e">
        <f ca="1">TabTRADERCorrupted[[#This Row],[ReBuy]]/(TabTRADERCorrupted[[#This Row],[L_Sn]]+TabTRADERCorrupted[[#This Row],[SellMore]])</f>
        <v>#N/A</v>
      </c>
      <c r="BS8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2">
        <f ca="1">(TabTRADERCorrupted[[#This Row],[M]]-TabTRADERCorrupted[[#This Row],[Agiotage]])/(TabTRADERCorrupted[[#This Row],[M]]-TabTRADERCorrupted[[#This Row],[A]])-1</f>
        <v>-0.97024555893567987</v>
      </c>
      <c r="BU81" s="1221">
        <f ca="1">_xlfn.XMATCH(TabTRADERCorrupted[[#This Row],[ClickTick]]&amp;1, TabConsolid[#Headers])</f>
        <v>239</v>
      </c>
      <c r="BV81" t="str">
        <f ca="1">IF(ABS(TabTRADERCorrupted[[#This Row],[L_Bp]])&gt;=TabTRADERCorrupted[[#This Row],[M]],"OK")</f>
        <v>OK</v>
      </c>
    </row>
    <row r="82" spans="1:74">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+2,629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7.2%</v>
      </c>
      <c r="D82" s="683"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2" s="224" t="str">
        <f ca="1">TRUNC(TabCalc[[#This Row],[L_B1p]],2)&amp;"x"&amp;TabCalc[[#This Row],[L_B1n]]&amp;"=   "&amp;TEXT(TabCalc[[#This Row],[ReverseS1]],"#,#0")&amp;"$"</f>
        <v>-30.69x1200=   12,051$</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33.64x1200=   8,512$</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17.4% = 0</v>
      </c>
      <c r="I82" s="224" t="str">
        <f ca="1">IFERROR(TRUNC(TabCalc[[#This Row],[L_S1p]],2)&amp;"x"&amp;TabCalc[[#This Row],[L_S1n]]&amp;"=   "&amp;TEXT(TabCalc[[#This Row],[ReverseB1]],"#,#0"),"")</f>
        <v>28.54x2000=   -24,400</v>
      </c>
      <c r="J82" s="293">
        <f ca="1">_xlfn.XLOOKUP(TabTRADERCorrupted[[#This Row],[ClickTick]],TabCalc[Ticker],ListGravity)</f>
        <v>0.84609720176730474</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2.7751078974989354</v>
      </c>
      <c r="N82" s="322" cm="1">
        <f t="array" aca="1" ref="N82" ca="1">_xlfn.XLOOKUP(TabTRADERCorrupted[[#This Row],[ClickTick]],ListTickers,Tab2RSIConventional[RSIConv20])</f>
        <v>92</v>
      </c>
      <c r="O82" s="698" t="str">
        <f ca="1">TEXT(_xlfn.XLOOKUP(TabTRADERCorrupted[[#This Row],[ClickTick]],TabCalc[Ticker],TabCalc[Nbegin]),"#,#0")&amp;": "&amp;_xlfn.XLOOKUP(TabTRADERCorrupted[[#This Row],[ClickTick]],TabCalc[Ticker],TabCalc[Pile?])</f>
        <v xml:space="preserve">2,100: </v>
      </c>
      <c r="P82" s="319">
        <f ca="1">_xlfn.XLOOKUP(TabTRADERCorrupted[[#This Row],[ClickTick]],TabCalc[Ticker],TabCalc[L_Bn])</f>
        <v>900</v>
      </c>
      <c r="Q82" s="676">
        <f ca="1">_xlfn.XLOOKUP(TabTRADERCorrupted[[#This Row],[ClickTick]],TabCalc[Ticker],TabCalc[L_Bp])</f>
        <v>-37.81</v>
      </c>
      <c r="R82" s="759">
        <f ca="1">(TabTRADERCorrupted[[#This Row],[M]]+TabTRADERCorrupted[[#This Row],[L_Bp]])/ABS(TabTRADERCorrupted[[#This Row],[L_Bp]])</f>
        <v>7.7492726791853997E-2</v>
      </c>
      <c r="S82" s="678">
        <f ca="1">_xlfn.XLOOKUP(TabTRADERCorrupted[[#This Row],[ClickTick]],TabCalc[Ticker],TabCalc[Rev(MinStock)])*(1-Commission)</f>
        <v>2622.1646000000001</v>
      </c>
      <c r="T82" s="777">
        <f ca="1">_xlfn.XLOOKUP(TabTRADERCorrupted[[#This Row],[ClickTick]],TabCalc[Ticker],TabCalc[Agiotage])</f>
        <v>2.7751078974989354</v>
      </c>
      <c r="U82" s="742"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1,911/1,911=&gt;2.3% / 2.3%</v>
      </c>
      <c r="V82" s="734" t="str">
        <f ca="1">_xlfn.XLOOKUP(TabTRADERCorrupted[[#This Row],[ClickTick]],[1]!RTData[Ticker_Symbol],[1]!RTData[Currency])</f>
        <v>USD</v>
      </c>
      <c r="W82" s="744">
        <f ca="1">_xlfn.XLOOKUP(TabTRADERCorrupted[[#This Row],[ClickTick]],TabCalc[Ticker],TabCalc[M])</f>
        <v>40.74</v>
      </c>
      <c r="X82" s="1271" t="str">
        <f ca="1">SORTING!B82</f>
        <v>LUV</v>
      </c>
      <c r="Y82" s="798">
        <f ca="1">_xlfn.XLOOKUP(TabTRADERCorrupted[[#This Row],[ClickTick]],TabCalc[Ticker],TabCalc[Y])</f>
        <v>34.47</v>
      </c>
      <c r="Z82" s="812">
        <f ca="1">_xlfn.XLOOKUP(TabTRADERCorrupted[[#This Row],[ClickTick]],[1]!RTData[Ticker_Symbol],[1]!RTData[YTChange])</f>
        <v>0.22931526390870186</v>
      </c>
      <c r="AA82" s="827">
        <f ca="1">-_xlfn.XLOOKUP(TabTRADERCorrupted[[#This Row],[ClickTick]]&amp;2,Consolid!B$3:JZ$3,Consolid!B$4:JZ$4)</f>
        <v>33.833395851428577</v>
      </c>
      <c r="AB82" s="812" cm="1">
        <f t="array" aca="1" ref="AB82" ca="1">_xlfn.XLOOKUP(TabTRADERCorrupted[[#This Row],[ClickTick]],ListTickers,Tab1ChangePercent[Change%19])</f>
        <v>2.2846999999999999E-2</v>
      </c>
      <c r="AC82" s="763">
        <f ca="1">_xlfn.XLOOKUP(TabTRADERCorrupted[[#This Row],[ClickTick]],TabCalc[Ticker],TabCalc[NAfter])</f>
        <v>2100</v>
      </c>
      <c r="AD8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-7/85 K$</v>
      </c>
      <c r="AE82" s="1127"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2" s="1131"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900 x -37.81</v>
      </c>
      <c r="AG82" s="1131"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2622.1646000000001</v>
      </c>
      <c r="AH82" s="1131"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40.74</v>
      </c>
      <c r="AI82" s="1131" t="str" cm="1">
        <f t="array" aca="1" ref="AI82" ca="1">_xlfn.IFS(   TabTRADERCorrupted[[#This Row],[Traps]]=MUp,TEXT(MIN(TabTRADERCorrupted[[#This Row],[L_Sn]],TabTRADERCorrupted[[#This Row],[N]]),"#,#0")&amp;" x "&amp;TEXT(TabTRADERCorrupted[[#This Row],[L_Sp]],"#,#0.#0"),          TRUE,"")</f>
        <v/>
      </c>
      <c r="AJ82" s="1131"/>
      <c r="AK82" s="1131"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31"/>
      <c r="AM82" s="1131"/>
      <c r="AN82" s="755"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2622.1646000000001</v>
      </c>
      <c r="AO82" s="1140"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7.7492726791853997E-2</v>
      </c>
      <c r="AP82" s="1140"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TabTRADERCorrupted[[#This Row],[Traps]]=SellMorePercentGain,                     MIN(TabTRADERCorrupted[[#This Row],[L_Sn]],TabTRADERCorrupted[[#This Row],[N]])*(TabTRADERCorrupted[[#This Row],[M]]-TabTRADERCorrupted[[#This Row],[L_Sp]])*(1-Commission)*TabTRADERCorrupted[[#This Row],[Scale]],                    TRUE,"")</f>
        <v/>
      </c>
      <c r="AR82" s="1129">
        <f ca="1">_xlfn.XLOOKUP(TabTRADERCorrupted[[#This Row],[ClickTick]],TabCalc[Ticker],TabCalc[Ann%RevLB])</f>
        <v>4.6495636075112401</v>
      </c>
      <c r="AS82" s="1225" t="str">
        <f ca="1">_xlfn.XLOOKUP(TabTRADERCorrupted[[#This Row],[ClickTick]],TabCalc[Ticker],TabCalc[Up20])</f>
        <v>/50/%</v>
      </c>
      <c r="AT82" s="1141"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20"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40" t="str" cm="1">
        <f t="array" aca="1" ref="AV82" ca="1">_xlfn.IFS(   TabTRADERCorrupted[[#This Row],[Traps]]=MUp,TabTRADERCorrupted[[#This Row],[TakeGain_A]]-Commission,        TabTRADERCorrupted[[#This Row],[Traps]]=MDown,(TabTRADERCorrupted[[#This Row],[A]]-TabTRADERCorrupted[[#This Row],[M]])/TabTRADERCorrupted[[#This Row],[M]]-Commission,                              TRUE,"")</f>
        <v/>
      </c>
      <c r="AW82" s="820"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17419.218163184913</v>
      </c>
      <c r="AX82" s="755"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2" s="731"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2" s="760" t="str"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2" s="757"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-0.17212882053439924</v>
      </c>
      <c r="BB82" s="322">
        <f ca="1">_xlfn.XLOOKUP(TabTRADERCorrupted[[#This Row],[ClickTick]],TabCalc[Ticker],TabCalc[L_Sn])</f>
        <v>1200</v>
      </c>
      <c r="BC82" s="723">
        <f ca="1">_xlfn.XLOOKUP(TabTRADERCorrupted[[#This Row],[ClickTick]],TabCalc[Ticker],TabCalc[L_Sp])</f>
        <v>33.646524999999997</v>
      </c>
      <c r="BD82" s="759">
        <f ca="1">-IFERROR((TabTRADERCorrupted[[#This Row],[M]]-TabTRADERCorrupted[[#This Row],[L_Sp]])/TabTRADERCorrupted[[#This Row],[L_Sp]],0)</f>
        <v>-0.21082340598323321</v>
      </c>
      <c r="BE82" s="724">
        <f ca="1">TabTRADERCorrupted[[#This Row],[L_Sn]]*(TabTRADERCorrupted[[#This Row],[M]]-TabTRADERCorrupted[[#This Row],[L_Sp]])*(1-Commission)*TabTRADERCorrupted[[#This Row],[Scale]]</f>
        <v>8490.0383580000052</v>
      </c>
      <c r="BF82" s="687">
        <f ca="1">TabTRADERCorrupted[[#This Row],[L_Sn]]*(TabTRADERCorrupted[[#This Row],[Agiotage]]-TabTRADERCorrupted[[#This Row],[M]])/(TabTRADERCorrupted[[#This Row],[L_Bn]]*TabTRADERCorrupted[[#This Row],[M]])</f>
        <v>-1.2425099689903802</v>
      </c>
      <c r="BG82" s="630">
        <f ca="1">IFERROR((TabTRADERCorrupted[[#This Row],[M]]-TabTRADERCorrupted[[#This Row],[A]])/TabTRADERCorrupted[[#This Row],[A]],0)</f>
        <v>0.20413570600184969</v>
      </c>
      <c r="BH8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 : 14,466$</v>
      </c>
      <c r="BI82" s="679">
        <f ca="1">_xlfn.XLOOKUP(TabTRADERCorrupted[[#This Row],[ClickTick]],TabCalc[[#This Row],[Ticker]],TabCalc[[#This Row],[GL]])*(1-Commission)</f>
        <v>-6948.9278712496271</v>
      </c>
      <c r="BJ82" s="679"/>
      <c r="BK82" s="664" t="str">
        <f ca="1">TabTRADERCorrupted[[#This Row],[ClickTick]]&amp;": "&amp;_xlfn.XLOOKUP(TabTRADERCorrupted[[#This Row],[ClickTick]],TabCalc[Ticker],TabCalc[Pile?])</f>
        <v xml:space="preserve">LUV: </v>
      </c>
      <c r="BL82" s="349" t="s">
        <v>2046</v>
      </c>
      <c r="BM82" s="750" t="str" cm="1">
        <f t="array" aca="1" ref="BM82" ca="1">_xlfn.TEXTJOIN("",,INDEX({"M","A","Y"}, _xlfn.SORTBY({1,2,3}, -CHOOSE({1,2,3}, TabTRADERCorrupted[[#This Row],[M]], TabTRADERCorrupted[[#This Row],[A]], TabTRADERCorrupted[[#This Row],[Agiotage]]))))</f>
        <v>MAY</v>
      </c>
      <c r="BN82" s="896"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4">
        <f ca="1">TabTRADERCorrupted[[#This Row],[L_Sn]]*TabTRADERCorrupted[[#This Row],[L_Sp]]+TabTRADERCorrupted[[#This Row],[SellMore]]*TabTRADERCorrupted[[#This Row],[M]]</f>
        <v>77041.829999999987</v>
      </c>
      <c r="BP82" s="674">
        <f ca="1">INDEX(
  INDEX(TabConsolid[], , _xlfn.XMATCH(TabTRADERCorrupted[[#This Row],[ClickTick]]&amp;1, TabConsolid[#Headers])),
  MATCH(
    -TabTRADERCorrupted[[#This Row],[M]],
    INDEX(TabConsolid[], , _xlfn.XMATCH(TabTRADERCorrupted[[#This Row],[ClickTick]]&amp;2, TabConsolid[#Headers])),
    -1
  )
)</f>
        <v>900</v>
      </c>
      <c r="BQ82" s="674"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13">
        <f ca="1">TabTRADERCorrupted[[#This Row],[ReBuy]]/(TabTRADERCorrupted[[#This Row],[L_Sn]]+TabTRADERCorrupted[[#This Row],[SellMore]])</f>
        <v>36.686585714285705</v>
      </c>
      <c r="BS8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-4.9715930134227586E-2</v>
      </c>
      <c r="BT82" s="682">
        <f ca="1">(TabTRADERCorrupted[[#This Row],[M]]-TabTRADERCorrupted[[#This Row],[Agiotage]])/(TabTRADERCorrupted[[#This Row],[M]]-TabTRADERCorrupted[[#This Row],[A]])-1</f>
        <v>4.4968970692136452</v>
      </c>
      <c r="BU82" s="1221">
        <f ca="1">_xlfn.XMATCH(TabTRADERCorrupted[[#This Row],[ClickTick]]&amp;1, TabConsolid[#Headers])</f>
        <v>242</v>
      </c>
      <c r="BV82" t="b">
        <f ca="1">IF(ABS(TabTRADERCorrupted[[#This Row],[L_Bp]])&gt;=TabTRADERCorrupted[[#This Row],[M]],"OK")</f>
        <v>0</v>
      </c>
    </row>
    <row r="83" spans="1:74">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-232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-0.4%</v>
      </c>
      <c r="D83" s="683"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172</v>
      </c>
      <c r="F83" s="224" t="str">
        <f ca="1">TRUNC(TabCalc[[#This Row],[L_B1p]],2)&amp;"x"&amp;TabCalc[[#This Row],[L_B1n]]&amp;"=   "&amp;TEXT(TabCalc[[#This Row],[ReverseS1]],"#,#0")&amp;"$"</f>
        <v>-546.81x200=   3,352$</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-2,911$</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5.2% = 172</v>
      </c>
      <c r="I83" s="224" t="str">
        <f ca="1">IFERROR(TRUNC(TabCalc[[#This Row],[L_S1p]],2)&amp;"x"&amp;TabCalc[[#This Row],[L_S1n]]&amp;"=   "&amp;TEXT(TabCalc[[#This Row],[ReverseB1]],"#,#0"),"")</f>
        <v>546.67x100=   -1,690</v>
      </c>
      <c r="J83" s="293">
        <f ca="1">_xlfn.XLOOKUP(TabTRADERCorrupted[[#This Row],[ClickTick]],TabCalc[Ticker],ListGravity)</f>
        <v>1.1649050694678564</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1.2355910357032382</v>
      </c>
      <c r="N83" s="322" cm="1">
        <f t="array" aca="1" ref="N83" ca="1">_xlfn.XLOOKUP(TabTRADERCorrupted[[#This Row],[ClickTick]],ListTickers,Tab2RSIConventional[RSIConv20])</f>
        <v>81</v>
      </c>
      <c r="O83" s="698" t="str">
        <f ca="1">TEXT(_xlfn.XLOOKUP(TabTRADERCorrupted[[#This Row],[ClickTick]],TabCalc[Ticker],TabCalc[Nbegin]),"#,#0")&amp;": "&amp;_xlfn.XLOOKUP(TabTRADERCorrupted[[#This Row],[ClickTick]],TabCalc[Ticker],TabCalc[Pile?])</f>
        <v>330: Pile</v>
      </c>
      <c r="P83" s="729">
        <f ca="1">_xlfn.XLOOKUP(TabTRADERCorrupted[[#This Row],[ClickTick]],TabCalc[Ticker],TabCalc[L_Bn])</f>
        <v>100</v>
      </c>
      <c r="Q83" s="723">
        <f ca="1">_xlfn.XLOOKUP(TabTRADERCorrupted[[#This Row],[ClickTick]],TabCalc[Ticker],TabCalc[L_Bp])</f>
        <v>-565.89</v>
      </c>
      <c r="R83" s="759">
        <f ca="1">(TabTRADERCorrupted[[#This Row],[M]]+TabTRADERCorrupted[[#This Row],[L_Bp]])/ABS(TabTRADERCorrupted[[#This Row],[L_Bp]])</f>
        <v>-4.0997366979447182E-3</v>
      </c>
      <c r="S83" s="678">
        <f ca="1">_xlfn.XLOOKUP(TabTRADERCorrupted[[#This Row],[ClickTick]],TabCalc[Ticker],TabCalc[Rev(MinStock)])*(1-Commission)</f>
        <v>-231.39679999999998</v>
      </c>
      <c r="T83" s="777">
        <f ca="1">_xlfn.XLOOKUP(TabTRADERCorrupted[[#This Row],[ClickTick]],TabCalc[Ticker],TabCalc[Agiotage])</f>
        <v>1.2355910357032382</v>
      </c>
      <c r="U83" s="742"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3,958/3,958=&gt;4.6% / 4.6%</v>
      </c>
      <c r="V83" s="734" t="str">
        <f ca="1">_xlfn.XLOOKUP(TabTRADERCorrupted[[#This Row],[ClickTick]],[1]!RTData[Ticker_Symbol],[1]!RTData[Currency])</f>
        <v>USD</v>
      </c>
      <c r="W83" s="744">
        <f ca="1">_xlfn.XLOOKUP(TabTRADERCorrupted[[#This Row],[ClickTick]],TabCalc[Ticker],TabCalc[M])</f>
        <v>563.57000000000005</v>
      </c>
      <c r="X83" s="1271" t="str">
        <f ca="1">SORTING!B83</f>
        <v>MA</v>
      </c>
      <c r="Y83" s="798">
        <f ca="1">_xlfn.XLOOKUP(TabTRADERCorrupted[[#This Row],[ClickTick]],TabCalc[Ticker],TabCalc[Y])</f>
        <v>656.50554999999997</v>
      </c>
      <c r="Z83" s="812">
        <f ca="1">_xlfn.XLOOKUP(TabTRADERCorrupted[[#This Row],[ClickTick]],[1]!RTData[Ticker_Symbol],[1]!RTData[YTChange])</f>
        <v>0.19514581930057714</v>
      </c>
      <c r="AA83" s="827">
        <f ca="1">-_xlfn.XLOOKUP(TabTRADERCorrupted[[#This Row],[ClickTick]]&amp;2,Consolid!B$3:JZ$3,Consolid!B$4:JZ$4)</f>
        <v>557.79651000000001</v>
      </c>
      <c r="AB83" s="812" cm="1">
        <f t="array" aca="1" ref="AB83" ca="1">_xlfn.XLOOKUP(TabTRADERCorrupted[[#This Row],[ClickTick]],ListTickers,Tab1ChangePercent[Change%19])</f>
        <v>4.5856000000000001E-2</v>
      </c>
      <c r="AC83" s="763">
        <f ca="1">_xlfn.XLOOKUP(TabTRADERCorrupted[[#This Row],[ClickTick]],TabCalc[Ticker],TabCalc[NAfter])</f>
        <v>200</v>
      </c>
      <c r="AD8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^49/112 K$</v>
      </c>
      <c r="AE83" s="1127"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3" s="1131"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563.57, -04.9%</v>
      </c>
      <c r="AG83" s="1131" t="str"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 x -565.89</v>
      </c>
      <c r="AH83" s="1131"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563.57</v>
      </c>
      <c r="AI83" s="1131" t="str" cm="1">
        <f t="array" aca="1" ref="AI83" ca="1">_xlfn.IFS(   TabTRADERCorrupted[[#This Row],[Traps]]=MUp,TEXT(MIN(TabTRADERCorrupted[[#This Row],[L_Sn]],TabTRADERCorrupted[[#This Row],[N]]),"#,#0")&amp;" x "&amp;TEXT(TabTRADERCorrupted[[#This Row],[L_Sp]],"#,#0.#0"),          TRUE,"")</f>
        <v/>
      </c>
      <c r="AJ83" s="1131"/>
      <c r="AK83" s="1131"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231.39679999999365</v>
      </c>
      <c r="AL83" s="1131"/>
      <c r="AM83" s="1131"/>
      <c r="AN83" s="755"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112714.00000000001</v>
      </c>
      <c r="AO83" s="1140"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-1.0350530877290785E-2</v>
      </c>
      <c r="AP83" s="1140"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1.5166137303261997E-3</v>
      </c>
      <c r="AQ83" s="820" t="str" cm="1">
        <f t="array" aca="1" ref="AQ83" ca="1">_xlfn.IFS(   TabTRADERCorrupted[[#This Row],[Traps]]=SellMorePercentGain,                     MIN(TabTRADERCorrupted[[#This Row],[L_Sn]],TabTRADERCorrupted[[#This Row],[N]])*(TabTRADERCorrupted[[#This Row],[M]]-TabTRADERCorrupted[[#This Row],[L_Sp]])*(1-Commission)*TabTRADERCorrupted[[#This Row],[Scale]],                    TRUE,"")</f>
        <v/>
      </c>
      <c r="AR83" s="1129">
        <f ca="1">_xlfn.XLOOKUP(TabTRADERCorrupted[[#This Row],[ClickTick]],TabCalc[Ticker],TabCalc[Ann%RevLB])</f>
        <v>-1.8921861682821776E-2</v>
      </c>
      <c r="AS83" s="1225">
        <f ca="1">_xlfn.XLOOKUP(TabTRADERCorrupted[[#This Row],[ClickTick]],TabCalc[Ticker],TabCalc[Up20])</f>
        <v>0</v>
      </c>
      <c r="AT83" s="1141"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4.1166137303261996E-3</v>
      </c>
      <c r="AU83" s="820" cm="1">
        <f t="array" aca="1" ref="AU83" ca="1">_xlfn.IFS(         TabTRADERCorrupted[[#This Row],[Traps]]=MDown,TabTRADERCorrupted[[#This Row],[L_Bn]]*TabTRADERCorrupted[[#This Row],[M]]*(-(TabTRADERCorrupted[[#This Row],[L_Bp]]+TabTRADERCorrupted[[#This Row],[M]])/TabTRADERCorrupted[[#This Row],[M]])*(1-Commission)*TabTRADERCorrupted[[#This Row],[Scale]],                               TRUE,"")</f>
        <v>231.39679999999368</v>
      </c>
      <c r="AV83" s="1140" cm="1">
        <f t="array" aca="1" ref="AV83" ca="1">_xlfn.IFS(   TabTRADERCorrupted[[#This Row],[Traps]]=MUp,TabTRADERCorrupted[[#This Row],[TakeGain_A]]-Commission,        TabTRADERCorrupted[[#This Row],[Traps]]=MDown,(TabTRADERCorrupted[[#This Row],[A]]-TabTRADERCorrupted[[#This Row],[M]])/TabTRADERCorrupted[[#This Row],[M]]-Commission,                              TRUE,"")</f>
        <v>-1.284449491633699E-2</v>
      </c>
      <c r="AW83" s="820"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-1151.6957852000075</v>
      </c>
      <c r="AX83" s="755" t="str"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83" s="731"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-2.31</v>
      </c>
      <c r="AZ83" s="760"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1.0323619497009828E-2</v>
      </c>
      <c r="BA83" s="757"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-1.284449491633699E-2</v>
      </c>
      <c r="BB83" s="322">
        <f ca="1">_xlfn.XLOOKUP(TabTRADERCorrupted[[#This Row],[ClickTick]],TabCalc[Ticker],TabCalc[L_Sn])</f>
        <v>100</v>
      </c>
      <c r="BC83" s="723">
        <f ca="1">_xlfn.XLOOKUP(TabTRADERCorrupted[[#This Row],[ClickTick]],TabCalc[Ticker],TabCalc[L_Sp])</f>
        <v>592.67999999999995</v>
      </c>
      <c r="BD83" s="759">
        <f ca="1">-IFERROR((TabTRADERCorrupted[[#This Row],[M]]-TabTRADERCorrupted[[#This Row],[L_Sp]])/TabTRADERCorrupted[[#This Row],[L_Sp]],0)</f>
        <v>4.9115880407639707E-2</v>
      </c>
      <c r="BE83" s="724">
        <f ca="1">TabTRADERCorrupted[[#This Row],[L_Sn]]*(TabTRADERCorrupted[[#This Row],[M]]-TabTRADERCorrupted[[#This Row],[L_Sp]])*(1-Commission)*TabTRADERCorrupted[[#This Row],[Scale]]</f>
        <v>-2903.4313999999899</v>
      </c>
      <c r="BF83" s="687">
        <f ca="1">TabTRADERCorrupted[[#This Row],[L_Sn]]*(TabTRADERCorrupted[[#This Row],[Agiotage]]-TabTRADERCorrupted[[#This Row],[M]])/(TabTRADERCorrupted[[#This Row],[L_Bn]]*TabTRADERCorrupted[[#This Row],[M]])</f>
        <v>-0.99780756421437755</v>
      </c>
      <c r="BG83" s="630">
        <f ca="1">IFERROR((TabTRADERCorrupted[[#This Row],[M]]-TabTRADERCorrupted[[#This Row],[A]])/TabTRADERCorrupted[[#This Row],[A]],0)</f>
        <v>1.0350530877290785E-2</v>
      </c>
      <c r="BH8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1,152$</v>
      </c>
      <c r="BI83" s="679">
        <f ca="1">_xlfn.XLOOKUP(TabTRADERCorrupted[[#This Row],[ClickTick]],TabCalc[[#This Row],[Ticker]],TabCalc[[#This Row],[GL]])*(1-Commission)</f>
        <v>49176.084309573227</v>
      </c>
      <c r="BJ83" s="679"/>
      <c r="BK83" s="664" t="str">
        <f ca="1">TabTRADERCorrupted[[#This Row],[ClickTick]]&amp;": "&amp;_xlfn.XLOOKUP(TabTRADERCorrupted[[#This Row],[ClickTick]],TabCalc[Ticker],TabCalc[Pile?])</f>
        <v>MA: Pile</v>
      </c>
      <c r="BL83" s="349" t="s">
        <v>2047</v>
      </c>
      <c r="BM83" s="750" t="str" cm="1">
        <f t="array" aca="1" ref="BM83" ca="1">_xlfn.TEXTJOIN("",,INDEX({"M","A","Y"}, _xlfn.SORTBY({1,2,3}, -CHOOSE({1,2,3}, TabTRADERCorrupted[[#This Row],[M]], TabTRADERCorrupted[[#This Row],[A]], TabTRADERCorrupted[[#This Row],[Agiotage]]))))</f>
        <v>MAY</v>
      </c>
      <c r="BN83" s="896"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4.1166137303261996E-3</v>
      </c>
      <c r="BO83" s="674">
        <f ca="1">TabTRADERCorrupted[[#This Row],[L_Sn]]*TabTRADERCorrupted[[#This Row],[L_Sp]]+TabTRADERCorrupted[[#This Row],[SellMore]]*TabTRADERCorrupted[[#This Row],[M]]</f>
        <v>115625</v>
      </c>
      <c r="BP83" s="674">
        <f ca="1">INDEX(
  INDEX(TabConsolid[], , _xlfn.XMATCH(TabTRADERCorrupted[[#This Row],[ClickTick]]&amp;1, TabConsolid[#Headers])),
  MATCH(
    -TabTRADERCorrupted[[#This Row],[M]],
    INDEX(TabConsolid[], , _xlfn.XMATCH(TabTRADERCorrupted[[#This Row],[ClickTick]]&amp;2, TabConsolid[#Headers])),
    -1
  )
)</f>
        <v>100</v>
      </c>
      <c r="BQ83" s="674"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13">
        <f ca="1">TabTRADERCorrupted[[#This Row],[ReBuy]]/(TabTRADERCorrupted[[#This Row],[L_Sn]]+TabTRADERCorrupted[[#This Row],[SellMore]])</f>
        <v>578.125</v>
      </c>
      <c r="BS8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-8.435016134464453</v>
      </c>
      <c r="BT83" s="682">
        <f ca="1">(TabTRADERCorrupted[[#This Row],[M]]-TabTRADERCorrupted[[#This Row],[Agiotage]])/(TabTRADERCorrupted[[#This Row],[M]]-TabTRADERCorrupted[[#This Row],[A]])-1</f>
        <v>96.399390830207224</v>
      </c>
      <c r="BU83" s="1221">
        <f ca="1">_xlfn.XMATCH(TabTRADERCorrupted[[#This Row],[ClickTick]]&amp;1, TabConsolid[#Headers])</f>
        <v>245</v>
      </c>
      <c r="BV83" t="str">
        <f ca="1">IF(ABS(TabTRADERCorrupted[[#This Row],[L_Bp]])&gt;=TabTRADERCorrupted[[#This Row],[M]],"OK")</f>
        <v>OK</v>
      </c>
    </row>
    <row r="84" spans="1:74">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-13,728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-45.7%</v>
      </c>
      <c r="D84" s="683"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7,358$</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-14,165$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211.7% = 353</v>
      </c>
      <c r="I84" s="224" t="str">
        <f ca="1">IFERROR(TRUNC(TabCalc[[#This Row],[L_S1p]],2)&amp;"x"&amp;TabCalc[[#This Row],[L_S1n]]&amp;"=   "&amp;TEXT(TabCalc[[#This Row],[ReverseB1]],"#,#0"),"")</f>
        <v>14.95x2700=   22,302</v>
      </c>
      <c r="J84" s="293">
        <f ca="1">_xlfn.XLOOKUP(TabTRADERCorrupted[[#This Row],[ClickTick]],TabCalc[Ticker],ListGravity)</f>
        <v>1.8933736920777278</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12042</v>
      </c>
      <c r="M84" s="321">
        <f ca="1">_xlfn.XLOOKUP(TabTRADERCorrupted[[#This Row],[ClickTick]],TabCalc[Ticker],TabCalc[Agiotage])</f>
        <v>0.6525138583606388</v>
      </c>
      <c r="N84" s="322" cm="1">
        <f t="array" aca="1" ref="N84" ca="1">_xlfn.XLOOKUP(TabTRADERCorrupted[[#This Row],[ClickTick]],ListTickers,Tab2RSIConventional[RSIConv20])</f>
        <v>71</v>
      </c>
      <c r="O84" s="698"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3">
        <f ca="1">_xlfn.XLOOKUP(TabTRADERCorrupted[[#This Row],[ClickTick]],TabCalc[Ticker],TabCalc[L_Bp])</f>
        <v>-9.7487999999999992</v>
      </c>
      <c r="R84" s="759">
        <f ca="1">(TabTRADERCorrupted[[#This Row],[M]]+TabTRADERCorrupted[[#This Row],[L_Bp]])/ABS(TabTRADERCorrupted[[#This Row],[L_Bp]])</f>
        <v>-0.31376169374692259</v>
      </c>
      <c r="S84" s="678">
        <f ca="1">_xlfn.XLOOKUP(TabTRADERCorrupted[[#This Row],[ClickTick]],TabCalc[Ticker],TabCalc[Rev(MinStock)])*(1-Commission)</f>
        <v>-13692.307199999999</v>
      </c>
      <c r="T84" s="777">
        <f ca="1">_xlfn.XLOOKUP(TabTRADERCorrupted[[#This Row],[ClickTick]],TabCalc[Ticker],TabCalc[Agiotage])</f>
        <v>0.6525138583606388</v>
      </c>
      <c r="U84" s="742"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-135/-135=&gt;-0.7% / -0.7%</v>
      </c>
      <c r="V84" s="734" t="str">
        <f ca="1">_xlfn.XLOOKUP(TabTRADERCorrupted[[#This Row],[ClickTick]],[1]!RTData[Ticker_Symbol],[1]!RTData[Currency])</f>
        <v>USD</v>
      </c>
      <c r="W84" s="744">
        <f ca="1">_xlfn.XLOOKUP(TabTRADERCorrupted[[#This Row],[ClickTick]],TabCalc[Ticker],TabCalc[M])</f>
        <v>6.69</v>
      </c>
      <c r="X84" s="1271" t="str">
        <f ca="1">SORTING!B84</f>
        <v>NVAX</v>
      </c>
      <c r="Y84" s="798">
        <f ca="1">_xlfn.XLOOKUP(TabTRADERCorrupted[[#This Row],[ClickTick]],TabCalc[Ticker],TabCalc[Y])</f>
        <v>12.66667</v>
      </c>
      <c r="Z84" s="812">
        <f ca="1">_xlfn.XLOOKUP(TabTRADERCorrupted[[#This Row],[ClickTick]],[1]!RTData[Ticker_Symbol],[1]!RTData[YTChange])</f>
        <v>-0.13655964553510566</v>
      </c>
      <c r="AA84" s="827">
        <f ca="1">-_xlfn.XLOOKUP(TabTRADERCorrupted[[#This Row],[ClickTick]]&amp;2,Consolid!B$3:JZ$3,Consolid!B$4:JZ$4)</f>
        <v>9.7741468799999982</v>
      </c>
      <c r="AB84" s="812" cm="1">
        <f t="array" aca="1" ref="AB84" ca="1">_xlfn.XLOOKUP(TabTRADERCorrupted[[#This Row],[ClickTick]],ListTickers,Tab1ChangePercent[Change%19])</f>
        <v>-7.4180000000000001E-3</v>
      </c>
      <c r="AC84" s="763">
        <f ca="1">_xlfn.XLOOKUP(TabTRADERCorrupted[[#This Row],[ClickTick]],TabCalc[Ticker],TabCalc[NAfter])</f>
        <v>4500</v>
      </c>
      <c r="AD8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-54/30 K$</v>
      </c>
      <c r="AE84" s="1147"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31"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6.69, -67.9%</v>
      </c>
      <c r="AG84" s="1131"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31"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6.69</v>
      </c>
      <c r="AI84" s="1131" t="str" cm="1">
        <f t="array" aca="1" ref="AI84" ca="1">_xlfn.IFS(   TabTRADERCorrupted[[#This Row],[Traps]]=MUp,TEXT(MIN(TabTRADERCorrupted[[#This Row],[L_Sn]],TabTRADERCorrupted[[#This Row],[N]]),"#,#0")&amp;" x "&amp;TEXT(TabTRADERCorrupted[[#This Row],[L_Sp]],"#,#0.#0"),          TRUE,"")</f>
        <v/>
      </c>
      <c r="AJ84" s="1131"/>
      <c r="AK84" s="1131"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13728.812039999993</v>
      </c>
      <c r="AL84" s="1131"/>
      <c r="AM84" s="1131"/>
      <c r="AN84" s="755"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30105</v>
      </c>
      <c r="AO84" s="1140"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0.31554128640227663</v>
      </c>
      <c r="AP84" s="1140"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0.45461973094170383</v>
      </c>
      <c r="AQ84" s="820" t="str" cm="1">
        <f t="array" aca="1" ref="AQ84" ca="1">_xlfn.IFS(   TabTRADERCorrupted[[#This Row],[Traps]]=SellMorePercentGain,                     MIN(TabTRADERCorrupted[[#This Row],[L_Sn]],TabTRADERCorrupted[[#This Row],[N]])*(TabTRADERCorrupted[[#This Row],[M]]-TabTRADERCorrupted[[#This Row],[L_Sp]])*(1-Commission)*TabTRADERCorrupted[[#This Row],[Scale]],                    TRUE,"")</f>
        <v/>
      </c>
      <c r="AR84" s="1129">
        <f ca="1">_xlfn.XLOOKUP(TabTRADERCorrupted[[#This Row],[ClickTick]],TabCalc[Ticker],TabCalc[Ann%RevLB])</f>
        <v>-0.33319825884628951</v>
      </c>
      <c r="AS84" s="1225">
        <f ca="1">_xlfn.XLOOKUP(TabTRADERCorrupted[[#This Row],[ClickTick]],TabCalc[Ticker],TabCalc[Up20])</f>
        <v>0</v>
      </c>
      <c r="AT84" s="1141"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0.45721973094170382</v>
      </c>
      <c r="AU84" s="820" cm="1">
        <f t="array" aca="1" ref="AU84" ca="1">_xlfn.IFS(         TabTRADERCorrupted[[#This Row],[Traps]]=MDown,TabTRADERCorrupted[[#This Row],[L_Bn]]*TabTRADERCorrupted[[#This Row],[M]]*(-(TabTRADERCorrupted[[#This Row],[L_Bp]]+TabTRADERCorrupted[[#This Row],[M]])/TabTRADERCorrupted[[#This Row],[M]])*(1-Commission)*TabTRADERCorrupted[[#This Row],[Scale]],                               TRUE,"")</f>
        <v>13728.812039999992</v>
      </c>
      <c r="AV84" s="1140" cm="1">
        <f t="array" aca="1" ref="AV84" ca="1">_xlfn.IFS(   TabTRADERCorrupted[[#This Row],[Traps]]=MUp,TabTRADERCorrupted[[#This Row],[TakeGain_A]]-Commission,        TabTRADERCorrupted[[#This Row],[Traps]]=MDown,(TabTRADERCorrupted[[#This Row],[A]]-TabTRADERCorrupted[[#This Row],[M]])/TabTRADERCorrupted[[#This Row],[M]]-Commission,                              TRUE,"")</f>
        <v>0.45840850224215213</v>
      </c>
      <c r="AW84" s="820"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13842.57644150399</v>
      </c>
      <c r="AX84" s="755"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84" s="731"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-3.05</v>
      </c>
      <c r="AZ84" s="760"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-0.31472087905763069</v>
      </c>
      <c r="BA84" s="757"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0.45840850224215213</v>
      </c>
      <c r="BB84" s="322">
        <f ca="1">_xlfn.XLOOKUP(TabTRADERCorrupted[[#This Row],[ClickTick]],TabCalc[Ticker],TabCalc[L_Sn])</f>
        <v>1000</v>
      </c>
      <c r="BC84" s="723">
        <f ca="1">_xlfn.XLOOKUP(TabTRADERCorrupted[[#This Row],[ClickTick]],TabCalc[Ticker],TabCalc[L_Sp])</f>
        <v>20.855</v>
      </c>
      <c r="BD84" s="759">
        <f ca="1">-IFERROR((TabTRADERCorrupted[[#This Row],[M]]-TabTRADERCorrupted[[#This Row],[L_Sp]])/TabTRADERCorrupted[[#This Row],[L_Sp]],0)</f>
        <v>0.67921361783744905</v>
      </c>
      <c r="BE84" s="724">
        <f ca="1">TabTRADERCorrupted[[#This Row],[L_Sn]]*(TabTRADERCorrupted[[#This Row],[M]]-TabTRADERCorrupted[[#This Row],[L_Sp]])*(1-Commission)*TabTRADERCorrupted[[#This Row],[Scale]]</f>
        <v>-14128.170999999998</v>
      </c>
      <c r="BF84" s="687">
        <f ca="1">TabTRADERCorrupted[[#This Row],[L_Sn]]*(TabTRADERCorrupted[[#This Row],[Agiotage]]-TabTRADERCorrupted[[#This Row],[M]])/(TabTRADERCorrupted[[#This Row],[L_Bn]]*TabTRADERCorrupted[[#This Row],[M]])</f>
        <v>-0.20054762137981605</v>
      </c>
      <c r="BG84" s="630">
        <f ca="1">IFERROR((TabTRADERCorrupted[[#This Row],[M]]-TabTRADERCorrupted[[#This Row],[A]])/TabTRADERCorrupted[[#This Row],[A]],0)</f>
        <v>-0.31554128640227663</v>
      </c>
      <c r="BH8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-13,843$</v>
      </c>
      <c r="BI84" s="679">
        <f ca="1">_xlfn.XLOOKUP(TabTRADERCorrupted[[#This Row],[ClickTick]],TabCalc[[#This Row],[Ticker]],TabCalc[[#This Row],[GL]])*(1-Commission)</f>
        <v>-53487.360380809252</v>
      </c>
      <c r="BJ84" s="679"/>
      <c r="BK84" s="664" t="str">
        <f ca="1">TabTRADERCorrupted[[#This Row],[ClickTick]]&amp;": "&amp;_xlfn.XLOOKUP(TabTRADERCorrupted[[#This Row],[ClickTick]],TabCalc[Ticker],TabCalc[Pile?])</f>
        <v xml:space="preserve">NVAX: </v>
      </c>
      <c r="BL84" s="349" t="s">
        <v>2048</v>
      </c>
      <c r="BM84" s="750" t="str" cm="1">
        <f t="array" aca="1" ref="BM84" ca="1">_xlfn.TEXTJOIN("",,INDEX({"M","A","Y"}, _xlfn.SORTBY({1,2,3}, -CHOOSE({1,2,3}, TabTRADERCorrupted[[#This Row],[M]], TabTRADERCorrupted[[#This Row],[A]], TabTRADERCorrupted[[#This Row],[Agiotage]]))))</f>
        <v>AMY</v>
      </c>
      <c r="BN84" s="896"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0.45721973094170382</v>
      </c>
      <c r="BO84" s="674" t="e">
        <f ca="1">TabTRADERCorrupted[[#This Row],[L_Sn]]*TabTRADERCorrupted[[#This Row],[L_Sp]]+TabTRADERCorrupted[[#This Row],[SellMore]]*TabTRADERCorrupted[[#This Row],[M]]</f>
        <v>#N/A</v>
      </c>
      <c r="BP84" s="674" t="e">
        <f ca="1">INDEX(
  INDEX(TabConsolid[], , _xlfn.XMATCH(TabTRADERCorrupted[[#This Row],[ClickTick]]&amp;1, TabConsolid[#Headers])),
  MATCH(
    -TabTRADERCorrupted[[#This Row],[M]],
    INDEX(TabConsolid[], , _xlfn.XMATCH(TabTRADERCorrupted[[#This Row],[ClickTick]]&amp;2, TabConsolid[#Headers])),
    -1
  )
)</f>
        <v>#N/A</v>
      </c>
      <c r="BQ84" s="674"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13" t="e">
        <f ca="1">TabTRADERCorrupted[[#This Row],[ReBuy]]/(TabTRADERCorrupted[[#This Row],[L_Sn]]+TabTRADERCorrupted[[#This Row],[SellMore]])</f>
        <v>#N/A</v>
      </c>
      <c r="BS8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-7.3791497286703313E-3</v>
      </c>
      <c r="BT84" s="682">
        <f ca="1">(TabTRADERCorrupted[[#This Row],[M]]-TabTRADERCorrupted[[#This Row],[Agiotage]])/(TabTRADERCorrupted[[#This Row],[M]]-TabTRADERCorrupted[[#This Row],[A]])-1</f>
        <v>-2.9575870983289114</v>
      </c>
      <c r="BU84" s="1221">
        <f ca="1">_xlfn.XMATCH(TabTRADERCorrupted[[#This Row],[ClickTick]]&amp;1, TabConsolid[#Headers])</f>
        <v>248</v>
      </c>
      <c r="BV84" t="str">
        <f ca="1">IF(ABS(TabTRADERCorrupted[[#This Row],[L_Bp]])&gt;=TabTRADERCorrupted[[#This Row],[M]],"OK")</f>
        <v>OK</v>
      </c>
    </row>
    <row r="85" spans="1:74">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25.9%</v>
      </c>
      <c r="D85" s="683"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11,740$</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22.2% = 0</v>
      </c>
      <c r="I85" s="224" t="str">
        <f ca="1">IFERROR(TRUNC(TabCalc[[#This Row],[L_S1p]],2)&amp;"x"&amp;TabCalc[[#This Row],[L_S1n]]&amp;"=   "&amp;TEXT(TabCalc[[#This Row],[ReverseB1]],"#,#0"),"")</f>
        <v>99.4x1000=   -32,960</v>
      </c>
      <c r="J85" s="293">
        <f ca="1">_xlfn.XLOOKUP(TabTRADERCorrupted[[#This Row],[ClickTick]],TabCalc[Ticker],ListGravity)</f>
        <v>1.0190557570262917</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1.2135400759484285</v>
      </c>
      <c r="N85" s="322" cm="1">
        <f t="array" aca="1" ref="N85" ca="1">_xlfn.XLOOKUP(TabTRADERCorrupted[[#This Row],[ClickTick]],ListTickers,Tab2RSIConventional[RSIConv20])</f>
        <v>75</v>
      </c>
      <c r="O85" s="698"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6">
        <f ca="1">_xlfn.XLOOKUP(TabTRADERCorrupted[[#This Row],[ClickTick]],TabCalc[Ticker],TabCalc[L_Bp])</f>
        <v>-98.036000000000001</v>
      </c>
      <c r="R85" s="759">
        <f ca="1">(TabTRADERCorrupted[[#This Row],[M]]+TabTRADERCorrupted[[#This Row],[L_Bp]])/ABS(TabTRADERCorrupted[[#This Row],[L_Bp]])</f>
        <v>0.3501162838141092</v>
      </c>
      <c r="S85" s="678">
        <f ca="1">_xlfn.XLOOKUP(TabTRADERCorrupted[[#This Row],[ClickTick]],TabCalc[Ticker],TabCalc[Rev(MinStock)])*(1-Commission)</f>
        <v>0</v>
      </c>
      <c r="T85" s="777">
        <f ca="1">_xlfn.XLOOKUP(TabTRADERCorrupted[[#This Row],[ClickTick]],TabCalc[Ticker],TabCalc[Agiotage])</f>
        <v>1.2135400759484285</v>
      </c>
      <c r="U85" s="742"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0.9%</v>
      </c>
      <c r="V85" s="734" t="str">
        <f ca="1">_xlfn.XLOOKUP(TabTRADERCorrupted[[#This Row],[ClickTick]],[1]!RTData[Ticker_Symbol],[1]!RTData[Currency])</f>
        <v>USD</v>
      </c>
      <c r="W85" s="744">
        <f ca="1">_xlfn.XLOOKUP(TabTRADERCorrupted[[#This Row],[ClickTick]],TabCalc[Ticker],TabCalc[M])</f>
        <v>132.36000000000001</v>
      </c>
      <c r="X85" s="1271" t="str">
        <f ca="1">SORTING!B85</f>
        <v>NVS</v>
      </c>
      <c r="Y85" s="798">
        <f ca="1">_xlfn.XLOOKUP(TabTRADERCorrupted[[#This Row],[ClickTick]],TabCalc[Ticker],TabCalc[Y])</f>
        <v>134.88221999999999</v>
      </c>
      <c r="Z85" s="812">
        <f ca="1">_xlfn.XLOOKUP(TabTRADERCorrupted[[#This Row],[ClickTick]],[1]!RTData[Ticker_Symbol],[1]!RTData[YTChange])</f>
        <v>0.16619591907314538</v>
      </c>
      <c r="AA85" s="827">
        <f ca="1">-_xlfn.XLOOKUP(TabTRADERCorrupted[[#This Row],[ClickTick]]&amp;2,Consolid!B$3:JZ$3,Consolid!B$4:JZ$4)</f>
        <v>0</v>
      </c>
      <c r="AB85" s="812" cm="1">
        <f t="array" aca="1" ref="AB85" ca="1">_xlfn.XLOOKUP(TabTRADERCorrupted[[#This Row],[ClickTick]],ListTickers,Tab1ChangePercent[Change%19])</f>
        <v>8.9180000000000006E-3</v>
      </c>
      <c r="AC85" s="763">
        <f ca="1">_xlfn.XLOOKUP(TabTRADERCorrupted[[#This Row],[ClickTick]],TabCalc[Ticker],TabCalc[NAfter])</f>
        <v>0</v>
      </c>
      <c r="AD8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^14/0 K$</v>
      </c>
      <c r="AE85" s="1147"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31"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132.36, 28.5%</v>
      </c>
      <c r="AG85" s="1131"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31"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132.36</v>
      </c>
      <c r="AI85" s="1131" t="str" cm="1">
        <f t="array" aca="1" ref="AI85" ca="1">_xlfn.IFS(   TabTRADERCorrupted[[#This Row],[Traps]]=MUp,TEXT(MIN(TabTRADERCorrupted[[#This Row],[L_Sn]],TabTRADERCorrupted[[#This Row],[N]]),"#,#0")&amp;" x "&amp;TEXT(TabTRADERCorrupted[[#This Row],[L_Sp]],"#,#0.#0"),          TRUE,"")</f>
        <v/>
      </c>
      <c r="AJ85" s="1131"/>
      <c r="AK85" s="1131"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31"/>
      <c r="AM85" s="1131"/>
      <c r="AN85" s="755"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40"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40"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TabTRADERCorrupted[[#This Row],[Traps]]=SellMorePercentGain,                     MIN(TabTRADERCorrupted[[#This Row],[L_Sn]],TabTRADERCorrupted[[#This Row],[N]])*(TabTRADERCorrupted[[#This Row],[M]]-TabTRADERCorrupted[[#This Row],[L_Sp]])*(1-Commission)*TabTRADERCorrupted[[#This Row],[Scale]],                    TRUE,"")</f>
        <v/>
      </c>
      <c r="AR85" s="1146">
        <f ca="1">_xlfn.XLOOKUP(TabTRADERCorrupted[[#This Row],[ClickTick]],TabCalc[Ticker],TabCalc[Ann%RevLB])</f>
        <v>0.37180490316542575</v>
      </c>
      <c r="AS85" s="1224">
        <f ca="1">_xlfn.XLOOKUP(TabTRADERCorrupted[[#This Row],[ClickTick]],TabCalc[Ticker],TabCalc[Up20])</f>
        <v>0</v>
      </c>
      <c r="AT85" s="1141"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5" s="820"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40" t="str" cm="1">
        <f t="array" aca="1" ref="AV85" ca="1">_xlfn.IFS(   TabTRADERCorrupted[[#This Row],[Traps]]=MUp,TabTRADERCorrupted[[#This Row],[TakeGain_A]]-Commission,        TabTRADERCorrupted[[#This Row],[Traps]]=MDown,(TabTRADERCorrupted[[#This Row],[A]]-TabTRADERCorrupted[[#This Row],[M]])/TabTRADERCorrupted[[#This Row],[M]]-Commission,                              TRUE,"")</f>
        <v/>
      </c>
      <c r="AW85" s="755"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5"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85" s="731"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0x132.36</v>
      </c>
      <c r="AZ85" s="760"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7"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-0.22433995164702339</v>
      </c>
      <c r="BB85" s="322">
        <f ca="1">_xlfn.XLOOKUP(TabTRADERCorrupted[[#This Row],[ClickTick]],TabCalc[Ticker],TabCalc[L_Sn])</f>
        <v>400</v>
      </c>
      <c r="BC85" s="723">
        <f ca="1">_xlfn.XLOOKUP(TabTRADERCorrupted[[#This Row],[ClickTick]],TabCalc[Ticker],TabCalc[L_Sp])</f>
        <v>103.01049999999999</v>
      </c>
      <c r="BD85" s="759">
        <f ca="1">-IFERROR((TabTRADERCorrupted[[#This Row],[M]]-TabTRADERCorrupted[[#This Row],[L_Sp]])/TabTRADERCorrupted[[#This Row],[L_Sp]],0)</f>
        <v>-0.2849175569480783</v>
      </c>
      <c r="BE85" s="724">
        <f ca="1">TabTRADERCorrupted[[#This Row],[L_Sn]]*(TabTRADERCorrupted[[#This Row],[M]]-TabTRADERCorrupted[[#This Row],[L_Sp]])*(1-Commission)*TabTRADERCorrupted[[#This Row],[Scale]]</f>
        <v>11709.276520000009</v>
      </c>
      <c r="BF85" s="687">
        <f ca="1">TabTRADERCorrupted[[#This Row],[L_Sn]]*(TabTRADERCorrupted[[#This Row],[Agiotage]]-TabTRADERCorrupted[[#This Row],[M]])/(TabTRADERCorrupted[[#This Row],[L_Bn]]*TabTRADERCorrupted[[#This Row],[M]])</f>
        <v>-0.39633260780916163</v>
      </c>
      <c r="BG85" s="630">
        <f ca="1">IFERROR((TabTRADERCorrupted[[#This Row],[M]]-TabTRADERCorrupted[[#This Row],[A]])/TabTRADERCorrupted[[#This Row],[A]],0)</f>
        <v>0</v>
      </c>
      <c r="BH8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9">
        <f ca="1">_xlfn.XLOOKUP(TabTRADERCorrupted[[#This Row],[ClickTick]],TabCalc[[#This Row],[Ticker]],TabCalc[[#This Row],[GL]])*(1-Commission)</f>
        <v>13562.702215513225</v>
      </c>
      <c r="BJ85" s="679"/>
      <c r="BK85" s="664" t="str">
        <f ca="1">TabTRADERCorrupted[[#This Row],[ClickTick]]&amp;": "&amp;_xlfn.XLOOKUP(TabTRADERCorrupted[[#This Row],[ClickTick]],TabCalc[Ticker],TabCalc[Pile?])</f>
        <v xml:space="preserve">NVS: </v>
      </c>
      <c r="BL85" s="349" t="s">
        <v>2049</v>
      </c>
      <c r="BM85" s="750" t="str" cm="1">
        <f t="array" aca="1" ref="BM85" ca="1">_xlfn.TEXTJOIN("",,INDEX({"M","A","Y"}, _xlfn.SORTBY({1,2,3}, -CHOOSE({1,2,3}, TabTRADERCorrupted[[#This Row],[M]], TabTRADERCorrupted[[#This Row],[A]], TabTRADERCorrupted[[#This Row],[Agiotage]]))))</f>
        <v>MYA</v>
      </c>
      <c r="BN85" s="896"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5" s="674" t="e">
        <f ca="1">TabTRADERCorrupted[[#This Row],[L_Sn]]*TabTRADERCorrupted[[#This Row],[L_Sp]]+TabTRADERCorrupted[[#This Row],[SellMore]]*TabTRADERCorrupted[[#This Row],[M]]</f>
        <v>#N/A</v>
      </c>
      <c r="BP85" s="674" t="e">
        <f ca="1">INDEX(
  INDEX(TabConsolid[], , _xlfn.XMATCH(TabTRADERCorrupted[[#This Row],[ClickTick]]&amp;1, TabConsolid[#Headers])),
  MATCH(
    -TabTRADERCorrupted[[#This Row],[M]],
    INDEX(TabConsolid[], , _xlfn.XMATCH(TabTRADERCorrupted[[#This Row],[ClickTick]]&amp;2, TabConsolid[#Headers])),
    -1
  )
)</f>
        <v>#N/A</v>
      </c>
      <c r="BQ85" s="674"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13" t="e">
        <f ca="1">TabTRADERCorrupted[[#This Row],[ReBuy]]/(TabTRADERCorrupted[[#This Row],[L_Sn]]+TabTRADERCorrupted[[#This Row],[SellMore]])</f>
        <v>#N/A</v>
      </c>
      <c r="BS8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2">
        <f ca="1">(TabTRADERCorrupted[[#This Row],[M]]-TabTRADERCorrupted[[#This Row],[Agiotage]])/(TabTRADERCorrupted[[#This Row],[M]]-TabTRADERCorrupted[[#This Row],[A]])-1</f>
        <v>-9.1684804770960637E-3</v>
      </c>
      <c r="BU85" s="1221">
        <f ca="1">_xlfn.XMATCH(TabTRADERCorrupted[[#This Row],[ClickTick]]&amp;1, TabConsolid[#Headers])</f>
        <v>251</v>
      </c>
      <c r="BV85" t="b">
        <f ca="1">IF(ABS(TabTRADERCorrupted[[#This Row],[L_Bp]])&gt;=TabTRADERCorrupted[[#This Row],[M]],"OK")</f>
        <v>0</v>
      </c>
    </row>
    <row r="86" spans="1:74">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-12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-0.1%</v>
      </c>
      <c r="D86" s="683"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4,746$</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3,410$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12.4% = 0</v>
      </c>
      <c r="I86" s="224" t="str">
        <f ca="1">IFERROR(TRUNC(TabCalc[[#This Row],[L_S1p]],2)&amp;"x"&amp;TabCalc[[#This Row],[L_S1n]]&amp;"=   "&amp;TEXT(TabCalc[[#This Row],[ReverseB1]],"#,#0"),"")</f>
        <v>11.84x2000=   -3,780</v>
      </c>
      <c r="J86" s="293">
        <f ca="1">_xlfn.XLOOKUP(TabTRADERCorrupted[[#This Row],[ClickTick]],TabCalc[Ticker],ListGravity)</f>
        <v>1.133215143793229</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0.67743021645652646</v>
      </c>
      <c r="N86" s="322" cm="1">
        <f t="array" aca="1" ref="N86" ca="1">_xlfn.XLOOKUP(TabTRADERCorrupted[[#This Row],[ClickTick]],ListTickers,Tab2RSIConventional[RSIConv20])</f>
        <v>59</v>
      </c>
      <c r="O86" s="698"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6">
        <f ca="1">_xlfn.XLOOKUP(TabTRADERCorrupted[[#This Row],[ClickTick]],TabCalc[Ticker],TabCalc[L_Bp])</f>
        <v>-13.744999999999999</v>
      </c>
      <c r="R86" s="759">
        <f ca="1">(TabTRADERCorrupted[[#This Row],[M]]+TabTRADERCorrupted[[#This Row],[L_Bp]])/ABS(TabTRADERCorrupted[[#This Row],[L_Bp]])</f>
        <v>-7.2753728628590665E-4</v>
      </c>
      <c r="S86" s="678">
        <f ca="1">_xlfn.XLOOKUP(TabTRADERCorrupted[[#This Row],[ClickTick]],TabCalc[Ticker],TabCalc[Rev(MinStock)])*(1-Commission)</f>
        <v>-11.9688</v>
      </c>
      <c r="T86" s="777">
        <f ca="1">_xlfn.XLOOKUP(TabTRADERCorrupted[[#This Row],[ClickTick]],TabCalc[Ticker],TabCalc[Agiotage])</f>
        <v>0.67743021645652646</v>
      </c>
      <c r="U86" s="742"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108/108=&gt;0.5% / 0.5%</v>
      </c>
      <c r="V86" s="734" t="str">
        <f ca="1">_xlfn.XLOOKUP(TabTRADERCorrupted[[#This Row],[ClickTick]],[1]!RTData[Ticker_Symbol],[1]!RTData[Currency])</f>
        <v>EUR</v>
      </c>
      <c r="W86" s="744">
        <f ca="1">_xlfn.XLOOKUP(TabTRADERCorrupted[[#This Row],[ClickTick]],TabCalc[Ticker],TabCalc[M])</f>
        <v>13.734999999999999</v>
      </c>
      <c r="X86" s="1271" t="str">
        <f ca="1">SORTING!B86</f>
        <v>ORA</v>
      </c>
      <c r="Y86" s="798">
        <f ca="1">_xlfn.XLOOKUP(TabTRADERCorrupted[[#This Row],[ClickTick]],TabCalc[Ticker],TabCalc[Y])</f>
        <v>15.56471</v>
      </c>
      <c r="Z86" s="812">
        <f ca="1">_xlfn.XLOOKUP(TabTRADERCorrupted[[#This Row],[ClickTick]],[1]!RTData[Ticker_Symbol],[1]!RTData[YTChange])</f>
        <v>4.9542144302090342E-2</v>
      </c>
      <c r="AA86" s="827">
        <f ca="1">-_xlfn.XLOOKUP(TabTRADERCorrupted[[#This Row],[ClickTick]]&amp;2,Consolid!B$3:JZ$3,Consolid!B$4:JZ$4)</f>
        <v>13.780736999999998</v>
      </c>
      <c r="AB86" s="812" cm="1">
        <f t="array" aca="1" ref="AB86" ca="1">_xlfn.XLOOKUP(TabTRADERCorrupted[[#This Row],[ClickTick]],ListTickers,Tab1ChangePercent[Change%19])</f>
        <v>5.1229999999999999E-3</v>
      </c>
      <c r="AC86" s="763">
        <f ca="1">_xlfn.XLOOKUP(TabTRADERCorrupted[[#This Row],[ClickTick]],TabCalc[Ticker],TabCalc[NAfter])</f>
        <v>1200</v>
      </c>
      <c r="AD8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^6/16 K$</v>
      </c>
      <c r="AE86" s="1147"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6" s="1131"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13.735, 14.2%</v>
      </c>
      <c r="AG86" s="1131" t="str"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86" s="1131"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13.735</v>
      </c>
      <c r="AI86" s="1131" t="str" cm="1">
        <f t="array" aca="1" ref="AI86" ca="1">_xlfn.IFS(   TabTRADERCorrupted[[#This Row],[Traps]]=MUp,TEXT(MIN(TabTRADERCorrupted[[#This Row],[L_Sn]],TabTRADERCorrupted[[#This Row],[N]]),"#,#0")&amp;" x "&amp;TEXT(TabTRADERCorrupted[[#This Row],[L_Sp]],"#,#0.#0"),          TRUE,"")</f>
        <v/>
      </c>
      <c r="AJ86" s="1131"/>
      <c r="AK86" s="1131"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11.968799999999744</v>
      </c>
      <c r="AL86" s="1131"/>
      <c r="AM86" s="1131"/>
      <c r="AN86" s="755"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16482</v>
      </c>
      <c r="AO86" s="1140"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3.3189081251604347E-3</v>
      </c>
      <c r="AP86" s="1140"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-1.8719330178376564E-3</v>
      </c>
      <c r="AQ86" s="820" t="str" cm="1">
        <f t="array" aca="1" ref="AQ86" ca="1">_xlfn.IFS(   TabTRADERCorrupted[[#This Row],[Traps]]=SellMorePercentGain,                     MIN(TabTRADERCorrupted[[#This Row],[L_Sn]],TabTRADERCorrupted[[#This Row],[N]])*(TabTRADERCorrupted[[#This Row],[M]]-TabTRADERCorrupted[[#This Row],[L_Sp]])*(1-Commission)*TabTRADERCorrupted[[#This Row],[Scale]],                    TRUE,"")</f>
        <v/>
      </c>
      <c r="AR86" s="1129">
        <f ca="1">_xlfn.XLOOKUP(TabTRADERCorrupted[[#This Row],[ClickTick]],TabCalc[Ticker],TabCalc[Ann%RevLB])</f>
        <v>-3.1555834103967036E-3</v>
      </c>
      <c r="AS86" s="1225">
        <f ca="1">_xlfn.XLOOKUP(TabTRADERCorrupted[[#This Row],[ClickTick]],TabCalc[Ticker],TabCalc[Up20])</f>
        <v>0</v>
      </c>
      <c r="AT86" s="1141"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7.280669821623434E-4</v>
      </c>
      <c r="AU86" s="820" cm="1">
        <f t="array" aca="1" ref="AU86" ca="1">_xlfn.IFS(         TabTRADERCorrupted[[#This Row],[Traps]]=MDown,TabTRADERCorrupted[[#This Row],[L_Bn]]*TabTRADERCorrupted[[#This Row],[M]]*(-(TabTRADERCorrupted[[#This Row],[L_Bp]]+TabTRADERCorrupted[[#This Row],[M]])/TabTRADERCorrupted[[#This Row],[M]])*(1-Commission)*TabTRADERCorrupted[[#This Row],[Scale]],                               TRUE,"")</f>
        <v>11.968799999999744</v>
      </c>
      <c r="AV86" s="1140" cm="1">
        <f t="array" aca="1" ref="AV86" ca="1">_xlfn.IFS(   TabTRADERCorrupted[[#This Row],[Traps]]=MUp,TabTRADERCorrupted[[#This Row],[TakeGain_A]]-Commission,        TabTRADERCorrupted[[#This Row],[Traps]]=MDown,(TabTRADERCorrupted[[#This Row],[A]]-TabTRADERCorrupted[[#This Row],[M]])/TabTRADERCorrupted[[#This Row],[M]]-Commission,                              TRUE,"")</f>
        <v>7.2995995631591065E-4</v>
      </c>
      <c r="AW86" s="755"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54.741700559998833</v>
      </c>
      <c r="AX86" s="755" t="str"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86" s="731"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v>
      </c>
      <c r="AZ86" s="760"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-3.3102789640350174E-3</v>
      </c>
      <c r="BA86" s="757"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7.2995995631591065E-4</v>
      </c>
      <c r="BB86" s="322">
        <f ca="1">_xlfn.XLOOKUP(TabTRADERCorrupted[[#This Row],[ClickTick]],TabCalc[Ticker],TabCalc[L_Sn])</f>
        <v>2000</v>
      </c>
      <c r="BC86" s="723">
        <f ca="1">_xlfn.XLOOKUP(TabTRADERCorrupted[[#This Row],[ClickTick]],TabCalc[Ticker],TabCalc[L_Sp])</f>
        <v>12.03</v>
      </c>
      <c r="BD86" s="759">
        <f ca="1">-IFERROR((TabTRADERCorrupted[[#This Row],[M]]-TabTRADERCorrupted[[#This Row],[L_Sp]])/TabTRADERCorrupted[[#This Row],[L_Sp]],0)</f>
        <v>-0.14172901080631756</v>
      </c>
      <c r="BE86" s="724">
        <f ca="1">TabTRADERCorrupted[[#This Row],[L_Sn]]*(TabTRADERCorrupted[[#This Row],[M]]-TabTRADERCorrupted[[#This Row],[L_Sp]])*(1-Commission)*TabTRADERCorrupted[[#This Row],[Scale]]</f>
        <v>3401.134</v>
      </c>
      <c r="BF86" s="687">
        <f ca="1">TabTRADERCorrupted[[#This Row],[L_Sn]]*(TabTRADERCorrupted[[#This Row],[Agiotage]]-TabTRADERCorrupted[[#This Row],[M]])/(TabTRADERCorrupted[[#This Row],[L_Bn]]*TabTRADERCorrupted[[#This Row],[M]])</f>
        <v>-1.584464237779817</v>
      </c>
      <c r="BG86" s="630">
        <f ca="1">IFERROR((TabTRADERCorrupted[[#This Row],[M]]-TabTRADERCorrupted[[#This Row],[A]])/TabTRADERCorrupted[[#This Row],[A]],0)</f>
        <v>-3.3189081251604347E-3</v>
      </c>
      <c r="BH8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-55$</v>
      </c>
      <c r="BI86" s="679">
        <f ca="1">_xlfn.XLOOKUP(TabTRADERCorrupted[[#This Row],[ClickTick]],TabCalc[[#This Row],[Ticker]],TabCalc[[#This Row],[GL]])*(1-Commission)</f>
        <v>5823.4058994585457</v>
      </c>
      <c r="BJ86" s="679"/>
      <c r="BK86" s="664" t="str">
        <f ca="1">TabTRADERCorrupted[[#This Row],[ClickTick]]&amp;": "&amp;_xlfn.XLOOKUP(TabTRADERCorrupted[[#This Row],[ClickTick]],TabCalc[Ticker],TabCalc[Pile?])</f>
        <v>ORA: Pile</v>
      </c>
      <c r="BL86" s="349" t="s">
        <v>2050</v>
      </c>
      <c r="BM86" s="750" t="str" cm="1">
        <f t="array" aca="1" ref="BM86" ca="1">_xlfn.TEXTJOIN("",,INDEX({"M","A","Y"}, _xlfn.SORTBY({1,2,3}, -CHOOSE({1,2,3}, TabTRADERCorrupted[[#This Row],[M]], TabTRADERCorrupted[[#This Row],[A]], TabTRADERCorrupted[[#This Row],[Agiotage]]))))</f>
        <v>AMY</v>
      </c>
      <c r="BN86" s="896"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7.280669821623434E-4</v>
      </c>
      <c r="BO86" s="674" t="e">
        <f ca="1">TabTRADERCorrupted[[#This Row],[L_Sn]]*TabTRADERCorrupted[[#This Row],[L_Sp]]+TabTRADERCorrupted[[#This Row],[SellMore]]*TabTRADERCorrupted[[#This Row],[M]]</f>
        <v>#N/A</v>
      </c>
      <c r="BP86" s="674" t="e">
        <f ca="1">INDEX(
  INDEX(TabConsolid[], , _xlfn.XMATCH(TabTRADERCorrupted[[#This Row],[ClickTick]]&amp;1, TabConsolid[#Headers])),
  MATCH(
    -TabTRADERCorrupted[[#This Row],[M]],
    INDEX(TabConsolid[], , _xlfn.XMATCH(TabTRADERCorrupted[[#This Row],[ClickTick]]&amp;2, TabConsolid[#Headers])),
    -1
  )
)</f>
        <v>#N/A</v>
      </c>
      <c r="BQ86" s="674"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86" s="1113" t="e">
        <f ca="1">TabTRADERCorrupted[[#This Row],[ReBuy]]/(TabTRADERCorrupted[[#This Row],[L_Sn]]+TabTRADERCorrupted[[#This Row],[SellMore]])</f>
        <v>#N/A</v>
      </c>
      <c r="BS8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-1.7410093044724628E-2</v>
      </c>
      <c r="BT86" s="682">
        <f ca="1">(TabTRADERCorrupted[[#This Row],[M]]-TabTRADERCorrupted[[#This Row],[Agiotage]])/(TabTRADERCorrupted[[#This Row],[M]]-TabTRADERCorrupted[[#This Row],[A]])-1</f>
        <v>-286.49248493656665</v>
      </c>
      <c r="BU86" s="1221">
        <f ca="1">_xlfn.XMATCH(TabTRADERCorrupted[[#This Row],[ClickTick]]&amp;1, TabConsolid[#Headers])</f>
        <v>254</v>
      </c>
      <c r="BV86" t="str">
        <f ca="1">IF(ABS(TabTRADERCorrupted[[#This Row],[L_Bp]])&gt;=TabTRADERCorrupted[[#This Row],[M]],"OK")</f>
        <v>OK</v>
      </c>
    </row>
    <row r="87" spans="1:74">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-6,024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-14.7%</v>
      </c>
      <c r="D87" s="683"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-6,201$</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-10,660$</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25.9% = 469</v>
      </c>
      <c r="I87" s="224" t="str">
        <f ca="1">IFERROR(TRUNC(TabCalc[[#This Row],[L_S1p]],2)&amp;"x"&amp;TabCalc[[#This Row],[L_S1n]]&amp;"=   "&amp;TEXT(TabCalc[[#This Row],[ReverseB1]],"#,#0"),"")</f>
        <v>62.9x2000=   43,400</v>
      </c>
      <c r="J87" s="293">
        <f ca="1">_xlfn.XLOOKUP(TabTRADERCorrupted[[#This Row],[ClickTick]],TabCalc[Ticker],ListGravity)</f>
        <v>1.2226941747572815</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119480.00000000001</v>
      </c>
      <c r="M87" s="321">
        <f ca="1">_xlfn.XLOOKUP(TabTRADERCorrupted[[#This Row],[ClickTick]],TabCalc[Ticker],TabCalc[Agiotage])</f>
        <v>0.87848413970723505</v>
      </c>
      <c r="N87" s="322" cm="1">
        <f t="array" aca="1" ref="N87" ca="1">_xlfn.XLOOKUP(TabTRADERCorrupted[[#This Row],[ClickTick]],ListTickers,Tab2RSIConventional[RSIConv20])</f>
        <v>72</v>
      </c>
      <c r="O87" s="698"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3">
        <f ca="1">_xlfn.XLOOKUP(TabTRADERCorrupted[[#This Row],[ClickTick]],TabCalc[Ticker],TabCalc[L_Bp])</f>
        <v>-47.24</v>
      </c>
      <c r="R87" s="759">
        <f ca="1">(TabTRADERCorrupted[[#This Row],[M]]+TabTRADERCorrupted[[#This Row],[L_Bp]])/ABS(TabTRADERCorrupted[[#This Row],[L_Bp]])</f>
        <v>-0.12785774767146485</v>
      </c>
      <c r="S87" s="678">
        <f ca="1">_xlfn.XLOOKUP(TabTRADERCorrupted[[#This Row],[ClickTick]],TabCalc[Ticker],TabCalc[Rev(MinStock)])*(1-Commission)</f>
        <v>-6008.3375999999998</v>
      </c>
      <c r="T87" s="777">
        <f ca="1">_xlfn.XLOOKUP(TabTRADERCorrupted[[#This Row],[ClickTick]],TabCalc[Ticker],TabCalc[Agiotage])</f>
        <v>0.87848413970723505</v>
      </c>
      <c r="U87" s="742"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480/480=&gt;-1.3% / -1.3%</v>
      </c>
      <c r="V87" s="734" t="str">
        <f ca="1">_xlfn.XLOOKUP(TabTRADERCorrupted[[#This Row],[ClickTick]],[1]!RTData[Ticker_Symbol],[1]!RTData[Currency])</f>
        <v>USD</v>
      </c>
      <c r="W87" s="744">
        <f ca="1">_xlfn.XLOOKUP(TabTRADERCorrupted[[#This Row],[ClickTick]],TabCalc[Ticker],TabCalc[M])</f>
        <v>41.2</v>
      </c>
      <c r="X87" s="1271" t="str">
        <f ca="1">SORTING!B87</f>
        <v>OXY</v>
      </c>
      <c r="Y87" s="798">
        <f ca="1">_xlfn.XLOOKUP(TabTRADERCorrupted[[#This Row],[ClickTick]],TabCalc[Ticker],TabCalc[Y])</f>
        <v>50.375</v>
      </c>
      <c r="Z87" s="812">
        <f ca="1">_xlfn.XLOOKUP(TabTRADERCorrupted[[#This Row],[ClickTick]],[1]!RTData[Ticker_Symbol],[1]!RTData[YTChange])</f>
        <v>-0.29761572783045176</v>
      </c>
      <c r="AA87" s="827">
        <f ca="1">-_xlfn.XLOOKUP(TabTRADERCorrupted[[#This Row],[ClickTick]]&amp;2,Consolid!B$3:JZ$3,Consolid!B$4:JZ$4)</f>
        <v>54.475744634999998</v>
      </c>
      <c r="AB87" s="812" cm="1">
        <f t="array" aca="1" ref="AB87" ca="1">_xlfn.XLOOKUP(TabTRADERCorrupted[[#This Row],[ClickTick]],ListTickers,Tab1ChangePercent[Change%19])</f>
        <v>-1.3173999999999998E-2</v>
      </c>
      <c r="AC87" s="763">
        <f ca="1">_xlfn.XLOOKUP(TabTRADERCorrupted[[#This Row],[ClickTick]],TabCalc[Ticker],TabCalc[NAfter])</f>
        <v>4000</v>
      </c>
      <c r="AD8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-71/164 K$</v>
      </c>
      <c r="AE87" s="1147"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31"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41.2, -20.6%</v>
      </c>
      <c r="AG87" s="1131"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31"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41.2</v>
      </c>
      <c r="AI87" s="1131" t="str" cm="1">
        <f t="array" aca="1" ref="AI87" ca="1">_xlfn.IFS(   TabTRADERCorrupted[[#This Row],[Traps]]=MUp,TEXT(MIN(TabTRADERCorrupted[[#This Row],[L_Sn]],TabTRADERCorrupted[[#This Row],[N]]),"#,#0")&amp;" x "&amp;TEXT(TabTRADERCorrupted[[#This Row],[L_Sp]],"#,#0.#0"),          TRUE,"")</f>
        <v/>
      </c>
      <c r="AJ87" s="1131"/>
      <c r="AK87" s="1131"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6024.2959999999985</v>
      </c>
      <c r="AL87" s="1131"/>
      <c r="AM87" s="1131"/>
      <c r="AN87" s="755"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164800</v>
      </c>
      <c r="AO87" s="1140"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0.24370010403621895</v>
      </c>
      <c r="AP87" s="1140"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0.1440019417475728</v>
      </c>
      <c r="AQ87" s="820" t="str" cm="1">
        <f t="array" aca="1" ref="AQ87" ca="1">_xlfn.IFS(   TabTRADERCorrupted[[#This Row],[Traps]]=SellMorePercentGain,                     MIN(TabTRADERCorrupted[[#This Row],[L_Sn]],TabTRADERCorrupted[[#This Row],[N]])*(TabTRADERCorrupted[[#This Row],[M]]-TabTRADERCorrupted[[#This Row],[L_Sp]])*(1-Commission)*TabTRADERCorrupted[[#This Row],[Scale]],                    TRUE,"")</f>
        <v/>
      </c>
      <c r="AR87" s="1129">
        <f ca="1">_xlfn.XLOOKUP(TabTRADERCorrupted[[#This Row],[ClickTick]],TabCalc[Ticker],TabCalc[Ann%RevLB])</f>
        <v>-0.17111074037816856</v>
      </c>
      <c r="AS87" s="1225">
        <f ca="1">_xlfn.XLOOKUP(TabTRADERCorrupted[[#This Row],[ClickTick]],TabCalc[Ticker],TabCalc[Up20])</f>
        <v>0</v>
      </c>
      <c r="AT87" s="1141"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0.14660194174757279</v>
      </c>
      <c r="AU87" s="820" cm="1">
        <f t="array" aca="1" ref="AU87" ca="1">_xlfn.IFS(         TabTRADERCorrupted[[#This Row],[Traps]]=MDown,TabTRADERCorrupted[[#This Row],[L_Bn]]*TabTRADERCorrupted[[#This Row],[M]]*(-(TabTRADERCorrupted[[#This Row],[L_Bp]]+TabTRADERCorrupted[[#This Row],[M]])/TabTRADERCorrupted[[#This Row],[M]])*(1-Commission)*TabTRADERCorrupted[[#This Row],[Scale]],                               TRUE,"")</f>
        <v>6024.2959999999985</v>
      </c>
      <c r="AV87" s="1140" cm="1">
        <f t="array" aca="1" ref="AV87" ca="1">_xlfn.IFS(   TabTRADERCorrupted[[#This Row],[Traps]]=MUp,TabTRADERCorrupted[[#This Row],[TakeGain_A]]-Commission,        TabTRADERCorrupted[[#This Row],[Traps]]=MDown,(TabTRADERCorrupted[[#This Row],[A]]-TabTRADERCorrupted[[#This Row],[M]])/TabTRADERCorrupted[[#This Row],[M]]-Commission,                              TRUE,"")</f>
        <v>0.31962681152912609</v>
      </c>
      <c r="AW87" s="755"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52964.910795795979</v>
      </c>
      <c r="AX87" s="755"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87" s="731"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-6.04</v>
      </c>
      <c r="AZ87" s="760"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-0.24306648376572476</v>
      </c>
      <c r="BA87" s="757"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0.31962681152912609</v>
      </c>
      <c r="BB87" s="322">
        <f ca="1">_xlfn.XLOOKUP(TabTRADERCorrupted[[#This Row],[ClickTick]],TabCalc[Ticker],TabCalc[L_Sn])</f>
        <v>1000</v>
      </c>
      <c r="BC87" s="723">
        <f ca="1">_xlfn.XLOOKUP(TabTRADERCorrupted[[#This Row],[ClickTick]],TabCalc[Ticker],TabCalc[L_Sp])</f>
        <v>51.86</v>
      </c>
      <c r="BD87" s="759">
        <f ca="1">-IFERROR((TabTRADERCorrupted[[#This Row],[M]]-TabTRADERCorrupted[[#This Row],[L_Sp]])/TabTRADERCorrupted[[#This Row],[L_Sp]],0)</f>
        <v>0.20555341303509442</v>
      </c>
      <c r="BE87" s="724">
        <f ca="1">TabTRADERCorrupted[[#This Row],[L_Sn]]*(TabTRADERCorrupted[[#This Row],[M]]-TabTRADERCorrupted[[#This Row],[L_Sp]])*(1-Commission)*TabTRADERCorrupted[[#This Row],[Scale]]</f>
        <v>-10632.283999999996</v>
      </c>
      <c r="BF87" s="687">
        <f ca="1">TabTRADERCorrupted[[#This Row],[L_Sn]]*(TabTRADERCorrupted[[#This Row],[Agiotage]]-TabTRADERCorrupted[[#This Row],[M]])/(TabTRADERCorrupted[[#This Row],[L_Bn]]*TabTRADERCorrupted[[#This Row],[M]])</f>
        <v>-0.97867756942458184</v>
      </c>
      <c r="BG87" s="630">
        <f ca="1">IFERROR((TabTRADERCorrupted[[#This Row],[M]]-TabTRADERCorrupted[[#This Row],[A]])/TabTRADERCorrupted[[#This Row],[A]],0)</f>
        <v>-0.24370010403621895</v>
      </c>
      <c r="BH8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-52,965$</v>
      </c>
      <c r="BI87" s="679">
        <f ca="1">_xlfn.XLOOKUP(TabTRADERCorrupted[[#This Row],[ClickTick]],TabCalc[[#This Row],[Ticker]],TabCalc[[#This Row],[GL]])*(1-Commission)</f>
        <v>-70815.737172665817</v>
      </c>
      <c r="BJ87" s="679"/>
      <c r="BK87" s="664" t="str">
        <f ca="1">TabTRADERCorrupted[[#This Row],[ClickTick]]&amp;": "&amp;_xlfn.XLOOKUP(TabTRADERCorrupted[[#This Row],[ClickTick]],TabCalc[Ticker],TabCalc[Pile?])</f>
        <v>OXY: Pile</v>
      </c>
      <c r="BL87" s="349" t="s">
        <v>2051</v>
      </c>
      <c r="BM87" s="750" t="str" cm="1">
        <f t="array" aca="1" ref="BM87" ca="1">_xlfn.TEXTJOIN("",,INDEX({"M","A","Y"}, _xlfn.SORTBY({1,2,3}, -CHOOSE({1,2,3}, TabTRADERCorrupted[[#This Row],[M]], TabTRADERCorrupted[[#This Row],[A]], TabTRADERCorrupted[[#This Row],[Agiotage]]))))</f>
        <v>AMY</v>
      </c>
      <c r="BN87" s="896"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0.14660194174757279</v>
      </c>
      <c r="BO87" s="674" t="e">
        <f ca="1">TabTRADERCorrupted[[#This Row],[L_Sn]]*TabTRADERCorrupted[[#This Row],[L_Sp]]+TabTRADERCorrupted[[#This Row],[SellMore]]*TabTRADERCorrupted[[#This Row],[M]]</f>
        <v>#N/A</v>
      </c>
      <c r="BP87" s="674" t="e">
        <f ca="1">INDEX(
  INDEX(TabConsolid[], , _xlfn.XMATCH(TabTRADERCorrupted[[#This Row],[ClickTick]]&amp;1, TabConsolid[#Headers])),
  MATCH(
    -TabTRADERCorrupted[[#This Row],[M]],
    INDEX(TabConsolid[], , _xlfn.XMATCH(TabTRADERCorrupted[[#This Row],[ClickTick]]&amp;2, TabConsolid[#Headers])),
    -1
  )
)</f>
        <v>#N/A</v>
      </c>
      <c r="BQ87" s="674"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13" t="e">
        <f ca="1">TabTRADERCorrupted[[#This Row],[ReBuy]]/(TabTRADERCorrupted[[#This Row],[L_Sn]]+TabTRADERCorrupted[[#This Row],[SellMore]])</f>
        <v>#N/A</v>
      </c>
      <c r="BS8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-5.0401894825365959E-2</v>
      </c>
      <c r="BT87" s="682">
        <f ca="1">(TabTRADERCorrupted[[#This Row],[M]]-TabTRADERCorrupted[[#This Row],[Agiotage]])/(TabTRADERCorrupted[[#This Row],[M]]-TabTRADERCorrupted[[#This Row],[A]])-1</f>
        <v>-4.0372319571430797</v>
      </c>
      <c r="BU87" s="1221">
        <f ca="1">_xlfn.XMATCH(TabTRADERCorrupted[[#This Row],[ClickTick]]&amp;1, TabConsolid[#Headers])</f>
        <v>257</v>
      </c>
      <c r="BV87" t="str">
        <f ca="1">IF(ABS(TabTRADERCorrupted[[#This Row],[L_Bp]])&gt;=TabTRADERCorrupted[[#This Row],[M]],"OK")</f>
        <v>OK</v>
      </c>
    </row>
    <row r="88" spans="1:74">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+159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0.3%</v>
      </c>
      <c r="D88" s="683"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1,222</v>
      </c>
      <c r="F88" s="224" t="str">
        <f ca="1">TRUNC(TabCalc[[#This Row],[L_B1p]],2)&amp;"x"&amp;TabCalc[[#This Row],[L_B1n]]&amp;"=   "&amp;TEXT(TabCalc[[#This Row],[ReverseS1]],"#,#0")&amp;"$"</f>
        <v>-27.92x2000=   -4,230$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-8,225$</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15.9% = 1,222</v>
      </c>
      <c r="I88" s="224" t="str">
        <f ca="1">IFERROR(TRUNC(TabCalc[[#This Row],[L_S1p]],2)&amp;"x"&amp;TabCalc[[#This Row],[L_S1n]]&amp;"=   "&amp;TEXT(TabCalc[[#This Row],[ReverseB1]],"#,#0"),"")</f>
        <v>28.22x1990=   4,806</v>
      </c>
      <c r="J88" s="293">
        <f ca="1">_xlfn.XLOOKUP(TabTRADERCorrupted[[#This Row],[ClickTick]],TabCalc[Ticker],ListGravity)</f>
        <v>1.1251290197597832</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18067</v>
      </c>
      <c r="M88" s="321">
        <f ca="1">_xlfn.XLOOKUP(TabTRADERCorrupted[[#This Row],[ClickTick]],TabCalc[Ticker],TabCalc[Agiotage])</f>
        <v>0.47391678552967959</v>
      </c>
      <c r="N88" s="322" cm="1">
        <f t="array" aca="1" ref="N88" ca="1">_xlfn.XLOOKUP(TabTRADERCorrupted[[#This Row],[ClickTick]],ListTickers,Tab2RSIConventional[RSIConv20])</f>
        <v>67</v>
      </c>
      <c r="O88" s="698"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6">
        <f ca="1">_xlfn.XLOOKUP(TabTRADERCorrupted[[#This Row],[ClickTick]],TabCalc[Ticker],TabCalc[L_Bp])</f>
        <v>-25.73</v>
      </c>
      <c r="R88" s="759">
        <f ca="1">(TabTRADERCorrupted[[#This Row],[M]]+TabTRADERCorrupted[[#This Row],[L_Bp]])/ABS(TabTRADERCorrupted[[#This Row],[L_Bp]])</f>
        <v>3.1092110376991174E-3</v>
      </c>
      <c r="S88" s="678">
        <f ca="1">_xlfn.XLOOKUP(TabTRADERCorrupted[[#This Row],[ClickTick]],TabCalc[Ticker],TabCalc[Rev(MinStock)])*(1-Commission)</f>
        <v>158.5866</v>
      </c>
      <c r="T88" s="777">
        <f ca="1">_xlfn.XLOOKUP(TabTRADERCorrupted[[#This Row],[ClickTick]],TabCalc[Ticker],TabCalc[Agiotage])</f>
        <v>0.47391678552967959</v>
      </c>
      <c r="U88" s="742"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-140/-140=&gt;0.1% / 0.1%</v>
      </c>
      <c r="V88" s="734" t="str">
        <f ca="1">_xlfn.XLOOKUP(TabTRADERCorrupted[[#This Row],[ClickTick]],[1]!RTData[Ticker_Symbol],[1]!RTData[Currency])</f>
        <v>USD</v>
      </c>
      <c r="W88" s="744">
        <f ca="1">_xlfn.XLOOKUP(TabTRADERCorrupted[[#This Row],[ClickTick]],TabCalc[Ticker],TabCalc[M])</f>
        <v>25.81</v>
      </c>
      <c r="X88" s="1271" t="str">
        <f ca="1">SORTING!B88</f>
        <v>PFE</v>
      </c>
      <c r="Y88" s="798">
        <f ca="1">_xlfn.XLOOKUP(TabTRADERCorrupted[[#This Row],[ClickTick]],TabCalc[Ticker],TabCalc[Y])</f>
        <v>29.039580000000001</v>
      </c>
      <c r="Z88" s="812">
        <f ca="1">_xlfn.XLOOKUP(TabTRADERCorrupted[[#This Row],[ClickTick]],[1]!RTData[Ticker_Symbol],[1]!RTData[YTChange])</f>
        <v>-0.12399457013574654</v>
      </c>
      <c r="AA88" s="827">
        <f ca="1">-_xlfn.XLOOKUP(TabTRADERCorrupted[[#This Row],[ClickTick]]&amp;2,Consolid!B$3:JZ$3,Consolid!B$4:JZ$4)</f>
        <v>25.796897999999999</v>
      </c>
      <c r="AB88" s="812" cm="1">
        <f t="array" aca="1" ref="AB88" ca="1">_xlfn.XLOOKUP(TabTRADERCorrupted[[#This Row],[ClickTick]],ListTickers,Tab1ChangePercent[Change%19])</f>
        <v>1.1640000000000001E-3</v>
      </c>
      <c r="AC88" s="763">
        <f ca="1">_xlfn.XLOOKUP(TabTRADERCorrupted[[#This Row],[ClickTick]],TabCalc[Ticker],TabCalc[NAfter])</f>
        <v>2000</v>
      </c>
      <c r="AD8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^46/51 K$</v>
      </c>
      <c r="AE88" s="1147"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8" s="1131"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-25.73</v>
      </c>
      <c r="AG88" s="1131"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158.5866</v>
      </c>
      <c r="AH88" s="1131"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25.81</v>
      </c>
      <c r="AI88" s="1131" t="str" cm="1">
        <f t="array" aca="1" ref="AI88" ca="1">_xlfn.IFS(   TabTRADERCorrupted[[#This Row],[Traps]]=MUp,TEXT(MIN(TabTRADERCorrupted[[#This Row],[L_Sn]],TabTRADERCorrupted[[#This Row],[N]]),"#,#0")&amp;" x "&amp;TEXT(TabTRADERCorrupted[[#This Row],[L_Sp]],"#,#0.#0"),          TRUE,"")</f>
        <v/>
      </c>
      <c r="AJ88" s="1131"/>
      <c r="AK88" s="1131" t="str"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8" s="1131"/>
      <c r="AM88" s="1131"/>
      <c r="AN88" s="755"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158.5866</v>
      </c>
      <c r="AO88" s="1140"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3.1092110376991174E-3</v>
      </c>
      <c r="AP88" s="1140" t="str"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TabTRADERCorrupted[[#This Row],[Traps]]=SellMorePercentGain,                     MIN(TabTRADERCorrupted[[#This Row],[L_Sn]],TabTRADERCorrupted[[#This Row],[N]])*(TabTRADERCorrupted[[#This Row],[M]]-TabTRADERCorrupted[[#This Row],[L_Sp]])*(1-Commission)*TabTRADERCorrupted[[#This Row],[Scale]],                    TRUE,"")</f>
        <v/>
      </c>
      <c r="AR88" s="1129">
        <f ca="1">_xlfn.XLOOKUP(TabTRADERCorrupted[[#This Row],[ClickTick]],TabCalc[Ticker],TabCalc[Ann%RevLB])</f>
        <v>7.4621064904778822E-2</v>
      </c>
      <c r="AS88" s="1225">
        <f ca="1">_xlfn.XLOOKUP(TabTRADERCorrupted[[#This Row],[ClickTick]],TabCalc[Ticker],TabCalc[Up20])</f>
        <v>0</v>
      </c>
      <c r="AT88" s="1141" t="str"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8" s="820" t="str" cm="1">
        <f t="array" aca="1" ref="AU88" ca="1">_xlfn.IFS(         TabTRADERCorrupted[[#This Row],[Traps]]=MDown,TabTRADERCorrupted[[#This Row],[L_Bn]]*TabTRADERCorrupted[[#This Row],[M]]*(-(TabTRADERCorrupted[[#This Row],[L_Bp]]+TabTRADERCorrupted[[#This Row],[M]])/TabTRADERCorrupted[[#This Row],[M]])*(1-Commission)*TabTRADERCorrupted[[#This Row],[Scale]],                               TRUE,"")</f>
        <v/>
      </c>
      <c r="AV88" s="1140" t="str" cm="1">
        <f t="array" aca="1" ref="AV88" ca="1">_xlfn.IFS(   TabTRADERCorrupted[[#This Row],[Traps]]=MUp,TabTRADERCorrupted[[#This Row],[TakeGain_A]]-Commission,        TabTRADERCorrupted[[#This Row],[Traps]]=MDown,(TabTRADERCorrupted[[#This Row],[A]]-TabTRADERCorrupted[[#This Row],[M]])/TabTRADERCorrupted[[#This Row],[M]]-Commission,                              TRUE,"")</f>
        <v/>
      </c>
      <c r="AW88" s="820"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26.149143760462877</v>
      </c>
      <c r="AX88" s="755"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88" s="731" t="str"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8" s="760" t="str"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8" s="757"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-3.1076327005036784E-3</v>
      </c>
      <c r="BB88" s="322">
        <f ca="1">_xlfn.XLOOKUP(TabTRADERCorrupted[[#This Row],[ClickTick]],TabCalc[Ticker],TabCalc[L_Sn])</f>
        <v>2010</v>
      </c>
      <c r="BC88" s="723">
        <f ca="1">_xlfn.XLOOKUP(TabTRADERCorrupted[[#This Row],[ClickTick]],TabCalc[Ticker],TabCalc[L_Sp])</f>
        <v>29.902200000000001</v>
      </c>
      <c r="BD88" s="759">
        <f ca="1">-IFERROR((TabTRADERCorrupted[[#This Row],[M]]-TabTRADERCorrupted[[#This Row],[L_Sp]])/TabTRADERCorrupted[[#This Row],[L_Sp]],0)</f>
        <v>0.1368528068168898</v>
      </c>
      <c r="BE88" s="724">
        <f ca="1">TabTRADERCorrupted[[#This Row],[L_Sn]]*(TabTRADERCorrupted[[#This Row],[M]]-TabTRADERCorrupted[[#This Row],[L_Sp]])*(1-Commission)*TabTRADERCorrupted[[#This Row],[Scale]]</f>
        <v>-8203.9361628000042</v>
      </c>
      <c r="BF88" s="687">
        <f ca="1">TabTRADERCorrupted[[#This Row],[L_Sn]]*(TabTRADERCorrupted[[#This Row],[Agiotage]]-TabTRADERCorrupted[[#This Row],[M]])/(TabTRADERCorrupted[[#This Row],[L_Bn]]*TabTRADERCorrupted[[#This Row],[M]])</f>
        <v>-0.98654644054795304</v>
      </c>
      <c r="BG88" s="630">
        <f ca="1">IFERROR((TabTRADERCorrupted[[#This Row],[M]]-TabTRADERCorrupted[[#This Row],[A]])/TabTRADERCorrupted[[#This Row],[A]],0)</f>
        <v>5.0789052234109496E-4</v>
      </c>
      <c r="BH8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26$</v>
      </c>
      <c r="BI88" s="679">
        <f ca="1">_xlfn.XLOOKUP(TabTRADERCorrupted[[#This Row],[ClickTick]],TabCalc[[#This Row],[Ticker]],TabCalc[[#This Row],[GL]])*(1-Commission)</f>
        <v>45678.934166227031</v>
      </c>
      <c r="BJ88" s="679"/>
      <c r="BK88" s="664" t="str">
        <f ca="1">TabTRADERCorrupted[[#This Row],[ClickTick]]&amp;": "&amp;_xlfn.XLOOKUP(TabTRADERCorrupted[[#This Row],[ClickTick]],TabCalc[Ticker],TabCalc[Pile?])</f>
        <v xml:space="preserve">PFE: </v>
      </c>
      <c r="BL88" s="349" t="s">
        <v>2052</v>
      </c>
      <c r="BM88" s="750" t="str" cm="1">
        <f t="array" aca="1" ref="BM88" ca="1">_xlfn.TEXTJOIN("",,INDEX({"M","A","Y"}, _xlfn.SORTBY({1,2,3}, -CHOOSE({1,2,3}, TabTRADERCorrupted[[#This Row],[M]], TabTRADERCorrupted[[#This Row],[A]], TabTRADERCorrupted[[#This Row],[Agiotage]]))))</f>
        <v>MAY</v>
      </c>
      <c r="BN88" s="896" t="str"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8" s="674">
        <f ca="1">TabTRADERCorrupted[[#This Row],[L_Sn]]*TabTRADERCorrupted[[#This Row],[L_Sp]]+TabTRADERCorrupted[[#This Row],[SellMore]]*TabTRADERCorrupted[[#This Row],[M]]</f>
        <v>111723.42199999999</v>
      </c>
      <c r="BP88" s="674">
        <f ca="1">INDEX(
  INDEX(TabConsolid[], , _xlfn.XMATCH(TabTRADERCorrupted[[#This Row],[ClickTick]]&amp;1, TabConsolid[#Headers])),
  MATCH(
    -TabTRADERCorrupted[[#This Row],[M]],
    INDEX(TabConsolid[], , _xlfn.XMATCH(TabTRADERCorrupted[[#This Row],[ClickTick]]&amp;2, TabConsolid[#Headers])),
    -1
  )
)</f>
        <v>2000</v>
      </c>
      <c r="BQ88" s="674"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8" s="1113">
        <f ca="1">TabTRADERCorrupted[[#This Row],[ReBuy]]/(TabTRADERCorrupted[[#This Row],[L_Sn]]+TabTRADERCorrupted[[#This Row],[SellMore]])</f>
        <v>27.861202493765585</v>
      </c>
      <c r="BS8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-2.5273058131847256E-2</v>
      </c>
      <c r="BT88" s="682">
        <f ca="1">(TabTRADERCorrupted[[#This Row],[M]]-TabTRADERCorrupted[[#This Row],[Agiotage]])/(TabTRADERCorrupted[[#This Row],[M]]-TabTRADERCorrupted[[#This Row],[A]])-1</f>
        <v>1932.7569237116791</v>
      </c>
      <c r="BU88" s="1221">
        <f ca="1">_xlfn.XMATCH(TabTRADERCorrupted[[#This Row],[ClickTick]]&amp;1, TabConsolid[#Headers])</f>
        <v>260</v>
      </c>
      <c r="BV88" t="b">
        <f ca="1">IF(ABS(TabTRADERCorrupted[[#This Row],[L_Bp]])&gt;=TabTRADERCorrupted[[#This Row],[M]],"OK")</f>
        <v>0</v>
      </c>
    </row>
    <row r="89" spans="1:74">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+11,733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21.1%</v>
      </c>
      <c r="D89" s="683"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5,525/27,500=23,674</v>
      </c>
      <c r="E8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27,027</v>
      </c>
      <c r="F89" s="224" t="str">
        <f ca="1">TRUNC(TabCalc[[#This Row],[L_B1p]],2)&amp;"x"&amp;TabCalc[[#This Row],[L_B1n]]&amp;"=   "&amp;TEXT(TabCalc[[#This Row],[ReverseS1]],"#,#0")&amp;"$"</f>
        <v>-3.04x25000=   31,125$</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-1,388$</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4.3% = 27,027</v>
      </c>
      <c r="I89" s="224" t="str">
        <f ca="1">IFERROR(TRUNC(TabCalc[[#This Row],[L_S1p]],2)&amp;"x"&amp;TabCalc[[#This Row],[L_S1n]]&amp;"=   "&amp;TEXT(TabCalc[[#This Row],[ReverseB1]],"#,#0"),"")</f>
        <v>4.29x8000=   40</v>
      </c>
      <c r="J89" s="293">
        <f ca="1">_xlfn.XLOOKUP(TabTRADERCorrupted[[#This Row],[ClickTick]],TabCalc[Ticker],ListGravity)</f>
        <v>0.97208401400233369</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87842.5</v>
      </c>
      <c r="M89" s="321">
        <f ca="1">_xlfn.XLOOKUP(TabTRADERCorrupted[[#This Row],[ClickTick]],TabCalc[Ticker],TabCalc[Agiotage])</f>
        <v>0.86607859404355392</v>
      </c>
      <c r="N89" s="322" cm="1">
        <f t="array" aca="1" ref="N89" ca="1">_xlfn.XLOOKUP(TabTRADERCorrupted[[#This Row],[ClickTick]],ListTickers,Tab2RSIConventional[RSIConv20])</f>
        <v>71</v>
      </c>
      <c r="O89" s="698" t="str">
        <f ca="1">TEXT(_xlfn.XLOOKUP(TabTRADERCorrupted[[#This Row],[ClickTick]],TabCalc[Ticker],TabCalc[Nbegin]),"#,#0")&amp;": "&amp;_xlfn.XLOOKUP(TabTRADERCorrupted[[#This Row],[ClickTick]],TabCalc[Ticker],TabCalc[Pile?])</f>
        <v xml:space="preserve">7,000: </v>
      </c>
      <c r="P89" s="729">
        <f ca="1">_xlfn.XLOOKUP(TabTRADERCorrupted[[#This Row],[ClickTick]],TabCalc[Ticker],TabCalc[L_Bn])</f>
        <v>13000</v>
      </c>
      <c r="Q89" s="723">
        <f ca="1">_xlfn.XLOOKUP(TabTRADERCorrupted[[#This Row],[ClickTick]],TabCalc[Ticker],TabCalc[L_Bp])</f>
        <v>-3.38</v>
      </c>
      <c r="R89" s="759">
        <f ca="1">(TabTRADERCorrupted[[#This Row],[M]]+TabTRADERCorrupted[[#This Row],[L_Bp]])/ABS(TabTRADERCorrupted[[#This Row],[L_Bp]])</f>
        <v>0.26775147928994092</v>
      </c>
      <c r="S89" s="678">
        <f ca="1">_xlfn.XLOOKUP(TabTRADERCorrupted[[#This Row],[ClickTick]],TabCalc[Ticker],TabCalc[Rev(MinStock)])*(1-Commission)</f>
        <v>11702.494199999999</v>
      </c>
      <c r="T89" s="777">
        <f ca="1">_xlfn.XLOOKUP(TabTRADERCorrupted[[#This Row],[ClickTick]],TabCalc[Ticker],TabCalc[Agiotage])</f>
        <v>0.86607859404355392</v>
      </c>
      <c r="U89" s="742"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550/550=&gt;-0.3% / -0.3%</v>
      </c>
      <c r="V89" s="734" t="str">
        <f ca="1">_xlfn.XLOOKUP(TabTRADERCorrupted[[#This Row],[ClickTick]],[1]!RTData[Ticker_Symbol],[1]!RTData[Currency])</f>
        <v>USD</v>
      </c>
      <c r="W89" s="744">
        <f ca="1">_xlfn.XLOOKUP(TabTRADERCorrupted[[#This Row],[ClickTick]],TabCalc[Ticker],TabCalc[M])</f>
        <v>4.2850000000000001</v>
      </c>
      <c r="X89" s="1271" t="str">
        <f ca="1">SORTING!B89</f>
        <v>RIG</v>
      </c>
      <c r="Y89" s="798">
        <f ca="1">_xlfn.XLOOKUP(TabTRADERCorrupted[[#This Row],[ClickTick]],TabCalc[Ticker],TabCalc[Y])</f>
        <v>4.1653799999999999</v>
      </c>
      <c r="Z89" s="812">
        <f ca="1">_xlfn.XLOOKUP(TabTRADERCorrupted[[#This Row],[ClickTick]],[1]!RTData[Ticker_Symbol],[1]!RTData[YTChange])</f>
        <v>2.0926470588235241E-2</v>
      </c>
      <c r="AA89" s="827">
        <f ca="1">-_xlfn.XLOOKUP(TabTRADERCorrupted[[#This Row],[ClickTick]]&amp;2,Consolid!B$3:JZ$3,Consolid!B$4:JZ$4)</f>
        <v>3.2090491636363634</v>
      </c>
      <c r="AB89" s="812" cm="1">
        <f t="array" aca="1" ref="AB89" ca="1">_xlfn.XLOOKUP(TabTRADERCorrupted[[#This Row],[ClickTick]],ListTickers,Tab1ChangePercent[Change%19])</f>
        <v>-3.4879999999999998E-3</v>
      </c>
      <c r="AC89" s="763">
        <f ca="1">_xlfn.XLOOKUP(TabTRADERCorrupted[[#This Row],[ClickTick]],TabCalc[Ticker],TabCalc[NAfter])</f>
        <v>27500</v>
      </c>
      <c r="AD8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^43/118 K$</v>
      </c>
      <c r="AE89" s="1127"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31"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31"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1383.892499999997</v>
      </c>
      <c r="AH89" s="1131"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4.285</v>
      </c>
      <c r="AI89" s="1131" t="str" cm="1">
        <f t="array" aca="1" ref="AI89" ca="1">_xlfn.IFS(   TabTRADERCorrupted[[#This Row],[Traps]]=MUp,TEXT(MIN(TabTRADERCorrupted[[#This Row],[L_Sn]],TabTRADERCorrupted[[#This Row],[N]]),"#,#0")&amp;" x "&amp;TEXT(TabTRADERCorrupted[[#This Row],[L_Sp]],"#,#0.#0"),          TRUE,"")</f>
        <v/>
      </c>
      <c r="AJ89" s="1131"/>
      <c r="AK89" s="1131"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31"/>
      <c r="AM89" s="1131"/>
      <c r="AN89" s="755"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1383.892499999997</v>
      </c>
      <c r="AO89" s="1140"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4.1387024608501036E-2</v>
      </c>
      <c r="AP89" s="1140"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9" s="820" t="str" cm="1">
        <f t="array" aca="1" ref="AQ89" ca="1">_xlfn.IFS(   TabTRADERCorrupted[[#This Row],[Traps]]=SellMorePercentGain,                     MIN(TabTRADERCorrupted[[#This Row],[L_Sn]],TabTRADERCorrupted[[#This Row],[N]])*(TabTRADERCorrupted[[#This Row],[M]]-TabTRADERCorrupted[[#This Row],[L_Sp]])*(1-Commission)*TabTRADERCorrupted[[#This Row],[Scale]],                    TRUE,"")</f>
        <v/>
      </c>
      <c r="AR89" s="1269">
        <f ca="1">_xlfn.XLOOKUP(TabTRADERCorrupted[[#This Row],[ClickTick]],TabCalc[Ticker],TabCalc[Ann%RevLB])</f>
        <v>1.2048816568047342</v>
      </c>
      <c r="AS89" s="1225">
        <f ca="1">_xlfn.XLOOKUP(TabTRADERCorrupted[[#This Row],[ClickTick]],TabCalc[Ticker],TabCalc[Up20])</f>
        <v>0</v>
      </c>
      <c r="AT89" s="1141"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9" s="820"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40" t="str" cm="1">
        <f t="array" aca="1" ref="AV89" ca="1">_xlfn.IFS(   TabTRADERCorrupted[[#This Row],[Traps]]=MUp,TabTRADERCorrupted[[#This Row],[TakeGain_A]]-Commission,        TabTRADERCorrupted[[#This Row],[Traps]]=MDown,(TabTRADERCorrupted[[#This Row],[A]]-TabTRADERCorrupted[[#This Row],[M]])/TabTRADERCorrupted[[#This Row],[M]]-Commission,                              TRUE,"")</f>
        <v/>
      </c>
      <c r="AW89" s="820"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29511.717515200009</v>
      </c>
      <c r="AX89" s="755"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89" s="731"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60"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0.33441474700656743</v>
      </c>
      <c r="BA89" s="757"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-0.25369704465895837</v>
      </c>
      <c r="BB89" s="322">
        <f ca="1">_xlfn.XLOOKUP(TabTRADERCorrupted[[#This Row],[ClickTick]],TabCalc[Ticker],TabCalc[L_Sn])</f>
        <v>7500</v>
      </c>
      <c r="BC89" s="723">
        <f ca="1">_xlfn.XLOOKUP(TabTRADERCorrupted[[#This Row],[ClickTick]],TabCalc[Ticker],TabCalc[L_Sp])</f>
        <v>4.47</v>
      </c>
      <c r="BD89" s="759">
        <f ca="1">-IFERROR((TabTRADERCorrupted[[#This Row],[M]]-TabTRADERCorrupted[[#This Row],[L_Sp]])/TabTRADERCorrupted[[#This Row],[L_Sp]],0)</f>
        <v>4.1387024608501036E-2</v>
      </c>
      <c r="BE89" s="724">
        <f ca="1">TabTRADERCorrupted[[#This Row],[L_Sn]]*(TabTRADERCorrupted[[#This Row],[M]]-TabTRADERCorrupted[[#This Row],[L_Sp]])*(1-Commission)*TabTRADERCorrupted[[#This Row],[Scale]]</f>
        <v>-1383.892499999997</v>
      </c>
      <c r="BF89" s="687">
        <f ca="1">TabTRADERCorrupted[[#This Row],[L_Sn]]*(TabTRADERCorrupted[[#This Row],[Agiotage]]-TabTRADERCorrupted[[#This Row],[M]])/(TabTRADERCorrupted[[#This Row],[L_Bn]]*TabTRADERCorrupted[[#This Row],[M]])</f>
        <v>-0.46031613938916344</v>
      </c>
      <c r="BG89" s="630">
        <f ca="1">IFERROR((TabTRADERCorrupted[[#This Row],[M]]-TabTRADERCorrupted[[#This Row],[A]])/TabTRADERCorrupted[[#This Row],[A]],0)</f>
        <v>0.33528649188546966</v>
      </c>
      <c r="BH8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29,512$</v>
      </c>
      <c r="BI89" s="679">
        <f ca="1">_xlfn.XLOOKUP(TabTRADERCorrupted[[#This Row],[ClickTick]],TabCalc[[#This Row],[Ticker]],TabCalc[[#This Row],[GL]])*(1-Commission)</f>
        <v>42704.634244353962</v>
      </c>
      <c r="BJ89" s="679"/>
      <c r="BK89" s="664" t="str">
        <f ca="1">TabTRADERCorrupted[[#This Row],[ClickTick]]&amp;": "&amp;_xlfn.XLOOKUP(TabTRADERCorrupted[[#This Row],[ClickTick]],TabCalc[Ticker],TabCalc[Pile?])</f>
        <v xml:space="preserve">RIG: </v>
      </c>
      <c r="BL89" s="349" t="s">
        <v>2053</v>
      </c>
      <c r="BM89" s="750" t="str" cm="1">
        <f t="array" aca="1" ref="BM89" ca="1">_xlfn.TEXTJOIN("",,INDEX({"M","A","Y"}, _xlfn.SORTBY({1,2,3}, -CHOOSE({1,2,3}, TabTRADERCorrupted[[#This Row],[M]], TabTRADERCorrupted[[#This Row],[A]], TabTRADERCorrupted[[#This Row],[Agiotage]]))))</f>
        <v>MAY</v>
      </c>
      <c r="BN89" s="896"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9" s="674">
        <f ca="1">TabTRADERCorrupted[[#This Row],[L_Sn]]*TabTRADERCorrupted[[#This Row],[L_Sp]]+TabTRADERCorrupted[[#This Row],[SellMore]]*TabTRADERCorrupted[[#This Row],[M]]</f>
        <v>89230</v>
      </c>
      <c r="BP89" s="674">
        <f ca="1">INDEX(
  INDEX(TabConsolid[], , _xlfn.XMATCH(TabTRADERCorrupted[[#This Row],[ClickTick]]&amp;1, TabConsolid[#Headers])),
  MATCH(
    -TabTRADERCorrupted[[#This Row],[M]],
    INDEX(TabConsolid[], , _xlfn.XMATCH(TabTRADERCorrupted[[#This Row],[ClickTick]]&amp;2, TabConsolid[#Headers])),
    -1
  )
)</f>
        <v>13000</v>
      </c>
      <c r="BQ89" s="674"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13">
        <f ca="1">TabTRADERCorrupted[[#This Row],[ReBuy]]/(TabTRADERCorrupted[[#This Row],[L_Sn]]+TabTRADERCorrupted[[#This Row],[SellMore]])</f>
        <v>4.3526829268292682</v>
      </c>
      <c r="BS8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-5.8018060222291207E-4</v>
      </c>
      <c r="BT89" s="682">
        <f ca="1">(TabTRADERCorrupted[[#This Row],[M]]-TabTRADERCorrupted[[#This Row],[Agiotage]])/(TabTRADERCorrupted[[#This Row],[M]]-TabTRADERCorrupted[[#This Row],[A]])-1</f>
        <v>2.1775814381178296</v>
      </c>
      <c r="BU89" s="1221">
        <f ca="1">_xlfn.XMATCH(TabTRADERCorrupted[[#This Row],[ClickTick]]&amp;1, TabConsolid[#Headers])</f>
        <v>263</v>
      </c>
      <c r="BV89" t="b">
        <f ca="1">IF(ABS(TabTRADERCorrupted[[#This Row],[L_Bp]])&gt;=TabTRADERCorrupted[[#This Row],[M]],"OK")</f>
        <v>0</v>
      </c>
    </row>
    <row r="90" spans="1:74">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v>
      </c>
      <c r="D90" s="683"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2,205$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 = 0</v>
      </c>
      <c r="I90" s="224" t="str">
        <f ca="1">IFERROR(TRUNC(TabCalc[[#This Row],[L_S1p]],2)&amp;"x"&amp;TabCalc[[#This Row],[L_S1n]]&amp;"=   "&amp;TEXT(TabCalc[[#This Row],[ReverseB1]],"#,#0"),"")</f>
        <v>33.25x1300=   -3,965</v>
      </c>
      <c r="J90" s="293">
        <f ca="1">_xlfn.XLOOKUP(TabTRADERCorrupted[[#This Row],[ClickTick]],TabCalc[Ticker],ListGravity)</f>
        <v>1.1606179063360882</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1.3783333254019026</v>
      </c>
      <c r="N90" s="322" cm="1">
        <f t="array" aca="1" ref="N90" ca="1">_xlfn.XLOOKUP(TabTRADERCorrupted[[#This Row],[ClickTick]],ListTickers,Tab2RSIConventional[RSIConv20])</f>
        <v>64</v>
      </c>
      <c r="O90" s="698"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6">
        <f ca="1">_xlfn.XLOOKUP(TabTRADERCorrupted[[#This Row],[ClickTick]],TabCalc[Ticker],TabCalc[L_Bp])</f>
        <v>-36.789099999999998</v>
      </c>
      <c r="R90" s="759">
        <f ca="1">(TabTRADERCorrupted[[#This Row],[M]]+TabTRADERCorrupted[[#This Row],[L_Bp]])/ABS(TabTRADERCorrupted[[#This Row],[L_Bp]])</f>
        <v>-1.3294698701517584E-2</v>
      </c>
      <c r="S90" s="678">
        <f ca="1">_xlfn.XLOOKUP(TabTRADERCorrupted[[#This Row],[ClickTick]],TabCalc[Ticker],TabCalc[Rev(MinStock)])*(1-Commission)</f>
        <v>0</v>
      </c>
      <c r="T90" s="777">
        <f ca="1">_xlfn.XLOOKUP(TabTRADERCorrupted[[#This Row],[ClickTick]],TabCalc[Ticker],TabCalc[Agiotage])</f>
        <v>1.3783333254019026</v>
      </c>
      <c r="U90" s="742"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0/0=&gt;-2.7% / -2.7%</v>
      </c>
      <c r="V90" s="734" t="str">
        <f ca="1">_xlfn.XLOOKUP(TabTRADERCorrupted[[#This Row],[ClickTick]],[1]!RTData[Ticker_Symbol],[1]!RTData[Currency])</f>
        <v>USD</v>
      </c>
      <c r="W90" s="744">
        <f ca="1">_xlfn.XLOOKUP(TabTRADERCorrupted[[#This Row],[ClickTick]],TabCalc[Ticker],TabCalc[M])</f>
        <v>36.299999999999997</v>
      </c>
      <c r="X90" s="1271" t="str">
        <f ca="1">SORTING!B90</f>
        <v>RRC</v>
      </c>
      <c r="Y90" s="798">
        <f ca="1">_xlfn.XLOOKUP(TabTRADERCorrupted[[#This Row],[ClickTick]],TabCalc[Ticker],TabCalc[Y])</f>
        <v>42.130429999999997</v>
      </c>
      <c r="Z90" s="812">
        <f ca="1">_xlfn.XLOOKUP(TabTRADERCorrupted[[#This Row],[ClickTick]],[1]!RTData[Ticker_Symbol],[1]!RTData[YTChange])</f>
        <v>2.5021410150357654E-2</v>
      </c>
      <c r="AA90" s="827">
        <f ca="1">-_xlfn.XLOOKUP(TabTRADERCorrupted[[#This Row],[ClickTick]]&amp;2,Consolid!B$3:JZ$3,Consolid!B$4:JZ$4)</f>
        <v>0</v>
      </c>
      <c r="AB90" s="812" cm="1">
        <f t="array" aca="1" ref="AB90" ca="1">_xlfn.XLOOKUP(TabTRADERCorrupted[[#This Row],[ClickTick]],ListTickers,Tab1ChangePercent[Change%19])</f>
        <v>-2.6549E-2</v>
      </c>
      <c r="AC90" s="763">
        <f ca="1">_xlfn.XLOOKUP(TabTRADERCorrupted[[#This Row],[ClickTick]],TabCalc[Ticker],TabCalc[NAfter])</f>
        <v>0</v>
      </c>
      <c r="AD9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^10/0 K$</v>
      </c>
      <c r="AE90" s="1127"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0" s="1131"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36.3, 01.2%</v>
      </c>
      <c r="AG90" s="1131" t="str"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0" s="1131"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36.3</v>
      </c>
      <c r="AI90" s="1131" t="str" cm="1">
        <f t="array" aca="1" ref="AI90" ca="1">_xlfn.IFS(   TabTRADERCorrupted[[#This Row],[Traps]]=MUp,TEXT(MIN(TabTRADERCorrupted[[#This Row],[L_Sn]],TabTRADERCorrupted[[#This Row],[N]]),"#,#0")&amp;" x "&amp;TEXT(TabTRADERCorrupted[[#This Row],[L_Sp]],"#,#0.#0"),          TRUE,"")</f>
        <v/>
      </c>
      <c r="AJ90" s="1131"/>
      <c r="AK90" s="1131"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31"/>
      <c r="AM90" s="1131"/>
      <c r="AN90" s="755" t="str"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0" s="1140" t="str"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0" s="1140"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TabTRADERCorrupted[[#This Row],[Traps]]=SellMorePercentGain,                     MIN(TabTRADERCorrupted[[#This Row],[L_Sn]],TabTRADERCorrupted[[#This Row],[N]])*(TabTRADERCorrupted[[#This Row],[M]]-TabTRADERCorrupted[[#This Row],[L_Sp]])*(1-Commission)*TabTRADERCorrupted[[#This Row],[Scale]],                    TRUE,"")</f>
        <v/>
      </c>
      <c r="AR90" s="1129">
        <f ca="1">_xlfn.XLOOKUP(TabTRADERCorrupted[[#This Row],[ClickTick]],TabCalc[Ticker],TabCalc[Ann%RevLB])</f>
        <v>-1.3832634487128124E-2</v>
      </c>
      <c r="AS90" s="1225">
        <f ca="1">_xlfn.XLOOKUP(TabTRADERCorrupted[[#This Row],[ClickTick]],TabCalc[Ticker],TabCalc[Up20])</f>
        <v>0.5</v>
      </c>
      <c r="AT90" s="1141"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20"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40" t="str" cm="1">
        <f t="array" aca="1" ref="AV90" ca="1">_xlfn.IFS(   TabTRADERCorrupted[[#This Row],[Traps]]=MUp,TabTRADERCorrupted[[#This Row],[TakeGain_A]]-Commission,        TabTRADERCorrupted[[#This Row],[Traps]]=MDown,(TabTRADERCorrupted[[#This Row],[A]]-TabTRADERCorrupted[[#This Row],[M]])/TabTRADERCorrupted[[#This Row],[M]]-Commission,                              TRUE,"")</f>
        <v/>
      </c>
      <c r="AW90" s="820"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5"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-0.1%</v>
      </c>
      <c r="AY90" s="731"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0x36.3</v>
      </c>
      <c r="AZ90" s="760"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7"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-1.4748760330578387E-2</v>
      </c>
      <c r="BB90" s="322">
        <f ca="1">_xlfn.XLOOKUP(TabTRADERCorrupted[[#This Row],[ClickTick]],TabCalc[Ticker],TabCalc[L_Sn])</f>
        <v>5000</v>
      </c>
      <c r="BC90" s="723">
        <f ca="1">_xlfn.XLOOKUP(TabTRADERCorrupted[[#This Row],[ClickTick]],TabCalc[Ticker],TabCalc[L_Sp])</f>
        <v>35.859000000000002</v>
      </c>
      <c r="BD90" s="759">
        <f ca="1">-IFERROR((TabTRADERCorrupted[[#This Row],[M]]-TabTRADERCorrupted[[#This Row],[L_Sp]])/TabTRADERCorrupted[[#This Row],[L_Sp]],0)</f>
        <v>-1.2298167823977114E-2</v>
      </c>
      <c r="BE90" s="724">
        <f ca="1">TabTRADERCorrupted[[#This Row],[L_Sn]]*(TabTRADERCorrupted[[#This Row],[M]]-TabTRADERCorrupted[[#This Row],[L_Sp]])*(1-Commission)*TabTRADERCorrupted[[#This Row],[Scale]]</f>
        <v>2199.2669999999766</v>
      </c>
      <c r="BF90" s="687">
        <f ca="1">TabTRADERCorrupted[[#This Row],[L_Sn]]*(TabTRADERCorrupted[[#This Row],[Agiotage]]-TabTRADERCorrupted[[#This Row],[M]])/(TabTRADERCorrupted[[#This Row],[L_Bn]]*TabTRADERCorrupted[[#This Row],[M]])</f>
        <v>-2.0913682282068566</v>
      </c>
      <c r="BG90" s="630">
        <f ca="1">IFERROR((TabTRADERCorrupted[[#This Row],[M]]-TabTRADERCorrupted[[#This Row],[A]])/TabTRADERCorrupted[[#This Row],[A]],0)</f>
        <v>0</v>
      </c>
      <c r="BH9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9">
        <f ca="1">_xlfn.XLOOKUP(TabTRADERCorrupted[[#This Row],[ClickTick]],TabCalc[[#This Row],[Ticker]],TabCalc[[#This Row],[GL]])*(1-Commission)</f>
        <v>9803.4037285427712</v>
      </c>
      <c r="BJ90" s="679"/>
      <c r="BK90" s="664" t="str">
        <f ca="1">TabTRADERCorrupted[[#This Row],[ClickTick]]&amp;": "&amp;_xlfn.XLOOKUP(TabTRADERCorrupted[[#This Row],[ClickTick]],TabCalc[Ticker],TabCalc[Pile?])</f>
        <v>RRC: Pile</v>
      </c>
      <c r="BL90" s="349" t="s">
        <v>2054</v>
      </c>
      <c r="BM90" s="750" t="str" cm="1">
        <f t="array" aca="1" ref="BM90" ca="1">_xlfn.TEXTJOIN("",,INDEX({"M","A","Y"}, _xlfn.SORTBY({1,2,3}, -CHOOSE({1,2,3}, TabTRADERCorrupted[[#This Row],[M]], TabTRADERCorrupted[[#This Row],[A]], TabTRADERCorrupted[[#This Row],[Agiotage]]))))</f>
        <v>MYA</v>
      </c>
      <c r="BN90" s="896"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4" t="e">
        <f ca="1">TabTRADERCorrupted[[#This Row],[L_Sn]]*TabTRADERCorrupted[[#This Row],[L_Sp]]+TabTRADERCorrupted[[#This Row],[SellMore]]*TabTRADERCorrupted[[#This Row],[M]]</f>
        <v>#N/A</v>
      </c>
      <c r="BP90" s="674" t="e">
        <f ca="1">INDEX(
  INDEX(TabConsolid[], , _xlfn.XMATCH(TabTRADERCorrupted[[#This Row],[ClickTick]]&amp;1, TabConsolid[#Headers])),
  MATCH(
    -TabTRADERCorrupted[[#This Row],[M]],
    INDEX(TabConsolid[], , _xlfn.XMATCH(TabTRADERCorrupted[[#This Row],[ClickTick]]&amp;2, TabConsolid[#Headers])),
    -1
  )
)</f>
        <v>#N/A</v>
      </c>
      <c r="BQ90" s="674"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13" t="e">
        <f ca="1">TabTRADERCorrupted[[#This Row],[ReBuy]]/(TabTRADERCorrupted[[#This Row],[L_Sn]]+TabTRADERCorrupted[[#This Row],[SellMore]])</f>
        <v>#N/A</v>
      </c>
      <c r="BS9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2">
        <f ca="1">(TabTRADERCorrupted[[#This Row],[M]]-TabTRADERCorrupted[[#This Row],[Agiotage]])/(TabTRADERCorrupted[[#This Row],[M]]-TabTRADERCorrupted[[#This Row],[A]])-1</f>
        <v>-3.7970615024845888E-2</v>
      </c>
      <c r="BU90" s="1221">
        <f ca="1">_xlfn.XMATCH(TabTRADERCorrupted[[#This Row],[ClickTick]]&amp;1, TabConsolid[#Headers])</f>
        <v>266</v>
      </c>
      <c r="BV90" t="str">
        <f ca="1">IF(ABS(TabTRADERCorrupted[[#This Row],[L_Bp]])&gt;=TabTRADERCorrupted[[#This Row],[M]],"OK")</f>
        <v>OK</v>
      </c>
    </row>
    <row r="91" spans="1:74">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-7,983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-21.0%</v>
      </c>
      <c r="D91" s="683"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2,076$</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4,680$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3.7% = 0</v>
      </c>
      <c r="I91" s="224" t="str">
        <f ca="1">IFERROR(TRUNC(TabCalc[[#This Row],[L_S1p]],2)&amp;"x"&amp;TabCalc[[#This Row],[L_S1n]]&amp;"=   "&amp;TEXT(TabCalc[[#This Row],[ReverseB1]],"#,#0"),"")</f>
        <v>67.82x1500=   6,330</v>
      </c>
      <c r="J91" s="293">
        <f ca="1">_xlfn.XLOOKUP(TabTRADERCorrupted[[#This Row],[ClickTick]],TabCalc[Ticker],ListGravity)</f>
        <v>1.3208374213836478</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9540</v>
      </c>
      <c r="M91" s="321">
        <f ca="1">_xlfn.XLOOKUP(TabTRADERCorrupted[[#This Row],[ClickTick]],TabCalc[Ticker],TabCalc[Agiotage])</f>
        <v>0.62150617808507302</v>
      </c>
      <c r="N91" s="322" cm="1">
        <f t="array" aca="1" ref="N91" ca="1">_xlfn.XLOOKUP(TabTRADERCorrupted[[#This Row],[ClickTick]],ListTickers,Tab2RSIConventional[RSIConv20])</f>
        <v>66</v>
      </c>
      <c r="O91" s="698"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6">
        <f ca="1">_xlfn.XLOOKUP(TabTRADERCorrupted[[#This Row],[ClickTick]],TabCalc[Ticker],TabCalc[L_Bp])</f>
        <v>-76.94</v>
      </c>
      <c r="R91" s="759">
        <f ca="1">(TabTRADERCorrupted[[#This Row],[M]]+TabTRADERCorrupted[[#This Row],[L_Bp]])/ABS(TabTRADERCorrupted[[#This Row],[L_Bp]])</f>
        <v>-0.17338185599168179</v>
      </c>
      <c r="S91" s="678">
        <f ca="1">_xlfn.XLOOKUP(TabTRADERCorrupted[[#This Row],[ClickTick]],TabCalc[Ticker],TabCalc[Rev(MinStock)])*(1-Commission)</f>
        <v>-7962.2441999999992</v>
      </c>
      <c r="T91" s="777">
        <f ca="1">_xlfn.XLOOKUP(TabTRADERCorrupted[[#This Row],[ClickTick]],TabCalc[Ticker],TabCalc[Agiotage])</f>
        <v>0.62150617808507302</v>
      </c>
      <c r="U91" s="742"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264/264=&gt;0.5% / 0.5%</v>
      </c>
      <c r="V91" s="734" t="str">
        <f ca="1">_xlfn.XLOOKUP(TabTRADERCorrupted[[#This Row],[ClickTick]],[1]!RTData[Ticker_Symbol],[1]!RTData[Currency])</f>
        <v>USD</v>
      </c>
      <c r="W91" s="744">
        <f ca="1">_xlfn.XLOOKUP(TabTRADERCorrupted[[#This Row],[ClickTick]],TabCalc[Ticker],TabCalc[M])</f>
        <v>63.6</v>
      </c>
      <c r="X91" s="1271" t="str">
        <f ca="1">SORTING!B91</f>
        <v>XYZ</v>
      </c>
      <c r="Y91" s="798">
        <f ca="1">_xlfn.XLOOKUP(TabTRADERCorrupted[[#This Row],[ClickTick]],TabCalc[Ticker],TabCalc[Y])</f>
        <v>84.005260000000007</v>
      </c>
      <c r="Z91" s="812">
        <f ca="1">_xlfn.XLOOKUP(TabTRADERCorrupted[[#This Row],[ClickTick]],[1]!RTData[Ticker_Symbol],[1]!RTData[YTChange])</f>
        <v>0.11044626569729016</v>
      </c>
      <c r="AA91" s="827">
        <f ca="1">-_xlfn.XLOOKUP(TabTRADERCorrupted[[#This Row],[ClickTick]]&amp;2,Consolid!B$3:JZ$3,Consolid!B$4:JZ$4)</f>
        <v>77.140043999999989</v>
      </c>
      <c r="AB91" s="812" cm="1">
        <f t="array" aca="1" ref="AB91" ca="1">_xlfn.XLOOKUP(TabTRADERCorrupted[[#This Row],[ClickTick]],ListTickers,Tab1ChangePercent[Change%19])</f>
        <v>4.8980000000000004E-3</v>
      </c>
      <c r="AC91" s="763">
        <f ca="1">_xlfn.XLOOKUP(TabTRADERCorrupted[[#This Row],[ClickTick]],TabCalc[Ticker],TabCalc[NAfter])</f>
        <v>600</v>
      </c>
      <c r="AD9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-170/38 K$</v>
      </c>
      <c r="AE91" s="1147"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31"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63.6, 03.8%</v>
      </c>
      <c r="AG91" s="1131"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31"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63.6</v>
      </c>
      <c r="AI91" s="1131" t="str" cm="1">
        <f t="array" aca="1" ref="AI91" ca="1">_xlfn.IFS(   TabTRADERCorrupted[[#This Row],[Traps]]=MUp,TEXT(MIN(TabTRADERCorrupted[[#This Row],[L_Sn]],TabTRADERCorrupted[[#This Row],[N]]),"#,#0")&amp;" x "&amp;TEXT(TabTRADERCorrupted[[#This Row],[L_Sp]],"#,#0.#0"),          TRUE,"")</f>
        <v/>
      </c>
      <c r="AJ91" s="1131"/>
      <c r="AK91" s="1131"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7983.1895999999979</v>
      </c>
      <c r="AL91" s="1131"/>
      <c r="AM91" s="1131"/>
      <c r="AN91" s="755"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38160</v>
      </c>
      <c r="AO91" s="1140"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0.17552548971841381</v>
      </c>
      <c r="AP91" s="1140"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0.20714842767295591</v>
      </c>
      <c r="AQ91" s="820" t="str" cm="1">
        <f t="array" aca="1" ref="AQ91" ca="1">_xlfn.IFS(   TabTRADERCorrupted[[#This Row],[Traps]]=SellMorePercentGain,                     MIN(TabTRADERCorrupted[[#This Row],[L_Sn]],TabTRADERCorrupted[[#This Row],[N]])*(TabTRADERCorrupted[[#This Row],[M]]-TabTRADERCorrupted[[#This Row],[L_Sp]])*(1-Commission)*TabTRADERCorrupted[[#This Row],[Scale]],                    TRUE,"")</f>
        <v/>
      </c>
      <c r="AR91" s="1129">
        <f ca="1">_xlfn.XLOOKUP(TabTRADERCorrupted[[#This Row],[ClickTick]],TabCalc[Ticker],TabCalc[Ann%RevLB])</f>
        <v>-0.75201768863861973</v>
      </c>
      <c r="AS91" s="1225">
        <f ca="1">_xlfn.XLOOKUP(TabTRADERCorrupted[[#This Row],[ClickTick]],TabCalc[Ticker],TabCalc[Up20])</f>
        <v>0</v>
      </c>
      <c r="AT91" s="1141"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0.2097484276729559</v>
      </c>
      <c r="AU91" s="820" cm="1">
        <f t="array" aca="1" ref="AU91" ca="1">_xlfn.IFS(         TabTRADERCorrupted[[#This Row],[Traps]]=MDown,TabTRADERCorrupted[[#This Row],[L_Bn]]*TabTRADERCorrupted[[#This Row],[M]]*(-(TabTRADERCorrupted[[#This Row],[L_Bp]]+TabTRADERCorrupted[[#This Row],[M]])/TabTRADERCorrupted[[#This Row],[M]])*(1-Commission)*TabTRADERCorrupted[[#This Row],[Scale]],                               TRUE,"")</f>
        <v>7983.189599999997</v>
      </c>
      <c r="AV91" s="1140" cm="1">
        <f t="array" aca="1" ref="AV91" ca="1">_xlfn.IFS(   TabTRADERCorrupted[[#This Row],[Traps]]=MUp,TabTRADERCorrupted[[#This Row],[TakeGain_A]]-Commission,        TabTRADERCorrupted[[#This Row],[Traps]]=MDown,(TabTRADERCorrupted[[#This Row],[A]]-TabTRADERCorrupted[[#This Row],[M]])/TabTRADERCorrupted[[#This Row],[M]]-Commission,                              TRUE,"")</f>
        <v>0.21029377358490547</v>
      </c>
      <c r="AW91" s="820"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8102.9039313599924</v>
      </c>
      <c r="AX91" s="755"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v>
      </c>
      <c r="AY91" s="731"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-13.34</v>
      </c>
      <c r="AZ91" s="760"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-0.17506912344514591</v>
      </c>
      <c r="BA91" s="757"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0.21029377358490547</v>
      </c>
      <c r="BB91" s="322">
        <f ca="1">_xlfn.XLOOKUP(TabTRADERCorrupted[[#This Row],[ClickTick]],TabCalc[Ticker],TabCalc[L_Sn])</f>
        <v>2000</v>
      </c>
      <c r="BC91" s="723">
        <f ca="1">_xlfn.XLOOKUP(TabTRADERCorrupted[[#This Row],[ClickTick]],TabCalc[Ticker],TabCalc[L_Sp])</f>
        <v>61.26</v>
      </c>
      <c r="BD91" s="759">
        <f ca="1">-IFERROR((TabTRADERCorrupted[[#This Row],[M]]-TabTRADERCorrupted[[#This Row],[L_Sp]])/TabTRADERCorrupted[[#This Row],[L_Sp]],0)</f>
        <v>-3.8197845249755197E-2</v>
      </c>
      <c r="BE91" s="724">
        <f ca="1">TabTRADERCorrupted[[#This Row],[L_Sn]]*(TabTRADERCorrupted[[#This Row],[M]]-TabTRADERCorrupted[[#This Row],[L_Sp]])*(1-Commission)*TabTRADERCorrupted[[#This Row],[Scale]]</f>
        <v>4667.8320000000067</v>
      </c>
      <c r="BF91" s="687">
        <f ca="1">TabTRADERCorrupted[[#This Row],[L_Sn]]*(TabTRADERCorrupted[[#This Row],[Agiotage]]-TabTRADERCorrupted[[#This Row],[M]])/(TabTRADERCorrupted[[#This Row],[L_Bn]]*TabTRADERCorrupted[[#This Row],[M]])</f>
        <v>-3.3007596342722714</v>
      </c>
      <c r="BG91" s="630">
        <f ca="1">IFERROR((TabTRADERCorrupted[[#This Row],[M]]-TabTRADERCorrupted[[#This Row],[A]])/TabTRADERCorrupted[[#This Row],[A]],0)</f>
        <v>-0.17552548971841381</v>
      </c>
      <c r="BH9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 : -8,103$</v>
      </c>
      <c r="BI91" s="679">
        <f ca="1">_xlfn.XLOOKUP(TabTRADERCorrupted[[#This Row],[ClickTick]],TabCalc[[#This Row],[Ticker]],TabCalc[[#This Row],[GL]])*(1-Commission)</f>
        <v>-169786.16727545232</v>
      </c>
      <c r="BJ91" s="679"/>
      <c r="BK91" s="664" t="str">
        <f ca="1">TabTRADERCorrupted[[#This Row],[ClickTick]]&amp;": "&amp;_xlfn.XLOOKUP(TabTRADERCorrupted[[#This Row],[ClickTick]],TabCalc[Ticker],TabCalc[Pile?])</f>
        <v>XYZ: Pile</v>
      </c>
      <c r="BL91" s="349" t="s">
        <v>2055</v>
      </c>
      <c r="BM91" s="750" t="str" cm="1">
        <f t="array" aca="1" ref="BM91" ca="1">_xlfn.TEXTJOIN("",,INDEX({"M","A","Y"}, _xlfn.SORTBY({1,2,3}, -CHOOSE({1,2,3}, TabTRADERCorrupted[[#This Row],[M]], TabTRADERCorrupted[[#This Row],[A]], TabTRADERCorrupted[[#This Row],[Agiotage]]))))</f>
        <v>AMY</v>
      </c>
      <c r="BN91" s="896"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0.2097484276729559</v>
      </c>
      <c r="BO91" s="674" t="e">
        <f ca="1">TabTRADERCorrupted[[#This Row],[L_Sn]]*TabTRADERCorrupted[[#This Row],[L_Sp]]+TabTRADERCorrupted[[#This Row],[SellMore]]*TabTRADERCorrupted[[#This Row],[M]]</f>
        <v>#N/A</v>
      </c>
      <c r="BP91" s="674" t="e">
        <f ca="1">INDEX(
  INDEX(TabConsolid[], , _xlfn.XMATCH(TabTRADERCorrupted[[#This Row],[ClickTick]]&amp;1, TabConsolid[#Headers])),
  MATCH(
    -TabTRADERCorrupted[[#This Row],[M]],
    INDEX(TabConsolid[], , _xlfn.XMATCH(TabTRADERCorrupted[[#This Row],[ClickTick]]&amp;2, TabConsolid[#Headers])),
    -1
  )
)</f>
        <v>#N/A</v>
      </c>
      <c r="BQ91" s="674"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13" t="e">
        <f ca="1">TabTRADERCorrupted[[#This Row],[ReBuy]]/(TabTRADERCorrupted[[#This Row],[L_Sn]]+TabTRADERCorrupted[[#This Row],[SellMore]])</f>
        <v>#N/A</v>
      </c>
      <c r="BS9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-0.1364534032808157</v>
      </c>
      <c r="BT91" s="682">
        <f ca="1">(TabTRADERCorrupted[[#This Row],[M]]-TabTRADERCorrupted[[#This Row],[Agiotage]])/(TabTRADERCorrupted[[#This Row],[M]]-TabTRADERCorrupted[[#This Row],[A]])-1</f>
        <v>-5.6512768955488619</v>
      </c>
      <c r="BU91" s="1221">
        <f ca="1">_xlfn.XMATCH(TabTRADERCorrupted[[#This Row],[ClickTick]]&amp;1, TabConsolid[#Headers])</f>
        <v>269</v>
      </c>
      <c r="BV91" t="str">
        <f ca="1">IF(ABS(TabTRADERCorrupted[[#This Row],[L_Bp]])&gt;=TabTRADERCorrupted[[#This Row],[M]],"OK")</f>
        <v>OK</v>
      </c>
    </row>
    <row r="92" spans="1:74">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-1,091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v>
      </c>
      <c r="D92" s="683"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720</v>
      </c>
      <c r="F92" s="224" t="str">
        <f ca="1">TRUNC(TabCalc[[#This Row],[L_B1p]],2)&amp;"x"&amp;TabCalc[[#This Row],[L_B1n]]&amp;"=   "&amp;TEXT(TabCalc[[#This Row],[ReverseS1]],"#,#0")&amp;"$"</f>
        <v>-152.18x1000=   45,415$</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-6,945$</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3.5% = 720</v>
      </c>
      <c r="I92" s="224" t="str">
        <f ca="1">IFERROR(TRUNC(TabCalc[[#This Row],[L_S1p]],2)&amp;"x"&amp;TabCalc[[#This Row],[L_S1n]]&amp;"=   "&amp;TEXT(TabCalc[[#This Row],[ReverseB1]],"#,#0"),"")</f>
        <v>194.28x250=   -829</v>
      </c>
      <c r="J92" s="293">
        <f ca="1">_xlfn.XLOOKUP(TabTRADERCorrupted[[#This Row],[ClickTick]],TabCalc[Ticker],ListGravity)</f>
        <v>1.1859274273134441</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0.79188085697408961</v>
      </c>
      <c r="N92" s="322" cm="1">
        <f t="array" aca="1" ref="N92" ca="1">_xlfn.XLOOKUP(TabTRADERCorrupted[[#This Row],[ClickTick]],ListTickers,Tab2RSIConventional[RSIConv20])</f>
        <v>31</v>
      </c>
      <c r="O92" s="698" t="str">
        <f ca="1">TEXT(_xlfn.XLOOKUP(TabTRADERCorrupted[[#This Row],[ClickTick]],TabCalc[Ticker],TabCalc[Nbegin]),"#,#0")&amp;": "&amp;_xlfn.XLOOKUP(TabTRADERCorrupted[[#This Row],[ClickTick]],TabCalc[Ticker],TabCalc[Pile?])</f>
        <v>2,000: Pile</v>
      </c>
      <c r="P92" s="729">
        <f ca="1">_xlfn.XLOOKUP(TabTRADERCorrupted[[#This Row],[ClickTick]],TabCalc[Ticker],TabCalc[L_Bn])</f>
        <v>300</v>
      </c>
      <c r="Q92" s="723">
        <f ca="1">_xlfn.XLOOKUP(TabTRADERCorrupted[[#This Row],[ClickTick]],TabCalc[Ticker],TabCalc[L_Bp])</f>
        <v>-201.24</v>
      </c>
      <c r="R92" s="759">
        <f ca="1">(TabTRADERCorrupted[[#This Row],[M]]+TabTRADERCorrupted[[#This Row],[L_Bp]])/ABS(TabTRADERCorrupted[[#This Row],[L_Bp]])</f>
        <v>-1.8112701252236185E-2</v>
      </c>
      <c r="S92" s="678">
        <f ca="1">_xlfn.XLOOKUP(TabTRADERCorrupted[[#This Row],[ClickTick]],TabCalc[Ticker],TabCalc[Rev(MinStock)])*(1-Commission)</f>
        <v>-1088.1633999999999</v>
      </c>
      <c r="T92" s="777">
        <f ca="1">_xlfn.XLOOKUP(TabTRADERCorrupted[[#This Row],[ClickTick]],TabCalc[Ticker],TabCalc[Agiotage])</f>
        <v>0.79188085697408961</v>
      </c>
      <c r="U92" s="742"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-113/-113=&gt;0.1% / 0.1%</v>
      </c>
      <c r="V92" s="734" t="str">
        <f ca="1">_xlfn.XLOOKUP(TabTRADERCorrupted[[#This Row],[ClickTick]],[1]!RTData[Ticker_Symbol],[1]!RTData[Currency])</f>
        <v>USD</v>
      </c>
      <c r="W92" s="744">
        <f ca="1">_xlfn.XLOOKUP(TabTRADERCorrupted[[#This Row],[ClickTick]],TabCalc[Ticker],TabCalc[M])</f>
        <v>197.595</v>
      </c>
      <c r="X92" s="1271" t="str">
        <f ca="1">SORTING!B92</f>
        <v>THC</v>
      </c>
      <c r="Y92" s="798">
        <f ca="1">_xlfn.XLOOKUP(TabTRADERCorrupted[[#This Row],[ClickTick]],TabCalc[Ticker],TabCalc[Y])</f>
        <v>234.33332999999999</v>
      </c>
      <c r="Z92" s="812">
        <f ca="1">_xlfn.XLOOKUP(TabTRADERCorrupted[[#This Row],[ClickTick]],[1]!RTData[Ticker_Symbol],[1]!RTData[YTChange])</f>
        <v>0.32234823091247661</v>
      </c>
      <c r="AA92" s="827">
        <f ca="1">-_xlfn.XLOOKUP(TabTRADERCorrupted[[#This Row],[ClickTick]]&amp;2,Consolid!B$3:JZ$3,Consolid!B$4:JZ$4)</f>
        <v>160.89850793399998</v>
      </c>
      <c r="AB92" s="812" cm="1">
        <f t="array" aca="1" ref="AB92" ca="1">_xlfn.XLOOKUP(TabTRADERCorrupted[[#This Row],[ClickTick]],ListTickers,Tab1ChangePercent[Change%19])</f>
        <v>6.3299999999999999E-4</v>
      </c>
      <c r="AC92" s="763">
        <f ca="1">_xlfn.XLOOKUP(TabTRADERCorrupted[[#This Row],[ClickTick]],TabCalc[Ticker],TabCalc[NAfter])</f>
        <v>1500</v>
      </c>
      <c r="AD9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^288/296 K$</v>
      </c>
      <c r="AE92" s="1147"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31"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197.595, -03.4%</v>
      </c>
      <c r="AG92" s="1131"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31"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197.595</v>
      </c>
      <c r="AI92" s="1131" t="str" cm="1">
        <f t="array" aca="1" ref="AI92" ca="1">_xlfn.IFS(   TabTRADERCorrupted[[#This Row],[Traps]]=MUp,TEXT(MIN(TabTRADERCorrupted[[#This Row],[L_Sn]],TabTRADERCorrupted[[#This Row],[N]]),"#,#0")&amp;" x "&amp;TEXT(TabTRADERCorrupted[[#This Row],[L_Sp]],"#,#0.#0"),          TRUE,"")</f>
        <v/>
      </c>
      <c r="AJ92" s="1131"/>
      <c r="AK92" s="1131"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1090.6569000000031</v>
      </c>
      <c r="AL92" s="1131"/>
      <c r="AM92" s="1131"/>
      <c r="AN92" s="755"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296392.5</v>
      </c>
      <c r="AO92" s="1140"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-0.228072295617886</v>
      </c>
      <c r="AP92" s="1140"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1.5846823047141932E-2</v>
      </c>
      <c r="AQ92" s="820" t="str" cm="1">
        <f t="array" aca="1" ref="AQ92" ca="1">_xlfn.IFS(   TabTRADERCorrupted[[#This Row],[Traps]]=SellMorePercentGain,                     MIN(TabTRADERCorrupted[[#This Row],[L_Sn]],TabTRADERCorrupted[[#This Row],[N]])*(TabTRADERCorrupted[[#This Row],[M]]-TabTRADERCorrupted[[#This Row],[L_Sp]])*(1-Commission)*TabTRADERCorrupted[[#This Row],[Scale]],                    TRUE,"")</f>
        <v/>
      </c>
      <c r="AR92" s="1269">
        <f ca="1">_xlfn.XLOOKUP(TabTRADERCorrupted[[#This Row],[ClickTick]],TabCalc[Ticker],TabCalc[Ann%RevLB])</f>
        <v>-0.10188394454382854</v>
      </c>
      <c r="AS92" s="1225">
        <f ca="1">_xlfn.XLOOKUP(TabTRADERCorrupted[[#This Row],[ClickTick]],TabCalc[Ticker],TabCalc[Up20])</f>
        <v>0</v>
      </c>
      <c r="AT92" s="1141"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1.8446823047141934E-2</v>
      </c>
      <c r="AU92" s="820" cm="1">
        <f t="array" aca="1" ref="AU92" ca="1">_xlfn.IFS(         TabTRADERCorrupted[[#This Row],[Traps]]=MDown,TabTRADERCorrupted[[#This Row],[L_Bn]]*TabTRADERCorrupted[[#This Row],[M]]*(-(TabTRADERCorrupted[[#This Row],[L_Bp]]+TabTRADERCorrupted[[#This Row],[M]])/TabTRADERCorrupted[[#This Row],[M]])*(1-Commission)*TabTRADERCorrupted[[#This Row],[Scale]],                               TRUE,"")</f>
        <v>1090.6569000000031</v>
      </c>
      <c r="AV92" s="1140" cm="1">
        <f t="array" aca="1" ref="AV92" ca="1">_xlfn.IFS(   TabTRADERCorrupted[[#This Row],[Traps]]=MUp,TabTRADERCorrupted[[#This Row],[TakeGain_A]]-Commission,        TabTRADERCorrupted[[#This Row],[Traps]]=MDown,(TabTRADERCorrupted[[#This Row],[A]]-TabTRADERCorrupted[[#This Row],[M]])/TabTRADERCorrupted[[#This Row],[M]]-Commission,                              TRUE,"")</f>
        <v>-0.18831569152053451</v>
      </c>
      <c r="AW92" s="755"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-54901.62177994263</v>
      </c>
      <c r="AX92" s="755"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92" s="731"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-3.64</v>
      </c>
      <c r="AZ92" s="760"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0.22747930764927948</v>
      </c>
      <c r="BA92" s="757"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-0.18831569152053451</v>
      </c>
      <c r="BB92" s="322">
        <f ca="1">_xlfn.XLOOKUP(TabTRADERCorrupted[[#This Row],[ClickTick]],TabCalc[Ticker],TabCalc[L_Sn])</f>
        <v>1000</v>
      </c>
      <c r="BC92" s="723">
        <f ca="1">_xlfn.XLOOKUP(TabTRADERCorrupted[[#This Row],[ClickTick]],TabCalc[Ticker],TabCalc[L_Sp])</f>
        <v>204.54</v>
      </c>
      <c r="BD92" s="759">
        <f ca="1">-IFERROR((TabTRADERCorrupted[[#This Row],[M]]-TabTRADERCorrupted[[#This Row],[L_Sp]])/TabTRADERCorrupted[[#This Row],[L_Sp]],0)</f>
        <v>3.395423877970076E-2</v>
      </c>
      <c r="BE92" s="724">
        <f ca="1">TabTRADERCorrupted[[#This Row],[L_Sn]]*(TabTRADERCorrupted[[#This Row],[M]]-TabTRADERCorrupted[[#This Row],[L_Sp]])*(1-Commission)*TabTRADERCorrupted[[#This Row],[Scale]]</f>
        <v>-6926.942999999992</v>
      </c>
      <c r="BF92" s="687">
        <f ca="1">TabTRADERCorrupted[[#This Row],[L_Sn]]*(TabTRADERCorrupted[[#This Row],[Agiotage]]-TabTRADERCorrupted[[#This Row],[M]])/(TabTRADERCorrupted[[#This Row],[L_Bn]]*TabTRADERCorrupted[[#This Row],[M]])</f>
        <v>-3.3199746812592408</v>
      </c>
      <c r="BG92" s="630">
        <f ca="1">IFERROR((TabTRADERCorrupted[[#This Row],[M]]-TabTRADERCorrupted[[#This Row],[A]])/TabTRADERCorrupted[[#This Row],[A]],0)</f>
        <v>0.228072295617886</v>
      </c>
      <c r="BH9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54,902$</v>
      </c>
      <c r="BI92" s="679">
        <f ca="1">_xlfn.XLOOKUP(TabTRADERCorrupted[[#This Row],[ClickTick]],TabCalc[[#This Row],[Ticker]],TabCalc[[#This Row],[GL]])*(1-Commission)</f>
        <v>287223.05300311156</v>
      </c>
      <c r="BJ92" s="679"/>
      <c r="BK92" s="664" t="str">
        <f ca="1">TabTRADERCorrupted[[#This Row],[ClickTick]]&amp;": "&amp;_xlfn.XLOOKUP(TabTRADERCorrupted[[#This Row],[ClickTick]],TabCalc[Ticker],TabCalc[Pile?])</f>
        <v>THC: Pile</v>
      </c>
      <c r="BL92" s="349" t="s">
        <v>2056</v>
      </c>
      <c r="BM92" s="750" t="str" cm="1">
        <f t="array" aca="1" ref="BM92" ca="1">_xlfn.TEXTJOIN("",,INDEX({"M","A","Y"}, _xlfn.SORTBY({1,2,3}, -CHOOSE({1,2,3}, TabTRADERCorrupted[[#This Row],[M]], TabTRADERCorrupted[[#This Row],[A]], TabTRADERCorrupted[[#This Row],[Agiotage]]))))</f>
        <v>MAY</v>
      </c>
      <c r="BN92" s="896"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1.8446823047141934E-2</v>
      </c>
      <c r="BO92" s="674">
        <f ca="1">TabTRADERCorrupted[[#This Row],[L_Sn]]*TabTRADERCorrupted[[#This Row],[L_Sp]]+TabTRADERCorrupted[[#This Row],[SellMore]]*TabTRADERCorrupted[[#This Row],[M]]</f>
        <v>402135</v>
      </c>
      <c r="BP92" s="674">
        <f ca="1">INDEX(
  INDEX(TabConsolid[], , _xlfn.XMATCH(TabTRADERCorrupted[[#This Row],[ClickTick]]&amp;1, TabConsolid[#Headers])),
  MATCH(
    -TabTRADERCorrupted[[#This Row],[M]],
    INDEX(TabConsolid[], , _xlfn.XMATCH(TabTRADERCorrupted[[#This Row],[ClickTick]]&amp;2, TabConsolid[#Headers])),
    -1
  )
)</f>
        <v>1000</v>
      </c>
      <c r="BQ92" s="674"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13">
        <f ca="1">TabTRADERCorrupted[[#This Row],[ReBuy]]/(TabTRADERCorrupted[[#This Row],[L_Sn]]+TabTRADERCorrupted[[#This Row],[SellMore]])</f>
        <v>201.0675</v>
      </c>
      <c r="BS9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-0.32800519857170984</v>
      </c>
      <c r="BT92" s="682">
        <f ca="1">(TabTRADERCorrupted[[#This Row],[M]]-TabTRADERCorrupted[[#This Row],[Agiotage]])/(TabTRADERCorrupted[[#This Row],[M]]-TabTRADERCorrupted[[#This Row],[A]])-1</f>
        <v>4.3629954271669371</v>
      </c>
      <c r="BU92" s="1221">
        <f ca="1">_xlfn.XMATCH(TabTRADERCorrupted[[#This Row],[ClickTick]]&amp;1, TabConsolid[#Headers])</f>
        <v>272</v>
      </c>
      <c r="BV92" t="str">
        <f ca="1">IF(ABS(TabTRADERCorrupted[[#This Row],[L_Bp]])&gt;=TabTRADERCorrupted[[#This Row],[M]],"OK")</f>
        <v>OK</v>
      </c>
    </row>
    <row r="93" spans="1:74">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3"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8"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6">
        <f ca="1">_xlfn.XLOOKUP(TabTRADERCorrupted[[#This Row],[ClickTick]],TabCalc[Ticker],TabCalc[L_Bp])</f>
        <v>-30.957205999999999</v>
      </c>
      <c r="R93" s="759">
        <f ca="1">(TabTRADERCorrupted[[#This Row],[M]]+TabTRADERCorrupted[[#This Row],[L_Bp]])/ABS(TabTRADERCorrupted[[#This Row],[L_Bp]])</f>
        <v>0.77147769730898852</v>
      </c>
      <c r="S93" s="678">
        <f ca="1">_xlfn.XLOOKUP(TabTRADERCorrupted[[#This Row],[ClickTick]],TabCalc[Ticker],TabCalc[Rev(MinStock)])*(1-Commission)</f>
        <v>237.38119999999998</v>
      </c>
      <c r="T93" s="777">
        <f ca="1">_xlfn.XLOOKUP(TabTRADERCorrupted[[#This Row],[ClickTick]],TabCalc[Ticker],TabCalc[Agiotage])</f>
        <v>7.2077806511077887E-5</v>
      </c>
      <c r="U93" s="742"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4" t="str">
        <f ca="1">_xlfn.XLOOKUP(TabTRADERCorrupted[[#This Row],[ClickTick]],[1]!RTData[Ticker_Symbol],[1]!RTData[Currency])</f>
        <v>USD</v>
      </c>
      <c r="W93" s="744">
        <f ca="1">_xlfn.XLOOKUP(TabTRADERCorrupted[[#This Row],[ClickTick]],TabCalc[Ticker],TabCalc[M])</f>
        <v>54.84</v>
      </c>
      <c r="X93" s="1271" t="str">
        <f ca="1">SORTING!B93</f>
        <v>X</v>
      </c>
      <c r="Y93" s="798">
        <f ca="1">_xlfn.XLOOKUP(TabTRADERCorrupted[[#This Row],[ClickTick]],TabCalc[Ticker],TabCalc[Y])</f>
        <v>0</v>
      </c>
      <c r="Z93" s="812">
        <f ca="1">_xlfn.XLOOKUP(TabTRADERCorrupted[[#This Row],[ClickTick]],[1]!RTData[Ticker_Symbol],[1]!RTData[YTChange])</f>
        <v>0</v>
      </c>
      <c r="AA93" s="827">
        <f ca="1">-_xlfn.XLOOKUP(TabTRADERCorrupted[[#This Row],[ClickTick]]&amp;2,Consolid!B$3:JZ$3,Consolid!B$4:JZ$4)</f>
        <v>31.037694735599995</v>
      </c>
      <c r="AB93" s="812" cm="1">
        <f t="array" aca="1" ref="AB93" ca="1">_xlfn.XLOOKUP(TabTRADERCorrupted[[#This Row],[ClickTick]],ListTickers,Tab1ChangePercent[Change%19])</f>
        <v>0</v>
      </c>
      <c r="AC93" s="763">
        <f ca="1">_xlfn.XLOOKUP(TabTRADERCorrupted[[#This Row],[ClickTick]],TabCalc[Ticker],TabCalc[NAfter])</f>
        <v>10</v>
      </c>
      <c r="AD9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^60/1 K$</v>
      </c>
      <c r="AE93" s="1147"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31"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31"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31"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31" t="str" cm="1">
        <f t="array" aca="1" ref="AI93" ca="1">_xlfn.IFS(   TabTRADERCorrupted[[#This Row],[Traps]]=MUp,TEXT(MIN(TabTRADERCorrupted[[#This Row],[L_Sn]],TabTRADERCorrupted[[#This Row],[N]]),"#,#0")&amp;" x "&amp;TEXT(TabTRADERCorrupted[[#This Row],[L_Sp]],"#,#0.#0"),          TRUE,"")</f>
        <v>10 x 36.08</v>
      </c>
      <c r="AJ93" s="1131"/>
      <c r="AK93" s="1131"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31"/>
      <c r="AM93" s="1131"/>
      <c r="AN93" s="755"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40"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40"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9">
        <f ca="1">_xlfn.XLOOKUP(TabTRADERCorrupted[[#This Row],[ClickTick]],TabCalc[Ticker],TabCalc[Ann%RevLB])</f>
        <v>0.81208178664104047</v>
      </c>
      <c r="AS93" s="1225">
        <f ca="1">_xlfn.XLOOKUP(TabTRADERCorrupted[[#This Row],[ClickTick]],TabCalc[Ticker],TabCalc[Up20])</f>
        <v>0</v>
      </c>
      <c r="AT93" s="1141"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20"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40"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5"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5"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93" s="731"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60"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7"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3">
        <f ca="1">_xlfn.XLOOKUP(TabTRADERCorrupted[[#This Row],[ClickTick]],TabCalc[Ticker],TabCalc[L_Sp])</f>
        <v>36.08</v>
      </c>
      <c r="BD93" s="759">
        <f ca="1">-IFERROR((TabTRADERCorrupted[[#This Row],[M]]-TabTRADERCorrupted[[#This Row],[L_Sp]])/TabTRADERCorrupted[[#This Row],[L_Sp]],0)</f>
        <v>-0.51995565410199573</v>
      </c>
      <c r="BE93" s="724">
        <f ca="1">TabTRADERCorrupted[[#This Row],[L_Sn]]*(TabTRADERCorrupted[[#This Row],[M]]-TabTRADERCorrupted[[#This Row],[L_Sp]])*(1-Commission)*TabTRADERCorrupted[[#This Row],[Scale]]</f>
        <v>29750.846160000008</v>
      </c>
      <c r="BF93" s="687">
        <f ca="1">TabTRADERCorrupted[[#This Row],[L_Sn]]*(TabTRADERCorrupted[[#This Row],[Agiotage]]-TabTRADERCorrupted[[#This Row],[M]])/(TabTRADERCorrupted[[#This Row],[L_Bn]]*TabTRADERCorrupted[[#This Row],[M]])</f>
        <v>-0.88333217234264982</v>
      </c>
      <c r="BG93" s="630">
        <f ca="1">IFERROR((TabTRADERCorrupted[[#This Row],[M]]-TabTRADERCorrupted[[#This Row],[A]])/TabTRADERCorrupted[[#This Row],[A]],0)</f>
        <v>0.76688379943046958</v>
      </c>
      <c r="BH9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9">
        <f ca="1">_xlfn.XLOOKUP(TabTRADERCorrupted[[#This Row],[ClickTick]],TabCalc[[#This Row],[Ticker]],TabCalc[[#This Row],[GL]])*(1-Commission)</f>
        <v>60203.38493707632</v>
      </c>
      <c r="BJ93" s="679"/>
      <c r="BK93" s="664" t="str">
        <f ca="1">TabTRADERCorrupted[[#This Row],[ClickTick]]&amp;": "&amp;_xlfn.XLOOKUP(TabTRADERCorrupted[[#This Row],[ClickTick]],TabCalc[Ticker],TabCalc[Pile?])</f>
        <v>X: Pile</v>
      </c>
      <c r="BL93" s="349" t="s">
        <v>2057</v>
      </c>
      <c r="BM93" s="750" t="str" cm="1">
        <f t="array" aca="1" ref="BM93" ca="1">_xlfn.TEXTJOIN("",,INDEX({"M","A","Y"}, _xlfn.SORTBY({1,2,3}, -CHOOSE({1,2,3}, TabTRADERCorrupted[[#This Row],[M]], TabTRADERCorrupted[[#This Row],[A]], TabTRADERCorrupted[[#This Row],[Agiotage]]))))</f>
        <v>MAY</v>
      </c>
      <c r="BN93" s="896"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4">
        <f ca="1">TabTRADERCorrupted[[#This Row],[L_Sn]]*TabTRADERCorrupted[[#This Row],[L_Sp]]+TabTRADERCorrupted[[#This Row],[SellMore]]*TabTRADERCorrupted[[#This Row],[M]]</f>
        <v>57915.6</v>
      </c>
      <c r="BP93" s="674">
        <f ca="1">INDEX(
  INDEX(TabConsolid[], , _xlfn.XMATCH(TabTRADERCorrupted[[#This Row],[ClickTick]]&amp;1, TabConsolid[#Headers])),
  MATCH(
    -TabTRADERCorrupted[[#This Row],[M]],
    INDEX(TabConsolid[], , _xlfn.XMATCH(TabTRADERCorrupted[[#This Row],[ClickTick]]&amp;2, TabConsolid[#Headers])),
    -1
  )
)</f>
        <v>10</v>
      </c>
      <c r="BQ93" s="674"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13">
        <f ca="1">TabTRADERCorrupted[[#This Row],[ReBuy]]/(TabTRADERCorrupted[[#This Row],[L_Sn]]+TabTRADERCorrupted[[#This Row],[SellMore]])</f>
        <v>36.197249999999997</v>
      </c>
      <c r="BS9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2">
        <f ca="1">(TabTRADERCorrupted[[#This Row],[M]]-TabTRADERCorrupted[[#This Row],[Agiotage]])/(TabTRADERCorrupted[[#This Row],[M]]-TabTRADERCorrupted[[#This Row],[A]])-1</f>
        <v>1.3039754894755928</v>
      </c>
      <c r="BU93" s="1221">
        <f ca="1">_xlfn.XMATCH(TabTRADERCorrupted[[#This Row],[ClickTick]]&amp;1, TabConsolid[#Headers])</f>
        <v>275</v>
      </c>
      <c r="BV93" t="b">
        <f ca="1">IF(ABS(TabTRADERCorrupted[[#This Row],[L_Bp]])&gt;=TabTRADERCorrupted[[#This Row],[M]],"OK")</f>
        <v>0</v>
      </c>
    </row>
    <row r="94" spans="1:74">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+383,536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48.3%</v>
      </c>
      <c r="D94" s="683"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1,002/77,100=10,353</v>
      </c>
      <c r="E9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56</v>
      </c>
      <c r="O94" s="698"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6">
        <f ca="1">_xlfn.XLOOKUP(TabTRADERCorrupted[[#This Row],[ClickTick]],TabCalc[Ticker],TabCalc[L_Bp])</f>
        <v>-5.34</v>
      </c>
      <c r="R94" s="759">
        <f ca="1">(TabTRADERCorrupted[[#This Row],[M]]+TabTRADERCorrupted[[#This Row],[L_Bp]])/ABS(TabTRADERCorrupted[[#This Row],[L_Bp]])</f>
        <v>0.93408239700374529</v>
      </c>
      <c r="S94" s="678">
        <f ca="1">_xlfn.XLOOKUP(TabTRADERCorrupted[[#This Row],[ClickTick]],TabCalc[Ticker],TabCalc[Rev(MinStock)])*(1-Commission)</f>
        <v>382538.8064</v>
      </c>
      <c r="T94" s="777">
        <f ca="1">_xlfn.XLOOKUP(TabTRADERCorrupted[[#This Row],[ClickTick]],TabCalc[Ticker],TabCalc[Agiotage])</f>
        <v>1</v>
      </c>
      <c r="U94" s="742"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6,939/6,939=&gt;0.9% / 0.9%</v>
      </c>
      <c r="V94" s="734" t="str">
        <f ca="1">_xlfn.XLOOKUP(TabTRADERCorrupted[[#This Row],[ClickTick]],[1]!RTData[Ticker_Symbol],[1]!RTData[Currency])</f>
        <v>USD</v>
      </c>
      <c r="W94" s="744">
        <f ca="1">_xlfn.XLOOKUP(TabTRADERCorrupted[[#This Row],[ClickTick]],TabCalc[Ticker],TabCalc[M])</f>
        <v>10.327999999999999</v>
      </c>
      <c r="X94" s="1271" t="str">
        <f ca="1">SORTING!B94</f>
        <v>LOCK</v>
      </c>
      <c r="Y94" s="798">
        <f ca="1">_xlfn.XLOOKUP(TabTRADERCorrupted[[#This Row],[ClickTick]],TabCalc[Ticker],TabCalc[Y])</f>
        <v>0</v>
      </c>
      <c r="Z94" s="812">
        <f ca="1">_xlfn.XLOOKUP(TabTRADERCorrupted[[#This Row],[ClickTick]],[1]!RTData[Ticker_Symbol],[1]!RTData[YTChange])</f>
        <v>0</v>
      </c>
      <c r="AA94" s="827">
        <f ca="1">-_xlfn.XLOOKUP(TabTRADERCorrupted[[#This Row],[ClickTick]]&amp;2,Consolid!B$3:JZ$3,Consolid!B$4:JZ$4)</f>
        <v>5.3538839999999999</v>
      </c>
      <c r="AB94" s="812" cm="1">
        <f t="array" aca="1" ref="AB94" ca="1">_xlfn.XLOOKUP(TabTRADERCorrupted[[#This Row],[ClickTick]],ListTickers,Tab1ChangePercent[Change%19])</f>
        <v>8.9880000000000012E-3</v>
      </c>
      <c r="AC94" s="763">
        <f ca="1">_xlfn.XLOOKUP(TabTRADERCorrupted[[#This Row],[ClickTick]],TabCalc[Ticker],TabCalc[NAfter])</f>
        <v>77100</v>
      </c>
      <c r="AD9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^379/794 K$</v>
      </c>
      <c r="AE94" s="1147"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31"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31"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382538.8064</v>
      </c>
      <c r="AH94" s="1131"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10.328</v>
      </c>
      <c r="AI94" s="1131" t="str" cm="1">
        <f t="array" aca="1" ref="AI94" ca="1">_xlfn.IFS(   TabTRADERCorrupted[[#This Row],[Traps]]=MUp,TEXT(MIN(TabTRADERCorrupted[[#This Row],[L_Sn]],TabTRADERCorrupted[[#This Row],[N]]),"#,#0")&amp;" x "&amp;TEXT(TabTRADERCorrupted[[#This Row],[L_Sp]],"#,#0.#0"),          TRUE,"")</f>
        <v/>
      </c>
      <c r="AJ94" s="1131"/>
      <c r="AK94" s="1131"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31"/>
      <c r="AM94" s="1131"/>
      <c r="AN94" s="755"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382538.8064</v>
      </c>
      <c r="AO94" s="1140"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0.93408239700374529</v>
      </c>
      <c r="AP94" s="1140"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TabTRADERCorrupted[[#This Row],[Traps]]=SellMorePercentGain,                     MIN(TabTRADERCorrupted[[#This Row],[L_Sn]],TabTRADERCorrupted[[#This Row],[N]])*(TabTRADERCorrupted[[#This Row],[M]]-TabTRADERCorrupted[[#This Row],[L_Sp]])*(1-Commission)*TabTRADERCorrupted[[#This Row],[Scale]],                    TRUE,"")</f>
        <v/>
      </c>
      <c r="AR94" s="1269">
        <f ca="1">_xlfn.XLOOKUP(TabTRADERCorrupted[[#This Row],[ClickTick]],TabCalc[Ticker],TabCalc[Ann%RevLB])</f>
        <v>0.25946733250104037</v>
      </c>
      <c r="AS94" s="1225" t="str">
        <f ca="1">_xlfn.XLOOKUP(TabTRADERCorrupted[[#This Row],[ClickTick]],TabCalc[Ticker],TabCalc[Up20])</f>
        <v>/67/45%</v>
      </c>
      <c r="AT94" s="1141"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20"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40" t="str" cm="1">
        <f t="array" aca="1" ref="AV94" ca="1">_xlfn.IFS(   TabTRADERCorrupted[[#This Row],[Traps]]=MUp,TabTRADERCorrupted[[#This Row],[TakeGain_A]]-Commission,        TabTRADERCorrupted[[#This Row],[Traps]]=MDown,(TabTRADERCorrupted[[#This Row],[A]]-TabTRADERCorrupted[[#This Row],[M]])/TabTRADERCorrupted[[#This Row],[M]]-Commission,                              TRUE,"")</f>
        <v/>
      </c>
      <c r="AW94" s="755"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737882.011500992</v>
      </c>
      <c r="AX94" s="755"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4" s="731"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60"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7"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-0.48421463981409757</v>
      </c>
      <c r="BB94" s="322">
        <f ca="1">_xlfn.XLOOKUP(TabTRADERCorrupted[[#This Row],[ClickTick]],TabCalc[Ticker],TabCalc[L_Sn])</f>
        <v>0</v>
      </c>
      <c r="BC94" s="723">
        <f ca="1">_xlfn.XLOOKUP(TabTRADERCorrupted[[#This Row],[ClickTick]],TabCalc[Ticker],TabCalc[L_Sp])</f>
        <v>0</v>
      </c>
      <c r="BD94" s="759">
        <f ca="1">-IFERROR((TabTRADERCorrupted[[#This Row],[M]]-TabTRADERCorrupted[[#This Row],[L_Sp]])/TabTRADERCorrupted[[#This Row],[L_Sp]],0)</f>
        <v>0</v>
      </c>
      <c r="BE94" s="724">
        <f ca="1">TabTRADERCorrupted[[#This Row],[L_Sn]]*(TabTRADERCorrupted[[#This Row],[M]]-TabTRADERCorrupted[[#This Row],[L_Sp]])*(1-Commission)*TabTRADERCorrupted[[#This Row],[Scale]]</f>
        <v>0</v>
      </c>
      <c r="BF94" s="687">
        <f ca="1">TabTRADERCorrupted[[#This Row],[L_Sn]]*(TabTRADERCorrupted[[#This Row],[Agiotage]]-TabTRADERCorrupted[[#This Row],[M]])/(TabTRADERCorrupted[[#This Row],[L_Bn]]*TabTRADERCorrupted[[#This Row],[M]])</f>
        <v>0</v>
      </c>
      <c r="BG94" s="630">
        <f ca="1">IFERROR((TabTRADERCorrupted[[#This Row],[M]]-TabTRADERCorrupted[[#This Row],[A]])/TabTRADERCorrupted[[#This Row],[A]],0)</f>
        <v>0.92906682326326073</v>
      </c>
      <c r="BH9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382,507$</v>
      </c>
      <c r="BI94" s="679">
        <f ca="1">_xlfn.XLOOKUP(TabTRADERCorrupted[[#This Row],[ClickTick]],TabCalc[[#This Row],[Ticker]],TabCalc[[#This Row],[GL]])*(1-Commission)</f>
        <v>378303.44993981678</v>
      </c>
      <c r="BJ94" s="679"/>
      <c r="BK94" s="664" t="str">
        <f ca="1">TabTRADERCorrupted[[#This Row],[ClickTick]]&amp;": "&amp;_xlfn.XLOOKUP(TabTRADERCorrupted[[#This Row],[ClickTick]],TabCalc[Ticker],TabCalc[Pile?])</f>
        <v>LOCK: Pile</v>
      </c>
      <c r="BL94" s="349" t="s">
        <v>2058</v>
      </c>
      <c r="BM94" s="750" t="str" cm="1">
        <f t="array" aca="1" ref="BM94" ca="1">_xlfn.TEXTJOIN("",,INDEX({"M","A","Y"}, _xlfn.SORTBY({1,2,3}, -CHOOSE({1,2,3}, TabTRADERCorrupted[[#This Row],[M]], TabTRADERCorrupted[[#This Row],[A]], TabTRADERCorrupted[[#This Row],[Agiotage]]))))</f>
        <v>MAY</v>
      </c>
      <c r="BN94" s="896"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4">
        <f ca="1">TabTRADERCorrupted[[#This Row],[L_Sn]]*TabTRADERCorrupted[[#This Row],[L_Sp]]+TabTRADERCorrupted[[#This Row],[SellMore]]*TabTRADERCorrupted[[#This Row],[M]]</f>
        <v>796288.79999999993</v>
      </c>
      <c r="BP94" s="674">
        <f ca="1">INDEX(
  INDEX(TabConsolid[], , _xlfn.XMATCH(TabTRADERCorrupted[[#This Row],[ClickTick]]&amp;1, TabConsolid[#Headers])),
  MATCH(
    -TabTRADERCorrupted[[#This Row],[M]],
    INDEX(TabConsolid[], , _xlfn.XMATCH(TabTRADERCorrupted[[#This Row],[ClickTick]]&amp;2, TabConsolid[#Headers])),
    -1
  )
)</f>
        <v>77100</v>
      </c>
      <c r="BQ94" s="674"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13">
        <f ca="1">TabTRADERCorrupted[[#This Row],[ReBuy]]/(TabTRADERCorrupted[[#This Row],[L_Sn]]+TabTRADERCorrupted[[#This Row],[SellMore]])</f>
        <v>10.327999999999999</v>
      </c>
      <c r="BS94"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2">
        <f ca="1">(TabTRADERCorrupted[[#This Row],[M]]-TabTRADERCorrupted[[#This Row],[Agiotage]])/(TabTRADERCorrupted[[#This Row],[M]]-TabTRADERCorrupted[[#This Row],[A]])-1</f>
        <v>0.87530809494591599</v>
      </c>
      <c r="BU94" s="1221">
        <f ca="1">_xlfn.XMATCH(TabTRADERCorrupted[[#This Row],[ClickTick]]&amp;1, TabConsolid[#Headers])</f>
        <v>278</v>
      </c>
      <c r="BV94" t="b">
        <f ca="1">IF(ABS(TabTRADERCorrupted[[#This Row],[L_Bp]])&gt;=TabTRADERCorrupted[[#This Row],[M]],"OK")</f>
        <v>0</v>
      </c>
    </row>
    <row r="95" spans="1:74" ht="23" thickBot="1">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23.1%</v>
      </c>
      <c r="D95" s="683"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228</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-4,380$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 = 228</v>
      </c>
      <c r="I95" s="224" t="str">
        <f ca="1">IFERROR(TRUNC(TabCalc[[#This Row],[L_S1p]],2)&amp;"x"&amp;TabCalc[[#This Row],[L_S1n]]&amp;"=   "&amp;TEXT(TabCalc[[#This Row],[ReverseB1]],"#,#0"),"")</f>
        <v>828.2x300=   -33,810</v>
      </c>
      <c r="J95" s="293">
        <f ca="1">_xlfn.XLOOKUP(TabTRADERCorrupted[[#This Row],[ClickTick]],TabCalc[Ticker],ListGravity)</f>
        <v>1.0451901371027739</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0.96938852069526071</v>
      </c>
      <c r="N95" s="322" cm="1">
        <f t="array" aca="1" ref="N95" ca="1">_xlfn.XLOOKUP(TabTRADERCorrupted[[#This Row],[ClickTick]],ListTickers,Tab2RSIConventional[RSIConv20])</f>
        <v>57</v>
      </c>
      <c r="O95" s="698" t="str">
        <f ca="1">TEXT(_xlfn.XLOOKUP(TabTRADERCorrupted[[#This Row],[ClickTick]],TabCalc[Ticker],TabCalc[Nbegin]),"#,#0")&amp;": "&amp;_xlfn.XLOOKUP(TabTRADERCorrupted[[#This Row],[ClickTick]],TabCalc[Ticker],TabCalc[Pile?])</f>
        <v>500: Pile</v>
      </c>
      <c r="P95" s="942">
        <f ca="1">_xlfn.XLOOKUP(TabTRADERCorrupted[[#This Row],[ClickTick]],TabCalc[Ticker],TabCalc[L_Bn])</f>
        <v>500</v>
      </c>
      <c r="Q95" s="723">
        <f ca="1">_xlfn.XLOOKUP(TabTRADERCorrupted[[#This Row],[ClickTick]],TabCalc[Ticker],TabCalc[L_Bp])</f>
        <v>-723.74</v>
      </c>
      <c r="R95" s="759">
        <f ca="1">(TabTRADERCorrupted[[#This Row],[M]]+TabTRADERCorrupted[[#This Row],[L_Bp]])/ABS(TabTRADERCorrupted[[#This Row],[L_Bp]])</f>
        <v>0.30005250504324754</v>
      </c>
      <c r="S95" s="678">
        <f ca="1">_xlfn.XLOOKUP(TabTRADERCorrupted[[#This Row],[ClickTick]],TabCalc[Ticker],TabCalc[Rev(MinStock)])*(1-Commission)</f>
        <v>0</v>
      </c>
      <c r="T95" s="777">
        <f ca="1">_xlfn.XLOOKUP(TabTRADERCorrupted[[#This Row],[ClickTick]],TabCalc[Ticker],TabCalc[Agiotage])</f>
        <v>0.96938852069526071</v>
      </c>
      <c r="U95" s="742"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95" s="734" t="str">
        <f ca="1">_xlfn.XLOOKUP(TabTRADERCorrupted[[#This Row],[ClickTick]],[1]!RTData[Ticker_Symbol],[1]!RTData[Currency])</f>
        <v>EUR</v>
      </c>
      <c r="W95" s="744">
        <f ca="1">_xlfn.XLOOKUP(TabTRADERCorrupted[[#This Row],[ClickTick]],TabCalc[Ticker],TabCalc[M])</f>
        <v>940.9</v>
      </c>
      <c r="X95" s="1271" t="str">
        <f ca="1">SORTING!B95</f>
        <v>JBASML</v>
      </c>
      <c r="Y95" s="798">
        <f ca="1">_xlfn.XLOOKUP(TabTRADERCorrupted[[#This Row],[ClickTick]],TabCalc[Ticker],TabCalc[Y])</f>
        <v>983.4194</v>
      </c>
      <c r="Z95" s="812">
        <f ca="1">_xlfn.XLOOKUP(TabTRADERCorrupted[[#This Row],[ClickTick]],[1]!RTData[Ticker_Symbol],[1]!RTData[YTChange])</f>
        <v>0.16026734939474735</v>
      </c>
      <c r="AA95" s="827">
        <f ca="1">-_xlfn.XLOOKUP(TabTRADERCorrupted[[#This Row],[ClickTick]]&amp;2,Consolid!B$3:JZ$3,Consolid!B$4:JZ$4)</f>
        <v>0</v>
      </c>
      <c r="AB95" s="812" cm="1">
        <f t="array" aca="1" ref="AB95" ca="1">_xlfn.XLOOKUP(TabTRADERCorrupted[[#This Row],[ClickTick]],ListTickers,Tab1ChangePercent[Change%19])</f>
        <v>-5.391E-3</v>
      </c>
      <c r="AC95" s="763">
        <f ca="1">_xlfn.XLOOKUP(TabTRADERCorrupted[[#This Row],[ClickTick]],TabCalc[Ticker],TabCalc[NAfter])</f>
        <v>0</v>
      </c>
      <c r="AD9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^79/0 K$</v>
      </c>
      <c r="AE95" s="1145"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31"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31"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4368.6119999999955</v>
      </c>
      <c r="AH95" s="1131"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940.9</v>
      </c>
      <c r="AI95" s="1131" t="str" cm="1">
        <f t="array" aca="1" ref="AI95" ca="1">_xlfn.IFS(   TabTRADERCorrupted[[#This Row],[Traps]]=MUp,TEXT(MIN(TabTRADERCorrupted[[#This Row],[L_Sn]],TabTRADERCorrupted[[#This Row],[N]]),"#,#0")&amp;" x "&amp;TEXT(TabTRADERCorrupted[[#This Row],[L_Sp]],"#,#0.#0"),          TRUE,"")</f>
        <v/>
      </c>
      <c r="AJ95" s="1131"/>
      <c r="AK95" s="1131"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31"/>
      <c r="AM95" s="1131"/>
      <c r="AN95" s="755"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4368.6119999999955</v>
      </c>
      <c r="AO95" s="1140"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2.2746157041960924E-2</v>
      </c>
      <c r="AP95" s="1140"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TabTRADERCorrupted[[#This Row],[Traps]]=SellMorePercentGain,                     MIN(TabTRADERCorrupted[[#This Row],[L_Sn]],TabTRADERCorrupted[[#This Row],[N]])*(TabTRADERCorrupted[[#This Row],[M]]-TabTRADERCorrupted[[#This Row],[L_Sp]])*(1-Commission)*TabTRADERCorrupted[[#This Row],[Scale]],                    TRUE,"")</f>
        <v/>
      </c>
      <c r="AR95" s="1129">
        <f ca="1">_xlfn.XLOOKUP(TabTRADERCorrupted[[#This Row],[ClickTick]],TabCalc[Ticker],TabCalc[Ann%RevLB])</f>
        <v>0.32634109309839615</v>
      </c>
      <c r="AS95" s="1225">
        <f ca="1">_xlfn.XLOOKUP(TabTRADERCorrupted[[#This Row],[ClickTick]],TabCalc[Ticker],TabCalc[Up20])</f>
        <v>0</v>
      </c>
      <c r="AT95" s="1141"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20"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40" t="str" cm="1">
        <f t="array" aca="1" ref="AV95" ca="1">_xlfn.IFS(   TabTRADERCorrupted[[#This Row],[Traps]]=MUp,TabTRADERCorrupted[[#This Row],[TakeGain_A]]-Commission,        TabTRADERCorrupted[[#This Row],[Traps]]=MDown,(TabTRADERCorrupted[[#This Row],[A]]-TabTRADERCorrupted[[#This Row],[M]])/TabTRADERCorrupted[[#This Row],[M]]-Commission,                              TRUE,"")</f>
        <v/>
      </c>
      <c r="AW95" s="820"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5"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95" s="732"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60"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8"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3">
        <f ca="1">_xlfn.XLOOKUP(TabTRADERCorrupted[[#This Row],[ClickTick]],TabCalc[Ticker],TabCalc[L_Sp])</f>
        <v>962.8</v>
      </c>
      <c r="BD95" s="759">
        <f ca="1">-IFERROR((TabTRADERCorrupted[[#This Row],[M]]-TabTRADERCorrupted[[#This Row],[L_Sp]])/TabTRADERCorrupted[[#This Row],[L_Sp]],0)</f>
        <v>2.2746157041960924E-2</v>
      </c>
      <c r="BE95" s="724">
        <f ca="1">TabTRADERCorrupted[[#This Row],[L_Sn]]*(TabTRADERCorrupted[[#This Row],[M]]-TabTRADERCorrupted[[#This Row],[L_Sp]])*(1-Commission)*TabTRADERCorrupted[[#This Row],[Scale]]</f>
        <v>-4368.6119999999955</v>
      </c>
      <c r="BF95" s="687">
        <f ca="1">TabTRADERCorrupted[[#This Row],[L_Sn]]*(TabTRADERCorrupted[[#This Row],[Agiotage]]-TabTRADERCorrupted[[#This Row],[M]])/(TabTRADERCorrupted[[#This Row],[L_Bn]]*TabTRADERCorrupted[[#This Row],[M]])</f>
        <v>-0.39958788882104573</v>
      </c>
      <c r="BG95" s="630">
        <f ca="1">IFERROR((TabTRADERCorrupted[[#This Row],[M]]-TabTRADERCorrupted[[#This Row],[A]])/TabTRADERCorrupted[[#This Row],[A]],0)</f>
        <v>0</v>
      </c>
      <c r="BH9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9">
        <f ca="1">_xlfn.XLOOKUP(TabTRADERCorrupted[[#This Row],[ClickTick]],TabCalc[[#This Row],[Ticker]],TabCalc[[#This Row],[GL]])*(1-Commission)</f>
        <v>79149.464945999993</v>
      </c>
      <c r="BJ95" s="679"/>
      <c r="BK95" s="664" t="str">
        <f ca="1">TabTRADERCorrupted[[#This Row],[ClickTick]]&amp;": "&amp;_xlfn.XLOOKUP(TabTRADERCorrupted[[#This Row],[ClickTick]],TabCalc[Ticker],TabCalc[Pile?])</f>
        <v>JBASML: Pile</v>
      </c>
      <c r="BL95" s="350" t="s">
        <v>2062</v>
      </c>
      <c r="BM95" s="750" t="str" cm="1">
        <f t="array" aca="1" ref="BM95" ca="1">_xlfn.TEXTJOIN("",,INDEX({"M","A","Y"}, _xlfn.SORTBY({1,2,3}, -CHOOSE({1,2,3}, TabTRADERCorrupted[[#This Row],[M]], TabTRADERCorrupted[[#This Row],[A]], TabTRADERCorrupted[[#This Row],[Agiotage]]))))</f>
        <v>MYA</v>
      </c>
      <c r="BN95" s="896"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4" t="e">
        <f ca="1">TabTRADERCorrupted[[#This Row],[L_Sn]]*TabTRADERCorrupted[[#This Row],[L_Sp]]+TabTRADERCorrupted[[#This Row],[SellMore]]*TabTRADERCorrupted[[#This Row],[M]]</f>
        <v>#N/A</v>
      </c>
      <c r="BP95" s="674" t="e">
        <f ca="1">INDEX(
  INDEX(TabConsolid[], , _xlfn.XMATCH(TabTRADERCorrupted[[#This Row],[ClickTick]]&amp;1, TabConsolid[#Headers])),
  MATCH(
    -TabTRADERCorrupted[[#This Row],[M]],
    INDEX(TabConsolid[], , _xlfn.XMATCH(TabTRADERCorrupted[[#This Row],[ClickTick]]&amp;2, TabConsolid[#Headers])),
    -1
  )
)</f>
        <v>#N/A</v>
      </c>
      <c r="BQ95" s="674"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13" t="e">
        <f ca="1">TabTRADERCorrupted[[#This Row],[ReBuy]]/(TabTRADERCorrupted[[#This Row],[L_Sn]]+TabTRADERCorrupted[[#This Row],[SellMore]])</f>
        <v>#N/A</v>
      </c>
      <c r="BS9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2">
        <f ca="1">(TabTRADERCorrupted[[#This Row],[M]]-TabTRADERCorrupted[[#This Row],[Agiotage]])/(TabTRADERCorrupted[[#This Row],[M]]-TabTRADERCorrupted[[#This Row],[A]])-1</f>
        <v>-1.0302779473857493E-3</v>
      </c>
      <c r="BU95" s="1221">
        <f ca="1">_xlfn.XMATCH(TabTRADERCorrupted[[#This Row],[ClickTick]]&amp;1, TabConsolid[#Headers])</f>
        <v>281</v>
      </c>
      <c r="BV95" t="b">
        <f ca="1">IF(ABS(TabTRADERCorrupted[[#This Row],[L_Bp]])&gt;=TabTRADERCorrupted[[#This Row],[M]],"OK")</f>
        <v>0</v>
      </c>
    </row>
    <row r="96" spans="1:74" ht="23" thickBot="1">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-345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-0.8%</v>
      </c>
      <c r="D96" s="683"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7"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4,608</v>
      </c>
      <c r="F96" s="1079"/>
      <c r="G96" s="223"/>
      <c r="H96" s="491"/>
      <c r="I96" s="1080"/>
      <c r="J96" s="293">
        <f ca="1">_xlfn.XLOOKUP(TabTRADERCorrupted[[#This Row],[ClickTick]],TabCalc[Ticker],ListGravity)</f>
        <v>1.126317259727303</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8.077429734486519E-3</v>
      </c>
      <c r="N96" s="322" cm="1">
        <f t="array" aca="1" ref="N96" ca="1">_xlfn.XLOOKUP(TabTRADERCorrupted[[#This Row],[ClickTick]],ListTickers,Tab2RSIConventional[RSIConv20])</f>
        <v>54</v>
      </c>
      <c r="O96" s="1081"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82">
        <f ca="1">_xlfn.XLOOKUP(TabTRADERCorrupted[[#This Row],[ClickTick]],TabCalc[Ticker],TabCalc[L_Bp])</f>
        <v>-15.15</v>
      </c>
      <c r="R96" s="1083">
        <f ca="1">(TabTRADERCorrupted[[#This Row],[M]]+TabTRADERCorrupted[[#This Row],[L_Bp]])/ABS(TabTRADERCorrupted[[#This Row],[L_Bp]])</f>
        <v>-7.5907590759076047E-3</v>
      </c>
      <c r="S96" s="678">
        <f ca="1">_xlfn.XLOOKUP(TabTRADERCorrupted[[#This Row],[ClickTick]],TabCalc[Ticker],TabCalc[Rev(MinStock)])*(1-Commission)</f>
        <v>-344.10300000000001</v>
      </c>
      <c r="T96" s="1084">
        <f ca="1">_xlfn.XLOOKUP(TabTRADERCorrupted[[#This Row],[ClickTick]],TabCalc[Ticker],TabCalc[Agiotage])</f>
        <v>8.077429734486519E-3</v>
      </c>
      <c r="U96" s="1085"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-8,925/-8,925=&gt;-3.3% / -3.3%</v>
      </c>
      <c r="V96" s="1086" t="str">
        <f ca="1">_xlfn.XLOOKUP(TabTRADERCorrupted[[#This Row],[ClickTick]],[1]!RTData[Ticker_Symbol],[1]!RTData[Currency])</f>
        <v>EUR</v>
      </c>
      <c r="W96" s="744">
        <f ca="1">_xlfn.XLOOKUP(TabTRADERCorrupted[[#This Row],[ClickTick]],TabCalc[Ticker],TabCalc[M])</f>
        <v>15.035</v>
      </c>
      <c r="X96" s="1272" t="str">
        <f ca="1">SORTING!B96</f>
        <v>JBEOAN</v>
      </c>
      <c r="Y96" s="798">
        <f ca="1">_xlfn.XLOOKUP(TabTRADERCorrupted[[#This Row],[ClickTick]],TabCalc[Ticker],TabCalc[Y])</f>
        <v>16.934180000000001</v>
      </c>
      <c r="Z96" s="1087">
        <f ca="1">_xlfn.XLOOKUP(TabTRADERCorrupted[[#This Row],[ClickTick]],[1]!RTData[Ticker_Symbol],[1]!RTData[YTChange])</f>
        <v>3.8906748466257704E-2</v>
      </c>
      <c r="AA96" s="827">
        <f ca="1">-_xlfn.XLOOKUP(TabTRADERCorrupted[[#This Row],[ClickTick]]&amp;2,Consolid!B$3:JZ$3,Consolid!B$4:JZ$4)</f>
        <v>14.490794504828571</v>
      </c>
      <c r="AB96" s="812" cm="1">
        <f t="array" aca="1" ref="AB96" ca="1">_xlfn.XLOOKUP(TabTRADERCorrupted[[#This Row],[ClickTick]],ListTickers,Tab1ChangePercent[Change%19])</f>
        <v>-3.3119000000000003E-2</v>
      </c>
      <c r="AC96" s="763">
        <f ca="1">_xlfn.XLOOKUP(TabTRADERCorrupted[[#This Row],[ClickTick]],TabCalc[Ticker],TabCalc[NAfter])</f>
        <v>21000</v>
      </c>
      <c r="AD96" s="108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^298/315 K$</v>
      </c>
      <c r="AE96" s="1145"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6" s="1131"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15.035, -06.7%</v>
      </c>
      <c r="AG96" s="1131" t="str"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-15.15</v>
      </c>
      <c r="AH96" s="1131"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15.035</v>
      </c>
      <c r="AI96" s="1131" t="str" cm="1">
        <f t="array" aca="1" ref="AI96" ca="1">_xlfn.IFS(   TabTRADERCorrupted[[#This Row],[Traps]]=MUp,TEXT(MIN(TabTRADERCorrupted[[#This Row],[L_Sn]],TabTRADERCorrupted[[#This Row],[N]]),"#,#0")&amp;" x "&amp;TEXT(TabTRADERCorrupted[[#This Row],[L_Sp]],"#,#0.#0"),          TRUE,"")</f>
        <v/>
      </c>
      <c r="AJ96" s="1131"/>
      <c r="AK96" s="1131"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344.10300000000063</v>
      </c>
      <c r="AL96" s="1131"/>
      <c r="AM96" s="1131"/>
      <c r="AN96" s="755"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315735</v>
      </c>
      <c r="AO96" s="1140"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-3.7555255855025123E-2</v>
      </c>
      <c r="AP96" s="1140"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5.0488194213501973E-3</v>
      </c>
      <c r="AQ96" s="755" t="str" cm="1">
        <f t="array" aca="1" ref="AQ96" ca="1">_xlfn.IFS(   TabTRADERCorrupted[[#This Row],[Traps]]=SellMorePercentGain,                     MIN(TabTRADERCorrupted[[#This Row],[L_Sn]],TabTRADERCorrupted[[#This Row],[N]])*(TabTRADERCorrupted[[#This Row],[M]]-TabTRADERCorrupted[[#This Row],[L_Sp]])*(1-Commission)*TabTRADERCorrupted[[#This Row],[Scale]],                    TRUE,"")</f>
        <v/>
      </c>
      <c r="AR96" s="1129">
        <f ca="1">_xlfn.XLOOKUP(TabTRADERCorrupted[[#This Row],[ClickTick]],TabCalc[Ticker],TabCalc[Ann%RevLB])</f>
        <v>-9.7595473833097773E-2</v>
      </c>
      <c r="AS96" s="1225" t="str">
        <f ca="1">_xlfn.XLOOKUP(TabTRADERCorrupted[[#This Row],[ClickTick]],TabCalc[Ticker],TabCalc[Up20])</f>
        <v>/50/50%</v>
      </c>
      <c r="AT96" s="1142"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7.6488194213501972E-3</v>
      </c>
      <c r="AU96" s="755" cm="1">
        <f t="array" aca="1" ref="AU96" ca="1">_xlfn.IFS(         TabTRADERCorrupted[[#This Row],[Traps]]=MDown,TabTRADERCorrupted[[#This Row],[L_Bn]]*TabTRADERCorrupted[[#This Row],[M]]*(-(TabTRADERCorrupted[[#This Row],[L_Bp]]+TabTRADERCorrupted[[#This Row],[M]])/TabTRADERCorrupted[[#This Row],[M]])*(1-Commission)*TabTRADERCorrupted[[#This Row],[Scale]],                               TRUE,"")</f>
        <v>344.10300000000063</v>
      </c>
      <c r="AV96" s="1140" cm="1">
        <f t="array" aca="1" ref="AV96" ca="1">_xlfn.IFS(   TabTRADERCorrupted[[#This Row],[Traps]]=MUp,TabTRADERCorrupted[[#This Row],[TakeGain_A]]-Commission,        TabTRADERCorrupted[[#This Row],[Traps]]=MDown,(TabTRADERCorrupted[[#This Row],[A]]-TabTRADERCorrupted[[#This Row],[M]])/TabTRADERCorrupted[[#This Row],[M]]-Commission,                              TRUE,"")</f>
        <v>-3.879590922324104E-2</v>
      </c>
      <c r="AW96" s="820"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-11398.601778563649</v>
      </c>
      <c r="AX96" s="755"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6" s="1089"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-0.11</v>
      </c>
      <c r="AZ96" s="1090"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3.7457612189802057E-2</v>
      </c>
      <c r="BA96" s="757"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-3.879590922324104E-2</v>
      </c>
      <c r="BB96" s="1091">
        <f ca="1">_xlfn.XLOOKUP(TabTRADERCorrupted[[#This Row],[ClickTick]],TabCalc[Ticker],TabCalc[L_Sn])</f>
        <v>3000</v>
      </c>
      <c r="BC96" s="723">
        <f ca="1">_xlfn.XLOOKUP(TabTRADERCorrupted[[#This Row],[ClickTick]],TabCalc[Ticker],TabCalc[L_Sp])</f>
        <v>16.12</v>
      </c>
      <c r="BD96" s="1083">
        <f ca="1">-IFERROR((TabTRADERCorrupted[[#This Row],[M]]-TabTRADERCorrupted[[#This Row],[L_Sp]])/TabTRADERCorrupted[[#This Row],[L_Sp]],0)</f>
        <v>6.730769230769236E-2</v>
      </c>
      <c r="BE96" s="1092">
        <f ca="1">TabTRADERCorrupted[[#This Row],[L_Sn]]*(TabTRADERCorrupted[[#This Row],[M]]-TabTRADERCorrupted[[#This Row],[L_Sp]])*(1-Commission)*TabTRADERCorrupted[[#This Row],[Scale]]</f>
        <v>-3246.5370000000025</v>
      </c>
      <c r="BF96" s="687">
        <f ca="1">TabTRADERCorrupted[[#This Row],[L_Sn]]*(TabTRADERCorrupted[[#This Row],[Agiotage]]-TabTRADERCorrupted[[#This Row],[M]])/(TabTRADERCorrupted[[#This Row],[L_Bn]]*TabTRADERCorrupted[[#This Row],[M]])</f>
        <v>-0.99946275824845454</v>
      </c>
      <c r="BG96" s="1093">
        <f ca="1">IFERROR((TabTRADERCorrupted[[#This Row],[M]]-TabTRADERCorrupted[[#This Row],[A]])/TabTRADERCorrupted[[#This Row],[A]],0)</f>
        <v>3.7555255855025123E-2</v>
      </c>
      <c r="BH9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11,399$</v>
      </c>
      <c r="BI96" s="679"/>
      <c r="BJ96" s="679"/>
      <c r="BK96" s="664" t="str">
        <f ca="1">TabTRADERCorrupted[[#This Row],[ClickTick]]&amp;": "&amp;_xlfn.XLOOKUP(TabTRADERCorrupted[[#This Row],[ClickTick]],TabCalc[Ticker],TabCalc[Pile?])</f>
        <v>JBEOAN: Pile</v>
      </c>
      <c r="BL96" s="349"/>
      <c r="BM96" s="1094" t="str" cm="1">
        <f t="array" aca="1" ref="BM96" ca="1">_xlfn.TEXTJOIN("",,INDEX({"M","A","Y"}, _xlfn.SORTBY({1,2,3}, -CHOOSE({1,2,3}, TabTRADERCorrupted[[#This Row],[M]], TabTRADERCorrupted[[#This Row],[A]], TabTRADERCorrupted[[#This Row],[Agiotage]]))))</f>
        <v>MAY</v>
      </c>
      <c r="BN96" s="896"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7.6488194213501972E-3</v>
      </c>
      <c r="BO96" s="674">
        <f ca="1">TabTRADERCorrupted[[#This Row],[L_Sn]]*TabTRADERCorrupted[[#This Row],[L_Sp]]+TabTRADERCorrupted[[#This Row],[SellMore]]*TabTRADERCorrupted[[#This Row],[M]]</f>
        <v>123535</v>
      </c>
      <c r="BP96" s="674">
        <f ca="1">INDEX(
  INDEX(TabConsolid[], , _xlfn.XMATCH(TabTRADERCorrupted[[#This Row],[ClickTick]]&amp;1, TabConsolid[#Headers])),
  MATCH(
    -TabTRADERCorrupted[[#This Row],[M]],
    INDEX(TabConsolid[], , _xlfn.XMATCH(TabTRADERCorrupted[[#This Row],[ClickTick]]&amp;2, TabConsolid[#Headers])),
    -1
  )
)</f>
        <v>5000</v>
      </c>
      <c r="BQ96" s="674"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96" s="1113">
        <f ca="1">TabTRADERCorrupted[[#This Row],[ReBuy]]/(TabTRADERCorrupted[[#This Row],[L_Sn]]+TabTRADERCorrupted[[#This Row],[SellMore]])</f>
        <v>15.441875</v>
      </c>
      <c r="BS9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-5.7245419315297193E-3</v>
      </c>
      <c r="BT96" s="682">
        <f ca="1">(TabTRADERCorrupted[[#This Row],[M]]-TabTRADERCorrupted[[#This Row],[Agiotage]])/(TabTRADERCorrupted[[#This Row],[M]]-TabTRADERCorrupted[[#This Row],[A]])-1</f>
        <v>26.612588817266381</v>
      </c>
      <c r="BU96" s="1221">
        <f ca="1">_xlfn.XMATCH(TabTRADERCorrupted[[#This Row],[ClickTick]]&amp;1, TabConsolid[#Headers])</f>
        <v>284</v>
      </c>
    </row>
    <row r="97" spans="1:73" ht="28" thickBot="1">
      <c r="A97" s="222" t="s">
        <v>1085</v>
      </c>
      <c r="B97" s="1391"/>
      <c r="C97" s="1392"/>
      <c r="D97" s="666"/>
      <c r="E97" s="747"/>
      <c r="F97" s="1391"/>
      <c r="G97" s="1393"/>
      <c r="H97" s="1392"/>
      <c r="I97" s="1394"/>
      <c r="J97" s="1392"/>
      <c r="K97" s="1392"/>
      <c r="L97" s="667"/>
      <c r="M97" s="1392"/>
      <c r="N97" s="1395"/>
      <c r="O97" s="698"/>
      <c r="P97" s="852"/>
      <c r="Q97" s="850"/>
      <c r="R97" s="1396"/>
      <c r="S97" s="697">
        <f ca="1">SUBTOTAL(109,TabTRADERCorrupted[Sale_Back_$])</f>
        <v>299564.103</v>
      </c>
      <c r="T97" s="781"/>
      <c r="U97" s="692">
        <f ca="1">SUBTOTAL(109,TabTRADERCorrupted[SncOpenYest%])</f>
        <v>0</v>
      </c>
      <c r="V97" s="735"/>
      <c r="W97" s="1037"/>
      <c r="X97" s="1272"/>
      <c r="Y97" s="799"/>
      <c r="Z97" s="855"/>
      <c r="AA97" s="1"/>
      <c r="AB97" s="1"/>
      <c r="AC97" s="762"/>
      <c r="AD97" s="839"/>
      <c r="AE97" s="1128"/>
      <c r="AF97" s="1128"/>
      <c r="AG97" s="733">
        <f ca="1">SUBTOTAL(109,TabTRADERCorrupted[Gain-np_Rev])</f>
        <v>519307.38104026002</v>
      </c>
      <c r="AH97" s="756">
        <f ca="1">SUBTOTAL(109,TabTRADERCorrupted[Gain-Np])</f>
        <v>64209.45612665997</v>
      </c>
      <c r="AI97" s="756"/>
      <c r="AJ97" s="756"/>
      <c r="AK97" s="756"/>
      <c r="AL97" s="756"/>
      <c r="AM97" s="756"/>
      <c r="AN97" s="919">
        <f ca="1">SUBTOTAL(109,TabTRADERCorrupted[GL_R/M_NA])</f>
        <v>8027110.2497711405</v>
      </c>
      <c r="AO97" s="756"/>
      <c r="AP97" s="916"/>
      <c r="AQ97" s="919">
        <f ca="1">SUBTOTAL(109,TabTRADERCorrupted[vs.LS$])</f>
        <v>64209.45612665997</v>
      </c>
      <c r="AR97" s="1228"/>
      <c r="AS97" s="1228"/>
      <c r="AT97" s="756"/>
      <c r="AU97" s="919">
        <f ca="1">SUBTOTAL(109,TabTRADERCorrupted[vs.LB$])</f>
        <v>370261.83972199989</v>
      </c>
      <c r="AV97" s="756"/>
      <c r="AW97" s="756"/>
      <c r="AX97" s="756"/>
      <c r="AY97" s="733"/>
      <c r="AZ97" s="814">
        <f ca="1">SUBTOTAL(109,TabTRADERCorrupted[SellMore(/A)])</f>
        <v>-0.16069972696222531</v>
      </c>
      <c r="BA97" s="815" t="e">
        <f ca="1">SUBTOTAL(109,TabTRADERCorrupted[BuyMore])</f>
        <v>#N/A</v>
      </c>
      <c r="BB97" s="1395"/>
      <c r="BC97" s="677"/>
      <c r="BD97" s="1397"/>
      <c r="BE97" s="725">
        <f ca="1">SUBTOTAL(109,TabTRADERCorrupted[Buy_Back])</f>
        <v>8129.3469004199869</v>
      </c>
      <c r="BF97" s="688">
        <f ca="1">SUBTOTAL(104,TabTRADERCorrupted[Rev_B@Y])</f>
        <v>6.8384526267689694</v>
      </c>
      <c r="BG97" s="1392"/>
      <c r="BH97" s="669"/>
      <c r="BI97" s="680">
        <f ca="1">SUBTOTAL(109,TabTRADERCorrupted[GL_Total])</f>
        <v>10797772.724819759</v>
      </c>
      <c r="BJ97" s="680"/>
      <c r="BK97" s="668"/>
      <c r="BL97" s="1398">
        <f>SUBTOTAL(103,TabTRADERCorrupted[Status])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COUNTA(TabTRADERCorrupted[ClickTick])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SUM(TabTRADERCorrupted[SellMore(/A)])</f>
        <v>-0.16069972696222531</v>
      </c>
      <c r="BB98" s="803" t="e">
        <f ca="1">SUM(TabTRADERCorrupted[BuyMore])</f>
        <v>#N/A</v>
      </c>
      <c r="BC98" s="665"/>
      <c r="BD98" s="309"/>
    </row>
    <row r="99" spans="1:73" ht="23" thickBot="1">
      <c r="A99" s="325"/>
      <c r="B99" s="326"/>
      <c r="C99" s="325"/>
      <c r="D99" s="325"/>
      <c r="E99" s="325"/>
      <c r="F99" s="301"/>
      <c r="G99" s="325"/>
      <c r="H99" s="565" t="s">
        <v>1775</v>
      </c>
      <c r="I99" s="310"/>
      <c r="J99" s="528"/>
      <c r="K99" s="301"/>
      <c r="L99" s="301"/>
      <c r="M99" s="291"/>
      <c r="N99" s="1"/>
      <c r="O99" s="301"/>
      <c r="P99" s="325"/>
      <c r="Q99" s="675"/>
      <c r="R99" s="675"/>
      <c r="S99" s="311"/>
      <c r="T99" s="327"/>
      <c r="U99" s="736"/>
      <c r="V99" s="739"/>
      <c r="Y99" s="660"/>
      <c r="Z99" s="660"/>
      <c r="AA99" s="660"/>
      <c r="AB99" s="660"/>
      <c r="AN99" s="934" t="s">
        <v>2392</v>
      </c>
      <c r="AQ99" s="91">
        <f ca="1">SUM(AQ3:AQ96)</f>
        <v>64209.45612665997</v>
      </c>
      <c r="AR99" s="91"/>
      <c r="AS99" s="91"/>
      <c r="AT99" s="91"/>
      <c r="AU99" s="91"/>
      <c r="AW99" s="91">
        <f ca="1">SUM(AW3:AW96)</f>
        <v>9174277.1792484056</v>
      </c>
    </row>
    <row r="100" spans="1:73" ht="24" thickTop="1" thickBot="1">
      <c r="A100" s="478"/>
      <c r="B100" s="478"/>
      <c r="C100" s="616" t="s">
        <v>1846</v>
      </c>
      <c r="D100" s="617" t="s">
        <v>1862</v>
      </c>
      <c r="E100" s="616" t="s">
        <v>144</v>
      </c>
      <c r="F100" s="616" t="s">
        <v>1772</v>
      </c>
      <c r="H100" s="616" t="s">
        <v>1538</v>
      </c>
      <c r="I100" s="616" t="s">
        <v>1565</v>
      </c>
      <c r="J100" s="616" t="s">
        <v>676</v>
      </c>
      <c r="K100" s="618"/>
      <c r="L100" s="618"/>
      <c r="M100" s="616" t="s">
        <v>1849</v>
      </c>
      <c r="AH100" s="934">
        <f ca="1">SUM(TabTRADERCorrupted[Gain-Np])</f>
        <v>64209.45612665997</v>
      </c>
      <c r="AI100" s="934"/>
      <c r="AJ100" s="934"/>
      <c r="AK100" s="934"/>
      <c r="AL100" s="934"/>
      <c r="AM100" s="934"/>
      <c r="AN100" s="934">
        <f ca="1">SUM(TabTRADERCorrupted[GL_R/M_NA])</f>
        <v>8027110.2497711405</v>
      </c>
    </row>
    <row r="101" spans="1:73" ht="23" thickBot="1">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W101" s="1132" t="s">
        <v>2514</v>
      </c>
      <c r="AD101" s="1215" t="s">
        <v>2515</v>
      </c>
      <c r="AE101" s="1203"/>
    </row>
    <row r="102" spans="1:73" ht="23" thickBot="1">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W102" s="1133" t="s">
        <v>1133</v>
      </c>
      <c r="X102" s="1134">
        <f ca="1">COUNTIFS(TabTRADERCorrupted[Cur], "EUR", TabTRADERCorrupted[ClickTick], "?*")</f>
        <v>22</v>
      </c>
      <c r="AD102" s="1214" t="s">
        <v>2562</v>
      </c>
      <c r="AW102" s="894"/>
      <c r="AZ102" s="894"/>
      <c r="BD102" s="407" cm="1">
        <f t="array" ref="BD102">_xlfn.LAMBDA(_xlpm.x, _xlpm.x+1)(5)</f>
        <v>6</v>
      </c>
    </row>
    <row r="103" spans="1:73" ht="23" thickBot="1">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W103" s="1135" t="s">
        <v>1431</v>
      </c>
      <c r="X103" s="1136">
        <f ca="1">COUNTIFS(TabTRADERCorrupted[Cur], "GBp", TabTRADERCorrupted[ClickTick], "?*")</f>
        <v>4</v>
      </c>
      <c r="AC103" s="1204"/>
      <c r="AD103" s="1213" t="str">
        <f>"See "&amp;TabTRADERCorrupted[[#Headers],[Rev%]]</f>
        <v>See Rev%</v>
      </c>
    </row>
    <row r="104" spans="1:73" ht="23" thickBot="1">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W104" s="1135" t="s">
        <v>1130</v>
      </c>
      <c r="X104" s="1136">
        <f ca="1">COUNTIFS(TabTRADERCorrupted[Cur], "USD", TabTRADERCorrupted[ClickTick], "?*")</f>
        <v>67</v>
      </c>
      <c r="AC104" s="537" t="s">
        <v>2560</v>
      </c>
      <c r="AD104" s="1216">
        <f>1-AD111</f>
        <v>0.99739999999999995</v>
      </c>
    </row>
    <row r="105" spans="1:73" ht="23" thickBot="1">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W105" s="1137" t="s">
        <v>1132</v>
      </c>
      <c r="X105" s="1138">
        <f ca="1">COUNTIFS(TabTRADERCorrupted[Cur], "CHF", TabTRADERCorrupted[ClickTick], "?*")</f>
        <v>1</v>
      </c>
      <c r="AC105" s="1205"/>
      <c r="AD105" s="1212" t="s">
        <v>2516</v>
      </c>
      <c r="AE105" s="1203"/>
    </row>
    <row r="106" spans="1:73" ht="23" thickBot="1">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D106" s="1211" t="s">
        <v>2563</v>
      </c>
      <c r="AE106" s="1203"/>
    </row>
    <row r="107" spans="1:73" ht="23" thickBot="1">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740"/>
      <c r="W107" s="81"/>
      <c r="AD107" s="1206" t="s">
        <v>2459</v>
      </c>
    </row>
    <row r="108" spans="1:73" ht="23" thickBot="1">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D108" s="1207"/>
      <c r="AE108" s="1203"/>
    </row>
    <row r="109" spans="1:73" ht="23" thickBot="1">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D109" s="1210" t="s">
        <v>2135</v>
      </c>
      <c r="AE109" s="1203"/>
    </row>
    <row r="110" spans="1:73" ht="23" thickBot="1">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D110" s="1208" t="s">
        <v>2181</v>
      </c>
      <c r="AE110" s="1203"/>
    </row>
    <row r="111" spans="1:73" ht="23" thickBot="1">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209">
        <v>2.5999999999999999E-3</v>
      </c>
      <c r="AS111" t="s">
        <v>2517</v>
      </c>
      <c r="AT111" s="80">
        <f>BankCheck!Q7</f>
        <v>2288.98</v>
      </c>
    </row>
    <row r="112" spans="1:73" ht="23" thickBot="1">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
      <c r="AS112" t="s">
        <v>2518</v>
      </c>
      <c r="AT112" s="80">
        <f>BankCheck!Q43</f>
        <v>407878.76</v>
      </c>
    </row>
    <row r="113" spans="1:46" ht="23" thickBot="1">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s="1"/>
      <c r="AS113" t="s">
        <v>2519</v>
      </c>
      <c r="AT113" s="80">
        <f>BankCheck!Q60</f>
        <v>292585.55</v>
      </c>
    </row>
    <row r="114" spans="1:46" ht="23" thickBot="1">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D114" s="1"/>
      <c r="AT114" s="1144">
        <f>SUM(AT111:AT113)</f>
        <v>702753.29</v>
      </c>
    </row>
    <row r="115" spans="1:46" ht="23" thickBot="1">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D115" s="1"/>
      <c r="AT115" s="1143" t="e">
        <f>AT114/[1]ExtEntry!$B$99</f>
        <v>#VALUE!</v>
      </c>
    </row>
    <row r="116" spans="1:46" ht="23" thickBot="1">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517" priority="145" operator="containsText" text="x0">
      <formula>NOT(ISERROR(SEARCH("x0",G3)))</formula>
    </cfRule>
    <cfRule type="containsText" dxfId="516" priority="168" operator="containsText" text=" -">
      <formula>NOT(ISERROR(SEARCH(" -",G3)))</formula>
    </cfRule>
  </conditionalFormatting>
  <conditionalFormatting sqref="I3:I96">
    <cfRule type="containsText" dxfId="51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14" priority="162" operator="containsText" text=" 0">
      <formula>NOT(ISERROR(SEARCH(" 0",B3)))</formula>
    </cfRule>
  </conditionalFormatting>
  <conditionalFormatting sqref="B3:B96">
    <cfRule type="containsText" dxfId="513" priority="163" operator="containsText" text=" -">
      <formula>NOT(ISERROR(SEARCH(" -",B3)))</formula>
    </cfRule>
  </conditionalFormatting>
  <conditionalFormatting sqref="H3:I96">
    <cfRule type="containsText" dxfId="512" priority="158" operator="containsText" text="Free">
      <formula>NOT(ISERROR(SEARCH("Free",H3)))</formula>
    </cfRule>
    <cfRule type="containsText" dxfId="511" priority="159" operator="containsText" text="Buy">
      <formula>NOT(ISERROR(SEARCH("Buy",H3)))</formula>
    </cfRule>
    <cfRule type="containsText" dxfId="510" priority="160" operator="containsText" text="Refill">
      <formula>NOT(ISERROR(SEARCH("Refill",H3)))</formula>
    </cfRule>
    <cfRule type="containsText" dxfId="509" priority="161" operator="containsText" text="S_more">
      <formula>NOT(ISERROR(SEARCH("S_more",H3)))</formula>
    </cfRule>
  </conditionalFormatting>
  <conditionalFormatting sqref="D98 C2:C96">
    <cfRule type="containsText" dxfId="508" priority="154" operator="containsText" text="Free">
      <formula>NOT(ISERROR(SEARCH("Free",C2)))</formula>
    </cfRule>
    <cfRule type="containsText" dxfId="507" priority="155" operator="containsText" text="Sell">
      <formula>NOT(ISERROR(SEARCH("Sell",C2)))</formula>
    </cfRule>
    <cfRule type="containsText" dxfId="506" priority="156" operator="containsText" text="Re-Sell">
      <formula>NOT(ISERROR(SEARCH("Re-Sell",C2)))</formula>
    </cfRule>
    <cfRule type="containsText" dxfId="505" priority="157" operator="containsText" text="B_more">
      <formula>NOT(ISERROR(SEARCH("B_more",C2)))</formula>
    </cfRule>
  </conditionalFormatting>
  <conditionalFormatting sqref="N98 E3:E96">
    <cfRule type="containsText" dxfId="504" priority="142" operator="containsText" text="Free">
      <formula>NOT(ISERROR(SEARCH("Free",E3)))</formula>
    </cfRule>
    <cfRule type="containsText" dxfId="503" priority="149" operator="containsText" text="M&lt;min">
      <formula>NOT(ISERROR(SEARCH("M&lt;min",E3)))</formula>
    </cfRule>
    <cfRule type="containsText" dxfId="502" priority="150" operator="containsText" text="A&lt;M">
      <formula>NOT(ISERROR(SEARCH("A&lt;M",E3)))</formula>
    </cfRule>
    <cfRule type="containsText" dxfId="501" priority="151" operator="containsText" text="M&gt;Last Sale">
      <formula>NOT(ISERROR(SEARCH("M&gt;Last Sale",E3)))</formula>
    </cfRule>
    <cfRule type="containsText" dxfId="500" priority="152" operator="containsText" text="M&gt;Y">
      <formula>NOT(ISERROR(SEARCH("M&gt;Y",E3)))</formula>
    </cfRule>
  </conditionalFormatting>
  <conditionalFormatting sqref="C3:C96">
    <cfRule type="expression" dxfId="499" priority="146">
      <formula>#REF!=0</formula>
    </cfRule>
  </conditionalFormatting>
  <conditionalFormatting sqref="N98 E3:E96">
    <cfRule type="containsText" dxfId="498" priority="148" operator="containsText" text="A&gt;M">
      <formula>NOT(ISERROR(SEARCH("A&gt;M",E3)))</formula>
    </cfRule>
  </conditionalFormatting>
  <conditionalFormatting sqref="BL2:BP96">
    <cfRule type="containsText" dxfId="497" priority="135" operator="containsText" text="Trade">
      <formula>NOT(ISERROR(SEARCH("Trade",BL2)))</formula>
    </cfRule>
  </conditionalFormatting>
  <conditionalFormatting sqref="D3:E96">
    <cfRule type="expression" dxfId="496" priority="182">
      <formula>#REF!=0</formula>
    </cfRule>
    <cfRule type="expression" dxfId="495"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94" priority="131" operator="greaterThan">
      <formula>0</formula>
    </cfRule>
    <cfRule type="cellIs" dxfId="493" priority="132" operator="lessThan">
      <formula>0</formula>
    </cfRule>
  </conditionalFormatting>
  <conditionalFormatting sqref="BK3:BK96">
    <cfRule type="containsText" dxfId="492" priority="122" operator="containsText" text="Pile">
      <formula>NOT(ISERROR(SEARCH("Pile",BK3)))</formula>
    </cfRule>
  </conditionalFormatting>
  <conditionalFormatting sqref="BR97:BU97">
    <cfRule type="expression" dxfId="491" priority="119">
      <formula>$BL98&gt;=$BK98</formula>
    </cfRule>
  </conditionalFormatting>
  <conditionalFormatting sqref="BR2:BT3 BS4:BT94 BR4:BR96 BU2:BU94">
    <cfRule type="expression" dxfId="490" priority="1068">
      <formula>$BR3&gt;=$BQ3</formula>
    </cfRule>
  </conditionalFormatting>
  <conditionalFormatting sqref="U97">
    <cfRule type="cellIs" dxfId="489" priority="117" operator="lessThan">
      <formula>"/ -"</formula>
    </cfRule>
  </conditionalFormatting>
  <conditionalFormatting sqref="S2:S97">
    <cfRule type="cellIs" dxfId="488" priority="115" operator="lessThan">
      <formula>-1000</formula>
    </cfRule>
    <cfRule type="cellIs" dxfId="487" priority="116" operator="greaterThan">
      <formula>1000</formula>
    </cfRule>
  </conditionalFormatting>
  <conditionalFormatting sqref="O3:O96">
    <cfRule type="containsText" dxfId="486" priority="112" operator="containsText" text="Pile">
      <formula>NOT(ISERROR(SEARCH("Pile",O3)))</formula>
    </cfRule>
  </conditionalFormatting>
  <conditionalFormatting sqref="AD2:AD97">
    <cfRule type="containsText" dxfId="485" priority="104" operator="containsText" text="Trade">
      <formula>NOT(ISERROR(SEARCH("Trade",AD2)))</formula>
    </cfRule>
    <cfRule type="containsText" dxfId="484" priority="111" operator="containsText" text="Pile^">
      <formula>NOT(ISERROR(SEARCH("Pile^",AD2)))</formula>
    </cfRule>
  </conditionalFormatting>
  <conditionalFormatting sqref="BF3:BF96">
    <cfRule type="cellIs" dxfId="483" priority="106" operator="lessThan">
      <formula>0</formula>
    </cfRule>
    <cfRule type="expression" dxfId="482" priority="1351">
      <formula>AND($BF3&gt;50%,$BF3&lt;100%)</formula>
    </cfRule>
    <cfRule type="cellIs" dxfId="481" priority="1352" operator="greaterThan">
      <formula>1</formula>
    </cfRule>
  </conditionalFormatting>
  <conditionalFormatting sqref="U3:U96">
    <cfRule type="containsText" dxfId="480" priority="99" operator="containsText" text="/ -">
      <formula>NOT(ISERROR(SEARCH("/ -",U3)))</formula>
    </cfRule>
  </conditionalFormatting>
  <conditionalFormatting sqref="BQ2:BQ96">
    <cfRule type="containsText" dxfId="479" priority="85" operator="containsText" text="Trade">
      <formula>NOT(ISERROR(SEARCH("Trade",BQ2)))</formula>
    </cfRule>
  </conditionalFormatting>
  <conditionalFormatting sqref="AD101">
    <cfRule type="containsText" dxfId="478" priority="79" operator="containsText" text="More">
      <formula>NOT(ISERROR(SEARCH("More",AD101)))</formula>
    </cfRule>
    <cfRule type="containsText" dxfId="477" priority="80" operator="containsText" text="Up">
      <formula>NOT(ISERROR(SEARCH("Up",AD101)))</formula>
    </cfRule>
    <cfRule type="containsText" dxfId="476" priority="81" operator="containsText" text="Down">
      <formula>NOT(ISERROR(SEARCH("Down",AD101)))</formula>
    </cfRule>
  </conditionalFormatting>
  <conditionalFormatting sqref="AD101">
    <cfRule type="containsText" dxfId="475" priority="82" operator="containsText" text="Buy">
      <formula>NOT(ISERROR(SEARCH("Buy",AD101)))</formula>
    </cfRule>
    <cfRule type="containsText" dxfId="474" priority="83" operator="containsText" text="Sell">
      <formula>NOT(ISERROR(SEARCH("Sell",AD101)))</formula>
    </cfRule>
  </conditionalFormatting>
  <conditionalFormatting sqref="AD102">
    <cfRule type="containsText" dxfId="473" priority="69" operator="containsText" text="More">
      <formula>NOT(ISERROR(SEARCH("More",AD102)))</formula>
    </cfRule>
    <cfRule type="containsText" dxfId="472" priority="70" operator="containsText" text="Up">
      <formula>NOT(ISERROR(SEARCH("Up",AD102)))</formula>
    </cfRule>
    <cfRule type="containsText" dxfId="471" priority="71" operator="containsText" text="Down">
      <formula>NOT(ISERROR(SEARCH("Down",AD102)))</formula>
    </cfRule>
  </conditionalFormatting>
  <conditionalFormatting sqref="AD102">
    <cfRule type="containsText" dxfId="470" priority="72" operator="containsText" text="Buy">
      <formula>NOT(ISERROR(SEARCH("Buy",AD102)))</formula>
    </cfRule>
    <cfRule type="containsText" dxfId="469" priority="73" operator="containsText" text="Sell">
      <formula>NOT(ISERROR(SEARCH("Sell",AD102)))</formula>
    </cfRule>
  </conditionalFormatting>
  <conditionalFormatting sqref="AD105">
    <cfRule type="containsText" dxfId="468" priority="64" operator="containsText" text="More">
      <formula>NOT(ISERROR(SEARCH("More",AD105)))</formula>
    </cfRule>
    <cfRule type="containsText" dxfId="467" priority="65" operator="containsText" text="Up">
      <formula>NOT(ISERROR(SEARCH("Up",AD105)))</formula>
    </cfRule>
    <cfRule type="containsText" dxfId="466" priority="66" operator="containsText" text="Down">
      <formula>NOT(ISERROR(SEARCH("Down",AD105)))</formula>
    </cfRule>
  </conditionalFormatting>
  <conditionalFormatting sqref="AD105">
    <cfRule type="containsText" dxfId="465" priority="67" operator="containsText" text="Buy">
      <formula>NOT(ISERROR(SEARCH("Buy",AD105)))</formula>
    </cfRule>
    <cfRule type="containsText" dxfId="464" priority="68" operator="containsText" text="Sell">
      <formula>NOT(ISERROR(SEARCH("Sell",AD105)))</formula>
    </cfRule>
  </conditionalFormatting>
  <conditionalFormatting sqref="AD106">
    <cfRule type="containsText" dxfId="463" priority="59" operator="containsText" text="More">
      <formula>NOT(ISERROR(SEARCH("More",AD106)))</formula>
    </cfRule>
    <cfRule type="containsText" dxfId="462" priority="60" operator="containsText" text="Up">
      <formula>NOT(ISERROR(SEARCH("Up",AD106)))</formula>
    </cfRule>
    <cfRule type="containsText" dxfId="461" priority="61" operator="containsText" text="Down">
      <formula>NOT(ISERROR(SEARCH("Down",AD106)))</formula>
    </cfRule>
  </conditionalFormatting>
  <conditionalFormatting sqref="AD106">
    <cfRule type="containsText" dxfId="460" priority="62" operator="containsText" text="Buy">
      <formula>NOT(ISERROR(SEARCH("Buy",AD106)))</formula>
    </cfRule>
    <cfRule type="containsText" dxfId="459" priority="63" operator="containsText" text="Sell">
      <formula>NOT(ISERROR(SEARCH("Sell",AD106)))</formula>
    </cfRule>
  </conditionalFormatting>
  <conditionalFormatting sqref="BA3:BA96">
    <cfRule type="containsText" dxfId="458" priority="54" operator="containsText" text="More">
      <formula>NOT(ISERROR(SEARCH("More",BA3)))</formula>
    </cfRule>
    <cfRule type="containsText" dxfId="457" priority="55" operator="containsText" text="Up">
      <formula>NOT(ISERROR(SEARCH("Up",BA3)))</formula>
    </cfRule>
    <cfRule type="containsText" dxfId="456" priority="56" operator="containsText" text="Down">
      <formula>NOT(ISERROR(SEARCH("Down",BA3)))</formula>
    </cfRule>
  </conditionalFormatting>
  <conditionalFormatting sqref="BA3:BA96">
    <cfRule type="containsText" dxfId="455" priority="57" operator="containsText" text="Buy">
      <formula>NOT(ISERROR(SEARCH("Buy",BA3)))</formula>
    </cfRule>
    <cfRule type="containsText" dxfId="454" priority="58" operator="containsText" text="Sell">
      <formula>NOT(ISERROR(SEARCH("Sell",BA3)))</formula>
    </cfRule>
  </conditionalFormatting>
  <conditionalFormatting sqref="Y3:Y96">
    <cfRule type="expression" dxfId="453" priority="22">
      <formula>AND(Y3&lt;&gt;0,Y3&lt;MIN(W3,AA3))</formula>
    </cfRule>
    <cfRule type="expression" dxfId="452" priority="45">
      <formula>AND(Y3&lt;&gt;0,Y3&lt;W3,Y3&gt;AA3)</formula>
    </cfRule>
  </conditionalFormatting>
  <conditionalFormatting sqref="T3:T96">
    <cfRule type="expression" dxfId="451" priority="1829" stopIfTrue="1">
      <formula>$T3&gt;MAX(ABS($AA3),$W3)</formula>
    </cfRule>
    <cfRule type="expression" dxfId="450" priority="1830" stopIfTrue="1">
      <formula>$T3&gt;AND(MAX(ABS($AA3),$W3),ABS($AA3)&lt;$W3)</formula>
    </cfRule>
  </conditionalFormatting>
  <conditionalFormatting sqref="T3:T96">
    <cfRule type="expression" dxfId="449" priority="1831" stopIfTrue="1">
      <formula>AND($T3&lt;=MIN(ABS($AA3),$W3),ABS($AA3)&gt;$W3,$W3&lt;=0)</formula>
    </cfRule>
    <cfRule type="expression" dxfId="448" priority="1832" stopIfTrue="1">
      <formula>AND($T3&lt;=MIN(ABS($AA3),$W3),ABS($AA3)&lt;$W3,$W3&lt;=0)</formula>
    </cfRule>
  </conditionalFormatting>
  <conditionalFormatting sqref="W3:W96">
    <cfRule type="expression" dxfId="447" priority="1833">
      <formula>W3&gt;MAX(AA3,Y3)</formula>
    </cfRule>
    <cfRule type="expression" dxfId="446" priority="1834">
      <formula>AND(W3&gt;MAX(Y3,AA3), AA3&lt;Y3)</formula>
    </cfRule>
    <cfRule type="expression" dxfId="445" priority="1835" stopIfTrue="1">
      <formula>AND(W3&gt;MAX(Y3,AA3), AA3&gt;Y3)</formula>
    </cfRule>
    <cfRule type="expression" dxfId="444" priority="1836">
      <formula>AND(W3&lt;MIN(Y3,AA3),AA3&lt;Y3)</formula>
    </cfRule>
    <cfRule type="expression" dxfId="443" priority="1837">
      <formula>AND(AA3&gt;MAX(Y3,W3),Y3&lt;W3)</formula>
    </cfRule>
  </conditionalFormatting>
  <conditionalFormatting sqref="AY3:AY96">
    <cfRule type="containsText" dxfId="442" priority="26" operator="containsText" text="No">
      <formula>NOT(ISERROR(SEARCH("No",AY3)))</formula>
    </cfRule>
    <cfRule type="containsText" dxfId="441" priority="27" operator="containsText" text="M&lt;">
      <formula>NOT(ISERROR(SEARCH("M&lt;",AY3)))</formula>
    </cfRule>
    <cfRule type="containsText" dxfId="440" priority="28" operator="containsText" text="M&gt;">
      <formula>NOT(ISERROR(SEARCH("M&gt;",AY3)))</formula>
    </cfRule>
  </conditionalFormatting>
  <conditionalFormatting sqref="AA3:AA96">
    <cfRule type="expression" dxfId="439" priority="24">
      <formula>$AA3&lt;MIN($W3,$Y3)</formula>
    </cfRule>
  </conditionalFormatting>
  <conditionalFormatting sqref="AP2:AP97">
    <cfRule type="containsText" dxfId="438" priority="21" operator="containsText" text="Don't">
      <formula>NOT(ISERROR(SEARCH("Don't",AP2)))</formula>
    </cfRule>
  </conditionalFormatting>
  <conditionalFormatting sqref="AS2:AS97">
    <cfRule type="cellIs" dxfId="437" priority="19" operator="lessThan">
      <formula>0.5</formula>
    </cfRule>
  </conditionalFormatting>
  <conditionalFormatting sqref="AR2:AR96">
    <cfRule type="cellIs" dxfId="436" priority="18" operator="lessThan">
      <formula>0</formula>
    </cfRule>
  </conditionalFormatting>
  <conditionalFormatting sqref="X2:X97">
    <cfRule type="containsText" dxfId="435" priority="15" operator="containsText" text="WBA">
      <formula>NOT(ISERROR(SEARCH("WBA",X2)))</formula>
    </cfRule>
  </conditionalFormatting>
  <conditionalFormatting sqref="BS95:BU95">
    <cfRule type="expression" dxfId="434" priority="2349">
      <formula>$BR97&gt;=$BQ97</formula>
    </cfRule>
  </conditionalFormatting>
  <conditionalFormatting sqref="AU3:AW96 AO3:AQ96">
    <cfRule type="expression" dxfId="433" priority="2358">
      <formula>$AE3=$AD$102</formula>
    </cfRule>
  </conditionalFormatting>
  <conditionalFormatting sqref="AN79:AO96 AO3:AO78">
    <cfRule type="expression" dxfId="432" priority="2360">
      <formula>$AE3=$AD$105</formula>
    </cfRule>
  </conditionalFormatting>
  <conditionalFormatting sqref="AU3:AW96 AN79:AQ96 AO3:AQ78">
    <cfRule type="expression" dxfId="431" priority="2361">
      <formula>$AE3=$AD$106</formula>
    </cfRule>
  </conditionalFormatting>
  <conditionalFormatting sqref="X96">
    <cfRule type="expression" dxfId="430" priority="14">
      <formula>AND(ROW()&gt;2, ROW()=SelRowNum)</formula>
    </cfRule>
  </conditionalFormatting>
  <conditionalFormatting sqref="X96">
    <cfRule type="expression" dxfId="429" priority="13">
      <formula>AND(ROW()&gt;2, ROW()=SelRowNum)</formula>
    </cfRule>
  </conditionalFormatting>
  <conditionalFormatting sqref="BC96">
    <cfRule type="expression" dxfId="428" priority="12">
      <formula>AND(ROW()&gt;2, ROW()=SelRowNum)</formula>
    </cfRule>
  </conditionalFormatting>
  <conditionalFormatting sqref="AP96">
    <cfRule type="expression" dxfId="427" priority="11">
      <formula>AND(ROW()&gt;2, ROW()=SelRowNum)</formula>
    </cfRule>
  </conditionalFormatting>
  <conditionalFormatting sqref="AE96">
    <cfRule type="expression" dxfId="426" priority="9">
      <formula>AND(ROW()&gt;2, ROW()=SelRowNum)</formula>
    </cfRule>
  </conditionalFormatting>
  <conditionalFormatting sqref="AR96">
    <cfRule type="expression" dxfId="425"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2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NEM (All Trades Info)</v>
      </c>
      <c r="M1" t="str">
        <f>[0]!ChaRSITicker&amp;" (Last Trades Zoom)"</f>
        <v>NEM (Last Trades Zoom)</v>
      </c>
      <c r="R1" s="317" t="str">
        <f>IDTICKER</f>
        <v>NEM</v>
      </c>
      <c r="S1" s="317"/>
      <c r="V1" s="407"/>
      <c r="Z1" t="str">
        <f>[0]!ChaRSITicker&amp;" (2 Week Movement RSI:Agio)"</f>
        <v>NEM (2 Week Movement RSI:Agio)</v>
      </c>
      <c r="AG1" t="str">
        <f ca="1">A51&amp;" "&amp;TRUNC(B51,2)</f>
        <v>Effective Cost/Share 67</v>
      </c>
    </row>
    <row r="31" spans="1:28">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1391</v>
      </c>
      <c r="B32" s="483"/>
      <c r="C32" s="483"/>
      <c r="D32" s="483"/>
      <c r="E32" s="483"/>
      <c r="F32" s="164">
        <f ca="1">DataShift!F3</f>
        <v>45974</v>
      </c>
      <c r="G32" s="164">
        <f ca="1">DataShift!G3</f>
        <v>45975</v>
      </c>
      <c r="H32" s="164">
        <f ca="1">DataShift!H3</f>
        <v>45978</v>
      </c>
      <c r="I32" s="164">
        <f ca="1">DataShift!I3</f>
        <v>45979</v>
      </c>
      <c r="J32" s="164">
        <f ca="1">DataShift!J3</f>
        <v>45980</v>
      </c>
      <c r="K32" s="164">
        <f ca="1">DataShift!K3</f>
        <v>45981</v>
      </c>
      <c r="L32" s="164">
        <f ca="1">DataShift!L3</f>
        <v>45982</v>
      </c>
      <c r="M32" s="164">
        <f ca="1">DataShift!M3</f>
        <v>45985</v>
      </c>
      <c r="N32" s="164">
        <f ca="1">DataShift!N3</f>
        <v>45986</v>
      </c>
      <c r="O32" s="164">
        <f ca="1">DataShift!O3</f>
        <v>45987</v>
      </c>
      <c r="P32" s="164">
        <f ca="1">DataShift!P3</f>
        <v>45988</v>
      </c>
      <c r="Q32" s="164">
        <f ca="1">DataShift!Q3</f>
        <v>45989</v>
      </c>
      <c r="R32" s="164">
        <f ca="1">DataShift!R3</f>
        <v>45992</v>
      </c>
      <c r="S32" s="164">
        <f ca="1">DataShift!S3</f>
        <v>45993</v>
      </c>
      <c r="T32" s="164">
        <f ca="1">DataShift!T3</f>
        <v>45994</v>
      </c>
      <c r="U32" s="164">
        <f ca="1">DataShift!U3</f>
        <v>45995</v>
      </c>
      <c r="V32" s="164">
        <f ca="1">DataShift!V3</f>
        <v>45996</v>
      </c>
      <c r="W32" s="164">
        <f ca="1">DataShift!W3</f>
        <v>45999</v>
      </c>
      <c r="X32" s="164">
        <f ca="1">DataShift!X3</f>
        <v>46000</v>
      </c>
      <c r="Y32" s="164">
        <f ca="1">DataShift!Y3</f>
        <v>46001</v>
      </c>
      <c r="Z32" s="164">
        <f ca="1">DataShift!Z3</f>
        <v>46002</v>
      </c>
      <c r="AA32" s="62"/>
      <c r="AB32" s="62"/>
    </row>
    <row r="33" spans="1:26">
      <c r="A33" s="483" t="s">
        <v>1392</v>
      </c>
      <c r="B33" s="483"/>
      <c r="C33" s="483"/>
      <c r="D33" s="483"/>
      <c r="E33" s="483"/>
      <c r="F33" s="164">
        <f ca="1">F32</f>
        <v>45974</v>
      </c>
      <c r="G33" s="164"/>
      <c r="H33" s="164"/>
      <c r="I33" s="164"/>
      <c r="J33" s="164"/>
      <c r="K33" s="164"/>
      <c r="L33" s="164"/>
      <c r="M33" s="164"/>
      <c r="N33" s="164"/>
      <c r="O33" s="164"/>
      <c r="P33" s="164">
        <f ca="1">P32</f>
        <v>45988</v>
      </c>
      <c r="Q33" s="164"/>
      <c r="R33" s="164"/>
      <c r="S33" s="164"/>
      <c r="T33" s="164"/>
      <c r="U33" s="164"/>
      <c r="V33" s="164"/>
      <c r="W33" s="164"/>
      <c r="X33" s="164"/>
      <c r="Y33" s="164"/>
      <c r="Z33" s="164">
        <f ca="1">Z32</f>
        <v>46002</v>
      </c>
    </row>
    <row r="34" spans="1:26">
      <c r="A34" s="483"/>
      <c r="B34" s="484" t="s">
        <v>1655</v>
      </c>
      <c r="C34" s="484" t="s">
        <v>1656</v>
      </c>
      <c r="D34" s="484" t="s">
        <v>1657</v>
      </c>
      <c r="E34" s="483"/>
    </row>
    <row r="35" spans="1:26">
      <c r="A35" s="483" t="s">
        <v>661</v>
      </c>
      <c r="B35" s="485">
        <f ca="1">MIN(F35:Z35)</f>
        <v>6</v>
      </c>
      <c r="C35" s="485">
        <f ca="1">MAX(P35:Z35)</f>
        <v>21</v>
      </c>
      <c r="D35" s="483"/>
      <c r="E35" s="483"/>
      <c r="F35" s="92">
        <f ca="1">F57</f>
        <v>32</v>
      </c>
      <c r="G35" s="92">
        <f t="shared" ref="G35:Z35" ca="1" si="0">G57</f>
        <v>27</v>
      </c>
      <c r="H35" s="92">
        <f t="shared" ca="1" si="0"/>
        <v>24</v>
      </c>
      <c r="I35" s="92">
        <f t="shared" ca="1" si="0"/>
        <v>19</v>
      </c>
      <c r="J35" s="92">
        <f t="shared" ca="1" si="0"/>
        <v>17</v>
      </c>
      <c r="K35" s="92">
        <f t="shared" ca="1" si="0"/>
        <v>16</v>
      </c>
      <c r="L35" s="92">
        <f t="shared" ca="1" si="0"/>
        <v>16</v>
      </c>
      <c r="M35" s="92">
        <f t="shared" ca="1" si="0"/>
        <v>17</v>
      </c>
      <c r="N35" s="92">
        <f t="shared" ca="1" si="0"/>
        <v>18</v>
      </c>
      <c r="O35" s="92">
        <f t="shared" ca="1" si="0"/>
        <v>15</v>
      </c>
      <c r="P35" s="92">
        <f t="shared" ca="1" si="0"/>
        <v>7</v>
      </c>
      <c r="Q35" s="92">
        <f t="shared" ca="1" si="0"/>
        <v>6</v>
      </c>
      <c r="R35" s="92">
        <f t="shared" ca="1" si="0"/>
        <v>10</v>
      </c>
      <c r="S35" s="92">
        <f t="shared" ca="1" si="0"/>
        <v>19</v>
      </c>
      <c r="T35" s="92">
        <f t="shared" ca="1" si="0"/>
        <v>19</v>
      </c>
      <c r="U35" s="92">
        <f t="shared" ca="1" si="0"/>
        <v>21</v>
      </c>
      <c r="V35" s="92">
        <f t="shared" ca="1" si="0"/>
        <v>21</v>
      </c>
      <c r="W35" s="92">
        <f t="shared" ca="1" si="0"/>
        <v>15</v>
      </c>
      <c r="X35" s="92">
        <f t="shared" ca="1" si="0"/>
        <v>16</v>
      </c>
      <c r="Y35" s="92">
        <f t="shared" ca="1" si="0"/>
        <v>20</v>
      </c>
      <c r="Z35" s="92">
        <f t="shared" ca="1" si="0"/>
        <v>20</v>
      </c>
    </row>
    <row r="36" spans="1:26">
      <c r="A36" s="483" t="s">
        <v>543</v>
      </c>
      <c r="B36" s="485">
        <f ca="1">MIN(F36:Z36)</f>
        <v>5.0409966514682275E-4</v>
      </c>
      <c r="C36" s="485">
        <f ca="1">MAX(P36:Z36)</f>
        <v>1.4574439892383309</v>
      </c>
      <c r="D36" s="483"/>
      <c r="E36" s="483"/>
      <c r="F36" s="88">
        <f ca="1">F58</f>
        <v>0.70988661036447553</v>
      </c>
      <c r="G36" s="88">
        <f t="shared" ref="G36:Z36" ca="1" si="1">G58</f>
        <v>0.593655574422572</v>
      </c>
      <c r="H36" s="88">
        <f t="shared" ca="1" si="1"/>
        <v>0.40252538018308653</v>
      </c>
      <c r="I36" s="88">
        <f t="shared" ca="1" si="1"/>
        <v>0.79406715312605769</v>
      </c>
      <c r="J36" s="88">
        <f t="shared" ca="1" si="1"/>
        <v>5.0409966514682275E-4</v>
      </c>
      <c r="K36" s="88">
        <f t="shared" ca="1" si="1"/>
        <v>0.25524794759567165</v>
      </c>
      <c r="L36" s="88">
        <f t="shared" ca="1" si="1"/>
        <v>0.42734697896095941</v>
      </c>
      <c r="M36" s="88">
        <f t="shared" ca="1" si="1"/>
        <v>0.51356750038148724</v>
      </c>
      <c r="N36" s="88">
        <f t="shared" ca="1" si="1"/>
        <v>0.35599048597291894</v>
      </c>
      <c r="O36" s="88">
        <f t="shared" ca="1" si="1"/>
        <v>0.63897962490875171</v>
      </c>
      <c r="P36" s="88">
        <f t="shared" ca="1" si="1"/>
        <v>0.43724056602275047</v>
      </c>
      <c r="Q36" s="88">
        <f t="shared" ca="1" si="1"/>
        <v>0.37174167679023273</v>
      </c>
      <c r="R36" s="88">
        <f t="shared" ca="1" si="1"/>
        <v>0.56105425904699657</v>
      </c>
      <c r="S36" s="88">
        <f t="shared" ca="1" si="1"/>
        <v>1.0465396503253246</v>
      </c>
      <c r="T36" s="88">
        <f t="shared" ca="1" si="1"/>
        <v>0.78299133027462031</v>
      </c>
      <c r="U36" s="88">
        <f t="shared" ca="1" si="1"/>
        <v>0.40993844553482967</v>
      </c>
      <c r="V36" s="88">
        <f t="shared" ca="1" si="1"/>
        <v>0.71017578382977553</v>
      </c>
      <c r="W36" s="88">
        <f t="shared" ca="1" si="1"/>
        <v>0.37105274924206511</v>
      </c>
      <c r="X36" s="88">
        <f t="shared" ca="1" si="1"/>
        <v>1.4574439892383309</v>
      </c>
      <c r="Y36" s="88">
        <f t="shared" ca="1" si="1"/>
        <v>1.2314631296255434</v>
      </c>
      <c r="Z36" s="88">
        <f t="shared" ca="1" si="1"/>
        <v>1.2314631296255434</v>
      </c>
    </row>
    <row r="37" spans="1:26">
      <c r="A37" s="151" t="s">
        <v>1713</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661</v>
      </c>
      <c r="B38" s="483"/>
      <c r="C38" s="483"/>
      <c r="D38" s="483"/>
      <c r="E38" s="483"/>
      <c r="F38" s="487">
        <f ca="1">MIN(F44:F45,F50:F51)</f>
        <v>67.009778907882335</v>
      </c>
      <c r="P38">
        <f ca="1">MIN(P44:P45,P50:P51)</f>
        <v>67.009778907882335</v>
      </c>
      <c r="Z38">
        <f ca="1">MAX(Z44:Z45,Z50:Z51)</f>
        <v>99.43</v>
      </c>
    </row>
    <row r="39" spans="1:26">
      <c r="A39" s="479"/>
      <c r="B39" s="151"/>
      <c r="C39" s="151"/>
      <c r="D39" s="151"/>
      <c r="E39" s="151"/>
      <c r="F39" s="92"/>
      <c r="P39" s="92"/>
      <c r="Z39" s="92"/>
    </row>
    <row r="40" spans="1:26">
      <c r="A40" s="151" t="s">
        <v>2075</v>
      </c>
      <c r="B40" s="479">
        <v>1.4</v>
      </c>
      <c r="C40" s="151"/>
      <c r="D40" s="151"/>
      <c r="E40" s="151"/>
      <c r="F40" s="92">
        <f ca="1">B40*MAX(C$35:C$36)</f>
        <v>29.4</v>
      </c>
      <c r="P40" s="92">
        <f t="shared" ref="P40:P41" ca="1" si="2">F40</f>
        <v>29.4</v>
      </c>
      <c r="Z40" s="92">
        <v>0</v>
      </c>
    </row>
    <row r="41" spans="1:26">
      <c r="A41" s="151" t="s">
        <v>1658</v>
      </c>
      <c r="B41" s="479">
        <v>1.3</v>
      </c>
      <c r="C41" s="151"/>
      <c r="D41" s="151"/>
      <c r="E41" s="151"/>
      <c r="F41" s="92">
        <f t="shared" ref="F41" ca="1" si="3">B41*MAX(C$35:C$36)</f>
        <v>27.3</v>
      </c>
      <c r="P41" s="92">
        <f t="shared" ca="1" si="2"/>
        <v>27.3</v>
      </c>
      <c r="Z41" s="92">
        <f t="shared" ref="Z41:Z43" ca="1" si="4">0.9*P41</f>
        <v>24.57</v>
      </c>
    </row>
    <row r="42" spans="1:26">
      <c r="A42" s="151" t="s">
        <v>1659</v>
      </c>
      <c r="B42" s="479">
        <v>1.2</v>
      </c>
      <c r="C42" s="151"/>
      <c r="D42" s="151"/>
      <c r="E42" s="151"/>
      <c r="F42" s="92">
        <f t="shared" ref="F42:F43" ca="1" si="5">B42*MAX(C$35:C$36)</f>
        <v>25.2</v>
      </c>
      <c r="P42" s="92">
        <f t="shared" ref="P42:P43" ca="1" si="6">F42</f>
        <v>25.2</v>
      </c>
      <c r="Z42" s="92">
        <f t="shared" ca="1" si="4"/>
        <v>22.68</v>
      </c>
    </row>
    <row r="43" spans="1:26">
      <c r="A43" s="151" t="s">
        <v>1660</v>
      </c>
      <c r="B43" s="479">
        <v>1.1000000000000001</v>
      </c>
      <c r="C43" s="151"/>
      <c r="D43" s="151"/>
      <c r="E43" s="151"/>
      <c r="F43" s="92">
        <f t="shared" ca="1" si="5"/>
        <v>23.1</v>
      </c>
      <c r="P43" s="92">
        <f t="shared" ca="1" si="6"/>
        <v>23.1</v>
      </c>
      <c r="Z43" s="92">
        <f t="shared" ca="1" si="4"/>
        <v>20.790000000000003</v>
      </c>
    </row>
    <row r="44" spans="1:26">
      <c r="A44" s="483" t="s">
        <v>1661</v>
      </c>
      <c r="B44" s="486">
        <f ca="1">_xlfn.XLOOKUP(_xlfn.SINGLE(ChaRSITicker),TabCalc[Ticker],TabCalc[L_Sp])</f>
        <v>99.35</v>
      </c>
      <c r="C44" s="483"/>
      <c r="D44" s="483"/>
      <c r="E44" s="483"/>
      <c r="F44" s="487">
        <f ca="1">_xlfn.XLOOKUP(_xlfn.SINGLE(ChaRSITicker),TabCalc[Ticker],TabCalc[L_Sp])</f>
        <v>99.35</v>
      </c>
      <c r="P44">
        <f ca="1">F44</f>
        <v>99.35</v>
      </c>
      <c r="Z44">
        <f ca="1">P44</f>
        <v>99.35</v>
      </c>
    </row>
    <row r="45" spans="1:26">
      <c r="A45" s="483" t="s">
        <v>1662</v>
      </c>
      <c r="B45" s="486">
        <f ca="1">ABS(_xlfn.XLOOKUP(_xlfn.SINGLE(ChaRSITicker),TabCalc[Ticker],TabCalc[L_Bp]))</f>
        <v>78.88</v>
      </c>
      <c r="C45" s="483"/>
      <c r="D45" s="483"/>
      <c r="E45" s="483"/>
      <c r="F45" s="487">
        <f ca="1">ABS(_xlfn.XLOOKUP(_xlfn.SINGLE(ChaRSITicker),TabCalc[Ticker],TabCalc[L_Bp]))</f>
        <v>78.88</v>
      </c>
      <c r="P45">
        <f ca="1">F45</f>
        <v>78.88</v>
      </c>
      <c r="Z45">
        <f ca="1">P45</f>
        <v>78.88</v>
      </c>
    </row>
    <row r="46" spans="1:26">
      <c r="A46" s="483" t="s">
        <v>1663</v>
      </c>
      <c r="B46" s="486">
        <f ca="1">_xlfn.XLOOKUP(_xlfn.SINGLE(ChaRSITicker),TabCalc[Ticker],TabCalc[Min_Sp])</f>
        <v>38.51</v>
      </c>
      <c r="C46" s="483"/>
      <c r="D46" s="483"/>
      <c r="E46" s="483"/>
      <c r="F46" s="487">
        <f ca="1">_xlfn.XLOOKUP(_xlfn.SINGLE(ChaRSITicker),TabCalc[Ticker],TabCalc[Min_Sp])</f>
        <v>38.51</v>
      </c>
      <c r="P46">
        <f t="shared" ref="P46:P49" ca="1" si="7">F46</f>
        <v>38.51</v>
      </c>
      <c r="Z46">
        <f t="shared" ref="Z46:Z49" ca="1" si="8">P46</f>
        <v>38.51</v>
      </c>
    </row>
    <row r="47" spans="1:26">
      <c r="A47" s="483" t="s">
        <v>1664</v>
      </c>
      <c r="B47" s="486">
        <f ca="1">ABS(_xlfn.XLOOKUP(_xlfn.SINGLE(ChaRSITicker),TabCalc[Ticker],TabCalc[Min_PP]))</f>
        <v>86.41</v>
      </c>
      <c r="C47" s="483"/>
      <c r="D47" s="483"/>
      <c r="E47" s="483"/>
      <c r="F47" s="487">
        <f ca="1">ABS(_xlfn.XLOOKUP(_xlfn.SINGLE(ChaRSITicker),TabCalc[Ticker],TabCalc[Min_PP]))</f>
        <v>86.41</v>
      </c>
      <c r="P47">
        <f t="shared" ca="1" si="7"/>
        <v>86.41</v>
      </c>
      <c r="Z47">
        <f t="shared" ca="1" si="8"/>
        <v>86.41</v>
      </c>
    </row>
    <row r="48" spans="1:26">
      <c r="A48" s="483" t="s">
        <v>1665</v>
      </c>
      <c r="B48" s="486">
        <f ca="1">_xlfn.XLOOKUP(_xlfn.SINGLE(ChaRSITicker),TabCalc[Ticker],TabCalc[Max_SP])</f>
        <v>99.35</v>
      </c>
      <c r="C48" s="483"/>
      <c r="D48" s="483"/>
      <c r="E48" s="483"/>
      <c r="F48" s="487">
        <f ca="1">_xlfn.XLOOKUP(_xlfn.SINGLE(ChaRSITicker),TabCalc[Ticker],TabCalc[Max_SP])</f>
        <v>99.35</v>
      </c>
      <c r="P48">
        <f t="shared" ca="1" si="7"/>
        <v>99.35</v>
      </c>
      <c r="Z48">
        <f t="shared" ca="1" si="8"/>
        <v>99.35</v>
      </c>
    </row>
    <row r="49" spans="1:26">
      <c r="A49" s="483" t="s">
        <v>1666</v>
      </c>
      <c r="B49" s="486">
        <f ca="1">ABS(_xlfn.XLOOKUP(_xlfn.SINGLE(ChaRSITicker),TabCalc[Ticker],TabCalc[Max_PP]))</f>
        <v>19.104759999999999</v>
      </c>
      <c r="C49" s="483"/>
      <c r="D49" s="483"/>
      <c r="E49" s="483"/>
      <c r="F49" s="487">
        <f ca="1">ABS(_xlfn.XLOOKUP(_xlfn.SINGLE(ChaRSITicker),TabCalc[Ticker],TabCalc[Max_PP]))</f>
        <v>19.104759999999999</v>
      </c>
      <c r="P49">
        <f t="shared" ca="1" si="7"/>
        <v>19.104759999999999</v>
      </c>
      <c r="Z49">
        <f t="shared" ca="1" si="8"/>
        <v>19.104759999999999</v>
      </c>
    </row>
    <row r="50" spans="1:26">
      <c r="A50" s="193" t="s">
        <v>131</v>
      </c>
      <c r="B50" s="193">
        <f ca="1">_xlfn.XLOOKUP(_xlfn.SINGLE(ChaRSITicker),TabCalc[Ticker],TabCalc[M])</f>
        <v>99.43</v>
      </c>
      <c r="C50" s="193"/>
      <c r="D50" s="193"/>
      <c r="E50" s="193"/>
      <c r="F50" s="487">
        <f ca="1">_xlfn.XLOOKUP(_xlfn.SINGLE(ChaRSITicker),TabCalc[Ticker],TabCalc[M])</f>
        <v>99.43</v>
      </c>
      <c r="P50">
        <f ca="1">F50</f>
        <v>99.43</v>
      </c>
      <c r="Z50">
        <f ca="1">P50</f>
        <v>99.43</v>
      </c>
    </row>
    <row r="51" spans="1:26">
      <c r="A51" s="193" t="s">
        <v>1836</v>
      </c>
      <c r="B51" s="524">
        <f ca="1">ABS(_xlfn.XLOOKUP(ChaRSITicker,TabCalc[Ticker],TabCalc[A]))</f>
        <v>67.009778907882335</v>
      </c>
      <c r="C51" s="193"/>
      <c r="D51" s="193"/>
      <c r="E51" s="193"/>
      <c r="F51" s="487">
        <f ca="1">B51</f>
        <v>67.009778907882335</v>
      </c>
      <c r="P51" s="487">
        <f ca="1">F51</f>
        <v>67.009778907882335</v>
      </c>
      <c r="Z51" s="84">
        <f ca="1">P51</f>
        <v>67.009778907882335</v>
      </c>
    </row>
    <row r="52" spans="1:26">
      <c r="A52" s="488" t="s">
        <v>1710</v>
      </c>
      <c r="B52" s="489">
        <f ca="1">MIN(B51,B44:B49,F56:Z56)</f>
        <v>19.104759999999999</v>
      </c>
      <c r="C52" s="489">
        <f ca="1">MAX(B51,B44:B49,F56:Z56)</f>
        <v>99.43</v>
      </c>
      <c r="D52" t="s">
        <v>1714</v>
      </c>
    </row>
    <row r="53" spans="1:26" ht="23" customHeight="1">
      <c r="A53" s="488" t="s">
        <v>1711</v>
      </c>
      <c r="B53" s="489">
        <f ca="1">MIN(B51,B44:B45,P56:Z56)</f>
        <v>67.009778907882335</v>
      </c>
      <c r="C53" s="489">
        <f ca="1">MAX(B51,B44:B45,P56:Z56)</f>
        <v>99.43</v>
      </c>
      <c r="D53" t="s">
        <v>1714</v>
      </c>
    </row>
    <row r="54" spans="1:26">
      <c r="A54" s="488" t="s">
        <v>1712</v>
      </c>
      <c r="B54" s="488">
        <f ca="1">MIN(P56:Z56)</f>
        <v>89.67</v>
      </c>
      <c r="C54" s="489">
        <f ca="1">MAX(F56:Z56)</f>
        <v>99.43</v>
      </c>
      <c r="D54" t="s">
        <v>1714</v>
      </c>
    </row>
    <row r="55" spans="1:26">
      <c r="A55" s="478" t="s">
        <v>1651</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81.62</v>
      </c>
      <c r="C56" s="151">
        <f ca="1">MAX(F56:Z56)</f>
        <v>99.43</v>
      </c>
      <c r="D56" s="481">
        <f ca="1">AVERAGE(F56:Y56)</f>
        <v>88.894240000000011</v>
      </c>
      <c r="E56" s="151"/>
      <c r="F56" cm="1">
        <f t="array" aca="1" ref="F56" ca="1">_xlfn.XLOOKUP(_xlfn.SINGLE(ChaRSITicker),ListTickers,Tab1Price[Price0])</f>
        <v>81.62</v>
      </c>
      <c r="G56" cm="1">
        <f t="array" aca="1" ref="G56" ca="1">_xlfn.XLOOKUP(_xlfn.SINGLE(ChaRSITicker),ListTickers,Tab1Price[Price1])</f>
        <v>82.614800000000002</v>
      </c>
      <c r="H56" cm="1">
        <f t="array" aca="1" ref="H56" ca="1">_xlfn.XLOOKUP(_xlfn.SINGLE(ChaRSITicker),ListTickers,Tab1Price[Price2])</f>
        <v>83.35</v>
      </c>
      <c r="I56" cm="1">
        <f t="array" aca="1" ref="I56" ca="1">_xlfn.XLOOKUP(_xlfn.SINGLE(ChaRSITicker),ListTickers,Tab1Price[Price3])</f>
        <v>87.8</v>
      </c>
      <c r="J56" cm="1">
        <f t="array" aca="1" ref="J56" ca="1">_xlfn.XLOOKUP(_xlfn.SINGLE(ChaRSITicker),ListTickers,Tab1Price[Price4])</f>
        <v>86.61</v>
      </c>
      <c r="K56" cm="1">
        <f t="array" aca="1" ref="K56" ca="1">_xlfn.XLOOKUP(_xlfn.SINGLE(ChaRSITicker),ListTickers,Tab1Price[Price5])</f>
        <v>87.594999999999999</v>
      </c>
      <c r="L56" cm="1">
        <f t="array" aca="1" ref="L56" ca="1">_xlfn.XLOOKUP(_xlfn.SINGLE(ChaRSITicker),ListTickers,Tab1Price[Price6])</f>
        <v>82.87</v>
      </c>
      <c r="M56" cm="1">
        <f t="array" aca="1" ref="M56" ca="1">_xlfn.XLOOKUP(_xlfn.SINGLE(ChaRSITicker),ListTickers,Tab1Price[Price7])</f>
        <v>83.62</v>
      </c>
      <c r="N56" cm="1">
        <f t="array" aca="1" ref="N56" ca="1">_xlfn.XLOOKUP(_xlfn.SINGLE(ChaRSITicker),ListTickers,Tab1Price[Price8])</f>
        <v>90.45</v>
      </c>
      <c r="O56" cm="1">
        <f t="array" aca="1" ref="O56" ca="1">_xlfn.XLOOKUP(_xlfn.SINGLE(ChaRSITicker),ListTickers,Tab1Price[Price9])</f>
        <v>90.52</v>
      </c>
      <c r="P56" cm="1">
        <f t="array" aca="1" ref="P56" ca="1">_xlfn.XLOOKUP(_xlfn.SINGLE(ChaRSITicker),ListTickers,Tab1Price[Price10])</f>
        <v>90.73</v>
      </c>
      <c r="Q56" cm="1">
        <f t="array" aca="1" ref="Q56" ca="1">_xlfn.XLOOKUP(_xlfn.SINGLE(ChaRSITicker),ListTickers,Tab1Price[Price11])</f>
        <v>92</v>
      </c>
      <c r="R56" cm="1">
        <f t="array" aca="1" ref="R56" ca="1">_xlfn.XLOOKUP(_xlfn.SINGLE(ChaRSITicker),ListTickers,Tab1Price[Price12])</f>
        <v>90.454999999999998</v>
      </c>
      <c r="S56" cm="1">
        <f t="array" aca="1" ref="S56" ca="1">_xlfn.XLOOKUP(_xlfn.SINGLE(ChaRSITicker),ListTickers,Tab1Price[Price13])</f>
        <v>91.18</v>
      </c>
      <c r="T56" cm="1">
        <f t="array" aca="1" ref="T56" ca="1">_xlfn.XLOOKUP(_xlfn.SINGLE(ChaRSITicker),ListTickers,Tab1Price[Price14])</f>
        <v>89.67</v>
      </c>
      <c r="U56" cm="1">
        <f t="array" aca="1" ref="U56" ca="1">_xlfn.XLOOKUP(_xlfn.SINGLE(ChaRSITicker),ListTickers,Tab1Price[Price15])</f>
        <v>90.555000000000007</v>
      </c>
      <c r="V56" cm="1">
        <f t="array" aca="1" ref="V56" ca="1">_xlfn.XLOOKUP(_xlfn.SINGLE(ChaRSITicker),ListTickers,Tab1Price[Price16])</f>
        <v>89.76</v>
      </c>
      <c r="W56" cm="1">
        <f t="array" aca="1" ref="W56" ca="1">_xlfn.XLOOKUP(_xlfn.SINGLE(ChaRSITicker),ListTickers,Tab1Price[Price17])</f>
        <v>92.64</v>
      </c>
      <c r="X56" cm="1">
        <f t="array" aca="1" ref="X56" ca="1">_xlfn.XLOOKUP(_xlfn.SINGLE(ChaRSITicker),ListTickers,Tab1Price[Price18])</f>
        <v>94.415000000000006</v>
      </c>
      <c r="Y56" cm="1">
        <f t="array" aca="1" ref="Y56" ca="1">_xlfn.XLOOKUP(_xlfn.SINGLE(ChaRSITicker),ListTickers,Tab1Price[Price19])</f>
        <v>99.43</v>
      </c>
      <c r="Z56" cm="1">
        <f t="array" aca="1" ref="Z56" ca="1">_xlfn.XLOOKUP(_xlfn.SINGLE(ChaRSITicker),ListTickers,Tab1Price[Price20])</f>
        <v>99.43</v>
      </c>
    </row>
    <row r="57" spans="1:26">
      <c r="A57" s="151" t="s">
        <v>661</v>
      </c>
      <c r="B57" s="493">
        <f t="shared" ref="B57:B58" ca="1" si="9">MIN(F57:Z57)</f>
        <v>6</v>
      </c>
      <c r="C57" s="493">
        <v>100</v>
      </c>
      <c r="D57" s="481">
        <f ca="1">IFERROR(AVERAGEIF(F57:Y57, "&gt;0"), "")</f>
        <v>17.75</v>
      </c>
      <c r="E57" s="479">
        <v>1</v>
      </c>
      <c r="F57" s="85" cm="1">
        <f t="array" aca="1" ref="F57" ca="1">_xlfn.XLOOKUP(ChaRSITicker,ListTickers,Tab2RSI[RSI0])</f>
        <v>32</v>
      </c>
      <c r="G57" s="85" cm="1">
        <f t="array" aca="1" ref="G57" ca="1">_xlfn.XLOOKUP(ChaRSITicker,ListTickers,Tab2RSI[RSI1])</f>
        <v>27</v>
      </c>
      <c r="H57" s="85" cm="1">
        <f t="array" aca="1" ref="H57" ca="1">_xlfn.XLOOKUP(ChaRSITicker,ListTickers,Tab2RSI[RSI2])</f>
        <v>24</v>
      </c>
      <c r="I57" s="85" cm="1">
        <f t="array" aca="1" ref="I57" ca="1">_xlfn.XLOOKUP(ChaRSITicker,ListTickers,Tab2RSI[RSI3])</f>
        <v>19</v>
      </c>
      <c r="J57" s="85" cm="1">
        <f t="array" aca="1" ref="J57" ca="1">_xlfn.XLOOKUP(ChaRSITicker,ListTickers,Tab2RSI[RSI4])</f>
        <v>17</v>
      </c>
      <c r="K57" s="85" cm="1">
        <f t="array" aca="1" ref="K57" ca="1">_xlfn.XLOOKUP(ChaRSITicker,ListTickers,Tab2RSI[RSI5])</f>
        <v>16</v>
      </c>
      <c r="L57" s="85" cm="1">
        <f t="array" aca="1" ref="L57" ca="1">_xlfn.XLOOKUP(ChaRSITicker,ListTickers,Tab2RSI[RSI6])</f>
        <v>16</v>
      </c>
      <c r="M57" s="85" cm="1">
        <f t="array" aca="1" ref="M57" ca="1">_xlfn.XLOOKUP(ChaRSITicker,ListTickers,Tab2RSI[RSI7])</f>
        <v>17</v>
      </c>
      <c r="N57" s="85" cm="1">
        <f t="array" aca="1" ref="N57" ca="1">_xlfn.XLOOKUP(ChaRSITicker,ListTickers,Tab2RSI[RSI8])</f>
        <v>18</v>
      </c>
      <c r="O57" s="85" cm="1">
        <f t="array" aca="1" ref="O57" ca="1">_xlfn.XLOOKUP(ChaRSITicker,ListTickers,Tab2RSI[RSI9])</f>
        <v>15</v>
      </c>
      <c r="P57" s="85" cm="1">
        <f t="array" aca="1" ref="P57" ca="1">_xlfn.XLOOKUP(ChaRSITicker,ListTickers,Tab2RSI[RSI10])</f>
        <v>7</v>
      </c>
      <c r="Q57" s="85" cm="1">
        <f t="array" aca="1" ref="Q57" ca="1">_xlfn.XLOOKUP(ChaRSITicker,ListTickers,Tab2RSI[RSI11])</f>
        <v>6</v>
      </c>
      <c r="R57" s="85" cm="1">
        <f t="array" aca="1" ref="R57" ca="1">_xlfn.XLOOKUP(ChaRSITicker,ListTickers,Tab2RSI[RSI12])</f>
        <v>10</v>
      </c>
      <c r="S57" s="85" cm="1">
        <f t="array" aca="1" ref="S57" ca="1">_xlfn.XLOOKUP(ChaRSITicker,ListTickers,Tab2RSI[RSI13])</f>
        <v>19</v>
      </c>
      <c r="T57" s="85" cm="1">
        <f t="array" aca="1" ref="T57" ca="1">_xlfn.XLOOKUP(ChaRSITicker,ListTickers,Tab2RSI[RSI14])</f>
        <v>19</v>
      </c>
      <c r="U57" s="85" cm="1">
        <f t="array" aca="1" ref="U57" ca="1">_xlfn.XLOOKUP(ChaRSITicker,ListTickers,Tab2RSI[RSI15])</f>
        <v>21</v>
      </c>
      <c r="V57" s="85" cm="1">
        <f t="array" aca="1" ref="V57" ca="1">_xlfn.XLOOKUP(ChaRSITicker,ListTickers,Tab2RSI[RSI16])</f>
        <v>21</v>
      </c>
      <c r="W57" s="85" cm="1">
        <f t="array" aca="1" ref="W57" ca="1">_xlfn.XLOOKUP(ChaRSITicker,ListTickers,Tab2RSI[RSI17])</f>
        <v>15</v>
      </c>
      <c r="X57" s="85" cm="1">
        <f t="array" aca="1" ref="X57" ca="1">_xlfn.XLOOKUP(ChaRSITicker,ListTickers,Tab2RSI[RSI18])</f>
        <v>16</v>
      </c>
      <c r="Y57" s="85" cm="1">
        <f t="array" aca="1" ref="Y57" ca="1">_xlfn.XLOOKUP(ChaRSITicker,ListTickers,Tab2RSI[RSI19])</f>
        <v>20</v>
      </c>
      <c r="Z57" s="85" cm="1">
        <f t="array" aca="1" ref="Z57" ca="1">_xlfn.XLOOKUP(ChaRSITicker,ListTickers,Tab2RSI[RSI20])</f>
        <v>20</v>
      </c>
    </row>
    <row r="58" spans="1:26">
      <c r="A58" s="151" t="s">
        <v>543</v>
      </c>
      <c r="B58" s="480">
        <f t="shared" ca="1" si="9"/>
        <v>5.0409966514682275E-4</v>
      </c>
      <c r="C58" s="480">
        <f t="shared" ref="C58" ca="1" si="10">MAX(F58:Z58)</f>
        <v>1.4574439892383309</v>
      </c>
      <c r="D58" s="481">
        <f ca="1">IFERROR(AVERAGEIF(F58:Y58, "&gt;0"), "")</f>
        <v>0.60357064677557992</v>
      </c>
      <c r="E58" s="151">
        <f ca="1">INT(C57/D58)</f>
        <v>165</v>
      </c>
      <c r="F58" s="88" cm="1">
        <f t="array" aca="1" ref="F58" ca="1">_xlfn.XLOOKUP(ChaRSITicker,ListTickers,Tab2Agiotage[XAgio0])</f>
        <v>0.70988661036447553</v>
      </c>
      <c r="G58" s="88" cm="1">
        <f t="array" aca="1" ref="G58" ca="1">_xlfn.XLOOKUP(ChaRSITicker,ListTickers,Tab2Agiotage[XAgio1])</f>
        <v>0.593655574422572</v>
      </c>
      <c r="H58" s="88" cm="1">
        <f t="array" aca="1" ref="H58" ca="1">_xlfn.XLOOKUP(ChaRSITicker,ListTickers,Tab2Agiotage[XAgio2])</f>
        <v>0.40252538018308653</v>
      </c>
      <c r="I58" s="88" cm="1">
        <f t="array" aca="1" ref="I58" ca="1">_xlfn.XLOOKUP(ChaRSITicker,ListTickers,Tab2Agiotage[XAgio3])</f>
        <v>0.79406715312605769</v>
      </c>
      <c r="J58" s="88" cm="1">
        <f t="array" aca="1" ref="J58" ca="1">_xlfn.XLOOKUP(ChaRSITicker,ListTickers,Tab2Agiotage[XAgio4])</f>
        <v>5.0409966514682275E-4</v>
      </c>
      <c r="K58" s="88" cm="1">
        <f t="array" aca="1" ref="K58" ca="1">_xlfn.XLOOKUP(ChaRSITicker,ListTickers,Tab2Agiotage[XAgio5])</f>
        <v>0.25524794759567165</v>
      </c>
      <c r="L58" s="88" cm="1">
        <f t="array" aca="1" ref="L58" ca="1">_xlfn.XLOOKUP(ChaRSITicker,ListTickers,Tab2Agiotage[XAgio6])</f>
        <v>0.42734697896095941</v>
      </c>
      <c r="M58" s="88" cm="1">
        <f t="array" aca="1" ref="M58" ca="1">_xlfn.XLOOKUP(ChaRSITicker,ListTickers,Tab2Agiotage[XAgio7])</f>
        <v>0.51356750038148724</v>
      </c>
      <c r="N58" s="88" cm="1">
        <f t="array" aca="1" ref="N58" ca="1">_xlfn.XLOOKUP(ChaRSITicker,ListTickers,Tab2Agiotage[XAgio8])</f>
        <v>0.35599048597291894</v>
      </c>
      <c r="O58" s="88" cm="1">
        <f t="array" aca="1" ref="O58" ca="1">_xlfn.XLOOKUP(ChaRSITicker,ListTickers,Tab2Agiotage[XAgio9])</f>
        <v>0.63897962490875171</v>
      </c>
      <c r="P58" s="88" cm="1">
        <f t="array" aca="1" ref="P58" ca="1">_xlfn.XLOOKUP(ChaRSITicker,ListTickers,Tab2Agiotage[XAgio10])</f>
        <v>0.43724056602275047</v>
      </c>
      <c r="Q58" s="88" cm="1">
        <f t="array" aca="1" ref="Q58" ca="1">_xlfn.XLOOKUP(ChaRSITicker,ListTickers,Tab2Agiotage[XAgio11])</f>
        <v>0.37174167679023273</v>
      </c>
      <c r="R58" s="88" cm="1">
        <f t="array" aca="1" ref="R58" ca="1">_xlfn.XLOOKUP(ChaRSITicker,ListTickers,Tab2Agiotage[XAgio12])</f>
        <v>0.56105425904699657</v>
      </c>
      <c r="S58" s="88" cm="1">
        <f t="array" aca="1" ref="S58" ca="1">_xlfn.XLOOKUP(ChaRSITicker,ListTickers,Tab2Agiotage[XAgio13])</f>
        <v>1.0465396503253246</v>
      </c>
      <c r="T58" s="88" cm="1">
        <f t="array" aca="1" ref="T58" ca="1">_xlfn.XLOOKUP(ChaRSITicker,ListTickers,Tab2Agiotage[XAgio14])</f>
        <v>0.78299133027462031</v>
      </c>
      <c r="U58" s="88" cm="1">
        <f t="array" aca="1" ref="U58" ca="1">_xlfn.XLOOKUP(ChaRSITicker,ListTickers,Tab2Agiotage[XAgio15])</f>
        <v>0.40993844553482967</v>
      </c>
      <c r="V58" s="88" cm="1">
        <f t="array" aca="1" ref="V58" ca="1">_xlfn.XLOOKUP(ChaRSITicker,ListTickers,Tab2Agiotage[XAgio16])</f>
        <v>0.71017578382977553</v>
      </c>
      <c r="W58" s="88" cm="1">
        <f t="array" aca="1" ref="W58" ca="1">_xlfn.XLOOKUP(ChaRSITicker,ListTickers,Tab2Agiotage[XAgio17])</f>
        <v>0.37105274924206511</v>
      </c>
      <c r="X58" s="88" cm="1">
        <f t="array" aca="1" ref="X58" ca="1">_xlfn.XLOOKUP(ChaRSITicker,ListTickers,Tab2Agiotage[XAgio18])</f>
        <v>1.4574439892383309</v>
      </c>
      <c r="Y58" s="88" cm="1">
        <f t="array" aca="1" ref="Y58" ca="1">_xlfn.XLOOKUP(ChaRSITicker,ListTickers,Tab2Agiotage[XAgio19])</f>
        <v>1.2314631296255434</v>
      </c>
      <c r="Z58" s="88" cm="1">
        <f t="array" aca="1" ref="Z58" ca="1">_xlfn.XLOOKUP(ChaRSITicker,ListTickers,Tab2Agiotage[XAgio20])</f>
        <v>1.2314631296255434</v>
      </c>
    </row>
    <row r="59" spans="1:26">
      <c r="A59" s="151" t="s">
        <v>661</v>
      </c>
      <c r="B59" s="151"/>
      <c r="C59" s="151"/>
      <c r="D59" s="151"/>
      <c r="E59" s="151"/>
      <c r="F59" cm="1">
        <f t="array" aca="1" ref="F59" ca="1">_xlfn.XLOOKUP(ChaRSITicker,ListTickers,Tab2RSIConventional[RSIConv0])</f>
        <v>18</v>
      </c>
      <c r="G59" cm="1">
        <f t="array" aca="1" ref="G59" ca="1">_xlfn.XLOOKUP(ChaRSITicker,ListTickers,Tab2RSIConventional[RSIConv1])</f>
        <v>18</v>
      </c>
      <c r="H59" cm="1">
        <f t="array" aca="1" ref="H59" ca="1">_xlfn.XLOOKUP(ChaRSITicker,ListTickers,Tab2RSIConventional[RSIConv2])</f>
        <v>19</v>
      </c>
      <c r="I59" cm="1">
        <f t="array" aca="1" ref="I59" ca="1">_xlfn.XLOOKUP(ChaRSITicker,ListTickers,Tab2RSIConventional[RSIConv3])</f>
        <v>14</v>
      </c>
      <c r="J59" cm="1">
        <f t="array" aca="1" ref="J59" ca="1">_xlfn.XLOOKUP(ChaRSITicker,ListTickers,Tab2RSIConventional[RSIConv4])</f>
        <v>6</v>
      </c>
      <c r="K59" cm="1">
        <f t="array" aca="1" ref="K59" ca="1">_xlfn.XLOOKUP(ChaRSITicker,ListTickers,Tab2RSIConventional[RSIConv5])</f>
        <v>5</v>
      </c>
      <c r="L59" cm="1">
        <f t="array" aca="1" ref="L59" ca="1">_xlfn.XLOOKUP(ChaRSITicker,ListTickers,Tab2RSIConventional[RSIConv6])</f>
        <v>7</v>
      </c>
      <c r="M59" cm="1">
        <f t="array" aca="1" ref="M59" ca="1">_xlfn.XLOOKUP(ChaRSITicker,ListTickers,Tab2RSIConventional[RSIConv7])</f>
        <v>16</v>
      </c>
      <c r="N59" cm="1">
        <f t="array" aca="1" ref="N59" ca="1">_xlfn.XLOOKUP(ChaRSITicker,ListTickers,Tab2RSIConventional[RSIConv8])</f>
        <v>17</v>
      </c>
      <c r="O59" cm="1">
        <f t="array" aca="1" ref="O59" ca="1">_xlfn.XLOOKUP(ChaRSITicker,ListTickers,Tab2RSIConventional[RSIConv9])</f>
        <v>22</v>
      </c>
      <c r="P59" cm="1">
        <f t="array" aca="1" ref="P59" ca="1">_xlfn.XLOOKUP(ChaRSITicker,ListTickers,Tab2RSIConventional[RSIConv10])</f>
        <v>23</v>
      </c>
      <c r="Q59" cm="1">
        <f t="array" aca="1" ref="Q59" ca="1">_xlfn.XLOOKUP(ChaRSITicker,ListTickers,Tab2RSIConventional[RSIConv11])</f>
        <v>18</v>
      </c>
      <c r="R59" cm="1">
        <f t="array" aca="1" ref="R59" ca="1">_xlfn.XLOOKUP(ChaRSITicker,ListTickers,Tab2RSIConventional[RSIConv12])</f>
        <v>21</v>
      </c>
      <c r="S59" cm="1">
        <f t="array" aca="1" ref="S59" ca="1">_xlfn.XLOOKUP(ChaRSITicker,ListTickers,Tab2RSIConventional[RSIConv13])</f>
        <v>22</v>
      </c>
      <c r="T59" cm="1">
        <f t="array" aca="1" ref="T59" ca="1">_xlfn.XLOOKUP(ChaRSITicker,ListTickers,Tab2RSIConventional[RSIConv14])</f>
        <v>15</v>
      </c>
      <c r="U59" cm="1">
        <f t="array" aca="1" ref="U59" ca="1">_xlfn.XLOOKUP(ChaRSITicker,ListTickers,Tab2RSIConventional[RSIConv15])</f>
        <v>16</v>
      </c>
      <c r="V59" cm="1">
        <f t="array" aca="1" ref="V59" ca="1">_xlfn.XLOOKUP(ChaRSITicker,ListTickers,Tab2RSIConventional[RSIConv16])</f>
        <v>13</v>
      </c>
      <c r="W59" cm="1">
        <f t="array" aca="1" ref="W59" ca="1">_xlfn.XLOOKUP(ChaRSITicker,ListTickers,Tab2RSIConventional[RSIConv17])</f>
        <v>27</v>
      </c>
      <c r="X59" cm="1">
        <f t="array" aca="1" ref="X59" ca="1">_xlfn.XLOOKUP(ChaRSITicker,ListTickers,Tab2RSIConventional[RSIConv18])</f>
        <v>17</v>
      </c>
      <c r="Y59" cm="1">
        <f t="array" aca="1" ref="Y59" ca="1">_xlfn.XLOOKUP(ChaRSITicker,ListTickers,Tab2RSIConventional[RSIConv19])</f>
        <v>23</v>
      </c>
      <c r="Z59" cm="1">
        <f t="array" aca="1" ref="Z59" ca="1">_xlfn.XLOOKUP(ChaRSITicker,ListTickers,Tab2RSIConventional[RSIConv20])</f>
        <v>23</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NEM History</v>
      </c>
      <c r="M1" t="str">
        <f>[0]!ChaRSITicker&amp;" (Last Trades Zoom)"</f>
        <v>NEM (Last Trades Zoom)</v>
      </c>
      <c r="O1" s="1" t="str">
        <f ca="1">_xlfn.XLOOKUP(ChaChaTicker,TabCalc[Ticker],TabCalc[NAfter])&amp;" x "&amp;"A="&amp;TRUNC(B51,2)</f>
        <v>17000 x A=67</v>
      </c>
      <c r="R1" s="547" t="str">
        <f>IDTICKER</f>
        <v>NEM</v>
      </c>
      <c r="S1" s="547"/>
      <c r="T1" s="548" t="s">
        <v>1767</v>
      </c>
      <c r="U1" s="549" t="s">
        <v>1768</v>
      </c>
      <c r="W1">
        <f ca="1">_xlfn.XLOOKUP(ChaChaTicker,TabCalc[Ticker],TabCalc[NAfter])</f>
        <v>17000</v>
      </c>
    </row>
    <row r="2" spans="5:23" ht="24" thickTop="1" thickBot="1">
      <c r="R2" s="543">
        <f ca="1">TODAY()</f>
        <v>46002</v>
      </c>
      <c r="S2" s="544">
        <f ca="1">_xlfn.XLOOKUP(ChaChaTicker,TabCalc[Ticker],TabCalc[NAfter])</f>
        <v>17000</v>
      </c>
      <c r="T2" s="545">
        <f ca="1">_xlfn.XLOOKUP(ChaChaTicker,TabCalc[Ticker],TabCalc[L_Sn])</f>
        <v>1000</v>
      </c>
      <c r="U2" s="546">
        <f ca="1">_xlfn.XLOOKUP(ChaChaTicker,TabCalc[Ticker],TabCalc[L_Bn])</f>
        <v>2000</v>
      </c>
    </row>
    <row r="3" spans="5:23" ht="23" thickBot="1">
      <c r="R3" s="19"/>
      <c r="S3" s="20"/>
      <c r="T3" s="20"/>
      <c r="U3" s="78"/>
    </row>
    <row r="31" spans="1:28">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1391</v>
      </c>
      <c r="B32" s="483"/>
      <c r="C32" s="483"/>
      <c r="D32" s="483"/>
      <c r="E32" s="483"/>
      <c r="F32" s="164">
        <f ca="1">DataShift!F3</f>
        <v>45974</v>
      </c>
      <c r="G32" s="164">
        <f ca="1">DataShift!G3</f>
        <v>45975</v>
      </c>
      <c r="H32" s="164">
        <f ca="1">DataShift!H3</f>
        <v>45978</v>
      </c>
      <c r="I32" s="164">
        <f ca="1">DataShift!I3</f>
        <v>45979</v>
      </c>
      <c r="J32" s="164">
        <f ca="1">DataShift!J3</f>
        <v>45980</v>
      </c>
      <c r="K32" s="164">
        <f ca="1">DataShift!K3</f>
        <v>45981</v>
      </c>
      <c r="L32" s="164">
        <f ca="1">DataShift!L3</f>
        <v>45982</v>
      </c>
      <c r="M32" s="164">
        <f ca="1">DataShift!M3</f>
        <v>45985</v>
      </c>
      <c r="N32" s="164">
        <f ca="1">DataShift!N3</f>
        <v>45986</v>
      </c>
      <c r="O32" s="164">
        <f ca="1">DataShift!O3</f>
        <v>45987</v>
      </c>
      <c r="P32" s="164">
        <f ca="1">DataShift!P3</f>
        <v>45988</v>
      </c>
      <c r="Q32" s="164">
        <f ca="1">DataShift!Q3</f>
        <v>45989</v>
      </c>
      <c r="R32" s="164">
        <f ca="1">DataShift!R3</f>
        <v>45992</v>
      </c>
      <c r="S32" s="164">
        <f ca="1">DataShift!S3</f>
        <v>45993</v>
      </c>
      <c r="T32" s="164">
        <f ca="1">DataShift!T3</f>
        <v>45994</v>
      </c>
      <c r="U32" s="164">
        <f ca="1">DataShift!U3</f>
        <v>45995</v>
      </c>
      <c r="V32" s="164">
        <f ca="1">DataShift!V3</f>
        <v>45996</v>
      </c>
      <c r="W32" s="164">
        <f ca="1">DataShift!W3</f>
        <v>45999</v>
      </c>
      <c r="X32" s="164">
        <f ca="1">DataShift!X3</f>
        <v>46000</v>
      </c>
      <c r="Y32" s="164">
        <f ca="1">DataShift!Y3</f>
        <v>46001</v>
      </c>
      <c r="Z32" s="164">
        <f ca="1">DataShift!Z3</f>
        <v>46002</v>
      </c>
      <c r="AA32" s="62"/>
      <c r="AB32" s="62"/>
    </row>
    <row r="33" spans="1:26">
      <c r="A33" s="483" t="s">
        <v>1392</v>
      </c>
      <c r="B33" s="483"/>
      <c r="C33" s="483"/>
      <c r="D33" s="483"/>
      <c r="E33" s="483"/>
      <c r="F33" s="164">
        <f ca="1">F32</f>
        <v>45974</v>
      </c>
      <c r="G33" s="164"/>
      <c r="H33" s="164"/>
      <c r="I33" s="164"/>
      <c r="J33" s="164"/>
      <c r="K33" s="164"/>
      <c r="L33" s="164"/>
      <c r="M33" s="164"/>
      <c r="N33" s="164"/>
      <c r="O33" s="164"/>
      <c r="P33" s="164">
        <f ca="1">P32</f>
        <v>45988</v>
      </c>
      <c r="Q33" s="164"/>
      <c r="R33" s="164"/>
      <c r="S33" s="164"/>
      <c r="T33" s="164"/>
      <c r="U33" s="164"/>
      <c r="V33" s="164"/>
      <c r="W33" s="164"/>
      <c r="X33" s="164"/>
      <c r="Y33" s="164"/>
      <c r="Z33" s="164">
        <f ca="1">Z32</f>
        <v>46002</v>
      </c>
    </row>
    <row r="34" spans="1:26">
      <c r="A34" s="483"/>
      <c r="B34" s="484" t="s">
        <v>1655</v>
      </c>
      <c r="C34" s="484" t="s">
        <v>1656</v>
      </c>
      <c r="D34" s="484" t="s">
        <v>1657</v>
      </c>
      <c r="E34" s="483"/>
    </row>
    <row r="35" spans="1:26">
      <c r="A35" s="483" t="s">
        <v>1653</v>
      </c>
      <c r="B35" s="485">
        <f ca="1">MIN(F35:Z35)</f>
        <v>-1791.1830943622849</v>
      </c>
      <c r="C35" s="485">
        <f ca="1">MAX(F35:Z35)</f>
        <v>1800</v>
      </c>
      <c r="D35" s="483"/>
      <c r="E35" s="483"/>
      <c r="F35" s="92">
        <f ca="1">100*F57*$E57</f>
        <v>1164.5747316267546</v>
      </c>
      <c r="G35" s="92">
        <f t="shared" ref="G35:Z35" ca="1" si="0">100*G57*$E57</f>
        <v>407.53697169882133</v>
      </c>
      <c r="H35" s="92">
        <f t="shared" ca="1" si="0"/>
        <v>335.65047669093912</v>
      </c>
      <c r="I35" s="92">
        <f t="shared" ca="1" si="0"/>
        <v>-722.91869979731246</v>
      </c>
      <c r="J35" s="92">
        <f t="shared" ca="1" si="0"/>
        <v>-186.20223706928908</v>
      </c>
      <c r="K35" s="92">
        <f t="shared" ca="1" si="0"/>
        <v>388.14653554537944</v>
      </c>
      <c r="L35" s="92">
        <f t="shared" ca="1" si="0"/>
        <v>-1791.1830943622849</v>
      </c>
      <c r="M35" s="92">
        <f t="shared" ca="1" si="0"/>
        <v>667.38232865400494</v>
      </c>
      <c r="N35" s="92">
        <f t="shared" ca="1" si="0"/>
        <v>1739.7342541851212</v>
      </c>
      <c r="O35" s="92">
        <f t="shared" ca="1" si="0"/>
        <v>1767.1984085278882</v>
      </c>
      <c r="P35" s="92">
        <f t="shared" ca="1" si="0"/>
        <v>78.372494557465657</v>
      </c>
      <c r="Q35" s="92">
        <f t="shared" ca="1" si="0"/>
        <v>472.86990466181214</v>
      </c>
      <c r="R35" s="92">
        <f t="shared" ca="1" si="0"/>
        <v>-505.80662112454019</v>
      </c>
      <c r="S35" s="92">
        <f t="shared" ca="1" si="0"/>
        <v>261.36551309961715</v>
      </c>
      <c r="T35" s="92">
        <f t="shared" ca="1" si="0"/>
        <v>-302.40972899932433</v>
      </c>
      <c r="U35" s="92">
        <f t="shared" ca="1" si="0"/>
        <v>341.02169506793786</v>
      </c>
      <c r="V35" s="92">
        <f t="shared" ca="1" si="0"/>
        <v>-357.47316267547478</v>
      </c>
      <c r="W35" s="92">
        <f t="shared" ca="1" si="0"/>
        <v>1381.619247804219</v>
      </c>
      <c r="X35" s="92">
        <f t="shared" ca="1" si="0"/>
        <v>116.68042939719238</v>
      </c>
      <c r="Y35" s="92">
        <f t="shared" ca="1" si="0"/>
        <v>1800</v>
      </c>
      <c r="Z35" s="92">
        <f t="shared" ca="1" si="0"/>
        <v>1800</v>
      </c>
    </row>
    <row r="36" spans="1:26">
      <c r="A36" s="483" t="s">
        <v>1654</v>
      </c>
      <c r="B36" s="485">
        <f ca="1">MIN(F36:Z36)</f>
        <v>0.1702911563066363</v>
      </c>
      <c r="C36" s="485">
        <f ca="1">MAX(F36:Z36)</f>
        <v>6080.6245777344038</v>
      </c>
      <c r="D36" s="483"/>
      <c r="E36" s="483"/>
      <c r="F36" s="92">
        <f ca="1">F58*$E58</f>
        <v>239.80855391037758</v>
      </c>
      <c r="G36" s="92">
        <f t="shared" ref="G36:Z36" ca="1" si="1">G58*$E58</f>
        <v>6080.6245777344038</v>
      </c>
      <c r="H36" s="92">
        <f t="shared" ca="1" si="1"/>
        <v>135.9780955501756</v>
      </c>
      <c r="I36" s="92">
        <f t="shared" ca="1" si="1"/>
        <v>268.24579153721641</v>
      </c>
      <c r="J36" s="92">
        <f t="shared" ca="1" si="1"/>
        <v>0.1702911563066363</v>
      </c>
      <c r="K36" s="92">
        <f t="shared" ca="1" si="1"/>
        <v>86.225941309250231</v>
      </c>
      <c r="L36" s="92">
        <f t="shared" ca="1" si="1"/>
        <v>144.36314130503095</v>
      </c>
      <c r="M36" s="92">
        <f t="shared" ca="1" si="1"/>
        <v>173.48950917473857</v>
      </c>
      <c r="N36" s="92">
        <f t="shared" ca="1" si="1"/>
        <v>120.25802769147475</v>
      </c>
      <c r="O36" s="92">
        <f t="shared" ca="1" si="1"/>
        <v>215.85528954953702</v>
      </c>
      <c r="P36" s="92">
        <f t="shared" ca="1" si="1"/>
        <v>147.70531845224659</v>
      </c>
      <c r="Q36" s="92">
        <f t="shared" ca="1" si="1"/>
        <v>125.57897646993823</v>
      </c>
      <c r="R36" s="92">
        <f t="shared" ca="1" si="1"/>
        <v>189.53112872242957</v>
      </c>
      <c r="S36" s="92">
        <f t="shared" ca="1" si="1"/>
        <v>353.534151074541</v>
      </c>
      <c r="T36" s="92">
        <f t="shared" ca="1" si="1"/>
        <v>264.50424039004514</v>
      </c>
      <c r="U36" s="92">
        <f t="shared" ca="1" si="1"/>
        <v>138.48232151540677</v>
      </c>
      <c r="V36" s="92">
        <f t="shared" ca="1" si="1"/>
        <v>239.90624031484046</v>
      </c>
      <c r="W36" s="92">
        <f t="shared" ca="1" si="1"/>
        <v>125.34624814873455</v>
      </c>
      <c r="X36" s="92">
        <f t="shared" ca="1" si="1"/>
        <v>492.34276342410391</v>
      </c>
      <c r="Y36" s="92">
        <f t="shared" ca="1" si="1"/>
        <v>416.00360958748928</v>
      </c>
      <c r="Z36" s="92">
        <f t="shared" ca="1" si="1"/>
        <v>416.00360958748928</v>
      </c>
    </row>
    <row r="37" spans="1:26">
      <c r="A37" s="483" t="s">
        <v>1715</v>
      </c>
      <c r="B37" s="527">
        <v>1</v>
      </c>
      <c r="C37" s="483"/>
      <c r="D37" s="483"/>
      <c r="E37" s="483"/>
      <c r="F37" s="130">
        <v>100</v>
      </c>
      <c r="P37">
        <v>100</v>
      </c>
      <c r="Z37">
        <v>100</v>
      </c>
    </row>
    <row r="38" spans="1:26">
      <c r="A38" s="479" t="s">
        <v>1716</v>
      </c>
      <c r="B38" s="151"/>
      <c r="C38" s="151"/>
      <c r="D38" s="151"/>
      <c r="E38" s="151"/>
      <c r="F38">
        <f ca="1">MIN(F56:Z56)</f>
        <v>81.62</v>
      </c>
      <c r="P38">
        <f ca="1">F38</f>
        <v>81.62</v>
      </c>
      <c r="Z38">
        <f ca="1">MAX(P56:Z56)</f>
        <v>99.43</v>
      </c>
    </row>
    <row r="39" spans="1:26">
      <c r="A39" s="479"/>
      <c r="B39" s="151"/>
      <c r="C39" s="151"/>
      <c r="D39" s="151"/>
      <c r="E39" s="151"/>
    </row>
    <row r="40" spans="1:26">
      <c r="A40" s="479" t="s">
        <v>2076</v>
      </c>
      <c r="B40" s="479">
        <v>1.4</v>
      </c>
      <c r="C40" s="151"/>
      <c r="D40" s="151"/>
      <c r="E40" s="151"/>
      <c r="F40" s="487">
        <f ca="1">B40*MAX(C$35:C$36)</f>
        <v>8512.8744088281655</v>
      </c>
      <c r="P40" s="487">
        <f ca="1">F40</f>
        <v>8512.8744088281655</v>
      </c>
      <c r="Z40">
        <v>0</v>
      </c>
    </row>
    <row r="41" spans="1:26">
      <c r="A41" s="151" t="s">
        <v>1658</v>
      </c>
      <c r="B41" s="479">
        <v>1.3</v>
      </c>
      <c r="C41" s="151"/>
      <c r="D41" s="151"/>
      <c r="E41" s="151"/>
      <c r="F41" s="92">
        <f ca="1">B41*MAX(C$35:C$36)</f>
        <v>7904.8119510547249</v>
      </c>
      <c r="P41" s="92">
        <f ca="1">F41</f>
        <v>7904.8119510547249</v>
      </c>
      <c r="Z41" s="92">
        <f ca="1">B41*MIN(B$35:B$36)</f>
        <v>-2328.5380226709703</v>
      </c>
    </row>
    <row r="42" spans="1:26">
      <c r="A42" s="151" t="s">
        <v>1659</v>
      </c>
      <c r="B42" s="479">
        <v>1.2</v>
      </c>
      <c r="C42" s="151"/>
      <c r="D42" s="151"/>
      <c r="E42" s="151"/>
      <c r="F42" s="92">
        <f t="shared" ref="F42:F43" ca="1" si="2">B42*MAX(C$35:C$36)</f>
        <v>7296.7494932812842</v>
      </c>
      <c r="P42" s="92">
        <f t="shared" ref="P42:P43" ca="1" si="3">F42</f>
        <v>7296.7494932812842</v>
      </c>
      <c r="Z42" s="92">
        <f t="shared" ref="Z42:Z43" ca="1" si="4">B42*MIN(B$35:B$36)</f>
        <v>-2149.4197132347417</v>
      </c>
    </row>
    <row r="43" spans="1:26">
      <c r="A43" s="151" t="s">
        <v>1660</v>
      </c>
      <c r="B43" s="479">
        <v>1.1000000000000001</v>
      </c>
      <c r="C43" s="151"/>
      <c r="D43" s="151"/>
      <c r="E43" s="151"/>
      <c r="F43" s="92">
        <f t="shared" ca="1" si="2"/>
        <v>6688.6870355078445</v>
      </c>
      <c r="P43" s="92">
        <f t="shared" ca="1" si="3"/>
        <v>6688.6870355078445</v>
      </c>
      <c r="Z43" s="92">
        <f t="shared" ca="1" si="4"/>
        <v>-1970.3014037985135</v>
      </c>
    </row>
    <row r="44" spans="1:26">
      <c r="A44" s="483" t="s">
        <v>1661</v>
      </c>
      <c r="B44" s="486">
        <f ca="1">_xlfn.XLOOKUP(ChaChaTicker,TabCalc[Ticker],TabCalc[L_Sp])</f>
        <v>99.35</v>
      </c>
      <c r="C44" s="483"/>
      <c r="D44" s="483"/>
      <c r="E44" s="483"/>
      <c r="F44" s="487">
        <f ca="1">_xlfn.XLOOKUP(ChaChaTicker,TabCalc[Ticker],TabCalc[L_Sp])</f>
        <v>99.35</v>
      </c>
      <c r="P44">
        <f ca="1">F44</f>
        <v>99.35</v>
      </c>
      <c r="Z44">
        <f ca="1">P44</f>
        <v>99.35</v>
      </c>
    </row>
    <row r="45" spans="1:26">
      <c r="A45" s="483" t="s">
        <v>1662</v>
      </c>
      <c r="B45" s="486">
        <f ca="1">ABS(_xlfn.XLOOKUP(ChaChaTicker,TabCalc[Ticker],TabCalc[L_Bp]))</f>
        <v>78.88</v>
      </c>
      <c r="C45" s="483"/>
      <c r="D45" s="483"/>
      <c r="E45" s="483"/>
      <c r="F45" s="487">
        <f ca="1">ABS(_xlfn.XLOOKUP(ChaChaTicker,TabCalc[Ticker],TabCalc[L_Bp]))</f>
        <v>78.88</v>
      </c>
      <c r="P45">
        <f ca="1">F45</f>
        <v>78.88</v>
      </c>
      <c r="Z45">
        <f ca="1">P45</f>
        <v>78.88</v>
      </c>
    </row>
    <row r="46" spans="1:26">
      <c r="A46" s="483" t="s">
        <v>1663</v>
      </c>
      <c r="B46" s="486">
        <f ca="1">_xlfn.XLOOKUP(ChaChaTicker,TabCalc[Ticker],TabCalc[Min_Sp])</f>
        <v>38.51</v>
      </c>
      <c r="C46" s="483"/>
      <c r="D46" s="483"/>
      <c r="E46" s="483"/>
      <c r="F46" s="487">
        <f ca="1">_xlfn.XLOOKUP(ChaChaTicker,TabCalc[Ticker],TabCalc[Min_Sp])</f>
        <v>38.51</v>
      </c>
      <c r="P46">
        <f t="shared" ref="P46:P49" ca="1" si="5">F46</f>
        <v>38.51</v>
      </c>
      <c r="Z46">
        <f t="shared" ref="Z46:Z49" ca="1" si="6">P46</f>
        <v>38.51</v>
      </c>
    </row>
    <row r="47" spans="1:26">
      <c r="A47" s="483" t="s">
        <v>1664</v>
      </c>
      <c r="B47" s="486">
        <f ca="1">ABS(_xlfn.XLOOKUP(ChaChaTicker,TabCalc[Ticker],TabCalc[Min_PP]))</f>
        <v>86.41</v>
      </c>
      <c r="C47" s="483"/>
      <c r="D47" s="483"/>
      <c r="E47" s="483"/>
      <c r="F47" s="487">
        <f ca="1">ABS(_xlfn.XLOOKUP(ChaChaTicker,TabCalc[Ticker],TabCalc[Min_PP]))</f>
        <v>86.41</v>
      </c>
      <c r="P47">
        <f t="shared" ca="1" si="5"/>
        <v>86.41</v>
      </c>
      <c r="Z47">
        <f t="shared" ca="1" si="6"/>
        <v>86.41</v>
      </c>
    </row>
    <row r="48" spans="1:26">
      <c r="A48" s="483" t="s">
        <v>1665</v>
      </c>
      <c r="B48" s="486">
        <f ca="1">_xlfn.XLOOKUP(ChaChaTicker,TabCalc[Ticker],TabCalc[Max_SP])</f>
        <v>99.35</v>
      </c>
      <c r="C48" s="483"/>
      <c r="D48" s="483"/>
      <c r="E48" s="483"/>
      <c r="F48" s="487">
        <f ca="1">_xlfn.XLOOKUP(ChaChaTicker,TabCalc[Ticker],TabCalc[Max_SP])</f>
        <v>99.35</v>
      </c>
      <c r="P48">
        <f t="shared" ca="1" si="5"/>
        <v>99.35</v>
      </c>
      <c r="Z48">
        <f t="shared" ca="1" si="6"/>
        <v>99.35</v>
      </c>
    </row>
    <row r="49" spans="1:26">
      <c r="A49" s="483" t="s">
        <v>1666</v>
      </c>
      <c r="B49" s="486">
        <f ca="1">ABS(_xlfn.XLOOKUP(ChaChaTicker,TabCalc[Ticker],TabCalc[Max_PP]))</f>
        <v>19.104759999999999</v>
      </c>
      <c r="C49" s="483"/>
      <c r="D49" s="483"/>
      <c r="E49" s="483"/>
      <c r="F49" s="487">
        <f ca="1">ABS(_xlfn.XLOOKUP(ChaChaTicker,TabCalc[Ticker],TabCalc[Max_PP]))</f>
        <v>19.104759999999999</v>
      </c>
      <c r="P49">
        <f t="shared" ca="1" si="5"/>
        <v>19.104759999999999</v>
      </c>
      <c r="Z49">
        <f t="shared" ca="1" si="6"/>
        <v>19.104759999999999</v>
      </c>
    </row>
    <row r="50" spans="1:26">
      <c r="A50" s="193" t="s">
        <v>131</v>
      </c>
      <c r="B50" s="193">
        <f ca="1">_xlfn.XLOOKUP(ChaChaTicker,TabCalc[Ticker],TabCalc[M])</f>
        <v>99.43</v>
      </c>
      <c r="C50" s="193"/>
      <c r="D50" s="193"/>
      <c r="E50" s="193"/>
      <c r="F50" s="487">
        <f ca="1">_xlfn.XLOOKUP(ChaChaTicker,TabCalc[Ticker],TabCalc[M])</f>
        <v>99.43</v>
      </c>
      <c r="P50">
        <f ca="1">F50</f>
        <v>99.43</v>
      </c>
      <c r="Z50">
        <f ca="1">P50</f>
        <v>99.43</v>
      </c>
    </row>
    <row r="51" spans="1:26">
      <c r="A51" s="193" t="s">
        <v>1836</v>
      </c>
      <c r="B51" s="524">
        <f ca="1">ChaRSI!B51</f>
        <v>67.009778907882335</v>
      </c>
      <c r="C51" s="193"/>
      <c r="D51" s="193"/>
      <c r="E51" s="193"/>
      <c r="F51" s="524">
        <f ca="1">ChaRSI!F51</f>
        <v>67.009778907882335</v>
      </c>
      <c r="G51" s="193"/>
      <c r="H51" s="193"/>
      <c r="I51" s="193"/>
      <c r="J51" s="193"/>
      <c r="K51" s="193"/>
      <c r="L51" s="193"/>
      <c r="M51" s="193"/>
      <c r="N51" s="193"/>
      <c r="O51" s="193"/>
      <c r="P51" s="524">
        <f ca="1">ChaRSI!P51</f>
        <v>67.009778907882335</v>
      </c>
      <c r="Q51" s="193"/>
      <c r="R51" s="193"/>
      <c r="S51" s="193"/>
      <c r="T51" s="193"/>
      <c r="U51" s="193"/>
      <c r="V51" s="193"/>
      <c r="W51" s="193"/>
      <c r="X51" s="193"/>
      <c r="Y51" s="193"/>
      <c r="Z51" s="524">
        <f ca="1">ChaRSI!Z51</f>
        <v>67.009778907882335</v>
      </c>
    </row>
    <row r="52" spans="1:26">
      <c r="A52" s="488" t="s">
        <v>1668</v>
      </c>
      <c r="B52" s="489">
        <f ca="1">MIN(B44:B45,P56:Z56)</f>
        <v>78.88</v>
      </c>
      <c r="C52" s="489">
        <f ca="1">MAX(B44:B45,P56:Z56)</f>
        <v>99.43</v>
      </c>
    </row>
    <row r="53" spans="1:26">
      <c r="A53" s="488" t="s">
        <v>1669</v>
      </c>
      <c r="B53" s="489">
        <f ca="1">MIN(B44:B49,F56:Z56)</f>
        <v>19.104759999999999</v>
      </c>
      <c r="C53" s="489">
        <f ca="1">MAX(B44:B49,F56:Z56)</f>
        <v>99.43</v>
      </c>
    </row>
    <row r="54" spans="1:26">
      <c r="A54" s="488" t="s">
        <v>1667</v>
      </c>
      <c r="B54" s="488">
        <f ca="1">MIN(B44:B48,F56:Z56)</f>
        <v>38.51</v>
      </c>
      <c r="C54" s="489">
        <f ca="1">MAX(B44:B48,F56:Z56)</f>
        <v>99.43</v>
      </c>
    </row>
    <row r="55" spans="1:26">
      <c r="A55" s="478" t="s">
        <v>1651</v>
      </c>
      <c r="B55" s="478"/>
      <c r="C55" s="478"/>
      <c r="D55" s="478"/>
      <c r="E55" s="478"/>
      <c r="F55" s="482">
        <f ca="1">DataShift!F203</f>
        <v>45974</v>
      </c>
      <c r="G55" s="482">
        <f ca="1">DataShift!G203</f>
        <v>45975</v>
      </c>
      <c r="H55" s="482">
        <f ca="1">DataShift!H203</f>
        <v>45978</v>
      </c>
      <c r="I55" s="482">
        <f ca="1">DataShift!I203</f>
        <v>45979</v>
      </c>
      <c r="J55" s="482">
        <f ca="1">DataShift!J203</f>
        <v>45980</v>
      </c>
      <c r="K55" s="482">
        <f ca="1">DataShift!K203</f>
        <v>45981</v>
      </c>
      <c r="L55" s="482">
        <f ca="1">DataShift!L203</f>
        <v>45982</v>
      </c>
      <c r="M55" s="482">
        <f ca="1">DataShift!M203</f>
        <v>45985</v>
      </c>
      <c r="N55" s="482">
        <f ca="1">DataShift!N203</f>
        <v>45986</v>
      </c>
      <c r="O55" s="482">
        <f ca="1">DataShift!O203</f>
        <v>45987</v>
      </c>
      <c r="P55" s="482">
        <f ca="1">DataShift!P203</f>
        <v>45988</v>
      </c>
      <c r="Q55" s="482">
        <f ca="1">DataShift!Q203</f>
        <v>45989</v>
      </c>
      <c r="R55" s="482">
        <f ca="1">DataShift!R203</f>
        <v>45992</v>
      </c>
      <c r="S55" s="482">
        <f ca="1">DataShift!S203</f>
        <v>45993</v>
      </c>
      <c r="T55" s="482">
        <f ca="1">DataShift!T203</f>
        <v>45994</v>
      </c>
      <c r="U55" s="482">
        <f ca="1">DataShift!U203</f>
        <v>45995</v>
      </c>
      <c r="V55" s="482">
        <f ca="1">DataShift!V203</f>
        <v>45996</v>
      </c>
      <c r="W55" s="482">
        <f ca="1">DataShift!W203</f>
        <v>45999</v>
      </c>
      <c r="X55" s="482">
        <f ca="1">DataShift!X203</f>
        <v>46000</v>
      </c>
      <c r="Y55" s="482">
        <f ca="1">DataShift!Y203</f>
        <v>46001</v>
      </c>
      <c r="Z55" s="482">
        <f ca="1">DataShift!Z203</f>
        <v>46002</v>
      </c>
    </row>
    <row r="56" spans="1:26">
      <c r="A56" s="151" t="s">
        <v>139</v>
      </c>
      <c r="B56" s="151">
        <f ca="1">MIN(F56:Z56)</f>
        <v>81.62</v>
      </c>
      <c r="C56" s="151">
        <f ca="1">MAX(F56:Z56)</f>
        <v>99.43</v>
      </c>
      <c r="D56" s="481">
        <f ca="1">AVERAGE(F56:Y56)</f>
        <v>88.894240000000011</v>
      </c>
      <c r="E56" s="151"/>
      <c r="F56" cm="1">
        <f t="array" aca="1" ref="F56" ca="1">_xlfn.XLOOKUP(ChaChaTicker,ListTickers,Tab1Price[Price0])</f>
        <v>81.62</v>
      </c>
      <c r="G56" cm="1">
        <f t="array" aca="1" ref="G56" ca="1">_xlfn.XLOOKUP(ChaRSITicker,ListTickers,Tab1Price[Price1])</f>
        <v>82.614800000000002</v>
      </c>
      <c r="H56" cm="1">
        <f t="array" aca="1" ref="H56" ca="1">_xlfn.XLOOKUP(ChaRSITicker,ListTickers,Tab1Price[Price2])</f>
        <v>83.35</v>
      </c>
      <c r="I56" cm="1">
        <f t="array" aca="1" ref="I56" ca="1">_xlfn.XLOOKUP(ChaRSITicker,ListTickers,Tab1Price[Price3])</f>
        <v>87.8</v>
      </c>
      <c r="J56" cm="1">
        <f t="array" aca="1" ref="J56" ca="1">_xlfn.XLOOKUP(ChaRSITicker,ListTickers,Tab1Price[Price4])</f>
        <v>86.61</v>
      </c>
      <c r="K56" cm="1">
        <f t="array" aca="1" ref="K56" ca="1">_xlfn.XLOOKUP(ChaRSITicker,ListTickers,Tab1Price[Price5])</f>
        <v>87.594999999999999</v>
      </c>
      <c r="L56" cm="1">
        <f t="array" aca="1" ref="L56" ca="1">_xlfn.XLOOKUP(ChaRSITicker,ListTickers,Tab1Price[Price6])</f>
        <v>82.87</v>
      </c>
      <c r="M56" cm="1">
        <f t="array" aca="1" ref="M56" ca="1">_xlfn.XLOOKUP(ChaRSITicker,ListTickers,Tab1Price[Price7])</f>
        <v>83.62</v>
      </c>
      <c r="N56" cm="1">
        <f t="array" aca="1" ref="N56" ca="1">_xlfn.XLOOKUP(ChaRSITicker,ListTickers,Tab1Price[Price8])</f>
        <v>90.45</v>
      </c>
      <c r="O56" cm="1">
        <f t="array" aca="1" ref="O56" ca="1">_xlfn.XLOOKUP(ChaRSITicker,ListTickers,Tab1Price[Price9])</f>
        <v>90.52</v>
      </c>
      <c r="P56" cm="1">
        <f t="array" aca="1" ref="P56" ca="1">_xlfn.XLOOKUP(ChaRSITicker,ListTickers,Tab1Price[Price10])</f>
        <v>90.73</v>
      </c>
      <c r="Q56" cm="1">
        <f t="array" aca="1" ref="Q56" ca="1">_xlfn.XLOOKUP(ChaRSITicker,ListTickers,Tab1Price[Price11])</f>
        <v>92</v>
      </c>
      <c r="R56" cm="1">
        <f t="array" aca="1" ref="R56" ca="1">_xlfn.XLOOKUP(ChaRSITicker,ListTickers,Tab1Price[Price12])</f>
        <v>90.454999999999998</v>
      </c>
      <c r="S56" cm="1">
        <f t="array" aca="1" ref="S56" ca="1">_xlfn.XLOOKUP(ChaRSITicker,ListTickers,Tab1Price[Price13])</f>
        <v>91.18</v>
      </c>
      <c r="T56" cm="1">
        <f t="array" aca="1" ref="T56" ca="1">_xlfn.XLOOKUP(ChaRSITicker,ListTickers,Tab1Price[Price14])</f>
        <v>89.67</v>
      </c>
      <c r="U56" cm="1">
        <f t="array" aca="1" ref="U56" ca="1">_xlfn.XLOOKUP(ChaRSITicker,ListTickers,Tab1Price[Price15])</f>
        <v>90.555000000000007</v>
      </c>
      <c r="V56" cm="1">
        <f t="array" aca="1" ref="V56" ca="1">_xlfn.XLOOKUP(ChaRSITicker,ListTickers,Tab1Price[Price16])</f>
        <v>89.76</v>
      </c>
      <c r="W56" cm="1">
        <f t="array" aca="1" ref="W56" ca="1">_xlfn.XLOOKUP(ChaRSITicker,ListTickers,Tab1Price[Price17])</f>
        <v>92.64</v>
      </c>
      <c r="X56" cm="1">
        <f t="array" aca="1" ref="X56" ca="1">_xlfn.XLOOKUP(ChaRSITicker,ListTickers,Tab1Price[Price18])</f>
        <v>94.415000000000006</v>
      </c>
      <c r="Y56" cm="1">
        <f t="array" aca="1" ref="Y56" ca="1">_xlfn.XLOOKUP(ChaRSITicker,ListTickers,Tab1Price[Price19])</f>
        <v>99.43</v>
      </c>
      <c r="Z56" cm="1">
        <f t="array" aca="1" ref="Z56" ca="1">_xlfn.XLOOKUP(ChaRSITicker,ListTickers,Tab1Price[Price20])</f>
        <v>99.43</v>
      </c>
    </row>
    <row r="57" spans="1:26">
      <c r="A57" s="151" t="s">
        <v>194</v>
      </c>
      <c r="B57" s="480">
        <f t="shared" ref="B57" ca="1" si="7">MIN(F57:Z57)</f>
        <v>-5.3023000000000001E-2</v>
      </c>
      <c r="C57" s="480">
        <f t="shared" ref="C57" ca="1" si="8">MAX(F57:Z57)</f>
        <v>5.3284000000000005E-2</v>
      </c>
      <c r="D57" s="481">
        <f ca="1">IFERROR(AVERAGEIF(F57:Y57, "&gt;0"), "")</f>
        <v>2.3094285714285713E-2</v>
      </c>
      <c r="E57" s="151">
        <f ca="1">E58</f>
        <v>337.81247654080022</v>
      </c>
      <c r="F57" s="308" cm="1">
        <f t="array" aca="1" ref="F57" ca="1">_xlfn.XLOOKUP(ChaChaTicker,ListTickers,Tab1ChangePercent[Change%0])</f>
        <v>3.4473999999999998E-2</v>
      </c>
      <c r="G57" s="308" cm="1">
        <f t="array" aca="1" ref="G57" ca="1">_xlfn.XLOOKUP(ChaChaTicker,ListTickers,Tab1ChangePercent[Change%1])</f>
        <v>1.2063999999999998E-2</v>
      </c>
      <c r="H57" s="308" cm="1">
        <f t="array" aca="1" ref="H57" ca="1">_xlfn.XLOOKUP(ChaChaTicker,ListTickers,Tab1ChangePercent[Change%2])</f>
        <v>9.9360000000000004E-3</v>
      </c>
      <c r="I57" s="308" cm="1">
        <f t="array" aca="1" ref="I57" ca="1">_xlfn.XLOOKUP(ChaChaTicker,ListTickers,Tab1ChangePercent[Change%3])</f>
        <v>-2.1400000000000002E-2</v>
      </c>
      <c r="J57" s="308" cm="1">
        <f t="array" aca="1" ref="J57" ca="1">_xlfn.XLOOKUP(ChaChaTicker,ListTickers,Tab1ChangePercent[Change%4])</f>
        <v>-5.5120000000000004E-3</v>
      </c>
      <c r="K57" s="308" cm="1">
        <f t="array" aca="1" ref="K57" ca="1">_xlfn.XLOOKUP(ChaChaTicker,ListTickers,Tab1ChangePercent[Change%5])</f>
        <v>1.149E-2</v>
      </c>
      <c r="L57" s="308" cm="1">
        <f t="array" aca="1" ref="L57" ca="1">_xlfn.XLOOKUP(ChaChaTicker,ListTickers,Tab1ChangePercent[Change%6])</f>
        <v>-5.3023000000000001E-2</v>
      </c>
      <c r="M57" s="308" cm="1">
        <f t="array" aca="1" ref="M57" ca="1">_xlfn.XLOOKUP(ChaChaTicker,ListTickers,Tab1ChangePercent[Change%7])</f>
        <v>1.9755999999999999E-2</v>
      </c>
      <c r="N57" s="308" cm="1">
        <f t="array" aca="1" ref="N57" ca="1">_xlfn.XLOOKUP(ChaChaTicker,ListTickers,Tab1ChangePercent[Change%8])</f>
        <v>5.1500000000000004E-2</v>
      </c>
      <c r="O57" s="308" cm="1">
        <f t="array" aca="1" ref="O57" ca="1">_xlfn.XLOOKUP(ChaChaTicker,ListTickers,Tab1ChangePercent[Change%9])</f>
        <v>5.2312999999999998E-2</v>
      </c>
      <c r="P57" s="308" cm="1">
        <f t="array" aca="1" ref="P57" ca="1">_xlfn.XLOOKUP(ChaChaTicker,ListTickers,Tab1ChangePercent[Change%10])</f>
        <v>2.32E-3</v>
      </c>
      <c r="Q57" s="308" cm="1">
        <f t="array" aca="1" ref="Q57" ca="1">_xlfn.XLOOKUP(ChaChaTicker,ListTickers,Tab1ChangePercent[Change%11])</f>
        <v>1.3998E-2</v>
      </c>
      <c r="R57" s="308" cm="1">
        <f t="array" aca="1" ref="R57" ca="1">_xlfn.XLOOKUP(ChaChaTicker,ListTickers,Tab1ChangePercent[Change%12])</f>
        <v>-1.4973E-2</v>
      </c>
      <c r="S57" s="308" cm="1">
        <f t="array" aca="1" ref="S57" ca="1">_xlfn.XLOOKUP(ChaChaTicker,ListTickers,Tab1ChangePercent[Change%13])</f>
        <v>7.7370000000000008E-3</v>
      </c>
      <c r="T57" s="308" cm="1">
        <f t="array" aca="1" ref="T57" ca="1">_xlfn.XLOOKUP(ChaChaTicker,ListTickers,Tab1ChangePercent[Change%14])</f>
        <v>-8.9519999999999999E-3</v>
      </c>
      <c r="U57" s="308" cm="1">
        <f t="array" aca="1" ref="U57" ca="1">_xlfn.XLOOKUP(ChaChaTicker,ListTickers,Tab1ChangePercent[Change%15])</f>
        <v>1.0095E-2</v>
      </c>
      <c r="V57" s="308" cm="1">
        <f t="array" aca="1" ref="V57" ca="1">_xlfn.XLOOKUP(ChaChaTicker,ListTickers,Tab1ChangePercent[Change%16])</f>
        <v>-1.0582000000000001E-2</v>
      </c>
      <c r="W57" s="308" cm="1">
        <f t="array" aca="1" ref="W57" ca="1">_xlfn.XLOOKUP(ChaChaTicker,ListTickers,Tab1ChangePercent[Change%17])</f>
        <v>4.0898999999999998E-2</v>
      </c>
      <c r="X57" s="308" cm="1">
        <f t="array" aca="1" ref="X57" ca="1">_xlfn.XLOOKUP(ChaChaTicker,ListTickers,Tab1ChangePercent[Change%18])</f>
        <v>3.454E-3</v>
      </c>
      <c r="Y57" s="308" cm="1">
        <f t="array" aca="1" ref="Y57" ca="1">_xlfn.XLOOKUP(ChaChaTicker,ListTickers,Tab1ChangePercent[Change%19])</f>
        <v>5.3284000000000005E-2</v>
      </c>
      <c r="Z57" s="308" cm="1">
        <f t="array" aca="1" ref="Z57" ca="1">_xlfn.XLOOKUP(ChaChaTicker,ListTickers,Tab1ChangePercent[Change%20])</f>
        <v>5.3284000000000005E-2</v>
      </c>
    </row>
    <row r="58" spans="1:26">
      <c r="A58" s="151" t="s">
        <v>543</v>
      </c>
      <c r="B58" s="480">
        <f t="shared" ref="B58" ca="1" si="9">MIN(F58:Z58)</f>
        <v>5.0409966514682275E-4</v>
      </c>
      <c r="C58" s="480">
        <f t="shared" ref="C58" ca="1" si="10">MAX(F58:Z58)</f>
        <v>18</v>
      </c>
      <c r="D58" s="481">
        <f ca="1">IFERROR(AVERAGEIF(F58:Y58, "&gt;0"), "")</f>
        <v>1.4738878680544512</v>
      </c>
      <c r="E58" s="151">
        <f ca="1">C58/C57</f>
        <v>337.81247654080022</v>
      </c>
      <c r="F58" s="88" cm="1">
        <f t="array" aca="1" ref="F58" ca="1">_xlfn.XLOOKUP(ChaChaTicker,ListTickers,Tab2Agiotage[XAgio0])</f>
        <v>0.70988661036447553</v>
      </c>
      <c r="G58" s="88" cm="1">
        <f t="array" aca="1" ref="G58" ca="1">_xlfn.XLOOKUP(ChaRSITicker,ListTickers,Tab2Free2[Price_R_1])</f>
        <v>18</v>
      </c>
      <c r="H58" s="88" cm="1">
        <f t="array" aca="1" ref="H58" ca="1">_xlfn.XLOOKUP(ChaRSITicker,ListTickers,Tab2Agiotage[XAgio2])</f>
        <v>0.40252538018308653</v>
      </c>
      <c r="I58" s="88" cm="1">
        <f t="array" aca="1" ref="I58" ca="1">_xlfn.XLOOKUP(ChaRSITicker,ListTickers,Tab2Agiotage[XAgio3])</f>
        <v>0.79406715312605769</v>
      </c>
      <c r="J58" s="88" cm="1">
        <f t="array" aca="1" ref="J58" ca="1">_xlfn.XLOOKUP(ChaRSITicker,ListTickers,Tab2Agiotage[XAgio4])</f>
        <v>5.0409966514682275E-4</v>
      </c>
      <c r="K58" s="88" cm="1">
        <f t="array" aca="1" ref="K58" ca="1">_xlfn.XLOOKUP(ChaRSITicker,ListTickers,Tab2Agiotage[XAgio5])</f>
        <v>0.25524794759567165</v>
      </c>
      <c r="L58" s="88" cm="1">
        <f t="array" aca="1" ref="L58" ca="1">_xlfn.XLOOKUP(ChaRSITicker,ListTickers,Tab2Agiotage[XAgio6])</f>
        <v>0.42734697896095941</v>
      </c>
      <c r="M58" s="88" cm="1">
        <f t="array" aca="1" ref="M58" ca="1">_xlfn.XLOOKUP(ChaRSITicker,ListTickers,Tab2Agiotage[XAgio7])</f>
        <v>0.51356750038148724</v>
      </c>
      <c r="N58" s="88" cm="1">
        <f t="array" aca="1" ref="N58" ca="1">_xlfn.XLOOKUP(ChaRSITicker,ListTickers,Tab2Agiotage[XAgio8])</f>
        <v>0.35599048597291894</v>
      </c>
      <c r="O58" s="88" cm="1">
        <f t="array" aca="1" ref="O58" ca="1">_xlfn.XLOOKUP(ChaRSITicker,ListTickers,Tab2Agiotage[XAgio9])</f>
        <v>0.63897962490875171</v>
      </c>
      <c r="P58" s="88" cm="1">
        <f t="array" aca="1" ref="P58" ca="1">_xlfn.XLOOKUP(ChaRSITicker,ListTickers,Tab2Agiotage[XAgio10])</f>
        <v>0.43724056602275047</v>
      </c>
      <c r="Q58" s="88" cm="1">
        <f t="array" aca="1" ref="Q58" ca="1">_xlfn.XLOOKUP(ChaRSITicker,ListTickers,Tab2Agiotage[XAgio11])</f>
        <v>0.37174167679023273</v>
      </c>
      <c r="R58" s="88" cm="1">
        <f t="array" aca="1" ref="R58" ca="1">_xlfn.XLOOKUP(ChaRSITicker,ListTickers,Tab2Agiotage[XAgio12])</f>
        <v>0.56105425904699657</v>
      </c>
      <c r="S58" s="88" cm="1">
        <f t="array" aca="1" ref="S58" ca="1">_xlfn.XLOOKUP(ChaRSITicker,ListTickers,Tab2Agiotage[XAgio13])</f>
        <v>1.0465396503253246</v>
      </c>
      <c r="T58" s="88" cm="1">
        <f t="array" aca="1" ref="T58" ca="1">_xlfn.XLOOKUP(ChaRSITicker,ListTickers,Tab2Agiotage[XAgio14])</f>
        <v>0.78299133027462031</v>
      </c>
      <c r="U58" s="88" cm="1">
        <f t="array" aca="1" ref="U58" ca="1">_xlfn.XLOOKUP(ChaRSITicker,ListTickers,Tab2Agiotage[XAgio15])</f>
        <v>0.40993844553482967</v>
      </c>
      <c r="V58" s="88" cm="1">
        <f t="array" aca="1" ref="V58" ca="1">_xlfn.XLOOKUP(ChaRSITicker,ListTickers,Tab2Agiotage[XAgio16])</f>
        <v>0.71017578382977553</v>
      </c>
      <c r="W58" s="88" cm="1">
        <f t="array" aca="1" ref="W58" ca="1">_xlfn.XLOOKUP(ChaRSITicker,ListTickers,Tab2Agiotage[XAgio17])</f>
        <v>0.37105274924206511</v>
      </c>
      <c r="X58" s="88" cm="1">
        <f t="array" aca="1" ref="X58" ca="1">_xlfn.XLOOKUP(ChaRSITicker,ListTickers,Tab2Agiotage[XAgio18])</f>
        <v>1.4574439892383309</v>
      </c>
      <c r="Y58" s="88" cm="1">
        <f t="array" aca="1" ref="Y58" ca="1">_xlfn.XLOOKUP(ChaRSITicker,ListTickers,Tab2Agiotage[XAgio19])</f>
        <v>1.2314631296255434</v>
      </c>
      <c r="Z58" s="88" cm="1">
        <f t="array" aca="1" ref="Z58" ca="1">_xlfn.XLOOKUP(ChaRSITicker,ListTickers,Tab2Agiotage[XAgio20])</f>
        <v>1.2314631296255434</v>
      </c>
    </row>
    <row r="59" spans="1:26">
      <c r="A59" s="151" t="s">
        <v>661</v>
      </c>
      <c r="B59" s="151"/>
      <c r="C59" s="151"/>
      <c r="D59" s="151"/>
      <c r="E59" s="151"/>
      <c r="F59" cm="1">
        <f t="array" aca="1" ref="F59" ca="1">_xlfn.XLOOKUP(ChaChaTicker,ListTickers,Tab2RSIConventional[RSIConv0])</f>
        <v>18</v>
      </c>
      <c r="G59" cm="1">
        <f t="array" aca="1" ref="G59" ca="1">_xlfn.XLOOKUP(ChaRSITicker,ListTickers,Tab2RSIConventional[RSIConv1])</f>
        <v>18</v>
      </c>
      <c r="H59" cm="1">
        <f t="array" aca="1" ref="H59" ca="1">_xlfn.XLOOKUP(ChaRSITicker,ListTickers,Tab2RSIConventional[RSIConv2])</f>
        <v>19</v>
      </c>
      <c r="I59" cm="1">
        <f t="array" aca="1" ref="I59" ca="1">_xlfn.XLOOKUP(ChaRSITicker,ListTickers,Tab2RSIConventional[RSIConv3])</f>
        <v>14</v>
      </c>
      <c r="J59" cm="1">
        <f t="array" aca="1" ref="J59" ca="1">_xlfn.XLOOKUP(ChaRSITicker,ListTickers,Tab2RSIConventional[RSIConv4])</f>
        <v>6</v>
      </c>
      <c r="K59" cm="1">
        <f t="array" aca="1" ref="K59" ca="1">_xlfn.XLOOKUP(ChaRSITicker,ListTickers,Tab2RSIConventional[RSIConv5])</f>
        <v>5</v>
      </c>
      <c r="L59" cm="1">
        <f t="array" aca="1" ref="L59" ca="1">_xlfn.XLOOKUP(ChaRSITicker,ListTickers,Tab2RSIConventional[RSIConv6])</f>
        <v>7</v>
      </c>
      <c r="M59" cm="1">
        <f t="array" aca="1" ref="M59" ca="1">_xlfn.XLOOKUP(ChaRSITicker,ListTickers,Tab2RSIConventional[RSIConv7])</f>
        <v>16</v>
      </c>
      <c r="N59" cm="1">
        <f t="array" aca="1" ref="N59" ca="1">_xlfn.XLOOKUP(ChaRSITicker,ListTickers,Tab2RSIConventional[RSIConv8])</f>
        <v>17</v>
      </c>
      <c r="O59" cm="1">
        <f t="array" aca="1" ref="O59" ca="1">_xlfn.XLOOKUP(ChaRSITicker,ListTickers,Tab2RSIConventional[RSIConv9])</f>
        <v>22</v>
      </c>
      <c r="P59" cm="1">
        <f t="array" aca="1" ref="P59" ca="1">_xlfn.XLOOKUP(ChaRSITicker,ListTickers,Tab2RSIConventional[RSIConv10])</f>
        <v>23</v>
      </c>
      <c r="Q59" cm="1">
        <f t="array" aca="1" ref="Q59" ca="1">_xlfn.XLOOKUP(ChaRSITicker,ListTickers,Tab2RSIConventional[RSIConv11])</f>
        <v>18</v>
      </c>
      <c r="R59" cm="1">
        <f t="array" aca="1" ref="R59" ca="1">_xlfn.XLOOKUP(ChaRSITicker,ListTickers,Tab2RSIConventional[RSIConv12])</f>
        <v>21</v>
      </c>
      <c r="S59" cm="1">
        <f t="array" aca="1" ref="S59" ca="1">_xlfn.XLOOKUP(ChaRSITicker,ListTickers,Tab2RSIConventional[RSIConv13])</f>
        <v>22</v>
      </c>
      <c r="T59" cm="1">
        <f t="array" aca="1" ref="T59" ca="1">_xlfn.XLOOKUP(ChaRSITicker,ListTickers,Tab2RSIConventional[RSIConv14])</f>
        <v>15</v>
      </c>
      <c r="U59" cm="1">
        <f t="array" aca="1" ref="U59" ca="1">_xlfn.XLOOKUP(ChaRSITicker,ListTickers,Tab2RSIConventional[RSIConv15])</f>
        <v>16</v>
      </c>
      <c r="V59" cm="1">
        <f t="array" aca="1" ref="V59" ca="1">_xlfn.XLOOKUP(ChaRSITicker,ListTickers,Tab2RSIConventional[RSIConv16])</f>
        <v>13</v>
      </c>
      <c r="W59" cm="1">
        <f t="array" aca="1" ref="W59" ca="1">_xlfn.XLOOKUP(ChaRSITicker,ListTickers,Tab2RSIConventional[RSIConv17])</f>
        <v>27</v>
      </c>
      <c r="X59" cm="1">
        <f t="array" aca="1" ref="X59" ca="1">_xlfn.XLOOKUP(ChaRSITicker,ListTickers,Tab2RSIConventional[RSIConv18])</f>
        <v>17</v>
      </c>
      <c r="Y59" cm="1">
        <f t="array" aca="1" ref="Y59" ca="1">_xlfn.XLOOKUP(ChaRSITicker,ListTickers,Tab2RSIConventional[RSIConv19])</f>
        <v>23</v>
      </c>
      <c r="Z59" cm="1">
        <f t="array" aca="1" ref="Z59" ca="1">_xlfn.XLOOKUP(ChaRSITicker,ListTickers,Tab2RSIConventional[RSIConv20])</f>
        <v>23</v>
      </c>
    </row>
    <row r="60" spans="1:26">
      <c r="A60" s="151"/>
      <c r="B60" s="151"/>
      <c r="C60" s="151"/>
      <c r="D60" s="151"/>
      <c r="E60" s="479">
        <v>1</v>
      </c>
      <c r="F60" s="219">
        <f t="shared" ref="F60:Z60" ca="1" si="11">$E58</f>
        <v>337.81247654080022</v>
      </c>
      <c r="G60" s="219">
        <f t="shared" ca="1" si="11"/>
        <v>337.81247654080022</v>
      </c>
      <c r="H60" s="219">
        <f t="shared" ca="1" si="11"/>
        <v>337.81247654080022</v>
      </c>
      <c r="I60" s="219">
        <f t="shared" ca="1" si="11"/>
        <v>337.81247654080022</v>
      </c>
      <c r="J60" s="219">
        <f t="shared" ca="1" si="11"/>
        <v>337.81247654080022</v>
      </c>
      <c r="K60" s="219">
        <f t="shared" ca="1" si="11"/>
        <v>337.81247654080022</v>
      </c>
      <c r="L60" s="219">
        <f t="shared" ca="1" si="11"/>
        <v>337.81247654080022</v>
      </c>
      <c r="M60" s="219">
        <f t="shared" ca="1" si="11"/>
        <v>337.81247654080022</v>
      </c>
      <c r="N60" s="219">
        <f t="shared" ca="1" si="11"/>
        <v>337.81247654080022</v>
      </c>
      <c r="O60" s="219">
        <f t="shared" ca="1" si="11"/>
        <v>337.81247654080022</v>
      </c>
      <c r="P60" s="219">
        <f t="shared" ca="1" si="11"/>
        <v>337.81247654080022</v>
      </c>
      <c r="Q60" s="219">
        <f t="shared" ca="1" si="11"/>
        <v>337.81247654080022</v>
      </c>
      <c r="R60" s="219">
        <f t="shared" ca="1" si="11"/>
        <v>337.81247654080022</v>
      </c>
      <c r="S60" s="219">
        <f t="shared" ca="1" si="11"/>
        <v>337.81247654080022</v>
      </c>
      <c r="T60" s="219">
        <f t="shared" ca="1" si="11"/>
        <v>337.81247654080022</v>
      </c>
      <c r="U60" s="219">
        <f t="shared" ca="1" si="11"/>
        <v>337.81247654080022</v>
      </c>
      <c r="V60" s="219">
        <f t="shared" ca="1" si="11"/>
        <v>337.81247654080022</v>
      </c>
      <c r="W60" s="219">
        <f t="shared" ca="1" si="11"/>
        <v>337.81247654080022</v>
      </c>
      <c r="X60" s="219">
        <f t="shared" ca="1" si="11"/>
        <v>337.81247654080022</v>
      </c>
      <c r="Y60" s="219">
        <f t="shared" ca="1" si="11"/>
        <v>337.81247654080022</v>
      </c>
      <c r="Z60" s="219">
        <f t="shared" ca="1" si="11"/>
        <v>337.81247654080022</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46002</v>
      </c>
    </row>
    <row r="3" spans="1:16">
      <c r="A3" s="62">
        <f ca="1">TODAY()</f>
        <v>46002</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46001</v>
      </c>
      <c r="B4" s="68" t="str" cm="1">
        <f t="array" aca="1" ref="B4" ca="1">IFERROR(_xlfn.TEXTJOIN(", ", TRUE, _xlfn._xlws.FILTER(MSG!C$5:C$98, MSG!B$5:B$98=A4)),"")</f>
        <v>GL+;C^A^^;58%M^</v>
      </c>
      <c r="D4" s="69"/>
      <c r="E4" s="68"/>
      <c r="G4" s="69"/>
      <c r="H4" s="68"/>
      <c r="J4" s="69"/>
      <c r="K4" s="68"/>
      <c r="M4" s="69"/>
      <c r="N4" s="68"/>
      <c r="P4" s="69"/>
    </row>
    <row r="5" spans="1:16">
      <c r="A5" s="62">
        <f t="shared" ref="A5:A61" ca="1" si="0">A4-1</f>
        <v>46000</v>
      </c>
      <c r="B5" s="70" t="str" cm="1">
        <f t="array" aca="1" ref="B5" ca="1">IFERROR(_xlfn.TEXTJOIN(", ", TRUE, _xlfn._xlws.FILTER(MSG!C$5:C$98, MSG!B$5:B$98=A5)),"")</f>
        <v>Growing saldo, high begin cost, HPQ: 0                             , Ups=(//54% - 25/28/38%), Ups=(//78% - 43/55/55%)</v>
      </c>
      <c r="D5" s="69"/>
      <c r="E5" s="70"/>
      <c r="G5" s="69"/>
      <c r="H5" s="70"/>
      <c r="J5" s="69"/>
      <c r="K5" s="70"/>
      <c r="M5" s="69"/>
      <c r="N5" s="70"/>
      <c r="P5" s="69"/>
    </row>
    <row r="6" spans="1:16">
      <c r="A6" s="62">
        <f t="shared" ca="1" si="0"/>
        <v>45999</v>
      </c>
      <c r="B6" s="71" t="str" cm="1">
        <f t="array" aca="1" ref="B6" ca="1">IFERROR(_xlfn.TEXTJOIN(", ", TRUE, _xlfn._xlws.FILTER(MSG!C$5:C$98, MSG!B$5:B$98=A6)),"")</f>
        <v>Ups=(/67/56% - 75/55/42%)</v>
      </c>
      <c r="D6" s="69"/>
      <c r="E6" s="71"/>
      <c r="G6" s="69"/>
      <c r="H6" s="71"/>
      <c r="J6" s="69"/>
      <c r="K6" s="71"/>
      <c r="M6" s="69"/>
      <c r="N6" s="71"/>
      <c r="P6" s="69"/>
    </row>
    <row r="7" spans="1:16">
      <c r="A7" s="62">
        <f t="shared" ca="1" si="0"/>
        <v>45998</v>
      </c>
      <c r="B7" s="72" t="str" cm="1">
        <f t="array" aca="1" ref="B7" ca="1">IFERROR(_xlfn.TEXTJOIN(", ", TRUE, _xlfn._xlws.FILTER(MSG!C$5:C$98, MSG!B$5:B$98=A7)),"")</f>
        <v/>
      </c>
      <c r="D7" s="69"/>
      <c r="E7" s="72"/>
      <c r="G7" s="69"/>
      <c r="H7" s="72"/>
      <c r="J7" s="69"/>
      <c r="K7" s="72"/>
      <c r="M7" s="69"/>
      <c r="N7" s="72"/>
      <c r="P7" s="69"/>
    </row>
    <row r="8" spans="1:16">
      <c r="A8" s="62">
        <f t="shared" ca="1" si="0"/>
        <v>45997</v>
      </c>
      <c r="B8" s="73" t="str" cm="1">
        <f t="array" aca="1" ref="B8" ca="1">IFERROR(_xlfn.TEXTJOIN(", ", TRUE, _xlfn._xlws.FILTER(MSG!C$5:C$98, MSG!B$5:B$98=A8)),"")</f>
        <v/>
      </c>
      <c r="D8" s="69"/>
      <c r="E8" s="73"/>
      <c r="G8" s="69"/>
      <c r="H8" s="73"/>
      <c r="J8" s="69"/>
      <c r="K8" s="73"/>
      <c r="M8" s="69"/>
      <c r="N8" s="73"/>
      <c r="P8" s="69"/>
    </row>
    <row r="9" spans="1:16">
      <c r="A9" s="62">
        <f t="shared" ca="1" si="0"/>
        <v>45996</v>
      </c>
      <c r="B9" s="74" t="str" cm="1">
        <f t="array" aca="1" ref="B9" ca="1">IFERROR(_xlfn.TEXTJOIN(", ", TRUE, _xlfn._xlws.FILTER(MSG!C$5:C$98, MSG!B$5:B$98=A9)),"")</f>
        <v/>
      </c>
      <c r="D9" s="69"/>
      <c r="E9" s="74"/>
      <c r="G9" s="69"/>
      <c r="H9" s="74"/>
      <c r="J9" s="69"/>
      <c r="K9" s="74"/>
      <c r="M9" s="69"/>
      <c r="N9" s="74"/>
      <c r="P9" s="69"/>
    </row>
    <row r="10" spans="1:16">
      <c r="A10" s="62">
        <f t="shared" ca="1" si="0"/>
        <v>45995</v>
      </c>
      <c r="B10" s="75" t="str" cm="1">
        <f t="array" aca="1" ref="B10" ca="1">IFERROR(_xlfn.TEXTJOIN(", ", TRUE, _xlfn._xlws.FILTER(MSG!C$5:C$98, MSG!B$5:B$98=A10)),"")</f>
        <v/>
      </c>
      <c r="D10" s="69"/>
      <c r="E10" s="75"/>
      <c r="G10" s="69"/>
      <c r="H10" s="75"/>
      <c r="J10" s="69"/>
      <c r="K10" s="75"/>
      <c r="M10" s="69"/>
      <c r="N10" s="75"/>
      <c r="P10" s="69"/>
    </row>
    <row r="11" spans="1:16">
      <c r="A11" s="62">
        <f t="shared" ca="1" si="0"/>
        <v>45994</v>
      </c>
      <c r="B11" s="76" t="str" cm="1">
        <f t="array" aca="1" ref="B11" ca="1">IFERROR(_xlfn.TEXTJOIN(", ", TRUE, _xlfn._xlws.FILTER(MSG!C$5:C$98, MSG!B$5:B$98=A11)),"")</f>
        <v/>
      </c>
      <c r="D11" s="69"/>
      <c r="E11" s="76"/>
      <c r="G11" s="69"/>
      <c r="H11" s="76"/>
      <c r="J11" s="69"/>
      <c r="K11" s="76"/>
      <c r="M11" s="69"/>
      <c r="N11" s="76"/>
      <c r="P11" s="69"/>
    </row>
    <row r="12" spans="1:16">
      <c r="A12" s="62">
        <f t="shared" ca="1" si="0"/>
        <v>45993</v>
      </c>
      <c r="B12" s="76" t="str" cm="1">
        <f t="array" aca="1" ref="B12" ca="1">IFERROR(_xlfn.TEXTJOIN(", ", TRUE, _xlfn._xlws.FILTER(MSG!C$5:C$98, MSG!B$5:B$98=A12)),"")</f>
        <v/>
      </c>
      <c r="D12" s="69"/>
      <c r="E12" s="76"/>
      <c r="G12" s="69"/>
      <c r="H12" s="76"/>
      <c r="J12" s="69"/>
      <c r="K12" s="76"/>
      <c r="M12" s="69"/>
      <c r="N12" s="76"/>
      <c r="P12" s="69"/>
    </row>
    <row r="13" spans="1:16">
      <c r="A13" s="62">
        <f t="shared" ca="1" si="0"/>
        <v>45992</v>
      </c>
      <c r="B13" s="76" t="str" cm="1">
        <f t="array" aca="1" ref="B13" ca="1">IFERROR(_xlfn.TEXTJOIN(", ", TRUE, _xlfn._xlws.FILTER(MSG!C$5:C$98, MSG!B$5:B$98=A13)),"")</f>
        <v/>
      </c>
      <c r="D13" s="69"/>
      <c r="E13" s="76"/>
      <c r="G13" s="69"/>
      <c r="H13" s="76"/>
      <c r="J13" s="69"/>
      <c r="K13" s="76"/>
      <c r="M13" s="69"/>
      <c r="N13" s="76"/>
      <c r="P13" s="69"/>
    </row>
    <row r="14" spans="1:16">
      <c r="A14" s="62">
        <f t="shared" ca="1" si="0"/>
        <v>45991</v>
      </c>
      <c r="B14" s="76" t="str" cm="1">
        <f t="array" aca="1" ref="B14" ca="1">IFERROR(_xlfn.TEXTJOIN(", ", TRUE, _xlfn._xlws.FILTER(MSG!C$5:C$98, MSG!B$5:B$98=A14)),"")</f>
        <v/>
      </c>
      <c r="D14" s="69"/>
      <c r="E14" s="76"/>
      <c r="G14" s="69"/>
      <c r="H14" s="76"/>
      <c r="J14" s="69"/>
      <c r="K14" s="76"/>
      <c r="M14" s="69"/>
      <c r="N14" s="76"/>
      <c r="P14" s="69"/>
    </row>
    <row r="15" spans="1:16">
      <c r="A15" s="62">
        <f t="shared" ca="1" si="0"/>
        <v>45990</v>
      </c>
      <c r="B15" s="76" t="str" cm="1">
        <f t="array" aca="1" ref="B15" ca="1">IFERROR(_xlfn.TEXTJOIN(", ", TRUE, _xlfn._xlws.FILTER(MSG!C$5:C$98, MSG!B$5:B$98=A15)),"")</f>
        <v/>
      </c>
      <c r="D15" s="69"/>
      <c r="E15" s="76"/>
      <c r="G15" s="69"/>
      <c r="H15" s="76"/>
      <c r="J15" s="69"/>
      <c r="K15" s="76"/>
      <c r="M15" s="69"/>
      <c r="N15" s="76"/>
      <c r="P15" s="69"/>
    </row>
    <row r="16" spans="1:16">
      <c r="A16" s="62">
        <f t="shared" ca="1" si="0"/>
        <v>45989</v>
      </c>
      <c r="B16" s="76" t="str" cm="1">
        <f t="array" aca="1" ref="B16" ca="1">IFERROR(_xlfn.TEXTJOIN(", ", TRUE, _xlfn._xlws.FILTER(MSG!C$5:C$98, MSG!B$5:B$98=A16)),"")</f>
        <v/>
      </c>
      <c r="D16" s="69"/>
      <c r="E16" s="76"/>
      <c r="G16" s="69"/>
      <c r="H16" s="76"/>
      <c r="J16" s="69"/>
      <c r="K16" s="76"/>
      <c r="M16" s="69"/>
      <c r="N16" s="76"/>
      <c r="P16" s="69"/>
    </row>
    <row r="17" spans="1:16">
      <c r="A17" s="62">
        <f t="shared" ca="1" si="0"/>
        <v>45988</v>
      </c>
      <c r="B17" s="76" t="str" cm="1">
        <f t="array" aca="1" ref="B17" ca="1">IFERROR(_xlfn.TEXTJOIN(", ", TRUE, _xlfn._xlws.FILTER(MSG!C$5:C$98, MSG!B$5:B$98=A17)),"")</f>
        <v>Ups=(/50/% - 50/46/41%), Ups=(/50/% - /16/29%), Ups=(//% - 44/45/45%)=-2.3%;Ups=(/33/52% - 43/34/37%)</v>
      </c>
      <c r="D17" s="69"/>
      <c r="E17" s="76"/>
      <c r="G17" s="69"/>
      <c r="H17" s="76"/>
      <c r="J17" s="69"/>
      <c r="K17" s="76"/>
      <c r="M17" s="69"/>
      <c r="N17" s="76"/>
      <c r="P17" s="69"/>
    </row>
    <row r="18" spans="1:16">
      <c r="A18" s="62">
        <f t="shared" ca="1" si="0"/>
        <v>45987</v>
      </c>
      <c r="B18" s="76" t="str" cm="1">
        <f t="array" aca="1" ref="B18" ca="1">IFERROR(_xlfn.TEXTJOIN(", ", TRUE, _xlfn._xlws.FILTER(MSG!C$5:C$98, MSG!B$5:B$98=A18)),"")</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8" s="69"/>
      <c r="E18" s="76"/>
      <c r="G18" s="69"/>
      <c r="H18" s="76"/>
      <c r="J18" s="69"/>
      <c r="K18" s="76"/>
      <c r="M18" s="69"/>
      <c r="N18" s="76"/>
      <c r="P18" s="69"/>
    </row>
    <row r="19" spans="1:16">
      <c r="A19" s="62">
        <f t="shared" ca="1" si="0"/>
        <v>45986</v>
      </c>
      <c r="B19" s="76" t="str" cm="1">
        <f t="array" aca="1" ref="B19" ca="1">IFERROR(_xlfn.TEXTJOIN(", ", TRUE, _xlfn._xlws.FILTER(MSG!C$5:C$98, MSG!B$5:B$98=A19)),"")</f>
        <v/>
      </c>
      <c r="D19" s="69"/>
      <c r="E19" s="76"/>
      <c r="G19" s="69"/>
      <c r="H19" s="76"/>
      <c r="J19" s="69"/>
      <c r="K19" s="76"/>
      <c r="M19" s="69"/>
      <c r="N19" s="76"/>
      <c r="P19" s="69"/>
    </row>
    <row r="20" spans="1:16">
      <c r="A20" s="62">
        <f t="shared" ca="1" si="0"/>
        <v>45985</v>
      </c>
      <c r="B20" s="76" t="str" cm="1">
        <f t="array" aca="1" ref="B20" ca="1">IFERROR(_xlfn.TEXTJOIN(", ", TRUE, _xlfn._xlws.FILTER(MSG!C$5:C$98, MSG!B$5:B$98=A20)),"")</f>
        <v/>
      </c>
      <c r="D20" s="69"/>
      <c r="E20" s="76"/>
      <c r="G20" s="69"/>
      <c r="H20" s="76"/>
      <c r="J20" s="69"/>
      <c r="K20" s="76"/>
      <c r="M20" s="69"/>
      <c r="N20" s="76"/>
      <c r="P20" s="69"/>
    </row>
    <row r="21" spans="1:16">
      <c r="A21" s="62">
        <f t="shared" ca="1" si="0"/>
        <v>45984</v>
      </c>
      <c r="B21" s="76" t="str" cm="1">
        <f t="array" aca="1" ref="B21" ca="1">IFERROR(_xlfn.TEXTJOIN(", ", TRUE, _xlfn._xlws.FILTER(MSG!C$5:C$98, MSG!B$5:B$98=A21)),"")</f>
        <v/>
      </c>
      <c r="D21" s="69"/>
      <c r="E21" s="76"/>
      <c r="G21" s="69"/>
      <c r="H21" s="76"/>
      <c r="J21" s="69"/>
      <c r="K21" s="76"/>
      <c r="M21" s="69"/>
      <c r="N21" s="76"/>
      <c r="P21" s="69"/>
    </row>
    <row r="22" spans="1:16">
      <c r="A22" s="62">
        <f t="shared" ca="1" si="0"/>
        <v>45983</v>
      </c>
      <c r="B22" s="76" t="str" cm="1">
        <f t="array" aca="1" ref="B22" ca="1">IFERROR(_xlfn.TEXTJOIN(", ", TRUE, _xlfn._xlws.FILTER(MSG!C$5:C$98, MSG!B$5:B$98=A22)),"")</f>
        <v/>
      </c>
      <c r="D22" s="69"/>
      <c r="E22" s="76"/>
      <c r="G22" s="69"/>
      <c r="H22" s="76"/>
      <c r="J22" s="69"/>
      <c r="K22" s="76"/>
      <c r="M22" s="69"/>
      <c r="N22" s="76"/>
      <c r="P22" s="69"/>
    </row>
    <row r="23" spans="1:16">
      <c r="A23" s="62">
        <f t="shared" ca="1" si="0"/>
        <v>45982</v>
      </c>
      <c r="B23" s="76" t="str" cm="1">
        <f t="array" aca="1" ref="B23" ca="1">IFERROR(_xlfn.TEXTJOIN(", ", TRUE, _xlfn._xlws.FILTER(MSG!C$5:C$98, MSG!B$5:B$98=A23)),"")</f>
        <v/>
      </c>
      <c r="D23" s="69"/>
      <c r="E23" s="76"/>
      <c r="G23" s="69"/>
      <c r="H23" s="76"/>
      <c r="J23" s="69"/>
      <c r="K23" s="76"/>
      <c r="M23" s="69"/>
      <c r="N23" s="76"/>
      <c r="P23" s="69"/>
    </row>
    <row r="24" spans="1:16">
      <c r="A24" s="62">
        <f t="shared" ca="1" si="0"/>
        <v>45981</v>
      </c>
      <c r="B24" s="76" t="str" cm="1">
        <f t="array" aca="1" ref="B24" ca="1">IFERROR(_xlfn.TEXTJOIN(", ", TRUE, _xlfn._xlws.FILTER(MSG!C$5:C$98, MSG!B$5:B$98=A24)),"")</f>
        <v xml:space="preserve">Ups=(//% - 33/60/40%), NVS: 0                             </v>
      </c>
      <c r="D24" s="69"/>
      <c r="E24" s="76"/>
      <c r="G24" s="69"/>
      <c r="H24" s="76"/>
      <c r="J24" s="69"/>
      <c r="K24" s="76"/>
      <c r="M24" s="69"/>
      <c r="N24" s="76"/>
      <c r="P24" s="69"/>
    </row>
    <row r="25" spans="1:16">
      <c r="A25" s="62">
        <f t="shared" ca="1" si="0"/>
        <v>45980</v>
      </c>
      <c r="B25" s="76" t="str" cm="1">
        <f t="array" aca="1" ref="B25" ca="1">IFERROR(_xlfn.TEXTJOIN(", ", TRUE, _xlfn._xlws.FILTER(MSG!C$5:C$98, MSG!B$5:B$98=A25)),"")</f>
        <v/>
      </c>
      <c r="D25" s="69"/>
      <c r="E25" s="76"/>
      <c r="G25" s="69"/>
      <c r="H25" s="76"/>
      <c r="J25" s="69"/>
      <c r="K25" s="76"/>
      <c r="M25" s="69"/>
      <c r="N25" s="76"/>
      <c r="P25" s="69"/>
    </row>
    <row r="26" spans="1:16">
      <c r="A26" s="62">
        <f t="shared" ca="1" si="0"/>
        <v>45979</v>
      </c>
      <c r="B26" s="76" t="str" cm="1">
        <f t="array" aca="1" ref="B26" ca="1">IFERROR(_xlfn.TEXTJOIN(", ", TRUE, _xlfn._xlws.FILTER(MSG!C$5:C$98, MSG!B$5:B$98=A26)),"")</f>
        <v/>
      </c>
      <c r="D26" s="69"/>
      <c r="E26" s="76"/>
      <c r="G26" s="69"/>
      <c r="H26" s="76"/>
      <c r="J26" s="69"/>
      <c r="K26" s="76"/>
      <c r="M26" s="69"/>
      <c r="N26" s="76"/>
      <c r="P26" s="69"/>
    </row>
    <row r="27" spans="1:16">
      <c r="A27" s="62">
        <f t="shared" ca="1" si="0"/>
        <v>45978</v>
      </c>
      <c r="B27" s="76" t="str" cm="1">
        <f t="array" aca="1" ref="B27" ca="1">IFERROR(_xlfn.TEXTJOIN(", ", TRUE, _xlfn._xlws.FILTER(MSG!C$5:C$98, MSG!B$5:B$98=A27)),"")</f>
        <v/>
      </c>
      <c r="D27" s="69"/>
      <c r="E27" s="76"/>
      <c r="G27" s="69"/>
      <c r="H27" s="76"/>
      <c r="J27" s="69"/>
      <c r="K27" s="76"/>
      <c r="M27" s="69"/>
      <c r="N27" s="76"/>
      <c r="P27" s="69"/>
    </row>
    <row r="28" spans="1:16">
      <c r="A28" s="62">
        <f t="shared" ca="1" si="0"/>
        <v>45977</v>
      </c>
      <c r="B28" s="76" t="str" cm="1">
        <f t="array" aca="1" ref="B28" ca="1">IFERROR(_xlfn.TEXTJOIN(", ", TRUE, _xlfn._xlws.FILTER(MSG!C$5:C$98, MSG!B$5:B$98=A28)),"")</f>
        <v/>
      </c>
      <c r="D28" s="69"/>
      <c r="E28" s="76"/>
      <c r="G28" s="69"/>
      <c r="H28" s="76"/>
      <c r="J28" s="69"/>
      <c r="K28" s="76"/>
      <c r="M28" s="69"/>
      <c r="N28" s="76"/>
      <c r="P28" s="69"/>
    </row>
    <row r="29" spans="1:16">
      <c r="A29" s="62">
        <f t="shared" ca="1" si="0"/>
        <v>45976</v>
      </c>
      <c r="B29" s="76" t="str" cm="1">
        <f t="array" aca="1" ref="B29" ca="1">IFERROR(_xlfn.TEXTJOIN(", ", TRUE, _xlfn._xlws.FILTER(MSG!C$5:C$98, MSG!B$5:B$98=A29)),"")</f>
        <v/>
      </c>
      <c r="D29" s="69"/>
      <c r="E29" s="76"/>
      <c r="G29" s="69"/>
      <c r="H29" s="76"/>
      <c r="J29" s="69"/>
      <c r="K29" s="76"/>
      <c r="M29" s="69"/>
      <c r="N29" s="76"/>
      <c r="P29" s="69"/>
    </row>
    <row r="30" spans="1:16">
      <c r="A30" s="62">
        <f t="shared" ca="1" si="0"/>
        <v>45975</v>
      </c>
      <c r="B30" s="76" t="str" cm="1">
        <f t="array" aca="1" ref="B30" ca="1">IFERROR(_xlfn.TEXTJOIN(", ", TRUE, _xlfn._xlws.FILTER(MSG!C$5:C$98, MSG!B$5:B$98=A30)),"")</f>
        <v/>
      </c>
      <c r="D30" s="69"/>
      <c r="E30" s="76"/>
      <c r="G30" s="69"/>
      <c r="H30" s="76"/>
      <c r="J30" s="69"/>
      <c r="K30" s="76"/>
      <c r="M30" s="69"/>
      <c r="N30" s="76"/>
      <c r="P30" s="69"/>
    </row>
    <row r="31" spans="1:16">
      <c r="A31" s="62">
        <f t="shared" ca="1" si="0"/>
        <v>45974</v>
      </c>
      <c r="B31" s="76" t="str" cm="1">
        <f t="array" aca="1" ref="B31" ca="1">IFERROR(_xlfn.TEXTJOIN(", ", TRUE, _xlfn._xlws.FILTER(MSG!C$5:C$98, MSG!B$5:B$98=A31)),"")</f>
        <v/>
      </c>
      <c r="D31" s="69"/>
      <c r="E31" s="76"/>
      <c r="G31" s="69"/>
      <c r="H31" s="76"/>
      <c r="J31" s="69"/>
      <c r="K31" s="76"/>
      <c r="M31" s="69"/>
      <c r="N31" s="76"/>
      <c r="P31" s="69"/>
    </row>
    <row r="32" spans="1:16">
      <c r="A32" s="62">
        <f t="shared" ca="1" si="0"/>
        <v>45973</v>
      </c>
      <c r="B32" s="76" t="str" cm="1">
        <f t="array" aca="1" ref="B32" ca="1">IFERROR(_xlfn.TEXTJOIN(", ", TRUE, _xlfn._xlws.FILTER(MSG!C$5:C$98, MSG!B$5:B$98=A32)),"")</f>
        <v/>
      </c>
      <c r="D32" s="69"/>
      <c r="E32" s="76"/>
      <c r="G32" s="69"/>
      <c r="H32" s="76"/>
      <c r="J32" s="69"/>
      <c r="K32" s="76"/>
      <c r="M32" s="69"/>
      <c r="N32" s="76"/>
      <c r="P32" s="69"/>
    </row>
    <row r="33" spans="1:16">
      <c r="A33" s="62">
        <f t="shared" ca="1" si="0"/>
        <v>45972</v>
      </c>
      <c r="B33" s="76" t="str" cm="1">
        <f t="array" aca="1" ref="B33" ca="1">IFERROR(_xlfn.TEXTJOIN(", ", TRUE, _xlfn._xlws.FILTER(MSG!C$5:C$98, MSG!B$5:B$98=A33)),"")</f>
        <v/>
      </c>
      <c r="D33" s="69"/>
      <c r="E33" s="76"/>
      <c r="G33" s="69"/>
      <c r="H33" s="76"/>
      <c r="J33" s="69"/>
      <c r="K33" s="76"/>
      <c r="M33" s="69"/>
      <c r="N33" s="76"/>
      <c r="P33" s="69"/>
    </row>
    <row r="34" spans="1:16">
      <c r="A34" s="62">
        <f t="shared" ca="1" si="0"/>
        <v>45971</v>
      </c>
      <c r="B34" s="76" t="str" cm="1">
        <f t="array" aca="1" ref="B34" ca="1">IFERROR(_xlfn.TEXTJOIN(", ", TRUE, _xlfn._xlws.FILTER(MSG!C$5:C$98, MSG!B$5:B$98=A34)),"")</f>
        <v/>
      </c>
      <c r="D34" s="69"/>
      <c r="E34" s="76"/>
      <c r="G34" s="69"/>
      <c r="H34" s="76"/>
      <c r="J34" s="69"/>
      <c r="K34" s="76"/>
      <c r="M34" s="69"/>
      <c r="N34" s="76"/>
      <c r="P34" s="69"/>
    </row>
    <row r="35" spans="1:16">
      <c r="A35" s="62">
        <f t="shared" ca="1" si="0"/>
        <v>45970</v>
      </c>
      <c r="B35" s="76" t="str" cm="1">
        <f t="array" aca="1" ref="B35" ca="1">IFERROR(_xlfn.TEXTJOIN(", ", TRUE, _xlfn._xlws.FILTER(MSG!C$5:C$98, MSG!B$5:B$98=A35)),"")</f>
        <v/>
      </c>
      <c r="D35" s="69"/>
      <c r="E35" s="76"/>
      <c r="G35" s="69"/>
      <c r="H35" s="76"/>
      <c r="J35" s="69"/>
      <c r="K35" s="76"/>
      <c r="M35" s="69"/>
      <c r="N35" s="76"/>
      <c r="P35" s="69"/>
    </row>
    <row r="36" spans="1:16">
      <c r="A36" s="62">
        <f t="shared" ca="1" si="0"/>
        <v>45969</v>
      </c>
      <c r="B36" s="76" t="str" cm="1">
        <f t="array" aca="1" ref="B36" ca="1">IFERROR(_xlfn.TEXTJOIN(", ", TRUE, _xlfn._xlws.FILTER(MSG!C$5:C$98, MSG!B$5:B$98=A36)),"")</f>
        <v/>
      </c>
      <c r="D36" s="69"/>
      <c r="E36" s="76"/>
      <c r="G36" s="69"/>
      <c r="H36" s="76"/>
      <c r="J36" s="69"/>
      <c r="K36" s="76"/>
      <c r="M36" s="69"/>
      <c r="N36" s="76"/>
      <c r="P36" s="69"/>
    </row>
    <row r="37" spans="1:16">
      <c r="A37" s="62">
        <f t="shared" ca="1" si="0"/>
        <v>45968</v>
      </c>
      <c r="B37" s="76" t="str" cm="1">
        <f t="array" aca="1" ref="B37" ca="1">IFERROR(_xlfn.TEXTJOIN(", ", TRUE, _xlfn._xlws.FILTER(MSG!C$5:C$98, MSG!B$5:B$98=A37)),"")</f>
        <v/>
      </c>
      <c r="D37" s="69"/>
      <c r="E37" s="76"/>
      <c r="G37" s="69"/>
      <c r="H37" s="76"/>
      <c r="J37" s="69"/>
      <c r="K37" s="76"/>
      <c r="M37" s="69"/>
      <c r="N37" s="76"/>
      <c r="P37" s="69"/>
    </row>
    <row r="38" spans="1:16">
      <c r="A38" s="62">
        <f t="shared" ca="1" si="0"/>
        <v>45967</v>
      </c>
      <c r="B38" s="76" t="str" cm="1">
        <f t="array" aca="1" ref="B38" ca="1">IFERROR(_xlfn.TEXTJOIN(", ", TRUE, _xlfn._xlws.FILTER(MSG!C$5:C$98, MSG!B$5:B$98=A38)),"")</f>
        <v>Markov 47% to go Up: and it did it!</v>
      </c>
      <c r="D38" s="69"/>
      <c r="E38" s="76"/>
      <c r="G38" s="69"/>
      <c r="H38" s="76"/>
      <c r="J38" s="69"/>
      <c r="K38" s="76"/>
      <c r="M38" s="69"/>
      <c r="N38" s="76"/>
      <c r="P38" s="69"/>
    </row>
    <row r="39" spans="1:16">
      <c r="A39" s="62">
        <f t="shared" ca="1" si="0"/>
        <v>45966</v>
      </c>
      <c r="B39" s="76" t="str" cm="1">
        <f t="array" aca="1" ref="B39" ca="1">IFERROR(_xlfn.TEXTJOIN(", ", TRUE, _xlfn._xlws.FILTER(MSG!C$5:C$98, MSG!B$5:B$98=A39)),"")</f>
        <v/>
      </c>
      <c r="D39" s="69"/>
      <c r="E39" s="76"/>
      <c r="G39" s="69"/>
      <c r="H39" s="76"/>
      <c r="J39" s="69"/>
      <c r="K39" s="76"/>
      <c r="M39" s="69"/>
      <c r="N39" s="76"/>
      <c r="P39" s="69"/>
    </row>
    <row r="40" spans="1:16">
      <c r="A40" s="62">
        <f t="shared" ca="1" si="0"/>
        <v>45965</v>
      </c>
      <c r="B40" s="76" t="str" cm="1">
        <f t="array" aca="1" ref="B40" ca="1">IFERROR(_xlfn.TEXTJOIN(", ", TRUE, _xlfn._xlws.FILTER(MSG!C$5:C$98, MSG!B$5:B$98=A40)),"")</f>
        <v/>
      </c>
      <c r="D40" s="69"/>
      <c r="E40" s="76"/>
      <c r="G40" s="69"/>
      <c r="H40" s="76"/>
      <c r="J40" s="69"/>
      <c r="K40" s="76"/>
      <c r="M40" s="69"/>
      <c r="N40" s="76"/>
      <c r="P40" s="69"/>
    </row>
    <row r="41" spans="1:16">
      <c r="A41" s="62">
        <f t="shared" ca="1" si="0"/>
        <v>45964</v>
      </c>
      <c r="B41" s="76" t="str" cm="1">
        <f t="array" aca="1" ref="B41" ca="1">IFERROR(_xlfn.TEXTJOIN(", ", TRUE, _xlfn._xlws.FILTER(MSG!C$5:C$98, MSG!B$5:B$98=A41)),"")</f>
        <v/>
      </c>
      <c r="D41" s="69"/>
      <c r="E41" s="76"/>
      <c r="G41" s="69"/>
      <c r="H41" s="76"/>
      <c r="J41" s="69"/>
      <c r="K41" s="76"/>
      <c r="M41" s="69"/>
      <c r="N41" s="76"/>
      <c r="P41" s="69"/>
    </row>
    <row r="42" spans="1:16">
      <c r="A42" s="62">
        <f t="shared" ca="1" si="0"/>
        <v>45963</v>
      </c>
      <c r="B42" s="76" t="str" cm="1">
        <f t="array" aca="1" ref="B42" ca="1">IFERROR(_xlfn.TEXTJOIN(", ", TRUE, _xlfn._xlws.FILTER(MSG!C$5:C$98, MSG!B$5:B$98=A42)),"")</f>
        <v/>
      </c>
      <c r="D42" s="69"/>
      <c r="E42" s="76"/>
      <c r="G42" s="69"/>
      <c r="H42" s="76"/>
      <c r="J42" s="69"/>
      <c r="K42" s="76"/>
      <c r="M42" s="69"/>
      <c r="N42" s="76"/>
      <c r="P42" s="69"/>
    </row>
    <row r="43" spans="1:16">
      <c r="A43" s="62">
        <f t="shared" ca="1" si="0"/>
        <v>45962</v>
      </c>
      <c r="B43" s="76" t="str" cm="1">
        <f t="array" aca="1" ref="B43" ca="1">IFERROR(_xlfn.TEXTJOIN(", ", TRUE, _xlfn._xlws.FILTER(MSG!C$5:C$98, MSG!B$5:B$98=A43)),"")</f>
        <v/>
      </c>
      <c r="D43" s="69"/>
      <c r="E43" s="76"/>
      <c r="G43" s="69"/>
      <c r="H43" s="76"/>
      <c r="J43" s="69"/>
      <c r="K43" s="76"/>
      <c r="M43" s="69"/>
      <c r="N43" s="76"/>
      <c r="P43" s="69"/>
    </row>
    <row r="44" spans="1:16">
      <c r="A44" s="62">
        <f t="shared" ca="1" si="0"/>
        <v>45961</v>
      </c>
      <c r="B44" s="76" t="str" cm="1">
        <f t="array" aca="1" ref="B44" ca="1">IFERROR(_xlfn.TEXTJOIN(", ", TRUE, _xlfn._xlws.FILTER(MSG!C$5:C$98, MSG!B$5:B$98=A44)),"")</f>
        <v/>
      </c>
      <c r="D44" s="69"/>
      <c r="E44" s="76"/>
      <c r="G44" s="69"/>
      <c r="H44" s="76"/>
      <c r="J44" s="69"/>
      <c r="K44" s="76"/>
      <c r="M44" s="69"/>
      <c r="N44" s="76"/>
      <c r="P44" s="69"/>
    </row>
    <row r="45" spans="1:16">
      <c r="A45" s="62">
        <f t="shared" ca="1" si="0"/>
        <v>45960</v>
      </c>
      <c r="B45" s="76" t="str" cm="1">
        <f t="array" aca="1" ref="B45" ca="1">IFERROR(_xlfn.TEXTJOIN(", ", TRUE, _xlfn._xlws.FILTER(MSG!C$5:C$98, MSG!B$5:B$98=A45)),"")</f>
        <v/>
      </c>
      <c r="D45" s="69"/>
      <c r="E45" s="76"/>
      <c r="G45" s="69"/>
      <c r="H45" s="76"/>
      <c r="J45" s="69"/>
      <c r="K45" s="76"/>
      <c r="M45" s="69"/>
      <c r="N45" s="76"/>
      <c r="P45" s="69"/>
    </row>
    <row r="46" spans="1:16">
      <c r="A46" s="62">
        <f t="shared" ca="1" si="0"/>
        <v>45959</v>
      </c>
      <c r="B46" s="76" t="str" cm="1">
        <f t="array" aca="1" ref="B46" ca="1">IFERROR(_xlfn.TEXTJOIN(", ", TRUE, _xlfn._xlws.FILTER(MSG!C$5:C$98, MSG!B$5:B$98=A46)),"")</f>
        <v/>
      </c>
      <c r="D46" s="69"/>
      <c r="E46" s="76"/>
      <c r="G46" s="69"/>
      <c r="H46" s="76"/>
      <c r="J46" s="69"/>
      <c r="K46" s="76"/>
      <c r="M46" s="69"/>
      <c r="N46" s="76"/>
      <c r="P46" s="69"/>
    </row>
    <row r="47" spans="1:16">
      <c r="A47" s="62">
        <f t="shared" ca="1" si="0"/>
        <v>45958</v>
      </c>
      <c r="B47" s="76" t="str" cm="1">
        <f t="array" aca="1" ref="B47" ca="1">IFERROR(_xlfn.TEXTJOIN(", ", TRUE, _xlfn._xlws.FILTER(MSG!C$5:C$98, MSG!B$5:B$98=A47)),"")</f>
        <v/>
      </c>
      <c r="D47" s="69"/>
      <c r="E47" s="76"/>
      <c r="G47" s="69"/>
      <c r="H47" s="76"/>
      <c r="J47" s="69"/>
      <c r="K47" s="76"/>
      <c r="M47" s="69"/>
      <c r="N47" s="76"/>
      <c r="P47" s="69"/>
    </row>
    <row r="48" spans="1:16">
      <c r="A48" s="62">
        <f t="shared" ca="1" si="0"/>
        <v>45957</v>
      </c>
      <c r="B48" s="76" t="str" cm="1">
        <f t="array" aca="1" ref="B48" ca="1">IFERROR(_xlfn.TEXTJOIN(", ", TRUE, _xlfn._xlws.FILTER(MSG!C$5:C$98, MSG!B$5:B$98=A48)),"")</f>
        <v/>
      </c>
      <c r="D48" s="69"/>
      <c r="E48" s="76"/>
      <c r="G48" s="69"/>
      <c r="H48" s="76"/>
      <c r="J48" s="69"/>
      <c r="K48" s="76"/>
      <c r="M48" s="69"/>
      <c r="N48" s="76"/>
      <c r="P48" s="69"/>
    </row>
    <row r="49" spans="1:16">
      <c r="A49" s="62">
        <f t="shared" ca="1" si="0"/>
        <v>45956</v>
      </c>
      <c r="B49" s="76" t="str" cm="1">
        <f t="array" aca="1" ref="B49" ca="1">IFERROR(_xlfn.TEXTJOIN(", ", TRUE, _xlfn._xlws.FILTER(MSG!C$5:C$98, MSG!B$5:B$98=A49)),"")</f>
        <v/>
      </c>
      <c r="D49" s="69"/>
      <c r="E49" s="76"/>
      <c r="G49" s="69"/>
      <c r="H49" s="76"/>
      <c r="J49" s="69"/>
      <c r="K49" s="76"/>
      <c r="M49" s="69"/>
      <c r="N49" s="76"/>
      <c r="P49" s="69"/>
    </row>
    <row r="50" spans="1:16">
      <c r="A50" s="62">
        <f t="shared" ca="1" si="0"/>
        <v>45955</v>
      </c>
      <c r="B50" s="76" t="str" cm="1">
        <f t="array" aca="1" ref="B50" ca="1">IFERROR(_xlfn.TEXTJOIN(", ", TRUE, _xlfn._xlws.FILTER(MSG!C$5:C$98, MSG!B$5:B$98=A50)),"")</f>
        <v/>
      </c>
      <c r="D50" s="69"/>
      <c r="E50" s="76"/>
      <c r="G50" s="69"/>
      <c r="H50" s="76"/>
      <c r="J50" s="69"/>
      <c r="K50" s="76"/>
      <c r="M50" s="69"/>
      <c r="N50" s="76"/>
      <c r="P50" s="69"/>
    </row>
    <row r="51" spans="1:16">
      <c r="A51" s="62">
        <f t="shared" ca="1" si="0"/>
        <v>45954</v>
      </c>
      <c r="B51" s="76" t="str" cm="1">
        <f t="array" aca="1" ref="B51" ca="1">IFERROR(_xlfn.TEXTJOIN(", ", TRUE, _xlfn._xlws.FILTER(MSG!C$5:C$98, MSG!B$5:B$98=A51)),"")</f>
        <v>4000(begin 250): HOLD; V^33%; Ups=(/50/% - /16/29%), Earning report 10/29, ^^^38%</v>
      </c>
      <c r="D51" s="69"/>
      <c r="E51" s="76"/>
      <c r="G51" s="69"/>
      <c r="H51" s="76"/>
      <c r="J51" s="69"/>
      <c r="K51" s="76"/>
      <c r="M51" s="69"/>
      <c r="N51" s="76"/>
      <c r="P51" s="69"/>
    </row>
    <row r="52" spans="1:16">
      <c r="A52" s="62">
        <f t="shared" ca="1" si="0"/>
        <v>45953</v>
      </c>
      <c r="B52" s="76" t="str" cm="1">
        <f t="array" aca="1" ref="B52" ca="1">IFERROR(_xlfn.TEXTJOIN(", ", TRUE, _xlfn._xlws.FILTER(MSG!C$5:C$98, MSG!B$5:B$98=A52)),"")</f>
        <v/>
      </c>
      <c r="D52" s="69"/>
      <c r="E52" s="76"/>
      <c r="G52" s="69"/>
      <c r="H52" s="76"/>
      <c r="J52" s="69"/>
      <c r="K52" s="76"/>
      <c r="M52" s="69"/>
      <c r="N52" s="76"/>
      <c r="P52" s="69"/>
    </row>
    <row r="53" spans="1:16">
      <c r="A53" s="62">
        <f t="shared" ca="1" si="0"/>
        <v>45952</v>
      </c>
      <c r="B53" s="76" t="str" cm="1">
        <f t="array" aca="1" ref="B53" ca="1">IFERROR(_xlfn.TEXTJOIN(", ", TRUE, _xlfn._xlws.FILTER(MSG!C$5:C$98, MSG!B$5:B$98=A53)),"")</f>
        <v/>
      </c>
      <c r="D53" s="69"/>
      <c r="E53" s="76"/>
      <c r="G53" s="69"/>
      <c r="H53" s="76"/>
      <c r="J53" s="69"/>
      <c r="K53" s="76"/>
      <c r="M53" s="69"/>
      <c r="N53" s="76"/>
      <c r="P53" s="69"/>
    </row>
    <row r="54" spans="1:16">
      <c r="A54" s="62">
        <f t="shared" ca="1" si="0"/>
        <v>45951</v>
      </c>
      <c r="B54" s="76" t="str" cm="1">
        <f t="array" aca="1" ref="B54" ca="1">IFERROR(_xlfn.TEXTJOIN(", ", TRUE, _xlfn._xlws.FILTER(MSG!C$5:C$98, MSG!B$5:B$98=A54)),"")</f>
        <v/>
      </c>
      <c r="D54" s="69"/>
      <c r="E54" s="76"/>
      <c r="G54" s="69"/>
      <c r="H54" s="76"/>
      <c r="J54" s="69"/>
      <c r="K54" s="76"/>
      <c r="M54" s="69"/>
      <c r="N54" s="76"/>
      <c r="P54" s="69"/>
    </row>
    <row r="55" spans="1:16">
      <c r="A55" s="62">
        <f t="shared" ca="1" si="0"/>
        <v>45950</v>
      </c>
      <c r="B55" s="76" t="str" cm="1">
        <f t="array" aca="1" ref="B55" ca="1">IFERROR(_xlfn.TEXTJOIN(", ", TRUE, _xlfn._xlws.FILTER(MSG!C$5:C$98, MSG!B$5:B$98=A55)),"")</f>
        <v/>
      </c>
      <c r="D55" s="69"/>
      <c r="E55" s="76"/>
      <c r="G55" s="69"/>
      <c r="H55" s="76"/>
      <c r="J55" s="69"/>
      <c r="K55" s="76"/>
      <c r="M55" s="69"/>
      <c r="N55" s="76"/>
      <c r="P55" s="69"/>
    </row>
    <row r="56" spans="1:16">
      <c r="A56" s="62">
        <f t="shared" ca="1" si="0"/>
        <v>45949</v>
      </c>
      <c r="B56" s="76" t="str" cm="1">
        <f t="array" aca="1" ref="B56" ca="1">IFERROR(_xlfn.TEXTJOIN(", ", TRUE, _xlfn._xlws.FILTER(MSG!C$5:C$98, MSG!B$5:B$98=A56)),"")</f>
        <v/>
      </c>
      <c r="D56" s="69"/>
      <c r="E56" s="76"/>
      <c r="G56" s="69"/>
      <c r="H56" s="76"/>
      <c r="J56" s="69"/>
      <c r="K56" s="76"/>
      <c r="M56" s="69"/>
      <c r="N56" s="76"/>
      <c r="P56" s="69"/>
    </row>
    <row r="57" spans="1:16">
      <c r="A57" s="62">
        <f t="shared" ca="1" si="0"/>
        <v>45948</v>
      </c>
      <c r="B57" s="76" t="str" cm="1">
        <f t="array" aca="1" ref="B57" ca="1">IFERROR(_xlfn.TEXTJOIN(", ", TRUE, _xlfn._xlws.FILTER(MSG!C$5:C$98, MSG!B$5:B$98=A57)),"")</f>
        <v/>
      </c>
      <c r="D57" s="69"/>
      <c r="E57" s="76"/>
      <c r="G57" s="69"/>
      <c r="H57" s="76"/>
      <c r="J57" s="69"/>
      <c r="K57" s="76"/>
      <c r="M57" s="69"/>
      <c r="N57" s="76"/>
      <c r="P57" s="69"/>
    </row>
    <row r="58" spans="1:16">
      <c r="A58" s="62">
        <f t="shared" ca="1" si="0"/>
        <v>45947</v>
      </c>
      <c r="B58" s="76" t="str" cm="1">
        <f t="array" aca="1" ref="B58" ca="1">IFERROR(_xlfn.TEXTJOIN(", ", TRUE, _xlfn._xlws.FILTER(MSG!C$5:C$98, MSG!B$5:B$98=A58)),"")</f>
        <v/>
      </c>
      <c r="D58" s="69"/>
      <c r="E58" s="76"/>
      <c r="G58" s="69"/>
      <c r="H58" s="76"/>
      <c r="J58" s="69"/>
      <c r="K58" s="76"/>
      <c r="M58" s="69"/>
      <c r="N58" s="76"/>
      <c r="P58" s="69"/>
    </row>
    <row r="59" spans="1:16">
      <c r="A59" s="62">
        <f t="shared" ca="1" si="0"/>
        <v>45946</v>
      </c>
      <c r="B59" s="76" t="str" cm="1">
        <f t="array" aca="1" ref="B59" ca="1">IFERROR(_xlfn.TEXTJOIN(", ", TRUE, _xlfn._xlws.FILTER(MSG!C$5:C$98, MSG!B$5:B$98=A59)),"")</f>
        <v>FROM 61.30 to 60.60 to 60.10 VV</v>
      </c>
      <c r="D59" s="69"/>
      <c r="E59" s="76"/>
      <c r="G59" s="69"/>
      <c r="H59" s="76"/>
      <c r="J59" s="69"/>
      <c r="K59" s="76"/>
      <c r="M59" s="69"/>
      <c r="N59" s="76"/>
      <c r="P59" s="69"/>
    </row>
    <row r="60" spans="1:16">
      <c r="A60" s="62">
        <f t="shared" ca="1" si="0"/>
        <v>45945</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45944</v>
      </c>
      <c r="B61" s="77" t="str" cm="1">
        <f t="array" aca="1" ref="B61" ca="1">IFERROR(_xlfn.TEXTJOIN(", ", TRUE, _xlfn._xlws.FILTER(MSG!C$5:C$98, MSG!B$5:B$98=A61)),"")</f>
        <v>(0.1%:31%)@207.0:(0=0@M: 207)&gt;UpMark 0%</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46002.929847453706</v>
      </c>
      <c r="D4" s="5"/>
      <c r="F4" s="3"/>
    </row>
    <row r="5" spans="1:8">
      <c r="A5" t="s">
        <v>93</v>
      </c>
      <c r="B5" s="6">
        <f ca="1">TODAY()</f>
        <v>46002</v>
      </c>
      <c r="F5" s="7" t="s">
        <v>94</v>
      </c>
      <c r="G5" s="7" t="str">
        <f ca="1">IF((NOW()-TODAY()-TIME(9,0,0))-ACETZoneShift&lt;0,"Yesterday",NOW()-TODAY()-TIME(9,0,0)-ACETZoneShift)&amp;" CET"</f>
        <v>0.513180787039649 CET</v>
      </c>
    </row>
    <row r="6" spans="1:8" ht="23" thickBot="1">
      <c r="A6" t="s">
        <v>651</v>
      </c>
      <c r="B6" s="8">
        <f ca="1">NOW()-TODAY()</f>
        <v>0.92984745370631572</v>
      </c>
      <c r="C6" t="s">
        <v>95</v>
      </c>
      <c r="E6" t="s">
        <v>96</v>
      </c>
      <c r="F6" s="9">
        <f ca="1">NOW()</f>
        <v>46002.929847453706</v>
      </c>
      <c r="G6" s="9">
        <f ca="1">NOW()-TODAY()-ACETZoneShift+1</f>
        <v>1.8881807870396492</v>
      </c>
    </row>
    <row r="7" spans="1:8">
      <c r="A7" t="s">
        <v>97</v>
      </c>
      <c r="B7" s="8">
        <f ca="1">IF(NOW()-TODAY()-ACETZoneShift&lt;0,NOW()-TODAY()-ACETZoneShift+1,NOW()-TODAY()-ACETZoneShift)</f>
        <v>0.88818078703964909</v>
      </c>
      <c r="C7" t="s">
        <v>98</v>
      </c>
      <c r="D7" s="10">
        <f ca="1">_xlfn.XLOOKUP("EOAN",[1]!RTData[Ticker_Symbol],[1]!RTData[Last trade time])</f>
        <v>46002.863194444442</v>
      </c>
      <c r="E7"/>
      <c r="F7" s="3"/>
    </row>
    <row r="8" spans="1:8">
      <c r="A8" t="s">
        <v>99</v>
      </c>
      <c r="B8" s="8">
        <f ca="1">IF(ACET-TIME(1,0,0)&lt;0,ACET-TIME(1,0,0)+TIME(23,0,0),ACET-TIME(1,0,0))</f>
        <v>0.84651412037298246</v>
      </c>
      <c r="C8" t="s">
        <v>100</v>
      </c>
      <c r="D8" s="10">
        <f ca="1">NOW()-ALastTimeEoan-ACETZoneShift</f>
        <v>2.4986458335964322E-2</v>
      </c>
    </row>
    <row r="9" spans="1:8">
      <c r="C9" s="11" t="s">
        <v>101</v>
      </c>
      <c r="D9" s="1" t="str">
        <f ca="1">IF(WEEKDAY(TODAY(),2)&lt;=5, "Working Day", "Weekend")</f>
        <v>Working Day</v>
      </c>
    </row>
    <row r="10" spans="1:8" ht="23" thickBot="1"/>
    <row r="11" spans="1:8">
      <c r="A11" s="12" t="s">
        <v>102</v>
      </c>
      <c r="B11" s="13"/>
      <c r="C11" s="13" t="s">
        <v>103</v>
      </c>
      <c r="D11" s="14">
        <f ca="1">TODAY()+TIME(9,0,0)</f>
        <v>46002.375</v>
      </c>
      <c r="E11" s="15"/>
      <c r="F11" s="7"/>
      <c r="G11" s="15"/>
      <c r="H11" s="13"/>
    </row>
    <row r="12" spans="1:8">
      <c r="A12" s="16" t="s">
        <v>104</v>
      </c>
      <c r="B12" s="8"/>
      <c r="C12" t="s">
        <v>105</v>
      </c>
      <c r="D12" s="17">
        <f ca="1">B4-D11</f>
        <v>0.55484745370631572</v>
      </c>
      <c r="F12" s="18" t="str">
        <f ca="1">IFERROR(IF(ANonWorkingDayCriteria&gt;1,"None-Working Day",IF(OR(D12/D13&lt;0,D12&gt;D13),"Closed",D12/D13)),"Closed")</f>
        <v>Closed</v>
      </c>
    </row>
    <row r="13" spans="1:8" ht="23" thickBot="1">
      <c r="A13" s="19"/>
      <c r="B13" s="20"/>
      <c r="C13" s="20" t="s">
        <v>652</v>
      </c>
      <c r="D13" s="21">
        <f>TIME(8,30,0)</f>
        <v>0.35416666666666669</v>
      </c>
      <c r="E13" s="22"/>
      <c r="F13" s="23"/>
      <c r="G13" s="22"/>
      <c r="H13" s="20"/>
    </row>
    <row r="14" spans="1:8">
      <c r="D14" s="1"/>
    </row>
    <row r="15" spans="1:8">
      <c r="D15" s="1"/>
      <c r="F15" s="1" t="s">
        <v>106</v>
      </c>
    </row>
    <row r="16" spans="1:8" ht="23" thickBot="1">
      <c r="D16" s="1"/>
      <c r="F16" s="24">
        <f ca="1">ActTime-CETZoneShift</f>
        <v>0.88818078703964909</v>
      </c>
    </row>
    <row r="17" spans="1:8">
      <c r="A17" s="12" t="s">
        <v>107</v>
      </c>
      <c r="B17" s="13"/>
      <c r="C17" s="13" t="s">
        <v>108</v>
      </c>
      <c r="D17" s="14">
        <f ca="1">TODAY()+TIME(9,0,0)</f>
        <v>46002.375</v>
      </c>
      <c r="E17" s="15"/>
      <c r="F17" s="7"/>
      <c r="G17" s="15"/>
      <c r="H17" s="13"/>
    </row>
    <row r="18" spans="1:8">
      <c r="A18" s="16" t="s">
        <v>109</v>
      </c>
      <c r="C18" t="s">
        <v>105</v>
      </c>
      <c r="D18" s="17">
        <f ca="1">D12</f>
        <v>0.55484745370631572</v>
      </c>
      <c r="F18" s="18" t="str">
        <f ca="1">IFERROR(IF(ANonWorkingDayCriteria&gt;1,"None-Working Day",IF(OR(D18/D19&lt;0,D18&gt;D19),"Closed",D18/D19)),"Closed")</f>
        <v>Closed</v>
      </c>
    </row>
    <row r="19" spans="1:8" ht="23" thickBot="1">
      <c r="A19" s="19"/>
      <c r="B19" s="20"/>
      <c r="C19" s="20" t="s">
        <v>652</v>
      </c>
      <c r="D19" s="21">
        <v>0.35416666666666669</v>
      </c>
      <c r="E19" s="22"/>
      <c r="F19" s="23"/>
      <c r="G19" s="22"/>
      <c r="H19" s="20"/>
    </row>
    <row r="20" spans="1:8" ht="23" thickBot="1">
      <c r="C20" s="12" t="s">
        <v>110</v>
      </c>
      <c r="D20" s="25">
        <f ca="1">ABS(NOW()-G22)</f>
        <v>1.3180787042074371E-2</v>
      </c>
      <c r="F20" s="7" t="s">
        <v>111</v>
      </c>
      <c r="H20" s="26">
        <f ca="1">ABS(NOW()-F22)</f>
        <v>46002.284014120371</v>
      </c>
    </row>
    <row r="21" spans="1:8" ht="23" thickBot="1">
      <c r="C21" s="27" t="s">
        <v>112</v>
      </c>
      <c r="D21" s="28" t="str">
        <f ca="1">TEXT(D20,"HH:MM")</f>
        <v>00:18</v>
      </c>
      <c r="E21" s="29" t="s">
        <v>113</v>
      </c>
      <c r="F21" s="30">
        <f ca="1">IF(ActTime-CETZoneShift&lt;0,ActTime-TIME(6,0,0)-CETZoneShift+1,ActTime-TIME(6,0,0)-CETZoneShift)</f>
        <v>0.63818078703964909</v>
      </c>
      <c r="G21" s="29" t="s">
        <v>114</v>
      </c>
      <c r="H21" s="23" t="str">
        <f ca="1">TEXT(H20,"HH:MM")</f>
        <v>06:48</v>
      </c>
    </row>
    <row r="22" spans="1:8">
      <c r="A22" s="12" t="s">
        <v>115</v>
      </c>
      <c r="B22" s="13"/>
      <c r="C22" s="127" t="s">
        <v>116</v>
      </c>
      <c r="D22" s="31" t="s">
        <v>653</v>
      </c>
      <c r="E22" s="17">
        <f>TIME(4,0,0)+TIME(5,0,0)+ACETZoneShift-ASummerTimeShift</f>
        <v>0.41666666666666669</v>
      </c>
      <c r="F22" s="17">
        <f>TIME(9,30,0)+TIME(5,0,0)+ACETZoneShift-ASummerTimeShift</f>
        <v>0.64583333333333326</v>
      </c>
      <c r="G22" s="17">
        <f ca="1">TODAY()+TIME(16,0,0)+TIME(5,0,0)+ACETZoneShift-ASummerTimeShift</f>
        <v>46002.916666666664</v>
      </c>
      <c r="H22" s="13"/>
    </row>
    <row r="23" spans="1:8">
      <c r="A23" s="16" t="s">
        <v>117</v>
      </c>
      <c r="C23" s="128" t="s">
        <v>118</v>
      </c>
      <c r="D23" t="s">
        <v>654</v>
      </c>
      <c r="E23" s="32">
        <f ca="1">ActTime</f>
        <v>0.92984745370631572</v>
      </c>
      <c r="F23" s="32">
        <f ca="1">ActTime</f>
        <v>0.92984745370631572</v>
      </c>
      <c r="G23" s="32">
        <f ca="1">ActTime</f>
        <v>0.92984745370631572</v>
      </c>
    </row>
    <row r="24" spans="1:8" ht="23" thickBot="1">
      <c r="A24" s="16"/>
      <c r="B24" s="11" t="s">
        <v>119</v>
      </c>
      <c r="C24" s="129" t="s">
        <v>120</v>
      </c>
      <c r="D24" t="s">
        <v>655</v>
      </c>
      <c r="E24" s="17">
        <f>TIME(15,30,0)</f>
        <v>0.64583333333333337</v>
      </c>
      <c r="F24" s="17">
        <f>TIME(22,0,0)</f>
        <v>0.91666666666666663</v>
      </c>
      <c r="G24" s="17">
        <f ca="1">TODAY()+1+AOpenPost+TIME(4,0,0)</f>
        <v>92006.083333333328</v>
      </c>
    </row>
    <row r="25" spans="1:8" ht="23" thickBot="1">
      <c r="A25" s="19" t="s">
        <v>121</v>
      </c>
      <c r="B25" s="20"/>
      <c r="C25" s="20"/>
      <c r="D25" s="20" t="s">
        <v>656</v>
      </c>
      <c r="E25" s="126">
        <f>E24-AOpenPre</f>
        <v>0.22916666666666669</v>
      </c>
      <c r="F25" s="126">
        <f>F24-AOpenTrade</f>
        <v>0.27083333333333337</v>
      </c>
      <c r="G25" s="126">
        <f ca="1">G24-AOpenPost</f>
        <v>46003.166666666664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164</vt:i4>
      </vt:variant>
    </vt:vector>
  </HeadingPairs>
  <TitlesOfParts>
    <vt:vector size="188"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2025-12-11T21:19:29Z</dcterms:modified>
  <cp:category/>
</cp:coreProperties>
</file>